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ivotTables/pivotTable1.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9.xml" ContentType="application/vnd.openxmlformats-officedocument.drawing+xml"/>
  <Override PartName="/xl/drawings/drawing10.xml" ContentType="application/vnd.openxmlformats-officedocument.drawing+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1.xml" ContentType="application/vnd.openxmlformats-officedocument.drawing+xml"/>
  <Override PartName="/xl/pivotTables/pivotTable6.xml" ContentType="application/vnd.openxmlformats-officedocument.spreadsheetml.pivotTable+xml"/>
  <Override PartName="/xl/drawings/drawing12.xml" ContentType="application/vnd.openxmlformats-officedocument.drawing+xml"/>
  <Override PartName="/xl/drawings/drawing13.xml" ContentType="application/vnd.openxmlformats-officedocument.drawing+xml"/>
  <Override PartName="/xl/pivotTables/pivotTable7.xml" ContentType="application/vnd.openxmlformats-officedocument.spreadsheetml.pivotTable+xml"/>
  <Override PartName="/xl/drawings/drawing14.xml" ContentType="application/vnd.openxmlformats-officedocument.drawing+xml"/>
  <Override PartName="/xl/pivotTables/pivotTable8.xml" ContentType="application/vnd.openxmlformats-officedocument.spreadsheetml.pivotTable+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https://bcgcloudeur.sharepoint.com/sites/265453-45/Shared Documents/07. FRP - Working Folders/04. Deliverables/04. Country excels/"/>
    </mc:Choice>
  </mc:AlternateContent>
  <xr:revisionPtr revIDLastSave="1788" documentId="8_{234503CF-D857-46CA-A920-937897BD18CD}" xr6:coauthVersionLast="47" xr6:coauthVersionMax="47" xr10:uidLastSave="{7F890698-142D-40CF-AB5E-B00FE26F9C71}"/>
  <bookViews>
    <workbookView xWindow="-108" yWindow="-108" windowWidth="23256" windowHeight="12576" tabRatio="961" firstSheet="8" activeTab="15" xr2:uid="{00000000-000D-0000-FFFF-FFFF00000000}"/>
  </bookViews>
  <sheets>
    <sheet name="Couverture" sheetId="14" r:id="rId1"/>
    <sheet name="P205 projections &gt;&gt;" sheetId="67" r:id="rId2"/>
    <sheet name="ProjectedP205_Consumption" sheetId="49" r:id="rId3"/>
    <sheet name="OCPMarketShares" sheetId="54" r:id="rId4"/>
    <sheet name="OCPSalesProduct" sheetId="66" r:id="rId5"/>
    <sheet name="Sales gap between scenarios" sheetId="77" r:id="rId6"/>
    <sheet name="Projection inputs &gt;&gt;" sheetId="42" r:id="rId7"/>
    <sheet name="RAR_OCP" sheetId="64" r:id="rId8"/>
    <sheet name="UNComtradeData_Imports" sheetId="63" r:id="rId9"/>
    <sheet name="P2O5Consumption" sheetId="55" r:id="rId10"/>
    <sheet name="HarvestedAreas_TCD" sheetId="59" r:id="rId11"/>
    <sheet name="HarvestedAreas" sheetId="57" r:id="rId12"/>
    <sheet name="Market &amp; imports --&gt;" sheetId="68" r:id="rId13"/>
    <sheet name="Africa fertilizers imports" sheetId="69" r:id="rId14"/>
    <sheet name="Imports per P-product" sheetId="70" r:id="rId15"/>
    <sheet name="Imports per all products" sheetId="76" r:id="rId16"/>
    <sheet name="Apparent consumption" sheetId="71" r:id="rId17"/>
    <sheet name="Domestic production" sheetId="72" r:id="rId18"/>
    <sheet name="Pricing analyses --&gt;" sheetId="73" r:id="rId19"/>
    <sheet name="Price analyis" sheetId="74" r:id="rId20"/>
    <sheet name="IndexMundi DAP prices" sheetId="75" r:id="rId21"/>
  </sheets>
  <externalReferences>
    <externalReference r:id="rId22"/>
    <externalReference r:id="rId23"/>
  </externalReferences>
  <definedNames>
    <definedName name="_xlnm._FilterDatabase" localSheetId="14" hidden="1">'Imports per P-product'!$A$15:$E$133</definedName>
    <definedName name="Exports">_xlfn.IFS('[1]Data Dashboard'!#REF!=1,-'[1]Data Dashboard'!$D$20:$Q$20,'[1]Data Dashboard'!#REF!=2,0,'[1]Data Dashboard'!#REF!=3,'[1]Data Dashboard'!$D$20:$Q$20)</definedName>
    <definedName name="Imports">IF('[1]Data Dashboard'!#REF!&lt;3,'[1]Data Dashboard'!$D$19:$Q$19,0)</definedName>
    <definedName name="Sub_Region">[2]CONTROL!$J$3:$J$25</definedName>
    <definedName name="Title">Couverture!$C$2</definedName>
  </definedNames>
  <calcPr calcId="191028"/>
  <pivotCaches>
    <pivotCache cacheId="0" r:id="rId24"/>
    <pivotCache cacheId="1" r:id="rId25"/>
    <pivotCache cacheId="2" r:id="rId26"/>
    <pivotCache cacheId="3" r:id="rId27"/>
    <pivotCache cacheId="4" r:id="rId28"/>
    <pivotCache cacheId="5" r:id="rId2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76" l="1"/>
  <c r="E23" i="76"/>
  <c r="F23" i="76"/>
  <c r="G23" i="76"/>
  <c r="H23" i="76"/>
  <c r="I23" i="76"/>
  <c r="J23" i="76"/>
  <c r="K23" i="76"/>
  <c r="G16" i="77"/>
  <c r="G32" i="77"/>
  <c r="F14" i="77"/>
  <c r="F15" i="77"/>
  <c r="F16" i="77"/>
  <c r="F17" i="77"/>
  <c r="F18" i="77"/>
  <c r="F19" i="77"/>
  <c r="F20" i="77"/>
  <c r="F21" i="77"/>
  <c r="F22" i="77"/>
  <c r="F23" i="77"/>
  <c r="F24" i="77"/>
  <c r="F25" i="77"/>
  <c r="F26" i="77"/>
  <c r="F27" i="77"/>
  <c r="F28" i="77"/>
  <c r="F29" i="77"/>
  <c r="F30" i="77"/>
  <c r="F31" i="77"/>
  <c r="F32" i="77"/>
  <c r="F13" i="77"/>
  <c r="E14" i="77"/>
  <c r="E15" i="77"/>
  <c r="E16" i="77"/>
  <c r="E17" i="77"/>
  <c r="E18" i="77"/>
  <c r="E19" i="77"/>
  <c r="E20" i="77"/>
  <c r="E21" i="77"/>
  <c r="E22" i="77"/>
  <c r="E23" i="77"/>
  <c r="E24" i="77"/>
  <c r="G24" i="77" s="1"/>
  <c r="E25" i="77"/>
  <c r="E26" i="77"/>
  <c r="E27" i="77"/>
  <c r="E28" i="77"/>
  <c r="E29" i="77"/>
  <c r="E30" i="77"/>
  <c r="E31" i="77"/>
  <c r="E32" i="77"/>
  <c r="E13" i="77"/>
  <c r="D32" i="77"/>
  <c r="D31" i="77"/>
  <c r="D30" i="77"/>
  <c r="D29" i="77"/>
  <c r="D28" i="77"/>
  <c r="D27" i="77"/>
  <c r="D26" i="77"/>
  <c r="D25" i="77"/>
  <c r="D24" i="77"/>
  <c r="D23" i="77"/>
  <c r="D22" i="77"/>
  <c r="D21" i="77"/>
  <c r="D20" i="77"/>
  <c r="D19" i="77"/>
  <c r="D18" i="77"/>
  <c r="D17" i="77"/>
  <c r="D16" i="77"/>
  <c r="D15" i="77"/>
  <c r="D14" i="77"/>
  <c r="D13" i="77"/>
  <c r="E3" i="77"/>
  <c r="E2" i="77"/>
  <c r="AP86" i="66"/>
  <c r="AP87" i="66"/>
  <c r="AP88" i="66"/>
  <c r="AP89" i="66"/>
  <c r="AP90" i="66"/>
  <c r="AP91" i="66"/>
  <c r="AP92" i="66"/>
  <c r="AP93" i="66"/>
  <c r="AP94" i="66"/>
  <c r="AP95" i="66"/>
  <c r="AP96" i="66"/>
  <c r="AP97" i="66"/>
  <c r="AP98" i="66"/>
  <c r="AP99" i="66"/>
  <c r="AP100" i="66"/>
  <c r="AP101" i="66"/>
  <c r="AP102" i="66"/>
  <c r="AP103" i="66"/>
  <c r="AP104" i="66"/>
  <c r="AP85" i="66"/>
  <c r="AQ81" i="66"/>
  <c r="AQ54" i="66"/>
  <c r="AQ80" i="66"/>
  <c r="AQ79" i="66"/>
  <c r="AQ78" i="66"/>
  <c r="AQ77" i="66"/>
  <c r="AQ76" i="66"/>
  <c r="AQ75" i="66"/>
  <c r="AQ74" i="66"/>
  <c r="AQ73" i="66"/>
  <c r="AQ72" i="66"/>
  <c r="AQ71" i="66"/>
  <c r="AQ70" i="66"/>
  <c r="AQ69" i="66"/>
  <c r="AQ68" i="66"/>
  <c r="AQ67" i="66"/>
  <c r="AQ66" i="66"/>
  <c r="AQ65" i="66"/>
  <c r="AQ64" i="66"/>
  <c r="AQ63" i="66"/>
  <c r="AQ62" i="66"/>
  <c r="AQ61" i="66"/>
  <c r="AQ35" i="66"/>
  <c r="AQ36" i="66"/>
  <c r="AQ37" i="66"/>
  <c r="AQ38" i="66"/>
  <c r="AQ39" i="66"/>
  <c r="AQ40" i="66"/>
  <c r="AQ41" i="66"/>
  <c r="AQ42" i="66"/>
  <c r="AQ43" i="66"/>
  <c r="AQ44" i="66"/>
  <c r="AQ45" i="66"/>
  <c r="AQ46" i="66"/>
  <c r="AQ47" i="66"/>
  <c r="AQ48" i="66"/>
  <c r="AQ49" i="66"/>
  <c r="AQ50" i="66"/>
  <c r="AQ51" i="66"/>
  <c r="AQ52" i="66"/>
  <c r="AQ53" i="66"/>
  <c r="AQ34" i="66"/>
  <c r="AO86" i="66"/>
  <c r="AO87" i="66"/>
  <c r="AO88" i="66"/>
  <c r="AO89" i="66"/>
  <c r="AO90" i="66"/>
  <c r="AO91" i="66"/>
  <c r="AO92" i="66"/>
  <c r="AO93" i="66"/>
  <c r="AO94" i="66"/>
  <c r="AO95" i="66"/>
  <c r="AO96" i="66"/>
  <c r="AO97" i="66"/>
  <c r="AO98" i="66"/>
  <c r="AO99" i="66"/>
  <c r="AO100" i="66"/>
  <c r="AO101" i="66"/>
  <c r="AO102" i="66"/>
  <c r="AO103" i="66"/>
  <c r="AO104" i="66"/>
  <c r="AO85" i="66"/>
  <c r="D25" i="76"/>
  <c r="G24" i="76"/>
  <c r="F24" i="76"/>
  <c r="E24" i="76"/>
  <c r="K21" i="76"/>
  <c r="K25" i="76" s="1"/>
  <c r="J21" i="76"/>
  <c r="J25" i="76" s="1"/>
  <c r="I21" i="76"/>
  <c r="I25" i="76" s="1"/>
  <c r="H21" i="76"/>
  <c r="H25" i="76" s="1"/>
  <c r="G21" i="76"/>
  <c r="G25" i="76" s="1"/>
  <c r="F21" i="76"/>
  <c r="E21" i="76"/>
  <c r="E25" i="76" s="1"/>
  <c r="D21" i="76"/>
  <c r="K20" i="76"/>
  <c r="K24" i="76" s="1"/>
  <c r="J20" i="76"/>
  <c r="J24" i="76" s="1"/>
  <c r="I20" i="76"/>
  <c r="I24" i="76" s="1"/>
  <c r="H20" i="76"/>
  <c r="H24" i="76" s="1"/>
  <c r="G20" i="76"/>
  <c r="F20" i="76"/>
  <c r="E20" i="76"/>
  <c r="D20" i="76"/>
  <c r="D24" i="76" s="1"/>
  <c r="K19" i="76"/>
  <c r="J19" i="76"/>
  <c r="I19" i="76"/>
  <c r="H19" i="76"/>
  <c r="G19" i="76"/>
  <c r="F19" i="76"/>
  <c r="E19" i="76"/>
  <c r="D19" i="76"/>
  <c r="C4" i="76"/>
  <c r="C4" i="75"/>
  <c r="F45" i="74"/>
  <c r="D45" i="74" a="1"/>
  <c r="D45" i="74" s="1"/>
  <c r="B45" i="74"/>
  <c r="D43" i="74"/>
  <c r="D42" i="74"/>
  <c r="D41" i="74"/>
  <c r="D40" i="74"/>
  <c r="D39" i="74"/>
  <c r="AH38" i="74"/>
  <c r="AC38" i="74"/>
  <c r="D38" i="74"/>
  <c r="AH37" i="74"/>
  <c r="AC37" i="74"/>
  <c r="AE37" i="74" s="1"/>
  <c r="AB37" i="74"/>
  <c r="AD37" i="74" s="1"/>
  <c r="AE36" i="74"/>
  <c r="AC36" i="74"/>
  <c r="AB35" i="74"/>
  <c r="AD35" i="74" s="1"/>
  <c r="Y35" i="74"/>
  <c r="AE34" i="74"/>
  <c r="AD34" i="74"/>
  <c r="AC34" i="74"/>
  <c r="Y34" i="74"/>
  <c r="AB36" i="74" s="1"/>
  <c r="F32" i="74"/>
  <c r="D32" i="74"/>
  <c r="J32" i="74" s="1"/>
  <c r="D32" i="74" a="1"/>
  <c r="B32" i="74"/>
  <c r="D30" i="74"/>
  <c r="AH29" i="74"/>
  <c r="D29" i="74"/>
  <c r="AH28" i="74"/>
  <c r="D28" i="74"/>
  <c r="AC27" i="74"/>
  <c r="AE27" i="74" s="1"/>
  <c r="AB27" i="74"/>
  <c r="AD27" i="74" s="1"/>
  <c r="Y27" i="74"/>
  <c r="AC28" i="74" s="1"/>
  <c r="AE28" i="74" s="1"/>
  <c r="D27" i="74"/>
  <c r="AB26" i="74"/>
  <c r="AD26" i="74" s="1"/>
  <c r="Y26" i="74"/>
  <c r="AC25" i="74" s="1"/>
  <c r="D26" i="74"/>
  <c r="AD25" i="74"/>
  <c r="Y25" i="74"/>
  <c r="D25" i="74"/>
  <c r="D24" i="74"/>
  <c r="D23" i="74"/>
  <c r="D22" i="74"/>
  <c r="N19" i="74"/>
  <c r="AH18" i="74"/>
  <c r="AH17" i="74"/>
  <c r="AC17" i="74"/>
  <c r="AE17" i="74" s="1"/>
  <c r="AB17" i="74"/>
  <c r="AD17" i="74" s="1"/>
  <c r="N17" i="74"/>
  <c r="F17" i="74"/>
  <c r="D17" i="74" a="1"/>
  <c r="D17" i="74" s="1"/>
  <c r="J17" i="74" s="1"/>
  <c r="B17" i="74"/>
  <c r="AC16" i="74"/>
  <c r="AE16" i="74" s="1"/>
  <c r="Y16" i="74"/>
  <c r="Q16" i="74"/>
  <c r="P20" i="74" s="1"/>
  <c r="D16" i="74"/>
  <c r="AB15" i="74"/>
  <c r="AB16" i="74" s="1"/>
  <c r="AD16" i="74" s="1"/>
  <c r="Y15" i="74"/>
  <c r="AC14" i="74" s="1"/>
  <c r="D15" i="74"/>
  <c r="AD14" i="74"/>
  <c r="Y14" i="74"/>
  <c r="N14" i="74"/>
  <c r="D14" i="74"/>
  <c r="N13" i="74"/>
  <c r="N16" i="74" s="1"/>
  <c r="D13" i="74"/>
  <c r="D12" i="74"/>
  <c r="C4" i="74"/>
  <c r="C4" i="73"/>
  <c r="C4" i="72"/>
  <c r="L110" i="71"/>
  <c r="C4" i="71"/>
  <c r="P25" i="70"/>
  <c r="O25" i="70"/>
  <c r="N25" i="70"/>
  <c r="M25" i="70"/>
  <c r="H25" i="70"/>
  <c r="T24" i="70"/>
  <c r="T25" i="70" s="1"/>
  <c r="S24" i="70"/>
  <c r="S25" i="70" s="1"/>
  <c r="R24" i="70"/>
  <c r="R25" i="70" s="1"/>
  <c r="Q24" i="70"/>
  <c r="Q25" i="70" s="1"/>
  <c r="P24" i="70"/>
  <c r="O24" i="70"/>
  <c r="N24" i="70"/>
  <c r="M24" i="70"/>
  <c r="L24" i="70"/>
  <c r="L25" i="70" s="1"/>
  <c r="K24" i="70"/>
  <c r="K25" i="70" s="1"/>
  <c r="J24" i="70"/>
  <c r="J25" i="70" s="1"/>
  <c r="I24" i="70"/>
  <c r="I25" i="70" s="1"/>
  <c r="H24" i="70"/>
  <c r="C4" i="70"/>
  <c r="C4" i="69"/>
  <c r="AO80" i="66"/>
  <c r="AO79" i="66"/>
  <c r="AO78" i="66"/>
  <c r="AO77" i="66"/>
  <c r="AO76" i="66"/>
  <c r="AO75" i="66"/>
  <c r="AO74" i="66"/>
  <c r="AO73" i="66"/>
  <c r="AO72" i="66"/>
  <c r="AO71" i="66"/>
  <c r="AO70" i="66"/>
  <c r="AO69" i="66"/>
  <c r="AO68" i="66"/>
  <c r="AO67" i="66"/>
  <c r="AO66" i="66"/>
  <c r="AO65" i="66"/>
  <c r="AO64" i="66"/>
  <c r="AO63" i="66"/>
  <c r="AO62" i="66"/>
  <c r="AO61" i="66"/>
  <c r="M80" i="66"/>
  <c r="M79" i="66"/>
  <c r="M78" i="66"/>
  <c r="M77" i="66"/>
  <c r="M76" i="66"/>
  <c r="M75" i="66"/>
  <c r="M74" i="66"/>
  <c r="M73" i="66"/>
  <c r="M72" i="66"/>
  <c r="M71" i="66"/>
  <c r="M70" i="66"/>
  <c r="M69" i="66"/>
  <c r="M68" i="66"/>
  <c r="M64" i="66"/>
  <c r="M63" i="66"/>
  <c r="M62" i="66"/>
  <c r="M61" i="66"/>
  <c r="AO34" i="66"/>
  <c r="AO35" i="66"/>
  <c r="AO36" i="66"/>
  <c r="AO37" i="66"/>
  <c r="AO38" i="66"/>
  <c r="AO39" i="66"/>
  <c r="AO40" i="66"/>
  <c r="AO41" i="66"/>
  <c r="AO42" i="66"/>
  <c r="AO43" i="66"/>
  <c r="AO44" i="66"/>
  <c r="AO45" i="66"/>
  <c r="AO46" i="66"/>
  <c r="AO47" i="66"/>
  <c r="AO48" i="66"/>
  <c r="AO49" i="66"/>
  <c r="AO50" i="66"/>
  <c r="AO51" i="66"/>
  <c r="AO52" i="66"/>
  <c r="AO53" i="66"/>
  <c r="T22" i="63"/>
  <c r="G13" i="77" l="1"/>
  <c r="G28" i="77"/>
  <c r="G20" i="77"/>
  <c r="G27" i="77"/>
  <c r="G19" i="77"/>
  <c r="G26" i="77"/>
  <c r="G18" i="77"/>
  <c r="G25" i="77"/>
  <c r="G17" i="77"/>
  <c r="G31" i="77"/>
  <c r="G23" i="77"/>
  <c r="G15" i="77"/>
  <c r="G30" i="77"/>
  <c r="G22" i="77"/>
  <c r="G14" i="77"/>
  <c r="G29" i="77"/>
  <c r="G21" i="77"/>
  <c r="F33" i="77"/>
  <c r="E33" i="77"/>
  <c r="F25" i="76"/>
  <c r="AC29" i="74"/>
  <c r="AE25" i="74"/>
  <c r="AE29" i="74" s="1"/>
  <c r="AC18" i="74"/>
  <c r="AE14" i="74"/>
  <c r="AE18" i="74" s="1"/>
  <c r="AE38" i="74"/>
  <c r="O20" i="74"/>
  <c r="N20" i="74"/>
  <c r="N21" i="74" s="1"/>
  <c r="N22" i="74"/>
  <c r="J45" i="74"/>
  <c r="AD36" i="74"/>
  <c r="AD38" i="74" s="1"/>
  <c r="AH35" i="74" s="1"/>
  <c r="AB38" i="74"/>
  <c r="AD15" i="74"/>
  <c r="AD18" i="74" s="1"/>
  <c r="AH15" i="74" s="1"/>
  <c r="AB28" i="74"/>
  <c r="AD28" i="74" s="1"/>
  <c r="AD29" i="74" s="1"/>
  <c r="AH26" i="74" s="1"/>
  <c r="AB18" i="74"/>
  <c r="T23" i="63"/>
  <c r="G33" i="77" l="1"/>
  <c r="AB29" i="74"/>
  <c r="U26" i="66"/>
  <c r="E3" i="66"/>
  <c r="M36" i="66"/>
  <c r="M37" i="66"/>
  <c r="M41" i="66"/>
  <c r="M42" i="66"/>
  <c r="M43" i="66"/>
  <c r="M44" i="66"/>
  <c r="M45" i="66"/>
  <c r="M46" i="66"/>
  <c r="M47" i="66"/>
  <c r="M48" i="66"/>
  <c r="M49" i="66"/>
  <c r="M50" i="66"/>
  <c r="M51" i="66"/>
  <c r="M52" i="66"/>
  <c r="M53" i="66"/>
  <c r="M35" i="66"/>
  <c r="M34" i="66"/>
  <c r="D80" i="66"/>
  <c r="D79" i="66"/>
  <c r="D78" i="66"/>
  <c r="D77" i="66"/>
  <c r="D76" i="66"/>
  <c r="D75" i="66"/>
  <c r="D74" i="66"/>
  <c r="D73" i="66"/>
  <c r="D72" i="66"/>
  <c r="D71" i="66"/>
  <c r="D70" i="66"/>
  <c r="D69" i="66"/>
  <c r="D68" i="66"/>
  <c r="D67" i="66"/>
  <c r="D66" i="66"/>
  <c r="D65" i="66"/>
  <c r="D64" i="66"/>
  <c r="D63" i="66"/>
  <c r="D62" i="66"/>
  <c r="D61" i="66"/>
  <c r="Q75" i="49"/>
  <c r="F122" i="49"/>
  <c r="G122" i="49"/>
  <c r="H122" i="49"/>
  <c r="I122" i="49"/>
  <c r="D35" i="66"/>
  <c r="D36" i="66"/>
  <c r="D37" i="66"/>
  <c r="D38" i="66"/>
  <c r="D39" i="66"/>
  <c r="D40" i="66"/>
  <c r="D41" i="66"/>
  <c r="D42" i="66"/>
  <c r="D43" i="66"/>
  <c r="D44" i="66"/>
  <c r="D45" i="66"/>
  <c r="D46" i="66"/>
  <c r="D47" i="66"/>
  <c r="D48" i="66"/>
  <c r="D49" i="66"/>
  <c r="D50" i="66"/>
  <c r="D51" i="66"/>
  <c r="D52" i="66"/>
  <c r="D53" i="66"/>
  <c r="D54" i="66"/>
  <c r="D34" i="66"/>
  <c r="E125" i="49" l="1"/>
  <c r="F125" i="49"/>
  <c r="G125" i="49"/>
  <c r="H125" i="49"/>
  <c r="I125" i="49"/>
  <c r="X25" i="63"/>
  <c r="T25" i="63"/>
  <c r="U25" i="63"/>
  <c r="V25" i="63"/>
  <c r="W25" i="63"/>
  <c r="X24" i="63"/>
  <c r="W24" i="63"/>
  <c r="V24" i="63"/>
  <c r="U24" i="63"/>
  <c r="T24" i="63"/>
  <c r="Q23" i="63"/>
  <c r="R23" i="63"/>
  <c r="S23" i="63"/>
  <c r="U23" i="63"/>
  <c r="V23" i="63"/>
  <c r="W23" i="63"/>
  <c r="X23" i="63"/>
  <c r="M23" i="63"/>
  <c r="N23" i="63"/>
  <c r="O23" i="63"/>
  <c r="P23" i="63"/>
  <c r="Y23" i="63"/>
  <c r="M22" i="63"/>
  <c r="N22" i="63"/>
  <c r="O22" i="63"/>
  <c r="P22" i="63"/>
  <c r="Q22" i="63"/>
  <c r="R22" i="63"/>
  <c r="S22" i="63"/>
  <c r="U22" i="63"/>
  <c r="V22" i="63"/>
  <c r="W22" i="63"/>
  <c r="X22" i="63"/>
  <c r="Y22" i="63"/>
  <c r="J71" i="49" l="1"/>
  <c r="J72" i="49"/>
  <c r="J73" i="49"/>
  <c r="J74" i="49"/>
  <c r="J75" i="49"/>
  <c r="J76" i="49"/>
  <c r="J77" i="49"/>
  <c r="J78" i="49"/>
  <c r="J79" i="49"/>
  <c r="J80" i="49"/>
  <c r="J81" i="49"/>
  <c r="J82" i="49"/>
  <c r="J83" i="49"/>
  <c r="J84" i="49"/>
  <c r="J85" i="49"/>
  <c r="J86" i="49"/>
  <c r="J87" i="49"/>
  <c r="J88" i="49"/>
  <c r="J89" i="49"/>
  <c r="J70" i="49"/>
  <c r="E126" i="49"/>
  <c r="F126" i="49"/>
  <c r="G126" i="49"/>
  <c r="H126" i="49"/>
  <c r="I126" i="49"/>
  <c r="E89" i="49" l="1"/>
  <c r="F89" i="49"/>
  <c r="G89" i="49"/>
  <c r="H89" i="49"/>
  <c r="I89" i="49"/>
  <c r="R118" i="49" l="1"/>
  <c r="H107" i="49" l="1"/>
  <c r="C2" i="14"/>
  <c r="E2" i="66" s="1"/>
  <c r="E2" i="49" l="1"/>
  <c r="F74" i="49"/>
  <c r="W154" i="49" l="1"/>
  <c r="W152" i="49"/>
  <c r="W148" i="49"/>
  <c r="W147" i="49"/>
  <c r="W145" i="49"/>
  <c r="W144" i="49"/>
  <c r="W143" i="49"/>
  <c r="W142" i="49"/>
  <c r="W141" i="49"/>
  <c r="W139" i="49"/>
  <c r="W138" i="49"/>
  <c r="W137" i="49"/>
  <c r="W136" i="49"/>
  <c r="B94" i="54"/>
  <c r="B95" i="54"/>
  <c r="B96" i="54"/>
  <c r="E163" i="49"/>
  <c r="G163" i="49" s="1"/>
  <c r="E164" i="49"/>
  <c r="G164" i="49" s="1"/>
  <c r="S136" i="49" s="1"/>
  <c r="P136" i="49" s="1"/>
  <c r="E165" i="49"/>
  <c r="G165" i="49" s="1"/>
  <c r="E166" i="49"/>
  <c r="G166" i="49" s="1"/>
  <c r="E167" i="49"/>
  <c r="G167" i="49" s="1"/>
  <c r="E168" i="49"/>
  <c r="G168" i="49" s="1"/>
  <c r="E169" i="49"/>
  <c r="G169" i="49" s="1"/>
  <c r="E170" i="49"/>
  <c r="G170" i="49" s="1"/>
  <c r="E171" i="49"/>
  <c r="G171" i="49" s="1"/>
  <c r="E172" i="49"/>
  <c r="G172" i="49" s="1"/>
  <c r="E173" i="49"/>
  <c r="G173" i="49" s="1"/>
  <c r="E162" i="49"/>
  <c r="D163" i="49"/>
  <c r="D164" i="49"/>
  <c r="D165" i="49"/>
  <c r="D166" i="49"/>
  <c r="D167" i="49"/>
  <c r="D168" i="49"/>
  <c r="D171" i="49"/>
  <c r="D173" i="49"/>
  <c r="E3" i="64"/>
  <c r="E2" i="64"/>
  <c r="E3" i="63"/>
  <c r="E2" i="63"/>
  <c r="I88" i="49"/>
  <c r="H88" i="49"/>
  <c r="G88" i="49"/>
  <c r="F88" i="49"/>
  <c r="E88" i="49"/>
  <c r="I87" i="49"/>
  <c r="H87" i="49"/>
  <c r="G87" i="49"/>
  <c r="F87" i="49"/>
  <c r="E87" i="49"/>
  <c r="I86" i="49"/>
  <c r="H86" i="49"/>
  <c r="G86" i="49"/>
  <c r="F86" i="49"/>
  <c r="E86" i="49"/>
  <c r="I85" i="49"/>
  <c r="H85" i="49"/>
  <c r="G85" i="49"/>
  <c r="F85" i="49"/>
  <c r="E85" i="49"/>
  <c r="I84" i="49"/>
  <c r="H84" i="49"/>
  <c r="G84" i="49"/>
  <c r="F84" i="49"/>
  <c r="E84" i="49"/>
  <c r="I83" i="49"/>
  <c r="H83" i="49"/>
  <c r="G83" i="49"/>
  <c r="F83" i="49"/>
  <c r="E83" i="49"/>
  <c r="I82" i="49"/>
  <c r="H82" i="49"/>
  <c r="G82" i="49"/>
  <c r="F82" i="49"/>
  <c r="E82" i="49"/>
  <c r="I81" i="49"/>
  <c r="H81" i="49"/>
  <c r="G81" i="49"/>
  <c r="F81" i="49"/>
  <c r="E81" i="49"/>
  <c r="I80" i="49"/>
  <c r="H80" i="49"/>
  <c r="G80" i="49"/>
  <c r="F80" i="49"/>
  <c r="E80" i="49"/>
  <c r="I79" i="49"/>
  <c r="H79" i="49"/>
  <c r="G79" i="49"/>
  <c r="F79" i="49"/>
  <c r="E79" i="49"/>
  <c r="I78" i="49"/>
  <c r="H78" i="49"/>
  <c r="G78" i="49"/>
  <c r="F78" i="49"/>
  <c r="E78" i="49"/>
  <c r="I77" i="49"/>
  <c r="H77" i="49"/>
  <c r="G77" i="49"/>
  <c r="F77" i="49"/>
  <c r="E77" i="49"/>
  <c r="I76" i="49"/>
  <c r="H76" i="49"/>
  <c r="G76" i="49"/>
  <c r="F76" i="49"/>
  <c r="E76" i="49"/>
  <c r="I75" i="49"/>
  <c r="H75" i="49"/>
  <c r="G75" i="49"/>
  <c r="F75" i="49"/>
  <c r="E75" i="49"/>
  <c r="I74" i="49"/>
  <c r="H74" i="49"/>
  <c r="G74" i="49"/>
  <c r="E74" i="49"/>
  <c r="I73" i="49"/>
  <c r="H73" i="49"/>
  <c r="G73" i="49"/>
  <c r="F73" i="49"/>
  <c r="E73" i="49"/>
  <c r="I72" i="49"/>
  <c r="H72" i="49"/>
  <c r="G72" i="49"/>
  <c r="F72" i="49"/>
  <c r="E72" i="49"/>
  <c r="I71" i="49"/>
  <c r="H71" i="49"/>
  <c r="G71" i="49"/>
  <c r="F71" i="49"/>
  <c r="E71" i="49"/>
  <c r="I70" i="49"/>
  <c r="H70" i="49"/>
  <c r="G70" i="49"/>
  <c r="F70" i="49"/>
  <c r="E70" i="49"/>
  <c r="D71" i="49"/>
  <c r="D72" i="49"/>
  <c r="D42" i="49" s="1"/>
  <c r="D73" i="49"/>
  <c r="D74" i="49"/>
  <c r="D75" i="49"/>
  <c r="D76" i="49"/>
  <c r="D77" i="49"/>
  <c r="D47" i="49" s="1"/>
  <c r="D78" i="49"/>
  <c r="D48" i="49" s="1"/>
  <c r="D79" i="49"/>
  <c r="D80" i="49"/>
  <c r="D81" i="49"/>
  <c r="D82" i="49"/>
  <c r="D83" i="49"/>
  <c r="D84" i="49"/>
  <c r="D85" i="49"/>
  <c r="D55" i="49" s="1"/>
  <c r="D86" i="49"/>
  <c r="D56" i="49" s="1"/>
  <c r="D87" i="49"/>
  <c r="D88" i="49"/>
  <c r="D89" i="49"/>
  <c r="D70" i="49"/>
  <c r="E3" i="59"/>
  <c r="E2" i="59"/>
  <c r="O73" i="49" l="1"/>
  <c r="Q73" i="49" s="1"/>
  <c r="K73" i="49" s="1"/>
  <c r="L73" i="49" s="1"/>
  <c r="M73" i="49" s="1"/>
  <c r="G162" i="49"/>
  <c r="S139" i="49" s="1"/>
  <c r="P139" i="49" s="1"/>
  <c r="O70" i="49"/>
  <c r="Q70" i="49" s="1"/>
  <c r="K70" i="49" s="1"/>
  <c r="S147" i="49"/>
  <c r="P147" i="49" s="1"/>
  <c r="S145" i="49"/>
  <c r="P145" i="49" s="1"/>
  <c r="S152" i="49"/>
  <c r="P152" i="49" s="1"/>
  <c r="S144" i="49"/>
  <c r="P144" i="49" s="1"/>
  <c r="S151" i="49"/>
  <c r="P151" i="49" s="1"/>
  <c r="S143" i="49"/>
  <c r="P143" i="49" s="1"/>
  <c r="S150" i="49"/>
  <c r="P150" i="49" s="1"/>
  <c r="S149" i="49"/>
  <c r="P149" i="49" s="1"/>
  <c r="S141" i="49"/>
  <c r="P141" i="49" s="1"/>
  <c r="S148" i="49"/>
  <c r="P148" i="49" s="1"/>
  <c r="S140" i="49"/>
  <c r="P140" i="49" s="1"/>
  <c r="S155" i="49"/>
  <c r="P155" i="49" s="1"/>
  <c r="S154" i="49"/>
  <c r="P154" i="49" s="1"/>
  <c r="S146" i="49"/>
  <c r="P146" i="49" s="1"/>
  <c r="S138" i="49"/>
  <c r="P138" i="49" s="1"/>
  <c r="S153" i="49"/>
  <c r="P153" i="49" s="1"/>
  <c r="P76" i="49"/>
  <c r="P84" i="49"/>
  <c r="D44" i="49"/>
  <c r="P78" i="49"/>
  <c r="P86" i="49"/>
  <c r="D40" i="49"/>
  <c r="D52" i="49"/>
  <c r="O78" i="49"/>
  <c r="Q78" i="49" s="1"/>
  <c r="O86" i="49"/>
  <c r="P74" i="49"/>
  <c r="P82" i="49"/>
  <c r="P72" i="49"/>
  <c r="P80" i="49"/>
  <c r="P88" i="49"/>
  <c r="O81" i="49"/>
  <c r="Q81" i="49" s="1"/>
  <c r="O89" i="49"/>
  <c r="Q89" i="49" s="1"/>
  <c r="K89" i="49" s="1"/>
  <c r="L89" i="49" s="1"/>
  <c r="M89" i="49" s="1"/>
  <c r="O85" i="49"/>
  <c r="Q85" i="49" s="1"/>
  <c r="D41" i="49"/>
  <c r="D54" i="49"/>
  <c r="D57" i="49"/>
  <c r="O77" i="49"/>
  <c r="O71" i="49"/>
  <c r="O79" i="49"/>
  <c r="O87" i="49"/>
  <c r="Q87" i="49" s="1"/>
  <c r="D49" i="49"/>
  <c r="D46" i="49"/>
  <c r="O76" i="49"/>
  <c r="Q76" i="49" s="1"/>
  <c r="O84" i="49"/>
  <c r="Q84" i="49" s="1"/>
  <c r="P85" i="49"/>
  <c r="D43" i="49"/>
  <c r="D53" i="49"/>
  <c r="D59" i="49"/>
  <c r="D51" i="49"/>
  <c r="O75" i="49"/>
  <c r="O83" i="49"/>
  <c r="Q83" i="49" s="1"/>
  <c r="O72" i="49"/>
  <c r="Q72" i="49" s="1"/>
  <c r="O80" i="49"/>
  <c r="Q80" i="49" s="1"/>
  <c r="O88" i="49"/>
  <c r="Q88" i="49" s="1"/>
  <c r="D45" i="49"/>
  <c r="O74" i="49"/>
  <c r="Q74" i="49" s="1"/>
  <c r="P75" i="49"/>
  <c r="O82" i="49"/>
  <c r="Q82" i="49" s="1"/>
  <c r="P83" i="49"/>
  <c r="D50" i="49"/>
  <c r="P89" i="49"/>
  <c r="P81" i="49"/>
  <c r="P73" i="49"/>
  <c r="D58" i="49"/>
  <c r="P87" i="49"/>
  <c r="P79" i="49"/>
  <c r="P71" i="49"/>
  <c r="P70" i="49"/>
  <c r="P77" i="49"/>
  <c r="E3" i="57"/>
  <c r="E2" i="57"/>
  <c r="H127" i="49"/>
  <c r="G127" i="49"/>
  <c r="F127" i="49"/>
  <c r="E127" i="49"/>
  <c r="Q86" i="49" l="1"/>
  <c r="K86" i="49" s="1"/>
  <c r="L86" i="49" s="1"/>
  <c r="M86" i="49" s="1"/>
  <c r="Q77" i="49"/>
  <c r="K77" i="49" s="1"/>
  <c r="L77" i="49" s="1"/>
  <c r="M77" i="49" s="1"/>
  <c r="S142" i="49"/>
  <c r="P142" i="49" s="1"/>
  <c r="S137" i="49"/>
  <c r="P137" i="49" s="1"/>
  <c r="K75" i="49"/>
  <c r="L75" i="49" s="1"/>
  <c r="M75" i="49" s="1"/>
  <c r="Q79" i="49"/>
  <c r="K79" i="49" s="1"/>
  <c r="L79" i="49" s="1"/>
  <c r="M79" i="49" s="1"/>
  <c r="K72" i="49"/>
  <c r="L72" i="49" s="1"/>
  <c r="M72" i="49" s="1"/>
  <c r="K84" i="49"/>
  <c r="L84" i="49" s="1"/>
  <c r="M84" i="49" s="1"/>
  <c r="K80" i="49"/>
  <c r="L80" i="49" s="1"/>
  <c r="M80" i="49" s="1"/>
  <c r="K83" i="49"/>
  <c r="L83" i="49" s="1"/>
  <c r="M83" i="49" s="1"/>
  <c r="K76" i="49"/>
  <c r="L76" i="49" s="1"/>
  <c r="M76" i="49" s="1"/>
  <c r="K88" i="49"/>
  <c r="L88" i="49" s="1"/>
  <c r="M88" i="49" s="1"/>
  <c r="K82" i="49"/>
  <c r="L82" i="49" s="1"/>
  <c r="M82" i="49" s="1"/>
  <c r="K85" i="49"/>
  <c r="L85" i="49" s="1"/>
  <c r="M85" i="49" s="1"/>
  <c r="K74" i="49"/>
  <c r="L74" i="49" s="1"/>
  <c r="M74" i="49" s="1"/>
  <c r="K87" i="49"/>
  <c r="L87" i="49" s="1"/>
  <c r="M87" i="49" s="1"/>
  <c r="K81" i="49"/>
  <c r="L81" i="49" s="1"/>
  <c r="M81" i="49" s="1"/>
  <c r="K78" i="49"/>
  <c r="L78" i="49" s="1"/>
  <c r="M78" i="49" s="1"/>
  <c r="L70" i="49"/>
  <c r="M70" i="49" s="1"/>
  <c r="K71" i="49"/>
  <c r="L71" i="49" s="1"/>
  <c r="M71" i="49" s="1"/>
  <c r="H105" i="49"/>
  <c r="H113" i="49"/>
  <c r="H98" i="49"/>
  <c r="H116" i="49"/>
  <c r="H102" i="49"/>
  <c r="H110" i="49"/>
  <c r="H99" i="49"/>
  <c r="H115" i="49"/>
  <c r="H104" i="49"/>
  <c r="H112" i="49"/>
  <c r="H101" i="49"/>
  <c r="H109" i="49"/>
  <c r="H117" i="49"/>
  <c r="H106" i="49"/>
  <c r="H114" i="49"/>
  <c r="H103" i="49"/>
  <c r="H111" i="49"/>
  <c r="H100" i="49"/>
  <c r="H108" i="49"/>
  <c r="E104" i="49"/>
  <c r="Q104" i="49" s="1"/>
  <c r="E112" i="49"/>
  <c r="Q112" i="49" s="1"/>
  <c r="E101" i="49"/>
  <c r="Q101" i="49" s="1"/>
  <c r="E109" i="49"/>
  <c r="Q109" i="49" s="1"/>
  <c r="E117" i="49"/>
  <c r="Q117" i="49" s="1"/>
  <c r="E106" i="49"/>
  <c r="Q106" i="49" s="1"/>
  <c r="E114" i="49"/>
  <c r="Q114" i="49" s="1"/>
  <c r="E98" i="49"/>
  <c r="Q98" i="49" s="1"/>
  <c r="E103" i="49"/>
  <c r="Q103" i="49" s="1"/>
  <c r="E111" i="49"/>
  <c r="Q111" i="49" s="1"/>
  <c r="E100" i="49"/>
  <c r="Q100" i="49" s="1"/>
  <c r="E108" i="49"/>
  <c r="Q108" i="49" s="1"/>
  <c r="E116" i="49"/>
  <c r="Q116" i="49" s="1"/>
  <c r="E105" i="49"/>
  <c r="Q105" i="49" s="1"/>
  <c r="E113" i="49"/>
  <c r="Q113" i="49" s="1"/>
  <c r="E102" i="49"/>
  <c r="Q102" i="49" s="1"/>
  <c r="E110" i="49"/>
  <c r="Q110" i="49" s="1"/>
  <c r="E99" i="49"/>
  <c r="Q99" i="49" s="1"/>
  <c r="E107" i="49"/>
  <c r="Q107" i="49" s="1"/>
  <c r="E115" i="49"/>
  <c r="Q115" i="49" s="1"/>
  <c r="F99" i="49"/>
  <c r="F107" i="49"/>
  <c r="F115" i="49"/>
  <c r="F110" i="49"/>
  <c r="F104" i="49"/>
  <c r="F112" i="49"/>
  <c r="F101" i="49"/>
  <c r="F109" i="49"/>
  <c r="F117" i="49"/>
  <c r="F106" i="49"/>
  <c r="F114" i="49"/>
  <c r="F103" i="49"/>
  <c r="F111" i="49"/>
  <c r="F100" i="49"/>
  <c r="F108" i="49"/>
  <c r="F116" i="49"/>
  <c r="F105" i="49"/>
  <c r="F113" i="49"/>
  <c r="F98" i="49"/>
  <c r="F102" i="49"/>
  <c r="G102" i="49"/>
  <c r="G110" i="49"/>
  <c r="G99" i="49"/>
  <c r="G107" i="49"/>
  <c r="G22" i="49" s="1"/>
  <c r="G115" i="49"/>
  <c r="G104" i="49"/>
  <c r="G112" i="49"/>
  <c r="G101" i="49"/>
  <c r="G109" i="49"/>
  <c r="G117" i="49"/>
  <c r="G106" i="49"/>
  <c r="G114" i="49"/>
  <c r="G98" i="49"/>
  <c r="G103" i="49"/>
  <c r="G111" i="49"/>
  <c r="G100" i="49"/>
  <c r="G108" i="49"/>
  <c r="G116" i="49"/>
  <c r="G105" i="49"/>
  <c r="G113" i="49"/>
  <c r="D27" i="49"/>
  <c r="D19" i="49"/>
  <c r="D28" i="49"/>
  <c r="D26" i="49"/>
  <c r="D18" i="49"/>
  <c r="D25" i="49"/>
  <c r="D17" i="49"/>
  <c r="D32" i="49"/>
  <c r="D24" i="49"/>
  <c r="D101" i="49"/>
  <c r="D98" i="49"/>
  <c r="D31" i="49"/>
  <c r="D23" i="49"/>
  <c r="D15" i="49"/>
  <c r="D20" i="49"/>
  <c r="D30" i="49"/>
  <c r="D22" i="49"/>
  <c r="D14" i="49"/>
  <c r="D29" i="49"/>
  <c r="D21" i="49"/>
  <c r="D150" i="49"/>
  <c r="D142" i="49"/>
  <c r="D151" i="49"/>
  <c r="D143" i="49"/>
  <c r="D149" i="49"/>
  <c r="D141" i="49"/>
  <c r="D148" i="49"/>
  <c r="D140" i="49"/>
  <c r="D155" i="49"/>
  <c r="D147" i="49"/>
  <c r="D139" i="49"/>
  <c r="D154" i="49"/>
  <c r="D146" i="49"/>
  <c r="D138" i="49"/>
  <c r="D153" i="49"/>
  <c r="D145" i="49"/>
  <c r="D137" i="49"/>
  <c r="D152" i="49"/>
  <c r="D144" i="49"/>
  <c r="D116" i="49"/>
  <c r="D108" i="49"/>
  <c r="D100" i="49"/>
  <c r="D114" i="49"/>
  <c r="D106" i="49"/>
  <c r="D113" i="49"/>
  <c r="D105" i="49"/>
  <c r="D112" i="49"/>
  <c r="D104" i="49"/>
  <c r="D99" i="49"/>
  <c r="D111" i="49"/>
  <c r="D103" i="49"/>
  <c r="D107" i="49"/>
  <c r="D110" i="49"/>
  <c r="D102" i="49"/>
  <c r="D115" i="49"/>
  <c r="D117" i="49"/>
  <c r="D109" i="49"/>
  <c r="D16" i="49"/>
  <c r="D136" i="49"/>
  <c r="D13" i="49"/>
  <c r="F90" i="49"/>
  <c r="G90" i="49"/>
  <c r="H90" i="49"/>
  <c r="I90" i="49"/>
  <c r="E90" i="49"/>
  <c r="E3" i="55"/>
  <c r="E2" i="55"/>
  <c r="E3" i="54"/>
  <c r="E2" i="54"/>
  <c r="I116" i="49" l="1"/>
  <c r="I98" i="49"/>
  <c r="O98" i="49"/>
  <c r="I127" i="49"/>
  <c r="I100" i="49"/>
  <c r="I108" i="49"/>
  <c r="I105" i="49"/>
  <c r="I113" i="49"/>
  <c r="J113" i="49" s="1"/>
  <c r="I102" i="49"/>
  <c r="I110" i="49"/>
  <c r="I99" i="49"/>
  <c r="I107" i="49"/>
  <c r="I115" i="49"/>
  <c r="I104" i="49"/>
  <c r="I112" i="49"/>
  <c r="I111" i="49"/>
  <c r="I101" i="49"/>
  <c r="I109" i="49"/>
  <c r="I117" i="49"/>
  <c r="I106" i="49"/>
  <c r="I114" i="49"/>
  <c r="I103" i="49"/>
  <c r="G15" i="49"/>
  <c r="G138" i="49"/>
  <c r="G42" i="49" s="1"/>
  <c r="G139" i="49"/>
  <c r="G43" i="49" s="1"/>
  <c r="G16" i="49"/>
  <c r="F143" i="49"/>
  <c r="F47" i="49" s="1"/>
  <c r="F20" i="49"/>
  <c r="F32" i="49"/>
  <c r="F155" i="49"/>
  <c r="F59" i="49" s="1"/>
  <c r="F14" i="49"/>
  <c r="F137" i="49"/>
  <c r="F41" i="49" s="1"/>
  <c r="O113" i="49"/>
  <c r="E151" i="49"/>
  <c r="E55" i="49" s="1"/>
  <c r="E28" i="49"/>
  <c r="O114" i="49"/>
  <c r="E152" i="49"/>
  <c r="E56" i="49" s="1"/>
  <c r="E29" i="49"/>
  <c r="H21" i="49"/>
  <c r="H144" i="49"/>
  <c r="H48" i="49" s="1"/>
  <c r="H14" i="49"/>
  <c r="H137" i="49"/>
  <c r="H41" i="49" s="1"/>
  <c r="G149" i="49"/>
  <c r="G53" i="49" s="1"/>
  <c r="G26" i="49"/>
  <c r="G150" i="49"/>
  <c r="G54" i="49" s="1"/>
  <c r="G27" i="49"/>
  <c r="F31" i="49"/>
  <c r="F154" i="49"/>
  <c r="F58" i="49" s="1"/>
  <c r="F147" i="49"/>
  <c r="F51" i="49" s="1"/>
  <c r="F24" i="49"/>
  <c r="O105" i="49"/>
  <c r="E20" i="49"/>
  <c r="E143" i="49"/>
  <c r="E47" i="49" s="1"/>
  <c r="O106" i="49"/>
  <c r="E144" i="49"/>
  <c r="E48" i="49" s="1"/>
  <c r="E21" i="49"/>
  <c r="H32" i="49"/>
  <c r="H155" i="49"/>
  <c r="H59" i="49" s="1"/>
  <c r="H148" i="49"/>
  <c r="H52" i="49" s="1"/>
  <c r="H25" i="49"/>
  <c r="G141" i="49"/>
  <c r="G45" i="49" s="1"/>
  <c r="G18" i="49"/>
  <c r="G142" i="49"/>
  <c r="G46" i="49" s="1"/>
  <c r="G19" i="49"/>
  <c r="F23" i="49"/>
  <c r="F146" i="49"/>
  <c r="F50" i="49" s="1"/>
  <c r="F139" i="49"/>
  <c r="F43" i="49" s="1"/>
  <c r="F16" i="49"/>
  <c r="E154" i="49"/>
  <c r="E58" i="49" s="1"/>
  <c r="O116" i="49"/>
  <c r="E31" i="49"/>
  <c r="O117" i="49"/>
  <c r="E155" i="49"/>
  <c r="E59" i="49" s="1"/>
  <c r="E32" i="49"/>
  <c r="H24" i="49"/>
  <c r="H147" i="49"/>
  <c r="H51" i="49" s="1"/>
  <c r="H140" i="49"/>
  <c r="H44" i="49" s="1"/>
  <c r="H17" i="49"/>
  <c r="G13" i="49"/>
  <c r="G136" i="49"/>
  <c r="G40" i="49" s="1"/>
  <c r="G30" i="49"/>
  <c r="G153" i="49"/>
  <c r="G57" i="49" s="1"/>
  <c r="F15" i="49"/>
  <c r="F138" i="49"/>
  <c r="F42" i="49" s="1"/>
  <c r="F150" i="49"/>
  <c r="F54" i="49" s="1"/>
  <c r="F27" i="49"/>
  <c r="O115" i="49"/>
  <c r="E30" i="49"/>
  <c r="E153" i="49"/>
  <c r="E57" i="49" s="1"/>
  <c r="E146" i="49"/>
  <c r="E50" i="49" s="1"/>
  <c r="O108" i="49"/>
  <c r="E23" i="49"/>
  <c r="O109" i="49"/>
  <c r="E147" i="49"/>
  <c r="E51" i="49" s="1"/>
  <c r="E24" i="49"/>
  <c r="H23" i="49"/>
  <c r="H146" i="49"/>
  <c r="H50" i="49" s="1"/>
  <c r="H139" i="49"/>
  <c r="H43" i="49" s="1"/>
  <c r="H16" i="49"/>
  <c r="H31" i="49"/>
  <c r="H154" i="49"/>
  <c r="H58" i="49" s="1"/>
  <c r="G28" i="49"/>
  <c r="G151" i="49"/>
  <c r="G55" i="49" s="1"/>
  <c r="G29" i="49"/>
  <c r="G152" i="49"/>
  <c r="G56" i="49" s="1"/>
  <c r="G145" i="49"/>
  <c r="G49" i="49" s="1"/>
  <c r="F149" i="49"/>
  <c r="F53" i="49" s="1"/>
  <c r="F26" i="49"/>
  <c r="F142" i="49"/>
  <c r="F46" i="49" s="1"/>
  <c r="F19" i="49"/>
  <c r="O107" i="49"/>
  <c r="E22" i="49"/>
  <c r="E145" i="49"/>
  <c r="E49" i="49" s="1"/>
  <c r="E138" i="49"/>
  <c r="E42" i="49" s="1"/>
  <c r="O100" i="49"/>
  <c r="E15" i="49"/>
  <c r="O101" i="49"/>
  <c r="E16" i="49"/>
  <c r="E139" i="49"/>
  <c r="E43" i="49" s="1"/>
  <c r="H15" i="49"/>
  <c r="H138" i="49"/>
  <c r="H42" i="49" s="1"/>
  <c r="H150" i="49"/>
  <c r="H54" i="49" s="1"/>
  <c r="H27" i="49"/>
  <c r="H13" i="49"/>
  <c r="H136" i="49"/>
  <c r="H40" i="49" s="1"/>
  <c r="P90" i="49"/>
  <c r="G143" i="49"/>
  <c r="G47" i="49" s="1"/>
  <c r="G20" i="49"/>
  <c r="G144" i="49"/>
  <c r="G48" i="49" s="1"/>
  <c r="G21" i="49"/>
  <c r="G137" i="49"/>
  <c r="G41" i="49" s="1"/>
  <c r="G14" i="49"/>
  <c r="F140" i="49"/>
  <c r="F44" i="49" s="1"/>
  <c r="F17" i="49"/>
  <c r="F141" i="49"/>
  <c r="F45" i="49" s="1"/>
  <c r="F18" i="49"/>
  <c r="F25" i="49"/>
  <c r="F148" i="49"/>
  <c r="F52" i="49" s="1"/>
  <c r="O99" i="49"/>
  <c r="E137" i="49"/>
  <c r="E41" i="49" s="1"/>
  <c r="E14" i="49"/>
  <c r="O111" i="49"/>
  <c r="E149" i="49"/>
  <c r="E53" i="49" s="1"/>
  <c r="E26" i="49"/>
  <c r="O112" i="49"/>
  <c r="E150" i="49"/>
  <c r="E54" i="49" s="1"/>
  <c r="E27" i="49"/>
  <c r="H149" i="49"/>
  <c r="H53" i="49" s="1"/>
  <c r="H26" i="49"/>
  <c r="H142" i="49"/>
  <c r="H46" i="49" s="1"/>
  <c r="H19" i="49"/>
  <c r="H151" i="49"/>
  <c r="H55" i="49" s="1"/>
  <c r="H28" i="49"/>
  <c r="G31" i="49"/>
  <c r="G154" i="49"/>
  <c r="G58" i="49" s="1"/>
  <c r="G155" i="49"/>
  <c r="G59" i="49" s="1"/>
  <c r="G32" i="49"/>
  <c r="G148" i="49"/>
  <c r="G52" i="49" s="1"/>
  <c r="G25" i="49"/>
  <c r="F13" i="49"/>
  <c r="F136" i="49"/>
  <c r="F40" i="49" s="1"/>
  <c r="F29" i="49"/>
  <c r="F152" i="49"/>
  <c r="F56" i="49" s="1"/>
  <c r="F153" i="49"/>
  <c r="F57" i="49" s="1"/>
  <c r="F30" i="49"/>
  <c r="E148" i="49"/>
  <c r="E52" i="49" s="1"/>
  <c r="O110" i="49"/>
  <c r="E25" i="49"/>
  <c r="O103" i="49"/>
  <c r="E18" i="49"/>
  <c r="E141" i="49"/>
  <c r="E45" i="49" s="1"/>
  <c r="O104" i="49"/>
  <c r="E142" i="49"/>
  <c r="E46" i="49" s="1"/>
  <c r="E19" i="49"/>
  <c r="H18" i="49"/>
  <c r="H141" i="49"/>
  <c r="H45" i="49" s="1"/>
  <c r="H153" i="49"/>
  <c r="H57" i="49" s="1"/>
  <c r="H30" i="49"/>
  <c r="H20" i="49"/>
  <c r="H143" i="49"/>
  <c r="H47" i="49" s="1"/>
  <c r="O90" i="49"/>
  <c r="G23" i="49"/>
  <c r="G146" i="49"/>
  <c r="G50" i="49" s="1"/>
  <c r="G147" i="49"/>
  <c r="G51" i="49" s="1"/>
  <c r="G24" i="49"/>
  <c r="G17" i="49"/>
  <c r="G140" i="49"/>
  <c r="G44" i="49" s="1"/>
  <c r="F151" i="49"/>
  <c r="F55" i="49" s="1"/>
  <c r="F28" i="49"/>
  <c r="F21" i="49"/>
  <c r="F144" i="49"/>
  <c r="F48" i="49" s="1"/>
  <c r="F145" i="49"/>
  <c r="F49" i="49" s="1"/>
  <c r="F22" i="49"/>
  <c r="E140" i="49"/>
  <c r="E44" i="49" s="1"/>
  <c r="O102" i="49"/>
  <c r="E17" i="49"/>
  <c r="E136" i="49"/>
  <c r="E40" i="49" s="1"/>
  <c r="E13" i="49"/>
  <c r="H29" i="49"/>
  <c r="H152" i="49"/>
  <c r="H56" i="49" s="1"/>
  <c r="H22" i="49"/>
  <c r="H145" i="49"/>
  <c r="H49" i="49" s="1"/>
  <c r="E3" i="49"/>
  <c r="J111" i="49" l="1"/>
  <c r="J112" i="49"/>
  <c r="J105" i="49"/>
  <c r="J143" i="49" s="1"/>
  <c r="J103" i="49"/>
  <c r="J108" i="49"/>
  <c r="J146" i="49" s="1"/>
  <c r="J114" i="49"/>
  <c r="J152" i="49" s="1"/>
  <c r="J115" i="49"/>
  <c r="J153" i="49" s="1"/>
  <c r="J117" i="49"/>
  <c r="J155" i="49" s="1"/>
  <c r="J109" i="49"/>
  <c r="J110" i="49"/>
  <c r="J148" i="49" s="1"/>
  <c r="J116" i="49"/>
  <c r="J107" i="49"/>
  <c r="J145" i="49" s="1"/>
  <c r="J102" i="49"/>
  <c r="J140" i="49" s="1"/>
  <c r="J104" i="49"/>
  <c r="J142" i="49" s="1"/>
  <c r="J106" i="49"/>
  <c r="J144" i="49" s="1"/>
  <c r="J99" i="49"/>
  <c r="J137" i="49" s="1"/>
  <c r="J100" i="49"/>
  <c r="I136" i="49"/>
  <c r="I40" i="49" s="1"/>
  <c r="J154" i="49"/>
  <c r="P116" i="49"/>
  <c r="P111" i="49"/>
  <c r="J149" i="49"/>
  <c r="P113" i="49"/>
  <c r="J151" i="49"/>
  <c r="P112" i="49"/>
  <c r="J150" i="49"/>
  <c r="P103" i="49"/>
  <c r="J141" i="49"/>
  <c r="P109" i="49"/>
  <c r="J147" i="49"/>
  <c r="I153" i="49"/>
  <c r="P107" i="49"/>
  <c r="P117" i="49"/>
  <c r="O13" i="49"/>
  <c r="P106" i="49"/>
  <c r="P104" i="49"/>
  <c r="P101" i="49"/>
  <c r="P99" i="49"/>
  <c r="P105" i="49"/>
  <c r="P102" i="49"/>
  <c r="P110" i="49"/>
  <c r="P108" i="49"/>
  <c r="P100" i="49"/>
  <c r="I15" i="49"/>
  <c r="G33" i="49"/>
  <c r="P98" i="49"/>
  <c r="I13" i="49"/>
  <c r="O40" i="49"/>
  <c r="P115" i="49"/>
  <c r="P114" i="49"/>
  <c r="H33" i="49"/>
  <c r="E33" i="49"/>
  <c r="E122" i="49" s="1"/>
  <c r="F33" i="49"/>
  <c r="F60" i="49"/>
  <c r="H60" i="49"/>
  <c r="E60" i="49"/>
  <c r="G60" i="49"/>
  <c r="I147" i="49"/>
  <c r="I24" i="49"/>
  <c r="I26" i="49"/>
  <c r="I149" i="49"/>
  <c r="I25" i="49"/>
  <c r="I148" i="49"/>
  <c r="I142" i="49"/>
  <c r="I19" i="49"/>
  <c r="I150" i="49"/>
  <c r="I27" i="49"/>
  <c r="I146" i="49"/>
  <c r="I23" i="49"/>
  <c r="I16" i="49"/>
  <c r="I139" i="49"/>
  <c r="I20" i="49"/>
  <c r="I143" i="49"/>
  <c r="I31" i="49"/>
  <c r="I154" i="49"/>
  <c r="I14" i="49"/>
  <c r="I137" i="49"/>
  <c r="I29" i="49"/>
  <c r="I152" i="49"/>
  <c r="I140" i="49"/>
  <c r="I17" i="49"/>
  <c r="I18" i="49"/>
  <c r="I141" i="49"/>
  <c r="I30" i="49"/>
  <c r="I28" i="49"/>
  <c r="I151" i="49"/>
  <c r="I21" i="49"/>
  <c r="I144" i="49"/>
  <c r="I22" i="49"/>
  <c r="I145" i="49"/>
  <c r="I32" i="49"/>
  <c r="I155" i="49"/>
  <c r="I138" i="49"/>
  <c r="C3" i="14"/>
  <c r="J101" i="49" l="1"/>
  <c r="J139" i="49" s="1"/>
  <c r="K112" i="49"/>
  <c r="K150" i="49" s="1"/>
  <c r="K114" i="49"/>
  <c r="K152" i="49" s="1"/>
  <c r="K111" i="49"/>
  <c r="K26" i="49" s="1"/>
  <c r="E47" i="66" s="1"/>
  <c r="J14" i="49"/>
  <c r="O29" i="49"/>
  <c r="O16" i="49"/>
  <c r="O27" i="49"/>
  <c r="O24" i="49"/>
  <c r="O23" i="49"/>
  <c r="L112" i="49"/>
  <c r="L27" i="49" s="1"/>
  <c r="F48" i="66" s="1"/>
  <c r="O22" i="49"/>
  <c r="O28" i="49"/>
  <c r="O17" i="49"/>
  <c r="K115" i="49"/>
  <c r="L115" i="49" s="1"/>
  <c r="M115" i="49" s="1"/>
  <c r="M30" i="49" s="1"/>
  <c r="O32" i="49"/>
  <c r="K105" i="49"/>
  <c r="K20" i="49" s="1"/>
  <c r="E41" i="66" s="1"/>
  <c r="O20" i="49"/>
  <c r="F34" i="49"/>
  <c r="G34" i="49"/>
  <c r="H34" i="49"/>
  <c r="G61" i="49"/>
  <c r="E61" i="49"/>
  <c r="F61" i="49"/>
  <c r="H61" i="49"/>
  <c r="O33" i="49"/>
  <c r="K100" i="49"/>
  <c r="K15" i="49" s="1"/>
  <c r="E36" i="66" s="1"/>
  <c r="J138" i="49"/>
  <c r="I33" i="49"/>
  <c r="J20" i="49"/>
  <c r="I51" i="49"/>
  <c r="I53" i="49"/>
  <c r="I44" i="49"/>
  <c r="I47" i="49"/>
  <c r="I54" i="49"/>
  <c r="I42" i="49"/>
  <c r="I56" i="49"/>
  <c r="I43" i="49"/>
  <c r="I46" i="49"/>
  <c r="I45" i="49"/>
  <c r="I41" i="49"/>
  <c r="I48" i="49"/>
  <c r="I52" i="49"/>
  <c r="I57" i="49"/>
  <c r="I59" i="49"/>
  <c r="I49" i="49"/>
  <c r="I55" i="49"/>
  <c r="I58" i="49"/>
  <c r="I50" i="49"/>
  <c r="O15" i="49"/>
  <c r="O30" i="49"/>
  <c r="O19" i="49"/>
  <c r="O18" i="49"/>
  <c r="O14" i="49"/>
  <c r="O21" i="49"/>
  <c r="O25" i="49"/>
  <c r="E34" i="49"/>
  <c r="O31" i="49"/>
  <c r="O26" i="49"/>
  <c r="K99" i="49"/>
  <c r="K101" i="49"/>
  <c r="J15" i="49"/>
  <c r="J27" i="49"/>
  <c r="J30" i="49"/>
  <c r="J29" i="49"/>
  <c r="J26" i="49"/>
  <c r="K110" i="49"/>
  <c r="K148" i="49" s="1"/>
  <c r="J25" i="49"/>
  <c r="K108" i="49"/>
  <c r="K146" i="49" s="1"/>
  <c r="J23" i="49"/>
  <c r="K117" i="49"/>
  <c r="K155" i="49" s="1"/>
  <c r="J32" i="49"/>
  <c r="K103" i="49"/>
  <c r="K141" i="49" s="1"/>
  <c r="J18" i="49"/>
  <c r="J21" i="49"/>
  <c r="K106" i="49"/>
  <c r="K144" i="49" s="1"/>
  <c r="K109" i="49"/>
  <c r="K147" i="49" s="1"/>
  <c r="J24" i="49"/>
  <c r="J28" i="49"/>
  <c r="K113" i="49"/>
  <c r="K151" i="49" s="1"/>
  <c r="K116" i="49"/>
  <c r="K154" i="49" s="1"/>
  <c r="J31" i="49"/>
  <c r="K102" i="49"/>
  <c r="K140" i="49" s="1"/>
  <c r="J17" i="49"/>
  <c r="K107" i="49"/>
  <c r="K145" i="49" s="1"/>
  <c r="J22" i="49"/>
  <c r="K104" i="49"/>
  <c r="K142" i="49" s="1"/>
  <c r="J19" i="49"/>
  <c r="G51" i="66" l="1"/>
  <c r="T30" i="49"/>
  <c r="Y41" i="66"/>
  <c r="AH41" i="66"/>
  <c r="AB41" i="66"/>
  <c r="AK41" i="66"/>
  <c r="AE41" i="66"/>
  <c r="AA51" i="66"/>
  <c r="AJ51" i="66"/>
  <c r="AD51" i="66"/>
  <c r="AM51" i="66"/>
  <c r="AG51" i="66"/>
  <c r="AE47" i="66"/>
  <c r="Y47" i="66"/>
  <c r="AH47" i="66"/>
  <c r="AB47" i="66"/>
  <c r="AK47" i="66"/>
  <c r="AB36" i="66"/>
  <c r="AK36" i="66"/>
  <c r="AE36" i="66"/>
  <c r="Y36" i="66"/>
  <c r="AH36" i="66"/>
  <c r="AF48" i="66"/>
  <c r="Z48" i="66"/>
  <c r="AI48" i="66"/>
  <c r="AC48" i="66"/>
  <c r="AL48" i="66"/>
  <c r="J16" i="49"/>
  <c r="K27" i="49"/>
  <c r="E48" i="66" s="1"/>
  <c r="K149" i="49"/>
  <c r="L111" i="49"/>
  <c r="L26" i="49" s="1"/>
  <c r="F47" i="66" s="1"/>
  <c r="L114" i="49"/>
  <c r="L29" i="49" s="1"/>
  <c r="F50" i="66" s="1"/>
  <c r="K29" i="49"/>
  <c r="E50" i="66" s="1"/>
  <c r="K143" i="49"/>
  <c r="L105" i="49"/>
  <c r="O51" i="49"/>
  <c r="M112" i="49"/>
  <c r="M27" i="49" s="1"/>
  <c r="P30" i="49"/>
  <c r="O57" i="49"/>
  <c r="O41" i="49"/>
  <c r="O54" i="49"/>
  <c r="O53" i="49"/>
  <c r="K30" i="49"/>
  <c r="E51" i="66" s="1"/>
  <c r="K153" i="49"/>
  <c r="L101" i="49"/>
  <c r="L16" i="49" s="1"/>
  <c r="F37" i="66" s="1"/>
  <c r="K139" i="49"/>
  <c r="L99" i="49"/>
  <c r="L14" i="49" s="1"/>
  <c r="F35" i="66" s="1"/>
  <c r="K137" i="49"/>
  <c r="O55" i="49"/>
  <c r="O46" i="49"/>
  <c r="O49" i="49"/>
  <c r="O43" i="49"/>
  <c r="O52" i="49"/>
  <c r="O48" i="49"/>
  <c r="O47" i="49"/>
  <c r="O34" i="49"/>
  <c r="L100" i="49"/>
  <c r="K138" i="49"/>
  <c r="I34" i="49"/>
  <c r="O59" i="49"/>
  <c r="J50" i="49"/>
  <c r="J59" i="49"/>
  <c r="J41" i="49"/>
  <c r="J56" i="49"/>
  <c r="J44" i="49"/>
  <c r="O56" i="49"/>
  <c r="J58" i="49"/>
  <c r="J57" i="49"/>
  <c r="J45" i="49"/>
  <c r="J42" i="49"/>
  <c r="I60" i="49"/>
  <c r="J55" i="49"/>
  <c r="J52" i="49"/>
  <c r="J46" i="49"/>
  <c r="J54" i="49"/>
  <c r="J53" i="49"/>
  <c r="O50" i="49"/>
  <c r="O44" i="49"/>
  <c r="O45" i="49"/>
  <c r="O42" i="49"/>
  <c r="J49" i="49"/>
  <c r="J48" i="49"/>
  <c r="J43" i="49"/>
  <c r="J47" i="49"/>
  <c r="J51" i="49"/>
  <c r="O58" i="49"/>
  <c r="K14" i="49"/>
  <c r="E35" i="66" s="1"/>
  <c r="L30" i="49"/>
  <c r="F51" i="66" s="1"/>
  <c r="K16" i="49"/>
  <c r="E37" i="66" s="1"/>
  <c r="L102" i="49"/>
  <c r="K17" i="49"/>
  <c r="E38" i="66" s="1"/>
  <c r="K21" i="49"/>
  <c r="E42" i="66" s="1"/>
  <c r="L106" i="49"/>
  <c r="L110" i="49"/>
  <c r="K25" i="49"/>
  <c r="E46" i="66" s="1"/>
  <c r="K31" i="49"/>
  <c r="E52" i="66" s="1"/>
  <c r="L116" i="49"/>
  <c r="K18" i="49"/>
  <c r="E39" i="66" s="1"/>
  <c r="L103" i="49"/>
  <c r="L107" i="49"/>
  <c r="K22" i="49"/>
  <c r="E43" i="66" s="1"/>
  <c r="L104" i="49"/>
  <c r="K19" i="49"/>
  <c r="E40" i="66" s="1"/>
  <c r="L113" i="49"/>
  <c r="K28" i="49"/>
  <c r="E49" i="66" s="1"/>
  <c r="L117" i="49"/>
  <c r="K32" i="49"/>
  <c r="E53" i="66" s="1"/>
  <c r="K24" i="49"/>
  <c r="E45" i="66" s="1"/>
  <c r="L109" i="49"/>
  <c r="L108" i="49"/>
  <c r="K23" i="49"/>
  <c r="E44" i="66" s="1"/>
  <c r="T27" i="49" l="1"/>
  <c r="AH42" i="66"/>
  <c r="AB42" i="66"/>
  <c r="AK42" i="66"/>
  <c r="AE42" i="66"/>
  <c r="Y42" i="66"/>
  <c r="AE38" i="66"/>
  <c r="Y38" i="66"/>
  <c r="AH38" i="66"/>
  <c r="AB38" i="66"/>
  <c r="AK38" i="66"/>
  <c r="AE39" i="66"/>
  <c r="Y39" i="66"/>
  <c r="AH39" i="66"/>
  <c r="AB39" i="66"/>
  <c r="AK39" i="66"/>
  <c r="AK37" i="66"/>
  <c r="AE37" i="66"/>
  <c r="Y37" i="66"/>
  <c r="AB37" i="66"/>
  <c r="AH37" i="66"/>
  <c r="AB52" i="66"/>
  <c r="AK52" i="66"/>
  <c r="AE52" i="66"/>
  <c r="Y52" i="66"/>
  <c r="AH52" i="66"/>
  <c r="AI51" i="66"/>
  <c r="AL51" i="66"/>
  <c r="AF51" i="66"/>
  <c r="Z51" i="66"/>
  <c r="AC51" i="66"/>
  <c r="Z50" i="66"/>
  <c r="AI50" i="66"/>
  <c r="AL50" i="66"/>
  <c r="AF50" i="66"/>
  <c r="AC50" i="66"/>
  <c r="AB51" i="66"/>
  <c r="AK51" i="66"/>
  <c r="AE51" i="66"/>
  <c r="Y51" i="66"/>
  <c r="AH51" i="66"/>
  <c r="Y49" i="66"/>
  <c r="AH49" i="66"/>
  <c r="AB49" i="66"/>
  <c r="AK49" i="66"/>
  <c r="AE49" i="66"/>
  <c r="AB44" i="66"/>
  <c r="AK44" i="66"/>
  <c r="AE44" i="66"/>
  <c r="Y44" i="66"/>
  <c r="AH44" i="66"/>
  <c r="AE46" i="66"/>
  <c r="Y46" i="66"/>
  <c r="AH46" i="66"/>
  <c r="AB46" i="66"/>
  <c r="AK46" i="66"/>
  <c r="AB35" i="66"/>
  <c r="AK35" i="66"/>
  <c r="AE35" i="66"/>
  <c r="Y35" i="66"/>
  <c r="AH35" i="66"/>
  <c r="AI35" i="66"/>
  <c r="Z35" i="66"/>
  <c r="AL35" i="66"/>
  <c r="AF35" i="66"/>
  <c r="AC35" i="66"/>
  <c r="AF47" i="66"/>
  <c r="Z47" i="66"/>
  <c r="AI47" i="66"/>
  <c r="AL47" i="66"/>
  <c r="AC47" i="66"/>
  <c r="AK45" i="66"/>
  <c r="AE45" i="66"/>
  <c r="AB45" i="66"/>
  <c r="Y45" i="66"/>
  <c r="AH45" i="66"/>
  <c r="AK53" i="66"/>
  <c r="AE53" i="66"/>
  <c r="Y53" i="66"/>
  <c r="AH53" i="66"/>
  <c r="AB53" i="66"/>
  <c r="AH50" i="66"/>
  <c r="AB50" i="66"/>
  <c r="AK50" i="66"/>
  <c r="AE50" i="66"/>
  <c r="Y50" i="66"/>
  <c r="Y40" i="66"/>
  <c r="AH40" i="66"/>
  <c r="AB40" i="66"/>
  <c r="AK40" i="66"/>
  <c r="AE40" i="66"/>
  <c r="AB43" i="66"/>
  <c r="AK43" i="66"/>
  <c r="AE43" i="66"/>
  <c r="Y43" i="66"/>
  <c r="AH43" i="66"/>
  <c r="AL37" i="66"/>
  <c r="AF37" i="66"/>
  <c r="Z37" i="66"/>
  <c r="AI37" i="66"/>
  <c r="AC37" i="66"/>
  <c r="Y48" i="66"/>
  <c r="AH48" i="66"/>
  <c r="AB48" i="66"/>
  <c r="AK48" i="66"/>
  <c r="AE48" i="66"/>
  <c r="P27" i="49"/>
  <c r="G48" i="66"/>
  <c r="M114" i="49"/>
  <c r="M29" i="49" s="1"/>
  <c r="M111" i="49"/>
  <c r="M26" i="49" s="1"/>
  <c r="M99" i="49"/>
  <c r="M14" i="49" s="1"/>
  <c r="L20" i="49"/>
  <c r="F41" i="66" s="1"/>
  <c r="M105" i="49"/>
  <c r="M20" i="49" s="1"/>
  <c r="M101" i="49"/>
  <c r="M16" i="49" s="1"/>
  <c r="O60" i="49"/>
  <c r="M100" i="49"/>
  <c r="M15" i="49" s="1"/>
  <c r="L15" i="49"/>
  <c r="F36" i="66" s="1"/>
  <c r="L144" i="49"/>
  <c r="K48" i="49"/>
  <c r="E69" i="66" s="1"/>
  <c r="L152" i="49"/>
  <c r="K56" i="49"/>
  <c r="E77" i="66" s="1"/>
  <c r="L150" i="49"/>
  <c r="K54" i="49"/>
  <c r="E75" i="66" s="1"/>
  <c r="L147" i="49"/>
  <c r="K51" i="49"/>
  <c r="E72" i="66" s="1"/>
  <c r="L145" i="49"/>
  <c r="K49" i="49"/>
  <c r="E70" i="66" s="1"/>
  <c r="L137" i="49"/>
  <c r="M137" i="49" s="1"/>
  <c r="K41" i="49"/>
  <c r="E62" i="66" s="1"/>
  <c r="L153" i="49"/>
  <c r="K57" i="49"/>
  <c r="E78" i="66" s="1"/>
  <c r="L142" i="49"/>
  <c r="K46" i="49"/>
  <c r="E67" i="66" s="1"/>
  <c r="L154" i="49"/>
  <c r="K58" i="49"/>
  <c r="E79" i="66" s="1"/>
  <c r="L143" i="49"/>
  <c r="K47" i="49"/>
  <c r="E68" i="66" s="1"/>
  <c r="L155" i="49"/>
  <c r="K59" i="49"/>
  <c r="E80" i="66" s="1"/>
  <c r="L148" i="49"/>
  <c r="K52" i="49"/>
  <c r="E73" i="66" s="1"/>
  <c r="L138" i="49"/>
  <c r="K42" i="49"/>
  <c r="E63" i="66" s="1"/>
  <c r="I61" i="49"/>
  <c r="L139" i="49"/>
  <c r="K43" i="49"/>
  <c r="E64" i="66" s="1"/>
  <c r="L140" i="49"/>
  <c r="K44" i="49"/>
  <c r="E65" i="66" s="1"/>
  <c r="L146" i="49"/>
  <c r="K50" i="49"/>
  <c r="E71" i="66" s="1"/>
  <c r="L149" i="49"/>
  <c r="K53" i="49"/>
  <c r="E74" i="66" s="1"/>
  <c r="L151" i="49"/>
  <c r="K55" i="49"/>
  <c r="E76" i="66" s="1"/>
  <c r="L141" i="49"/>
  <c r="K45" i="49"/>
  <c r="E66" i="66" s="1"/>
  <c r="M108" i="49"/>
  <c r="M23" i="49" s="1"/>
  <c r="L23" i="49"/>
  <c r="F44" i="66" s="1"/>
  <c r="L25" i="49"/>
  <c r="F46" i="66" s="1"/>
  <c r="M110" i="49"/>
  <c r="M25" i="49" s="1"/>
  <c r="M109" i="49"/>
  <c r="M24" i="49" s="1"/>
  <c r="L24" i="49"/>
  <c r="F45" i="66" s="1"/>
  <c r="L18" i="49"/>
  <c r="F39" i="66" s="1"/>
  <c r="M103" i="49"/>
  <c r="M18" i="49" s="1"/>
  <c r="M117" i="49"/>
  <c r="M32" i="49" s="1"/>
  <c r="L32" i="49"/>
  <c r="F53" i="66" s="1"/>
  <c r="M116" i="49"/>
  <c r="M31" i="49" s="1"/>
  <c r="L31" i="49"/>
  <c r="F52" i="66" s="1"/>
  <c r="L19" i="49"/>
  <c r="F40" i="66" s="1"/>
  <c r="M104" i="49"/>
  <c r="M19" i="49" s="1"/>
  <c r="M106" i="49"/>
  <c r="M21" i="49" s="1"/>
  <c r="L21" i="49"/>
  <c r="F42" i="66" s="1"/>
  <c r="M107" i="49"/>
  <c r="M22" i="49" s="1"/>
  <c r="L22" i="49"/>
  <c r="F43" i="66" s="1"/>
  <c r="M102" i="49"/>
  <c r="M17" i="49" s="1"/>
  <c r="L17" i="49"/>
  <c r="F38" i="66" s="1"/>
  <c r="M113" i="49"/>
  <c r="M28" i="49" s="1"/>
  <c r="L28" i="49"/>
  <c r="F49" i="66" s="1"/>
  <c r="T26" i="49" l="1"/>
  <c r="AE63" i="66"/>
  <c r="AK63" i="66"/>
  <c r="Y63" i="66"/>
  <c r="AH63" i="66"/>
  <c r="AB63" i="66"/>
  <c r="AE71" i="66"/>
  <c r="AK71" i="66"/>
  <c r="Y71" i="66"/>
  <c r="AH71" i="66"/>
  <c r="AB71" i="66"/>
  <c r="G43" i="66"/>
  <c r="T22" i="49"/>
  <c r="G53" i="66"/>
  <c r="AD53" i="66" s="1"/>
  <c r="T32" i="49"/>
  <c r="G44" i="66"/>
  <c r="T23" i="49"/>
  <c r="AH73" i="66"/>
  <c r="AB73" i="66"/>
  <c r="Y73" i="66"/>
  <c r="AE73" i="66"/>
  <c r="AK73" i="66"/>
  <c r="AB67" i="66"/>
  <c r="AE67" i="66"/>
  <c r="AH67" i="66"/>
  <c r="AK67" i="66"/>
  <c r="Y67" i="66"/>
  <c r="Y72" i="66"/>
  <c r="AK72" i="66"/>
  <c r="AE72" i="66"/>
  <c r="AH72" i="66"/>
  <c r="AB72" i="66"/>
  <c r="G50" i="66"/>
  <c r="T29" i="49"/>
  <c r="G52" i="66"/>
  <c r="AA52" i="66" s="1"/>
  <c r="T31" i="49"/>
  <c r="AE79" i="66"/>
  <c r="AH79" i="66"/>
  <c r="AB79" i="66"/>
  <c r="AK79" i="66"/>
  <c r="Y79" i="66"/>
  <c r="G39" i="66"/>
  <c r="AJ39" i="66" s="1"/>
  <c r="T18" i="49"/>
  <c r="Y66" i="66"/>
  <c r="AB66" i="66"/>
  <c r="AK66" i="66"/>
  <c r="AE66" i="66"/>
  <c r="AH66" i="66"/>
  <c r="AH65" i="66"/>
  <c r="AK65" i="66"/>
  <c r="AE65" i="66"/>
  <c r="Y65" i="66"/>
  <c r="AB65" i="66"/>
  <c r="G36" i="66"/>
  <c r="T15" i="49"/>
  <c r="G38" i="66"/>
  <c r="AD38" i="66" s="1"/>
  <c r="T17" i="49"/>
  <c r="AE70" i="66"/>
  <c r="AB70" i="66"/>
  <c r="Y70" i="66"/>
  <c r="AH70" i="66"/>
  <c r="AK70" i="66"/>
  <c r="G42" i="66"/>
  <c r="AA42" i="66" s="1"/>
  <c r="T21" i="49"/>
  <c r="Y80" i="66"/>
  <c r="AH80" i="66"/>
  <c r="AB80" i="66"/>
  <c r="AE80" i="66"/>
  <c r="AK80" i="66"/>
  <c r="AE78" i="66"/>
  <c r="AB78" i="66"/>
  <c r="AK78" i="66"/>
  <c r="AH78" i="66"/>
  <c r="Y78" i="66"/>
  <c r="AB75" i="66"/>
  <c r="AK75" i="66"/>
  <c r="AE75" i="66"/>
  <c r="Y75" i="66"/>
  <c r="AH75" i="66"/>
  <c r="AK69" i="66"/>
  <c r="AB69" i="66"/>
  <c r="AE69" i="66"/>
  <c r="AH69" i="66"/>
  <c r="Y69" i="66"/>
  <c r="G40" i="66"/>
  <c r="T19" i="49"/>
  <c r="AK76" i="66"/>
  <c r="AH76" i="66"/>
  <c r="AB76" i="66"/>
  <c r="AE76" i="66"/>
  <c r="Y76" i="66"/>
  <c r="Y64" i="66"/>
  <c r="AB64" i="66"/>
  <c r="AH64" i="66"/>
  <c r="AE64" i="66"/>
  <c r="AK64" i="66"/>
  <c r="G37" i="66"/>
  <c r="T16" i="49"/>
  <c r="AK68" i="66"/>
  <c r="AB68" i="66"/>
  <c r="AE68" i="66"/>
  <c r="Y68" i="66"/>
  <c r="AH68" i="66"/>
  <c r="AE62" i="66"/>
  <c r="Y62" i="66"/>
  <c r="AK62" i="66"/>
  <c r="AH62" i="66"/>
  <c r="AB62" i="66"/>
  <c r="AK77" i="66"/>
  <c r="AE77" i="66"/>
  <c r="AB77" i="66"/>
  <c r="Y77" i="66"/>
  <c r="AH77" i="66"/>
  <c r="G41" i="66"/>
  <c r="AG41" i="66" s="1"/>
  <c r="T20" i="49"/>
  <c r="T14" i="49"/>
  <c r="G49" i="66"/>
  <c r="T28" i="49"/>
  <c r="G45" i="66"/>
  <c r="AJ45" i="66" s="1"/>
  <c r="T24" i="49"/>
  <c r="G46" i="66"/>
  <c r="T25" i="49"/>
  <c r="Y74" i="66"/>
  <c r="AH74" i="66"/>
  <c r="AE74" i="66"/>
  <c r="AK74" i="66"/>
  <c r="AB74" i="66"/>
  <c r="AD46" i="66"/>
  <c r="AM46" i="66"/>
  <c r="AG46" i="66"/>
  <c r="AA46" i="66"/>
  <c r="AJ46" i="66"/>
  <c r="AF39" i="66"/>
  <c r="Z39" i="66"/>
  <c r="AI39" i="66"/>
  <c r="AL39" i="66"/>
  <c r="AC39" i="66"/>
  <c r="AG49" i="66"/>
  <c r="AA49" i="66"/>
  <c r="AJ49" i="66"/>
  <c r="AD49" i="66"/>
  <c r="AM49" i="66"/>
  <c r="AF40" i="66"/>
  <c r="Z40" i="66"/>
  <c r="AI40" i="66"/>
  <c r="AC40" i="66"/>
  <c r="AL40" i="66"/>
  <c r="AD45" i="66"/>
  <c r="AM45" i="66"/>
  <c r="AG45" i="66"/>
  <c r="AA45" i="66"/>
  <c r="AD41" i="66"/>
  <c r="AM41" i="66"/>
  <c r="Z41" i="66"/>
  <c r="AI41" i="66"/>
  <c r="AF41" i="66"/>
  <c r="AL41" i="66"/>
  <c r="AC41" i="66"/>
  <c r="AL38" i="66"/>
  <c r="AF38" i="66"/>
  <c r="AC38" i="66"/>
  <c r="Z38" i="66"/>
  <c r="AI38" i="66"/>
  <c r="AL46" i="66"/>
  <c r="AF46" i="66"/>
  <c r="Z46" i="66"/>
  <c r="AI46" i="66"/>
  <c r="AC46" i="66"/>
  <c r="AI43" i="66"/>
  <c r="Z43" i="66"/>
  <c r="AL43" i="66"/>
  <c r="AF43" i="66"/>
  <c r="AC43" i="66"/>
  <c r="AL53" i="66"/>
  <c r="AF53" i="66"/>
  <c r="Z53" i="66"/>
  <c r="AI53" i="66"/>
  <c r="AC53" i="66"/>
  <c r="AC44" i="66"/>
  <c r="AL44" i="66"/>
  <c r="AI44" i="66"/>
  <c r="AF44" i="66"/>
  <c r="Z44" i="66"/>
  <c r="AG52" i="66"/>
  <c r="AA50" i="66"/>
  <c r="AJ50" i="66"/>
  <c r="AD50" i="66"/>
  <c r="AM50" i="66"/>
  <c r="AG50" i="66"/>
  <c r="AJ38" i="66"/>
  <c r="AA43" i="66"/>
  <c r="AJ43" i="66"/>
  <c r="AD43" i="66"/>
  <c r="AM43" i="66"/>
  <c r="AG43" i="66"/>
  <c r="AJ44" i="66"/>
  <c r="AD44" i="66"/>
  <c r="AM44" i="66"/>
  <c r="AA44" i="66"/>
  <c r="AG44" i="66"/>
  <c r="AC36" i="66"/>
  <c r="AL36" i="66"/>
  <c r="AF36" i="66"/>
  <c r="Z36" i="66"/>
  <c r="AI36" i="66"/>
  <c r="Z42" i="66"/>
  <c r="AI42" i="66"/>
  <c r="AL42" i="66"/>
  <c r="AF42" i="66"/>
  <c r="AC42" i="66"/>
  <c r="AA39" i="66"/>
  <c r="AJ36" i="66"/>
  <c r="AD36" i="66"/>
  <c r="AA36" i="66"/>
  <c r="AM36" i="66"/>
  <c r="AG36" i="66"/>
  <c r="AG48" i="66"/>
  <c r="AA48" i="66"/>
  <c r="AJ48" i="66"/>
  <c r="AD48" i="66"/>
  <c r="AM48" i="66"/>
  <c r="AC52" i="66"/>
  <c r="AL52" i="66"/>
  <c r="AF52" i="66"/>
  <c r="Z52" i="66"/>
  <c r="AI52" i="66"/>
  <c r="Z49" i="66"/>
  <c r="AI49" i="66"/>
  <c r="AL49" i="66"/>
  <c r="AF49" i="66"/>
  <c r="AC49" i="66"/>
  <c r="AG40" i="66"/>
  <c r="AA40" i="66"/>
  <c r="AJ40" i="66"/>
  <c r="AM40" i="66"/>
  <c r="AD40" i="66"/>
  <c r="AL45" i="66"/>
  <c r="AF45" i="66"/>
  <c r="Z45" i="66"/>
  <c r="AI45" i="66"/>
  <c r="AC45" i="66"/>
  <c r="AD37" i="66"/>
  <c r="AM37" i="66"/>
  <c r="AJ37" i="66"/>
  <c r="AG37" i="66"/>
  <c r="AA37" i="66"/>
  <c r="P14" i="49"/>
  <c r="G35" i="66"/>
  <c r="P26" i="49"/>
  <c r="G47" i="66"/>
  <c r="P29" i="49"/>
  <c r="P20" i="49"/>
  <c r="P22" i="49"/>
  <c r="P23" i="49"/>
  <c r="P18" i="49"/>
  <c r="P15" i="49"/>
  <c r="P28" i="49"/>
  <c r="P24" i="49"/>
  <c r="P25" i="49"/>
  <c r="P19" i="49"/>
  <c r="P31" i="49"/>
  <c r="P21" i="49"/>
  <c r="P17" i="49"/>
  <c r="P16" i="49"/>
  <c r="P32" i="49"/>
  <c r="O61" i="49"/>
  <c r="M151" i="49"/>
  <c r="M55" i="49" s="1"/>
  <c r="L55" i="49"/>
  <c r="F76" i="66" s="1"/>
  <c r="M146" i="49"/>
  <c r="M50" i="49" s="1"/>
  <c r="L50" i="49"/>
  <c r="F71" i="66" s="1"/>
  <c r="M153" i="49"/>
  <c r="M57" i="49" s="1"/>
  <c r="L57" i="49"/>
  <c r="F78" i="66" s="1"/>
  <c r="M148" i="49"/>
  <c r="M52" i="49" s="1"/>
  <c r="L52" i="49"/>
  <c r="F73" i="66" s="1"/>
  <c r="M154" i="49"/>
  <c r="M58" i="49" s="1"/>
  <c r="L58" i="49"/>
  <c r="F79" i="66" s="1"/>
  <c r="M145" i="49"/>
  <c r="M49" i="49" s="1"/>
  <c r="L49" i="49"/>
  <c r="F70" i="66" s="1"/>
  <c r="M152" i="49"/>
  <c r="M56" i="49" s="1"/>
  <c r="L56" i="49"/>
  <c r="F77" i="66" s="1"/>
  <c r="M140" i="49"/>
  <c r="M44" i="49" s="1"/>
  <c r="L44" i="49"/>
  <c r="F65" i="66" s="1"/>
  <c r="M142" i="49"/>
  <c r="M46" i="49" s="1"/>
  <c r="L46" i="49"/>
  <c r="F67" i="66" s="1"/>
  <c r="M41" i="49"/>
  <c r="L41" i="49"/>
  <c r="F62" i="66" s="1"/>
  <c r="M147" i="49"/>
  <c r="M51" i="49" s="1"/>
  <c r="L51" i="49"/>
  <c r="F72" i="66" s="1"/>
  <c r="M155" i="49"/>
  <c r="M59" i="49" s="1"/>
  <c r="L59" i="49"/>
  <c r="F80" i="66" s="1"/>
  <c r="M149" i="49"/>
  <c r="M53" i="49" s="1"/>
  <c r="L53" i="49"/>
  <c r="F74" i="66" s="1"/>
  <c r="M141" i="49"/>
  <c r="M45" i="49" s="1"/>
  <c r="L45" i="49"/>
  <c r="F66" i="66" s="1"/>
  <c r="M138" i="49"/>
  <c r="M42" i="49" s="1"/>
  <c r="L42" i="49"/>
  <c r="F63" i="66" s="1"/>
  <c r="M139" i="49"/>
  <c r="M43" i="49" s="1"/>
  <c r="L43" i="49"/>
  <c r="F64" i="66" s="1"/>
  <c r="M143" i="49"/>
  <c r="M47" i="49" s="1"/>
  <c r="L47" i="49"/>
  <c r="F68" i="66" s="1"/>
  <c r="M150" i="49"/>
  <c r="M54" i="49" s="1"/>
  <c r="L54" i="49"/>
  <c r="F75" i="66" s="1"/>
  <c r="M144" i="49"/>
  <c r="M48" i="49" s="1"/>
  <c r="L48" i="49"/>
  <c r="F69" i="66" s="1"/>
  <c r="J90" i="49"/>
  <c r="K90" i="49"/>
  <c r="T54" i="49" l="1"/>
  <c r="V54" i="49" s="1"/>
  <c r="G75" i="66"/>
  <c r="AI74" i="66"/>
  <c r="AL74" i="66"/>
  <c r="Z74" i="66"/>
  <c r="AC74" i="66"/>
  <c r="AF74" i="66"/>
  <c r="AF79" i="66"/>
  <c r="AL79" i="66"/>
  <c r="AI79" i="66"/>
  <c r="Z79" i="66"/>
  <c r="AC79" i="66"/>
  <c r="Z76" i="66"/>
  <c r="AI76" i="66"/>
  <c r="AC76" i="66"/>
  <c r="AF76" i="66"/>
  <c r="AL76" i="66"/>
  <c r="AD39" i="66"/>
  <c r="AA38" i="66"/>
  <c r="AM52" i="66"/>
  <c r="T58" i="49"/>
  <c r="V58" i="49" s="1"/>
  <c r="G79" i="66"/>
  <c r="T55" i="49"/>
  <c r="V55" i="49" s="1"/>
  <c r="G76" i="66"/>
  <c r="AG39" i="66"/>
  <c r="AG38" i="66"/>
  <c r="AJ53" i="66"/>
  <c r="AD52" i="66"/>
  <c r="T50" i="49"/>
  <c r="V50" i="49" s="1"/>
  <c r="G71" i="66"/>
  <c r="AL64" i="66"/>
  <c r="AF64" i="66"/>
  <c r="AI64" i="66"/>
  <c r="AC64" i="66"/>
  <c r="Z64" i="66"/>
  <c r="AM42" i="66"/>
  <c r="AM39" i="66"/>
  <c r="AM38" i="66"/>
  <c r="AA53" i="66"/>
  <c r="AJ52" i="66"/>
  <c r="T49" i="49"/>
  <c r="V49" i="49" s="1"/>
  <c r="G70" i="66"/>
  <c r="AL68" i="66"/>
  <c r="AC68" i="66"/>
  <c r="Z68" i="66"/>
  <c r="AI68" i="66"/>
  <c r="AF68" i="66"/>
  <c r="AI73" i="66"/>
  <c r="AC73" i="66"/>
  <c r="Z73" i="66"/>
  <c r="AL73" i="66"/>
  <c r="AF73" i="66"/>
  <c r="T43" i="49"/>
  <c r="V43" i="49" s="1"/>
  <c r="G64" i="66"/>
  <c r="T59" i="49"/>
  <c r="V59" i="49" s="1"/>
  <c r="G80" i="66"/>
  <c r="T44" i="49"/>
  <c r="V44" i="49" s="1"/>
  <c r="G65" i="66"/>
  <c r="T52" i="49"/>
  <c r="V52" i="49" s="1"/>
  <c r="G73" i="66"/>
  <c r="AD42" i="66"/>
  <c r="AG53" i="66"/>
  <c r="AJ41" i="66"/>
  <c r="T45" i="49"/>
  <c r="V45" i="49" s="1"/>
  <c r="G66" i="66"/>
  <c r="T53" i="49"/>
  <c r="V53" i="49" s="1"/>
  <c r="G74" i="66"/>
  <c r="AL69" i="66"/>
  <c r="Z69" i="66"/>
  <c r="AI69" i="66"/>
  <c r="AF69" i="66"/>
  <c r="AC69" i="66"/>
  <c r="Z63" i="66"/>
  <c r="AF63" i="66"/>
  <c r="AI63" i="66"/>
  <c r="AL63" i="66"/>
  <c r="AC63" i="66"/>
  <c r="AL72" i="66"/>
  <c r="Z72" i="66"/>
  <c r="AC72" i="66"/>
  <c r="AF72" i="66"/>
  <c r="AI72" i="66"/>
  <c r="AL77" i="66"/>
  <c r="Z77" i="66"/>
  <c r="AI77" i="66"/>
  <c r="AF77" i="66"/>
  <c r="AC77" i="66"/>
  <c r="AL78" i="66"/>
  <c r="AF78" i="66"/>
  <c r="AI78" i="66"/>
  <c r="AC78" i="66"/>
  <c r="Z78" i="66"/>
  <c r="AG42" i="66"/>
  <c r="AM53" i="66"/>
  <c r="AA41" i="66"/>
  <c r="T41" i="49"/>
  <c r="V41" i="49" s="1"/>
  <c r="G62" i="66"/>
  <c r="AF80" i="66"/>
  <c r="AC80" i="66"/>
  <c r="Z80" i="66"/>
  <c r="AI80" i="66"/>
  <c r="AL80" i="66"/>
  <c r="T48" i="49"/>
  <c r="V48" i="49" s="1"/>
  <c r="G69" i="66"/>
  <c r="T51" i="49"/>
  <c r="V51" i="49" s="1"/>
  <c r="G72" i="66"/>
  <c r="T56" i="49"/>
  <c r="V56" i="49" s="1"/>
  <c r="G77" i="66"/>
  <c r="T57" i="49"/>
  <c r="V57" i="49" s="1"/>
  <c r="G78" i="66"/>
  <c r="AJ42" i="66"/>
  <c r="T47" i="49"/>
  <c r="V47" i="49" s="1"/>
  <c r="G68" i="66"/>
  <c r="Z65" i="66"/>
  <c r="AC65" i="66"/>
  <c r="AF65" i="66"/>
  <c r="AL65" i="66"/>
  <c r="AI65" i="66"/>
  <c r="T42" i="49"/>
  <c r="V42" i="49" s="1"/>
  <c r="G63" i="66"/>
  <c r="AL75" i="66"/>
  <c r="AI75" i="66"/>
  <c r="Z75" i="66"/>
  <c r="AF75" i="66"/>
  <c r="AC75" i="66"/>
  <c r="AI66" i="66"/>
  <c r="AF66" i="66"/>
  <c r="Z66" i="66"/>
  <c r="AC66" i="66"/>
  <c r="AL66" i="66"/>
  <c r="AI62" i="66"/>
  <c r="AC62" i="66"/>
  <c r="AF62" i="66"/>
  <c r="Z62" i="66"/>
  <c r="AL62" i="66"/>
  <c r="AI70" i="66"/>
  <c r="Z70" i="66"/>
  <c r="AL70" i="66"/>
  <c r="AF70" i="66"/>
  <c r="AC70" i="66"/>
  <c r="AC71" i="66"/>
  <c r="AL71" i="66"/>
  <c r="Z71" i="66"/>
  <c r="AF71" i="66"/>
  <c r="AI71" i="66"/>
  <c r="AI67" i="66"/>
  <c r="Z67" i="66"/>
  <c r="AF67" i="66"/>
  <c r="AL67" i="66"/>
  <c r="AC67" i="66"/>
  <c r="T46" i="49"/>
  <c r="V46" i="49" s="1"/>
  <c r="G67" i="66"/>
  <c r="AM47" i="66"/>
  <c r="AG47" i="66"/>
  <c r="AA47" i="66"/>
  <c r="AJ47" i="66"/>
  <c r="AD47" i="66"/>
  <c r="AA35" i="66"/>
  <c r="AJ35" i="66"/>
  <c r="AD35" i="66"/>
  <c r="AM35" i="66"/>
  <c r="AG35" i="66"/>
  <c r="P43" i="49"/>
  <c r="P51" i="49"/>
  <c r="P44" i="49"/>
  <c r="P49" i="49"/>
  <c r="P47" i="49"/>
  <c r="P48" i="49"/>
  <c r="P42" i="49"/>
  <c r="P45" i="49"/>
  <c r="P41" i="49"/>
  <c r="P58" i="49"/>
  <c r="P50" i="49"/>
  <c r="P59" i="49"/>
  <c r="P57" i="49"/>
  <c r="P54" i="49"/>
  <c r="P53" i="49"/>
  <c r="P46" i="49"/>
  <c r="P56" i="49"/>
  <c r="P52" i="49"/>
  <c r="P55" i="49"/>
  <c r="L90" i="49"/>
  <c r="AD69" i="66" l="1"/>
  <c r="AG69" i="66"/>
  <c r="AJ69" i="66"/>
  <c r="AM69" i="66"/>
  <c r="AA69" i="66"/>
  <c r="AG80" i="66"/>
  <c r="AA80" i="66"/>
  <c r="AJ80" i="66"/>
  <c r="AD80" i="66"/>
  <c r="AM80" i="66"/>
  <c r="AJ76" i="66"/>
  <c r="AD76" i="66"/>
  <c r="AM76" i="66"/>
  <c r="AG76" i="66"/>
  <c r="AA76" i="66"/>
  <c r="AM78" i="66"/>
  <c r="AA78" i="66"/>
  <c r="AD78" i="66"/>
  <c r="AG78" i="66"/>
  <c r="AJ78" i="66"/>
  <c r="AG64" i="66"/>
  <c r="AJ64" i="66"/>
  <c r="AD64" i="66"/>
  <c r="AM64" i="66"/>
  <c r="AA64" i="66"/>
  <c r="AD71" i="66"/>
  <c r="AG71" i="66"/>
  <c r="AJ71" i="66"/>
  <c r="AA71" i="66"/>
  <c r="AM71" i="66"/>
  <c r="AM79" i="66"/>
  <c r="AA79" i="66"/>
  <c r="AJ79" i="66"/>
  <c r="AG79" i="66"/>
  <c r="AD79" i="66"/>
  <c r="AD77" i="66"/>
  <c r="AM77" i="66"/>
  <c r="AA77" i="66"/>
  <c r="AJ77" i="66"/>
  <c r="AG77" i="66"/>
  <c r="AM73" i="66"/>
  <c r="AJ73" i="66"/>
  <c r="AD73" i="66"/>
  <c r="AA73" i="66"/>
  <c r="AG73" i="66"/>
  <c r="AD63" i="66"/>
  <c r="AM63" i="66"/>
  <c r="AG63" i="66"/>
  <c r="AJ63" i="66"/>
  <c r="AA63" i="66"/>
  <c r="AA74" i="66"/>
  <c r="AJ74" i="66"/>
  <c r="AG74" i="66"/>
  <c r="AD74" i="66"/>
  <c r="AM74" i="66"/>
  <c r="AG72" i="66"/>
  <c r="AD72" i="66"/>
  <c r="AJ72" i="66"/>
  <c r="AM72" i="66"/>
  <c r="AA72" i="66"/>
  <c r="AM65" i="66"/>
  <c r="AG65" i="66"/>
  <c r="AD65" i="66"/>
  <c r="AA65" i="66"/>
  <c r="AJ65" i="66"/>
  <c r="AM70" i="66"/>
  <c r="AJ70" i="66"/>
  <c r="AG70" i="66"/>
  <c r="AD70" i="66"/>
  <c r="AA70" i="66"/>
  <c r="AJ75" i="66"/>
  <c r="AA75" i="66"/>
  <c r="AM75" i="66"/>
  <c r="AD75" i="66"/>
  <c r="AG75" i="66"/>
  <c r="AA68" i="66"/>
  <c r="AM68" i="66"/>
  <c r="AJ68" i="66"/>
  <c r="AG68" i="66"/>
  <c r="AD68" i="66"/>
  <c r="AM62" i="66"/>
  <c r="AD62" i="66"/>
  <c r="AG62" i="66"/>
  <c r="AJ62" i="66"/>
  <c r="AA62" i="66"/>
  <c r="AA66" i="66"/>
  <c r="AM66" i="66"/>
  <c r="AD66" i="66"/>
  <c r="AJ66" i="66"/>
  <c r="AG66" i="66"/>
  <c r="AJ67" i="66"/>
  <c r="AD67" i="66"/>
  <c r="AG67" i="66"/>
  <c r="AM67" i="66"/>
  <c r="AA67" i="66"/>
  <c r="M90" i="49"/>
  <c r="Q90" i="49" s="1"/>
  <c r="J98" i="49" l="1"/>
  <c r="K98" i="49" s="1"/>
  <c r="L98" i="49" l="1"/>
  <c r="K136" i="49"/>
  <c r="K13" i="49"/>
  <c r="E34" i="66" s="1"/>
  <c r="J136" i="49"/>
  <c r="J40" i="49" s="1"/>
  <c r="J13" i="49"/>
  <c r="AB34" i="66" l="1"/>
  <c r="AB54" i="66" s="1"/>
  <c r="E13" i="66" s="1"/>
  <c r="Y34" i="66"/>
  <c r="Y54" i="66" s="1"/>
  <c r="E12" i="66" s="1"/>
  <c r="AK34" i="66"/>
  <c r="AK54" i="66" s="1"/>
  <c r="E15" i="66" s="1"/>
  <c r="AH34" i="66"/>
  <c r="AH54" i="66" s="1"/>
  <c r="AE34" i="66"/>
  <c r="AE54" i="66" s="1"/>
  <c r="E14" i="66" s="1"/>
  <c r="E54" i="66"/>
  <c r="E55" i="66" s="1"/>
  <c r="K40" i="49"/>
  <c r="E61" i="66" s="1"/>
  <c r="L136" i="49"/>
  <c r="J33" i="49"/>
  <c r="R40" i="49" s="1"/>
  <c r="J60" i="49"/>
  <c r="J19" i="54" s="1"/>
  <c r="J20" i="54" s="1"/>
  <c r="K33" i="49"/>
  <c r="K12" i="54" s="1"/>
  <c r="L13" i="49"/>
  <c r="F34" i="66" s="1"/>
  <c r="M98" i="49"/>
  <c r="M13" i="49" s="1"/>
  <c r="G34" i="66" l="1"/>
  <c r="T13" i="49"/>
  <c r="AK61" i="66"/>
  <c r="AK81" i="66" s="1"/>
  <c r="AB61" i="66"/>
  <c r="AB81" i="66" s="1"/>
  <c r="E23" i="66" s="1"/>
  <c r="AE61" i="66"/>
  <c r="AE81" i="66" s="1"/>
  <c r="E24" i="66" s="1"/>
  <c r="Y61" i="66"/>
  <c r="Y81" i="66" s="1"/>
  <c r="E22" i="66" s="1"/>
  <c r="AH61" i="66"/>
  <c r="AH81" i="66" s="1"/>
  <c r="E25" i="66" s="1"/>
  <c r="E81" i="66"/>
  <c r="E82" i="66" s="1"/>
  <c r="R13" i="49"/>
  <c r="E16" i="66"/>
  <c r="AG34" i="66"/>
  <c r="AG54" i="66" s="1"/>
  <c r="G14" i="66" s="1"/>
  <c r="AD34" i="66"/>
  <c r="AD54" i="66" s="1"/>
  <c r="G13" i="66" s="1"/>
  <c r="AM34" i="66"/>
  <c r="AA34" i="66"/>
  <c r="AA54" i="66" s="1"/>
  <c r="G12" i="66" s="1"/>
  <c r="AJ34" i="66"/>
  <c r="AJ54" i="66" s="1"/>
  <c r="AL34" i="66"/>
  <c r="AL54" i="66" s="1"/>
  <c r="F15" i="66" s="1"/>
  <c r="Z34" i="66"/>
  <c r="Z54" i="66" s="1"/>
  <c r="F12" i="66" s="1"/>
  <c r="AI34" i="66"/>
  <c r="AI54" i="66" s="1"/>
  <c r="AF34" i="66"/>
  <c r="AF54" i="66" s="1"/>
  <c r="F14" i="66" s="1"/>
  <c r="AC34" i="66"/>
  <c r="AC54" i="66" s="1"/>
  <c r="F13" i="66" s="1"/>
  <c r="AM54" i="66"/>
  <c r="G15" i="66" s="1"/>
  <c r="G54" i="66"/>
  <c r="G55" i="66" s="1"/>
  <c r="F54" i="66"/>
  <c r="F55" i="66" s="1"/>
  <c r="J12" i="54"/>
  <c r="J13" i="54" s="1"/>
  <c r="M136" i="49"/>
  <c r="M40" i="49" s="1"/>
  <c r="L40" i="49"/>
  <c r="F61" i="66" s="1"/>
  <c r="J61" i="49"/>
  <c r="R60" i="49"/>
  <c r="J21" i="54"/>
  <c r="P13" i="49"/>
  <c r="M33" i="49"/>
  <c r="L33" i="49"/>
  <c r="L12" i="54" s="1"/>
  <c r="R28" i="49"/>
  <c r="R43" i="49"/>
  <c r="R50" i="49"/>
  <c r="R32" i="49"/>
  <c r="R52" i="49"/>
  <c r="R14" i="49"/>
  <c r="R26" i="49"/>
  <c r="R45" i="49"/>
  <c r="R51" i="49"/>
  <c r="R56" i="49"/>
  <c r="R44" i="49"/>
  <c r="R19" i="49"/>
  <c r="R57" i="49"/>
  <c r="R31" i="49"/>
  <c r="R53" i="49"/>
  <c r="R54" i="49"/>
  <c r="R21" i="49"/>
  <c r="R55" i="49"/>
  <c r="R27" i="49"/>
  <c r="R48" i="49"/>
  <c r="R24" i="49"/>
  <c r="R33" i="49"/>
  <c r="R42" i="49"/>
  <c r="R58" i="49"/>
  <c r="R30" i="49"/>
  <c r="R17" i="49"/>
  <c r="R25" i="49"/>
  <c r="J34" i="49"/>
  <c r="R29" i="49"/>
  <c r="R20" i="49"/>
  <c r="R41" i="49"/>
  <c r="R49" i="49"/>
  <c r="R15" i="49"/>
  <c r="R18" i="49"/>
  <c r="R16" i="49"/>
  <c r="R59" i="49"/>
  <c r="R46" i="49"/>
  <c r="R23" i="49"/>
  <c r="R22" i="49"/>
  <c r="R47" i="49"/>
  <c r="K34" i="49"/>
  <c r="K60" i="49"/>
  <c r="K19" i="54" s="1"/>
  <c r="E26" i="66" l="1"/>
  <c r="T40" i="49"/>
  <c r="V40" i="49" s="1"/>
  <c r="G61" i="66"/>
  <c r="AL61" i="66"/>
  <c r="AL81" i="66" s="1"/>
  <c r="AI61" i="66"/>
  <c r="AI81" i="66" s="1"/>
  <c r="F25" i="66" s="1"/>
  <c r="Z61" i="66"/>
  <c r="Z81" i="66" s="1"/>
  <c r="F22" i="66" s="1"/>
  <c r="AC61" i="66"/>
  <c r="AC81" i="66" s="1"/>
  <c r="F23" i="66" s="1"/>
  <c r="AF61" i="66"/>
  <c r="AF81" i="66" s="1"/>
  <c r="F24" i="66" s="1"/>
  <c r="F81" i="66"/>
  <c r="F82" i="66" s="1"/>
  <c r="M12" i="54"/>
  <c r="U33" i="49"/>
  <c r="T33" i="49"/>
  <c r="U30" i="49"/>
  <c r="U27" i="49"/>
  <c r="U26" i="49"/>
  <c r="U32" i="49"/>
  <c r="U31" i="49"/>
  <c r="U18" i="49"/>
  <c r="U17" i="49"/>
  <c r="U21" i="49"/>
  <c r="U14" i="49"/>
  <c r="U25" i="49"/>
  <c r="U23" i="49"/>
  <c r="U28" i="49"/>
  <c r="U16" i="49"/>
  <c r="U22" i="49"/>
  <c r="U29" i="49"/>
  <c r="U15" i="49"/>
  <c r="U19" i="49"/>
  <c r="U20" i="49"/>
  <c r="U24" i="49"/>
  <c r="F16" i="66"/>
  <c r="U13" i="49"/>
  <c r="G16" i="66"/>
  <c r="I14" i="66" s="1"/>
  <c r="J14" i="54"/>
  <c r="L34" i="49"/>
  <c r="H8" i="49"/>
  <c r="S28" i="49"/>
  <c r="S32" i="49"/>
  <c r="S17" i="49"/>
  <c r="S18" i="49"/>
  <c r="S14" i="49"/>
  <c r="S25" i="49"/>
  <c r="S31" i="49"/>
  <c r="S26" i="49"/>
  <c r="S30" i="49"/>
  <c r="S19" i="49"/>
  <c r="S33" i="49"/>
  <c r="S15" i="49"/>
  <c r="S27" i="49"/>
  <c r="S22" i="49"/>
  <c r="S20" i="49"/>
  <c r="S24" i="49"/>
  <c r="S29" i="49"/>
  <c r="S37" i="49"/>
  <c r="S23" i="49"/>
  <c r="M34" i="49"/>
  <c r="S21" i="49"/>
  <c r="P33" i="49"/>
  <c r="L8" i="49" s="1"/>
  <c r="S16" i="49"/>
  <c r="L60" i="49"/>
  <c r="L19" i="54" s="1"/>
  <c r="S13" i="49"/>
  <c r="M60" i="49"/>
  <c r="P40" i="49"/>
  <c r="K61" i="49"/>
  <c r="F26" i="66" l="1"/>
  <c r="AD61" i="66"/>
  <c r="AD81" i="66" s="1"/>
  <c r="G23" i="66" s="1"/>
  <c r="AJ61" i="66"/>
  <c r="AJ81" i="66" s="1"/>
  <c r="G25" i="66" s="1"/>
  <c r="AA61" i="66"/>
  <c r="AA81" i="66" s="1"/>
  <c r="G22" i="66" s="1"/>
  <c r="AM61" i="66"/>
  <c r="AM81" i="66" s="1"/>
  <c r="AG61" i="66"/>
  <c r="AG81" i="66" s="1"/>
  <c r="G24" i="66" s="1"/>
  <c r="G81" i="66"/>
  <c r="G82" i="66" s="1"/>
  <c r="I13" i="66"/>
  <c r="M19" i="54"/>
  <c r="T60" i="49"/>
  <c r="V60" i="49" s="1"/>
  <c r="U60" i="49"/>
  <c r="I12" i="66"/>
  <c r="I15" i="66"/>
  <c r="S40" i="49"/>
  <c r="S58" i="49"/>
  <c r="S47" i="49"/>
  <c r="S50" i="49"/>
  <c r="P60" i="49"/>
  <c r="L9" i="49" s="1"/>
  <c r="S44" i="49"/>
  <c r="S56" i="49"/>
  <c r="S59" i="49"/>
  <c r="S41" i="49"/>
  <c r="S45" i="49"/>
  <c r="S55" i="49"/>
  <c r="F38" i="49"/>
  <c r="S43" i="49"/>
  <c r="S42" i="49"/>
  <c r="S52" i="49"/>
  <c r="S54" i="49"/>
  <c r="I8" i="49"/>
  <c r="M61" i="49"/>
  <c r="S48" i="49"/>
  <c r="S49" i="49"/>
  <c r="S51" i="49"/>
  <c r="S46" i="49"/>
  <c r="S60" i="49"/>
  <c r="S53" i="49"/>
  <c r="S57" i="49"/>
  <c r="L61" i="49"/>
  <c r="P34" i="49"/>
  <c r="H9" i="49"/>
  <c r="G26" i="66" l="1"/>
  <c r="I22" i="66"/>
  <c r="I24" i="66"/>
  <c r="I25" i="66"/>
  <c r="I23" i="66"/>
  <c r="U56" i="49"/>
  <c r="U49" i="49"/>
  <c r="U40" i="49"/>
  <c r="U59" i="49"/>
  <c r="U52" i="49"/>
  <c r="U45" i="49"/>
  <c r="U42" i="49"/>
  <c r="U53" i="49"/>
  <c r="U48" i="49"/>
  <c r="U50" i="49"/>
  <c r="U55" i="49"/>
  <c r="U51" i="49"/>
  <c r="U41" i="49"/>
  <c r="U58" i="49"/>
  <c r="U44" i="49"/>
  <c r="U47" i="49"/>
  <c r="U43" i="49"/>
  <c r="U54" i="49"/>
  <c r="U57" i="49"/>
  <c r="U46" i="49"/>
  <c r="P61" i="49"/>
  <c r="I9" i="49"/>
  <c r="K14" i="54" l="1"/>
  <c r="K13" i="54"/>
  <c r="K21" i="54"/>
  <c r="K20" i="54"/>
  <c r="M20" i="54" l="1"/>
  <c r="M21" i="54"/>
  <c r="M13" i="54"/>
  <c r="M14" i="54"/>
  <c r="L14" i="54"/>
  <c r="L13" i="54"/>
  <c r="L21" i="54"/>
  <c r="L20" i="5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<sst xmlns="http://schemas.openxmlformats.org/spreadsheetml/2006/main" count="4661" uniqueCount="429">
  <si>
    <t>Description</t>
  </si>
  <si>
    <t>Color codes</t>
  </si>
  <si>
    <t>Client :</t>
  </si>
  <si>
    <t>OCP Africa</t>
  </si>
  <si>
    <t>abc</t>
  </si>
  <si>
    <t>From external source</t>
  </si>
  <si>
    <t>Données</t>
  </si>
  <si>
    <t>Description :</t>
  </si>
  <si>
    <t>Calculs</t>
  </si>
  <si>
    <t>Projected</t>
  </si>
  <si>
    <t>P205 Forecasted Consumption</t>
  </si>
  <si>
    <t xml:space="preserve">Range </t>
  </si>
  <si>
    <t>CAGR 21-25</t>
  </si>
  <si>
    <t>TOTAL P205</t>
  </si>
  <si>
    <t xml:space="preserve">kt </t>
  </si>
  <si>
    <t>Baseline</t>
  </si>
  <si>
    <t>P205 consumption - Baseline</t>
  </si>
  <si>
    <t>eqDAP/ TSP</t>
  </si>
  <si>
    <t>RAR</t>
  </si>
  <si>
    <t>P205/ TSP, kt</t>
  </si>
  <si>
    <t>CAGR 17-20</t>
  </si>
  <si>
    <t>Harvested areas</t>
  </si>
  <si>
    <t>Overview</t>
  </si>
  <si>
    <t>ha</t>
  </si>
  <si>
    <t>Hypothesis</t>
  </si>
  <si>
    <t>from FAOSTAT</t>
  </si>
  <si>
    <t xml:space="preserve">CAGR 17-21 </t>
  </si>
  <si>
    <t>CAGR 20-21</t>
  </si>
  <si>
    <t>Retained CAGR 21-25</t>
  </si>
  <si>
    <t>Supporting Programs (if applicable)</t>
  </si>
  <si>
    <t>Source 1</t>
  </si>
  <si>
    <t>Source 2</t>
  </si>
  <si>
    <t>TOTAL</t>
  </si>
  <si>
    <t xml:space="preserve">a </t>
  </si>
  <si>
    <t xml:space="preserve">Application rate - Scénario1 (Baseline) </t>
  </si>
  <si>
    <t>P205, kg/ha</t>
  </si>
  <si>
    <t>COMTRADE DATA</t>
  </si>
  <si>
    <t>Projected with retained CAGR</t>
  </si>
  <si>
    <t>Deflator rate (to be applied while fine tuning model)</t>
  </si>
  <si>
    <t>Imported P205 nutrient</t>
  </si>
  <si>
    <t>P205/ TSP, kg/ha</t>
  </si>
  <si>
    <t>Crop - undifferentiated</t>
  </si>
  <si>
    <t>eq. DAP/ TSP</t>
  </si>
  <si>
    <t>Source</t>
  </si>
  <si>
    <t>FAOSTAT</t>
  </si>
  <si>
    <t>b</t>
  </si>
  <si>
    <t xml:space="preserve">Ramp up </t>
  </si>
  <si>
    <t>P205 kg/ha</t>
  </si>
  <si>
    <t>Projected with OCP RAR</t>
  </si>
  <si>
    <t>Crop type</t>
  </si>
  <si>
    <t>Crop category</t>
  </si>
  <si>
    <t>Application potential</t>
  </si>
  <si>
    <t>Target 2025</t>
  </si>
  <si>
    <t>Potential fulfillment curve</t>
  </si>
  <si>
    <t>Adjusted RAR</t>
  </si>
  <si>
    <t>Comments</t>
  </si>
  <si>
    <t xml:space="preserve">DRAFT - HYOTHESES </t>
  </si>
  <si>
    <t>Millet</t>
  </si>
  <si>
    <t>Linear</t>
  </si>
  <si>
    <t>Leguminous</t>
  </si>
  <si>
    <t>Exponential</t>
  </si>
  <si>
    <t>Sorghum</t>
  </si>
  <si>
    <t>Others</t>
  </si>
  <si>
    <t>Gardening crop</t>
  </si>
  <si>
    <t>Rice</t>
  </si>
  <si>
    <t>Maize</t>
  </si>
  <si>
    <t>Tubercules</t>
  </si>
  <si>
    <t>Deflator - structurel au marché (to be adjusted)</t>
  </si>
  <si>
    <t>Textile plant</t>
  </si>
  <si>
    <t>OCP - Amadou Gouzaye</t>
  </si>
  <si>
    <t>Agroproductivity index, P-potential model (to be adjusted)</t>
  </si>
  <si>
    <t>²</t>
  </si>
  <si>
    <t>P205 captured</t>
  </si>
  <si>
    <t>In kt P205</t>
  </si>
  <si>
    <t>50% of producers organized into cooperatives</t>
  </si>
  <si>
    <t>FROM P-POTENTIAL MODEL</t>
  </si>
  <si>
    <t>In kg of P2O5</t>
  </si>
  <si>
    <t>Average in kg of P2O5</t>
  </si>
  <si>
    <t xml:space="preserve">Leguminous </t>
  </si>
  <si>
    <t>Cacao, Coffee</t>
  </si>
  <si>
    <t>Wheat</t>
  </si>
  <si>
    <t xml:space="preserve">Fonio </t>
  </si>
  <si>
    <t xml:space="preserve">Plante textile </t>
  </si>
  <si>
    <t xml:space="preserve">Coton </t>
  </si>
  <si>
    <t>Culture maraichere</t>
  </si>
  <si>
    <t>https://comtradeplus.un.org/</t>
  </si>
  <si>
    <t>Column Labels</t>
  </si>
  <si>
    <t>Row Labels</t>
  </si>
  <si>
    <t>Grand Total</t>
  </si>
  <si>
    <t>https://www.fao.org/faostat/en/#data/EF</t>
  </si>
  <si>
    <t>Domain Code</t>
  </si>
  <si>
    <t>Domain</t>
  </si>
  <si>
    <t>Area Code (M49)</t>
  </si>
  <si>
    <t>Area</t>
  </si>
  <si>
    <t>Element Code</t>
  </si>
  <si>
    <t>Element</t>
  </si>
  <si>
    <t>Item Code</t>
  </si>
  <si>
    <t>Item</t>
  </si>
  <si>
    <t>Year Code</t>
  </si>
  <si>
    <t>Year</t>
  </si>
  <si>
    <t>Unit</t>
  </si>
  <si>
    <t>Value</t>
  </si>
  <si>
    <t>Flag</t>
  </si>
  <si>
    <t>Flag Description</t>
  </si>
  <si>
    <t>EF</t>
  </si>
  <si>
    <t>Fertilizers indicators</t>
  </si>
  <si>
    <t>Use per area of cropland</t>
  </si>
  <si>
    <t>Nutrient phosphate P2O5 (total)</t>
  </si>
  <si>
    <t>kg/ha</t>
  </si>
  <si>
    <t>E</t>
  </si>
  <si>
    <t>Estimated value</t>
  </si>
  <si>
    <t>HarvestedAreas</t>
  </si>
  <si>
    <t>Targeted crops by area harvested</t>
  </si>
  <si>
    <t>Targeted crops by area harvested, %</t>
  </si>
  <si>
    <t>Sum of Value</t>
  </si>
  <si>
    <t>Maize (corn)</t>
  </si>
  <si>
    <t>Cow peas, dry</t>
  </si>
  <si>
    <t>Potatoes</t>
  </si>
  <si>
    <t>Other pulses n.e.c.</t>
  </si>
  <si>
    <t>Coffee, green</t>
  </si>
  <si>
    <t>Other oil seeds, n.e.c.</t>
  </si>
  <si>
    <t>Sugar cane</t>
  </si>
  <si>
    <t>Other vegetables, fresh n.e.c.</t>
  </si>
  <si>
    <t>Coconuts, in shell</t>
  </si>
  <si>
    <t>Sweet potatoes</t>
  </si>
  <si>
    <t>Cassava, fresh</t>
  </si>
  <si>
    <t>Mangoes, guavas and mangosteens</t>
  </si>
  <si>
    <t>https://www.fao.org/faostat/fr/#data/QCL</t>
  </si>
  <si>
    <t>Item Code (CPC)</t>
  </si>
  <si>
    <t>QCL</t>
  </si>
  <si>
    <t>Crops and livestock products</t>
  </si>
  <si>
    <t>Area harvested</t>
  </si>
  <si>
    <t>I</t>
  </si>
  <si>
    <t>Imputed value</t>
  </si>
  <si>
    <t>A</t>
  </si>
  <si>
    <t>Official figure</t>
  </si>
  <si>
    <t>T</t>
  </si>
  <si>
    <t>Unofficial figure</t>
  </si>
  <si>
    <t>Carrots and turnips</t>
  </si>
  <si>
    <t>Cashew nuts, in shell</t>
  </si>
  <si>
    <t>M</t>
  </si>
  <si>
    <t>Missing value (data cannot exist, not applicable)</t>
  </si>
  <si>
    <t>Chillies and peppers, dry (Capsicum spp., Pimenta spp.), raw</t>
  </si>
  <si>
    <t>Chillies and peppers, green (Capsicum spp. and Pimenta spp.)</t>
  </si>
  <si>
    <t>Ginger, raw</t>
  </si>
  <si>
    <t>Green garlic</t>
  </si>
  <si>
    <t>Groundnuts, excluding shelled</t>
  </si>
  <si>
    <t>Okra</t>
  </si>
  <si>
    <t>Onions and shallots, dry (excluding dehydrated)</t>
  </si>
  <si>
    <t>Other citrus fruit, n.e.c.</t>
  </si>
  <si>
    <t>Other fruits, n.e.c.</t>
  </si>
  <si>
    <t>Other nuts (excluding wild edible nuts and groundnuts), in shell, n.e.c.</t>
  </si>
  <si>
    <t>Other stimulant, spice and aromatic crops, n.e.c.</t>
  </si>
  <si>
    <t>Papayas</t>
  </si>
  <si>
    <t>Pineapples</t>
  </si>
  <si>
    <t>Plantains and cooking bananas</t>
  </si>
  <si>
    <t>Seed cotton, unginned</t>
  </si>
  <si>
    <t>Sesame seed</t>
  </si>
  <si>
    <t>Soya beans</t>
  </si>
  <si>
    <t>Tomatoes</t>
  </si>
  <si>
    <t>Unmanufactured tobacco</t>
  </si>
  <si>
    <t>Yams</t>
  </si>
  <si>
    <t>Total</t>
  </si>
  <si>
    <t>Synthesis</t>
  </si>
  <si>
    <t>OCP market share</t>
  </si>
  <si>
    <t>Optimistic scenario</t>
  </si>
  <si>
    <t>*Growth starts only from 2023</t>
  </si>
  <si>
    <t>TSP, blendable</t>
  </si>
  <si>
    <t>TSP, straight</t>
  </si>
  <si>
    <t>DAP</t>
  </si>
  <si>
    <t>NPSB</t>
  </si>
  <si>
    <t>% of total, 2022</t>
  </si>
  <si>
    <t>% of total, 2025</t>
  </si>
  <si>
    <r>
      <t>*</t>
    </r>
    <r>
      <rPr>
        <i/>
        <sz val="10"/>
        <rFont val="Arial"/>
        <family val="2"/>
      </rPr>
      <t>Rice adjusted based on research (200 acres in 2022)</t>
    </r>
  </si>
  <si>
    <t>Nigeria</t>
  </si>
  <si>
    <t>2017</t>
  </si>
  <si>
    <t>2018</t>
  </si>
  <si>
    <t>2019</t>
  </si>
  <si>
    <t>2020</t>
  </si>
  <si>
    <t>2021</t>
  </si>
  <si>
    <t>Cocoa beans</t>
  </si>
  <si>
    <t>Fonio</t>
  </si>
  <si>
    <t>Green corn (maize)</t>
  </si>
  <si>
    <t>Karite nuts (sheanuts)</t>
  </si>
  <si>
    <t>Kenaf, and other textile bast fibres, raw or retted</t>
  </si>
  <si>
    <t>Kola nuts</t>
  </si>
  <si>
    <t>Melonseed</t>
  </si>
  <si>
    <t>Natural rubber in primary forms</t>
  </si>
  <si>
    <t>Oil palm fruit</t>
  </si>
  <si>
    <t>Onions and shallots, green</t>
  </si>
  <si>
    <t>Other fibre crops, raw, n.e.c.</t>
  </si>
  <si>
    <t>Taro</t>
  </si>
  <si>
    <t>NPK</t>
  </si>
  <si>
    <t>MAP</t>
  </si>
  <si>
    <t>Apparent Fertilizer Consumption</t>
  </si>
  <si>
    <t>Year(s)</t>
  </si>
  <si>
    <t>2022, 2021, 2020, 2019, 2018, 2017, 2016, 2015, 2014, 2013, 2012, 2011, 2010</t>
  </si>
  <si>
    <t>Products</t>
  </si>
  <si>
    <t>Others, Ammonium Sulphate, Diammonium Phosphate, Muriate of Potash, NPK, Single Super Phosphate, Urea</t>
  </si>
  <si>
    <t>Product HS Code</t>
  </si>
  <si>
    <t>Product</t>
  </si>
  <si>
    <t>Apparent Consumption in MT</t>
  </si>
  <si>
    <t>Product new</t>
  </si>
  <si>
    <t>Sum of Apparent Consumption in MT</t>
  </si>
  <si>
    <t>2010</t>
  </si>
  <si>
    <t>3102210000</t>
  </si>
  <si>
    <t>Ammonium Sulphate</t>
  </si>
  <si>
    <t>2011</t>
  </si>
  <si>
    <t>2012</t>
  </si>
  <si>
    <t>2013</t>
  </si>
  <si>
    <t>2014</t>
  </si>
  <si>
    <t>2015</t>
  </si>
  <si>
    <t>2016</t>
  </si>
  <si>
    <t>2022</t>
  </si>
  <si>
    <t>3104200000</t>
  </si>
  <si>
    <t>Muriate of Potash</t>
  </si>
  <si>
    <t>Potash</t>
  </si>
  <si>
    <t>3103100000</t>
  </si>
  <si>
    <t>Single Super Phosphate</t>
  </si>
  <si>
    <t>SSP</t>
  </si>
  <si>
    <t>CAN</t>
  </si>
  <si>
    <t>3102100000</t>
  </si>
  <si>
    <t>Urea</t>
  </si>
  <si>
    <t>3102400000</t>
  </si>
  <si>
    <t>Calcium Ammonium Nitrate</t>
  </si>
  <si>
    <t/>
  </si>
  <si>
    <t>Other NP Compound</t>
  </si>
  <si>
    <t>Other</t>
  </si>
  <si>
    <t>3104300000</t>
  </si>
  <si>
    <t>Sulphate of Potash</t>
  </si>
  <si>
    <t>3105200000</t>
  </si>
  <si>
    <t>NPK unspecified</t>
  </si>
  <si>
    <t>Total 2010</t>
  </si>
  <si>
    <t>3102900000</t>
  </si>
  <si>
    <t>Other Nitrogen</t>
  </si>
  <si>
    <t>3104900000</t>
  </si>
  <si>
    <t>Other Potash fertilizer</t>
  </si>
  <si>
    <t>Total 2011</t>
  </si>
  <si>
    <t>Total 2012</t>
  </si>
  <si>
    <t>Other PK Compound</t>
  </si>
  <si>
    <t>3103900000</t>
  </si>
  <si>
    <t>Other phosphate</t>
  </si>
  <si>
    <t>2510000000</t>
  </si>
  <si>
    <t>Phosphate Rock</t>
  </si>
  <si>
    <t>Total 2013</t>
  </si>
  <si>
    <t>Total 2014</t>
  </si>
  <si>
    <t>3105300000</t>
  </si>
  <si>
    <t>Diammonium Phosphate</t>
  </si>
  <si>
    <t>2834210000</t>
  </si>
  <si>
    <t>Potassium Nitrate</t>
  </si>
  <si>
    <t>Total 2015</t>
  </si>
  <si>
    <t>3105400000</t>
  </si>
  <si>
    <t>Monoammonium Phosphate</t>
  </si>
  <si>
    <t>Total 2016</t>
  </si>
  <si>
    <t>3102600000</t>
  </si>
  <si>
    <t>Calcium Nitrate</t>
  </si>
  <si>
    <t>Total 2017</t>
  </si>
  <si>
    <t>Total 2018</t>
  </si>
  <si>
    <t>NPK 20-20-20 + TE</t>
  </si>
  <si>
    <t>NPK 18-10-20 + 1MgO + 0.1B</t>
  </si>
  <si>
    <t>NPK 28-11-14 + TE</t>
  </si>
  <si>
    <t>Total 2019</t>
  </si>
  <si>
    <t>Total 2020</t>
  </si>
  <si>
    <t>3101000000</t>
  </si>
  <si>
    <t>Organic Fertilizer</t>
  </si>
  <si>
    <t>Total 2021</t>
  </si>
  <si>
    <t>9999999990</t>
  </si>
  <si>
    <t>Biostimulant</t>
  </si>
  <si>
    <t>Total P205</t>
  </si>
  <si>
    <t>Check</t>
  </si>
  <si>
    <t>Cacao, coffee</t>
  </si>
  <si>
    <t>P205</t>
  </si>
  <si>
    <t>P205 (3Y rolling average)</t>
  </si>
  <si>
    <t>Harvested area</t>
  </si>
  <si>
    <t>P205/ha</t>
  </si>
  <si>
    <t>Assumed 100% market share</t>
  </si>
  <si>
    <t>Demand unlock scenario</t>
  </si>
  <si>
    <t>Application rate - Demand unlock scenario</t>
  </si>
  <si>
    <t>P205 consumption - Demand unlock scenario</t>
  </si>
  <si>
    <t>OCP P205 sales - Baseline scenario</t>
  </si>
  <si>
    <t>OCP target product mix</t>
  </si>
  <si>
    <t>OCP product sales</t>
  </si>
  <si>
    <t>% of products</t>
  </si>
  <si>
    <t>kt of product</t>
  </si>
  <si>
    <t>P205 consumption - Demand Unlock Scenario</t>
  </si>
  <si>
    <t>Cassava Report 2020 curved2.cdr (pwc.com)</t>
  </si>
  <si>
    <t>Cassava as key focus crop for food security in Nigeria</t>
  </si>
  <si>
    <t>Nigeria Targets 6m Mt Wheat Production By 2032 (leadership.ng)</t>
  </si>
  <si>
    <t>Nigeria Wheat Strategy pushes for more maize growtj</t>
  </si>
  <si>
    <t>YIIFSWA II - Sahel Consulting</t>
  </si>
  <si>
    <t>Programs to support Yam production</t>
  </si>
  <si>
    <t>FG, IFAD review cassava, rice value chain development project - Daily Trust</t>
  </si>
  <si>
    <t>IFAD and Nigeria JV project to promote rice value chain</t>
  </si>
  <si>
    <t>Per product</t>
  </si>
  <si>
    <t>In kt product</t>
  </si>
  <si>
    <t>Baseline scenario</t>
  </si>
  <si>
    <t>Sales per product, year</t>
  </si>
  <si>
    <t>sq km</t>
  </si>
  <si>
    <t>4 kg per ha</t>
  </si>
  <si>
    <t>Total net growth</t>
  </si>
  <si>
    <t>Share of net growth</t>
  </si>
  <si>
    <t>Net growth vs baseline</t>
  </si>
  <si>
    <t>Check sum 100%</t>
  </si>
  <si>
    <t>Nigeria P205 projections + backing analyses</t>
  </si>
  <si>
    <t>OCP Africa - Nigeria analyses</t>
  </si>
  <si>
    <t>Source: Received from OCP Kenya</t>
  </si>
  <si>
    <t>Country</t>
  </si>
  <si>
    <t>Amount</t>
  </si>
  <si>
    <t>(All)</t>
  </si>
  <si>
    <t>China</t>
  </si>
  <si>
    <t>Sum of Amount</t>
  </si>
  <si>
    <t>Egypt</t>
  </si>
  <si>
    <t>Germany</t>
  </si>
  <si>
    <t>Morocco</t>
  </si>
  <si>
    <t>India</t>
  </si>
  <si>
    <t>United States of America</t>
  </si>
  <si>
    <t>Italy</t>
  </si>
  <si>
    <t>Spain</t>
  </si>
  <si>
    <t>NPK 15-15-15</t>
  </si>
  <si>
    <t>United Kingdom</t>
  </si>
  <si>
    <t>Netherlands</t>
  </si>
  <si>
    <t>Pakistan</t>
  </si>
  <si>
    <t>Singapore</t>
  </si>
  <si>
    <t>Ukraine</t>
  </si>
  <si>
    <t>United Arab Emirates</t>
  </si>
  <si>
    <t>Cameroon</t>
  </si>
  <si>
    <t>Austria</t>
  </si>
  <si>
    <t>Estonia</t>
  </si>
  <si>
    <t>Russian Federation</t>
  </si>
  <si>
    <t>United States</t>
  </si>
  <si>
    <t>France</t>
  </si>
  <si>
    <t>Switzerland</t>
  </si>
  <si>
    <t>Mexico</t>
  </si>
  <si>
    <t>Hong Kong</t>
  </si>
  <si>
    <t>Philippines</t>
  </si>
  <si>
    <t>Indonesia</t>
  </si>
  <si>
    <t>Israel</t>
  </si>
  <si>
    <t>Sri Lanka</t>
  </si>
  <si>
    <t>Belgium</t>
  </si>
  <si>
    <t>Tunisia</t>
  </si>
  <si>
    <t>Belarus</t>
  </si>
  <si>
    <t>Andorra</t>
  </si>
  <si>
    <t>Viet Nam</t>
  </si>
  <si>
    <t>Lithuania</t>
  </si>
  <si>
    <t>Malaysia</t>
  </si>
  <si>
    <t>NPK 20-20-20</t>
  </si>
  <si>
    <t>NPK 17-8-9</t>
  </si>
  <si>
    <t>NPK 3-3-45</t>
  </si>
  <si>
    <t>Fertilizer Imports by Product</t>
  </si>
  <si>
    <t>Diammonium Phosphate, NPK, Single Super Phosphate, Others</t>
  </si>
  <si>
    <t>Date</t>
  </si>
  <si>
    <t>Imports (MT)</t>
  </si>
  <si>
    <t>Sum of Imports (MT)</t>
  </si>
  <si>
    <t>P205 imported</t>
  </si>
  <si>
    <t>Enhancers</t>
  </si>
  <si>
    <t>Source: AfricaFertilizer.org</t>
  </si>
  <si>
    <t>Total 2022</t>
  </si>
  <si>
    <t>Domestic Urea Consumption Over Time</t>
  </si>
  <si>
    <t>2010, 2011, 2012, 2013, 2014, 2015, 2016, 2017, 2018, 2019, 2020, 2021, 2022</t>
  </si>
  <si>
    <t>Components</t>
  </si>
  <si>
    <t>2768208, 2768209, 2768207</t>
  </si>
  <si>
    <t>Component</t>
  </si>
  <si>
    <t>Volume (MT)</t>
  </si>
  <si>
    <t>Sum of Volume (MT)</t>
  </si>
  <si>
    <t>Apparent Consumption</t>
  </si>
  <si>
    <t>Export</t>
  </si>
  <si>
    <t>Production</t>
  </si>
  <si>
    <t>OCP Africa - Kenya analyses</t>
  </si>
  <si>
    <t>Source: IndexMundi; OCP</t>
  </si>
  <si>
    <t>Annual discount given to NSIA analysis</t>
  </si>
  <si>
    <t>NSIA cost advantage from switchint to TSP</t>
  </si>
  <si>
    <t>TSP break-even price analysis</t>
  </si>
  <si>
    <t>OCP sales 2022</t>
  </si>
  <si>
    <t>Global prices</t>
  </si>
  <si>
    <t>TSP cost advantage</t>
  </si>
  <si>
    <t>Current prices</t>
  </si>
  <si>
    <t>Quantity</t>
  </si>
  <si>
    <t>Price</t>
  </si>
  <si>
    <t>Price / t</t>
  </si>
  <si>
    <t>Currency</t>
  </si>
  <si>
    <t>USD</t>
  </si>
  <si>
    <t>Orders size:</t>
  </si>
  <si>
    <t>Global spot price</t>
  </si>
  <si>
    <t>NPK 15:15:15</t>
  </si>
  <si>
    <t>Per tonne</t>
  </si>
  <si>
    <t>With DAP</t>
  </si>
  <si>
    <t>With TSP</t>
  </si>
  <si>
    <t>P205 content</t>
  </si>
  <si>
    <t>TSP</t>
  </si>
  <si>
    <t>TSP costs at 30% margin, from CRU</t>
  </si>
  <si>
    <t>Nutrients:</t>
  </si>
  <si>
    <t>kg</t>
  </si>
  <si>
    <t>Equivalent product:</t>
  </si>
  <si>
    <t>Price per product:</t>
  </si>
  <si>
    <t>TSP break-even</t>
  </si>
  <si>
    <t>TSP costs, from CRU</t>
  </si>
  <si>
    <t>Nitrogen content:</t>
  </si>
  <si>
    <t>N</t>
  </si>
  <si>
    <t>Helping cell</t>
  </si>
  <si>
    <t>MOP</t>
  </si>
  <si>
    <t>Equivalent TSP:</t>
  </si>
  <si>
    <t>Urea local price</t>
  </si>
  <si>
    <t>Premium based in pricing AfricaFertilizer.org</t>
  </si>
  <si>
    <t>K</t>
  </si>
  <si>
    <t>Margin</t>
  </si>
  <si>
    <t>SUM/Average</t>
  </si>
  <si>
    <t>Discount from OCP:</t>
  </si>
  <si>
    <t>Equivalent Urea:</t>
  </si>
  <si>
    <t>Price w/ DAP</t>
  </si>
  <si>
    <t>OCP sales 2021</t>
  </si>
  <si>
    <t>Price w/TSP + Urea</t>
  </si>
  <si>
    <t>Discount</t>
  </si>
  <si>
    <t>USD saved</t>
  </si>
  <si>
    <t>NPK 20:10:10</t>
  </si>
  <si>
    <t>NPK 20:10:5</t>
  </si>
  <si>
    <t>OCP sales 2020</t>
  </si>
  <si>
    <t>Month</t>
  </si>
  <si>
    <t>Change</t>
  </si>
  <si>
    <t>Source:</t>
  </si>
  <si>
    <t>-</t>
  </si>
  <si>
    <t>DAP fertilizer - Monthly Price - Commodity Prices - Price Charts, Data, and News - IndexMundi</t>
  </si>
  <si>
    <t>P</t>
  </si>
  <si>
    <t>Nutrient</t>
  </si>
  <si>
    <t>Ratio</t>
  </si>
  <si>
    <t>Gap between sales in scenarios</t>
  </si>
  <si>
    <t>Demand unlock</t>
  </si>
  <si>
    <t>Gap</t>
  </si>
  <si>
    <t>OCP 2025 sales</t>
  </si>
  <si>
    <t>kr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</si>
</sst>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1" formatCode="_-* #,##0_-;\-* #,##0_-;_-* &quot;-&quot;_-;_-@_-"/>
    <numFmt numFmtId="43" formatCode="_-* #,##0.00_-;\-* #,##0.00_-;_-* &quot;-&quot;??_-;_-@_-"/>
    <numFmt numFmtId="164" formatCode="_-&quot;£&quot;* #,##0_-;\-&quot;£&quot;* #,##0_-;_-&quot;£&quot;* &quot;-&quot;_-;_-@_-"/>
    <numFmt numFmtId="165" formatCode="_-&quot;£&quot;* #,##0.00_-;\-&quot;£&quot;* #,##0.00_-;_-&quot;£&quot;* &quot;-&quot;??_-;_-@_-"/>
    <numFmt numFmtId="166" formatCode="#,##0.0_);\(#,##0.0\);0.0_);@_)"/>
    <numFmt numFmtId="167" formatCode="0.0%_);\(0.0%\)"/>
    <numFmt numFmtId="168" formatCode="dd\-mmm\-yy_)"/>
    <numFmt numFmtId="169" formatCode=";;;"/>
    <numFmt numFmtId="170" formatCode="#,##0_);\(#,##0\);0_);@_)"/>
    <numFmt numFmtId="171" formatCode="#.##0;\-#.##0;\-"/>
    <numFmt numFmtId="172" formatCode="#,##0.00_);\(#,##0.00\);0.00_);@_)"/>
    <numFmt numFmtId="173" formatCode="########0.00"/>
    <numFmt numFmtId="174" formatCode="0%_);\(0%\)"/>
    <numFmt numFmtId="175" formatCode="0.0"/>
    <numFmt numFmtId="176" formatCode="0.00%_);\(0.00%\)"/>
    <numFmt numFmtId="177" formatCode="_-* #,##0_-;\-* #,##0_-;_-* &quot;-&quot;??_-;_-@_-"/>
    <numFmt numFmtId="178" formatCode="_-* #,##0.00\ _k_r_._-;\-* #,##0.00\ _k_r_._-;_-* &quot;-&quot;??\ _k_r_._-;_-@_-"/>
  </numFmts>
  <fonts count="87" x14ac:knownFonts="1">
    <font>
      <sz val="10"/>
      <name val="Arial"/>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1"/>
      <color theme="1"/>
      <name val="Trebuchet MS"/>
      <family val="2"/>
      <scheme val="minor"/>
    </font>
    <font>
      <sz val="10"/>
      <color indexed="12"/>
      <name val="Arial"/>
      <family val="2"/>
    </font>
    <font>
      <sz val="8"/>
      <name val="Arial"/>
      <family val="2"/>
    </font>
    <font>
      <b/>
      <sz val="18"/>
      <color theme="3"/>
      <name val="Trebuchet MS"/>
      <family val="2"/>
      <scheme val="major"/>
    </font>
    <font>
      <b/>
      <sz val="15"/>
      <color theme="3"/>
      <name val="Arial"/>
      <family val="2"/>
    </font>
    <font>
      <b/>
      <sz val="13"/>
      <color theme="3"/>
      <name val="Arial"/>
      <family val="2"/>
    </font>
    <font>
      <b/>
      <sz val="11"/>
      <color theme="3"/>
      <name val="Arial"/>
      <family val="2"/>
    </font>
    <font>
      <sz val="16"/>
      <color rgb="FF006100"/>
      <name val="Arial"/>
      <family val="2"/>
    </font>
    <font>
      <sz val="16"/>
      <color rgb="FF9C0006"/>
      <name val="Arial"/>
      <family val="2"/>
    </font>
    <font>
      <sz val="16"/>
      <color rgb="FF9C6500"/>
      <name val="Arial"/>
      <family val="2"/>
    </font>
    <font>
      <b/>
      <sz val="16"/>
      <color rgb="FF3F3F3F"/>
      <name val="Arial"/>
      <family val="2"/>
    </font>
    <font>
      <b/>
      <sz val="16"/>
      <color rgb="FFFA7D00"/>
      <name val="Arial"/>
      <family val="2"/>
    </font>
    <font>
      <sz val="16"/>
      <color rgb="FFFA7D00"/>
      <name val="Arial"/>
      <family val="2"/>
    </font>
    <font>
      <b/>
      <sz val="16"/>
      <color theme="0"/>
      <name val="Arial"/>
      <family val="2"/>
    </font>
    <font>
      <sz val="16"/>
      <color rgb="FFFF0000"/>
      <name val="Arial"/>
      <family val="2"/>
    </font>
    <font>
      <sz val="10"/>
      <name val="Arial"/>
      <family val="2"/>
    </font>
    <font>
      <i/>
      <sz val="16"/>
      <color rgb="FF7F7F7F"/>
      <name val="Arial"/>
      <family val="2"/>
    </font>
    <font>
      <b/>
      <sz val="16"/>
      <color theme="1"/>
      <name val="Arial"/>
      <family val="2"/>
    </font>
    <font>
      <sz val="16"/>
      <color theme="0"/>
      <name val="Arial"/>
      <family val="2"/>
    </font>
    <font>
      <sz val="16"/>
      <color theme="1"/>
      <name val="Arial"/>
      <family val="2"/>
    </font>
    <font>
      <sz val="10"/>
      <color rgb="FF0000FF"/>
      <name val="Arial"/>
      <family val="2"/>
    </font>
    <font>
      <sz val="10"/>
      <name val="Arial"/>
      <family val="2"/>
    </font>
    <font>
      <b/>
      <sz val="10"/>
      <color indexed="9"/>
      <name val="Arial"/>
      <family val="2"/>
    </font>
    <font>
      <b/>
      <sz val="18"/>
      <color indexed="9"/>
      <name val="Arial"/>
      <family val="2"/>
    </font>
    <font>
      <b/>
      <sz val="12"/>
      <color rgb="FF006600"/>
      <name val="Arial"/>
      <family val="2"/>
    </font>
    <font>
      <b/>
      <sz val="8"/>
      <name val="Arial"/>
      <family val="2"/>
    </font>
    <font>
      <b/>
      <sz val="10"/>
      <color theme="3"/>
      <name val="Arial"/>
      <family val="2"/>
    </font>
    <font>
      <sz val="10"/>
      <color theme="3"/>
      <name val="Arial"/>
      <family val="2"/>
    </font>
    <font>
      <b/>
      <sz val="12"/>
      <color theme="3"/>
      <name val="Arial"/>
      <family val="2"/>
    </font>
    <font>
      <b/>
      <sz val="12"/>
      <color theme="0"/>
      <name val="Arial"/>
      <family val="2"/>
    </font>
    <font>
      <sz val="11"/>
      <name val="Trebuchet MS"/>
      <family val="2"/>
      <scheme val="minor"/>
    </font>
    <font>
      <b/>
      <sz val="10"/>
      <color theme="0"/>
      <name val="Arial"/>
      <family val="2"/>
    </font>
    <font>
      <b/>
      <sz val="10"/>
      <name val="Arial"/>
      <family val="2"/>
    </font>
    <font>
      <u/>
      <sz val="10"/>
      <color theme="10"/>
      <name val="Arial"/>
      <family val="2"/>
    </font>
    <font>
      <sz val="11"/>
      <color indexed="8"/>
      <name val="Trebuchet MS"/>
      <family val="2"/>
      <scheme val="minor"/>
    </font>
    <font>
      <sz val="10"/>
      <color theme="1"/>
      <name val="Arial"/>
      <family val="2"/>
    </font>
    <font>
      <sz val="8"/>
      <name val="Arial"/>
      <family val="2"/>
    </font>
    <font>
      <b/>
      <sz val="10"/>
      <color rgb="FF0000FF"/>
      <name val="Arial"/>
      <family val="2"/>
    </font>
    <font>
      <b/>
      <sz val="10"/>
      <color theme="1"/>
      <name val="Arial"/>
      <family val="2"/>
    </font>
    <font>
      <sz val="10"/>
      <color theme="0"/>
      <name val="Arial"/>
      <family val="2"/>
    </font>
    <font>
      <sz val="12"/>
      <name val="Arial"/>
      <family val="2"/>
    </font>
    <font>
      <sz val="12"/>
      <color theme="1"/>
      <name val="Trebuchet MS"/>
      <family val="2"/>
      <scheme val="minor"/>
    </font>
    <font>
      <i/>
      <sz val="10"/>
      <name val="Arial"/>
      <family val="2"/>
    </font>
    <font>
      <sz val="10"/>
      <color theme="9" tint="0.79998168889431442"/>
      <name val="Arial"/>
      <family val="2"/>
    </font>
    <font>
      <b/>
      <i/>
      <sz val="10"/>
      <name val="Arial"/>
      <family val="2"/>
    </font>
    <font>
      <i/>
      <sz val="10"/>
      <color theme="0" tint="-0.499984740745262"/>
      <name val="Arial"/>
      <family val="2"/>
    </font>
    <font>
      <u/>
      <sz val="10"/>
      <color theme="10"/>
      <name val="Arial"/>
      <family val="2"/>
    </font>
    <font>
      <i/>
      <sz val="10"/>
      <color theme="0"/>
      <name val="Arial"/>
      <family val="2"/>
    </font>
    <font>
      <b/>
      <i/>
      <sz val="10"/>
      <color theme="9"/>
      <name val="Arial"/>
      <family val="2"/>
    </font>
    <font>
      <sz val="12"/>
      <color indexed="0"/>
      <name val="Arial"/>
      <family val="2"/>
    </font>
    <font>
      <i/>
      <sz val="10"/>
      <color rgb="FF0000FF"/>
      <name val="Arial"/>
      <family val="2"/>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sz val="12"/>
      <color indexed="0"/>
      <name val="Arial"/>
      <family val="2"/>
    </font>
    <font>
      <b/>
      <sz val="18"/>
      <name val="Calibri"/>
      <family val="4"/>
    </font>
    <font>
      <b/>
      <sz val="11"/>
      <name val="Calibri"/>
      <family val="4"/>
    </font>
    <font>
      <b/>
      <i/>
      <sz val="8"/>
      <color theme="9"/>
      <name val="Arial"/>
      <family val="2"/>
    </font>
    <font>
      <i/>
      <sz val="11"/>
      <color theme="1"/>
      <name val="Trebuchet MS"/>
      <family val="2"/>
      <scheme val="minor"/>
    </font>
    <font>
      <b/>
      <sz val="8"/>
      <color rgb="FF333333"/>
      <name val="Arial"/>
      <family val="2"/>
    </font>
    <font>
      <sz val="8"/>
      <color rgb="FF333333"/>
      <name val="Arial"/>
      <family val="2"/>
    </font>
    <font>
      <u/>
      <sz val="11"/>
      <color theme="10"/>
      <name val="Trebuchet MS"/>
      <family val="2"/>
      <scheme val="minor"/>
    </font>
    <font>
      <sz val="11"/>
      <name val="Trebuchet MS"/>
      <family val="2"/>
      <scheme val="major"/>
    </font>
    <font>
      <sz val="10"/>
      <name val="Trebuchet MS"/>
      <family val="2"/>
      <scheme val="major"/>
    </font>
  </fonts>
  <fills count="57">
    <fill>
      <patternFill patternType="none"/>
    </fill>
    <fill>
      <patternFill patternType="gray125"/>
    </fill>
    <fill>
      <patternFill patternType="solid">
        <fgColor indexed="2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66"/>
        <bgColor indexed="64"/>
      </patternFill>
    </fill>
    <fill>
      <patternFill patternType="solid">
        <fgColor rgb="FFFFFFCC"/>
        <bgColor indexed="64"/>
      </patternFill>
    </fill>
    <fill>
      <patternFill patternType="solid">
        <fgColor theme="0"/>
        <bgColor indexed="64"/>
      </patternFill>
    </fill>
    <fill>
      <patternFill patternType="solid">
        <fgColor theme="3"/>
        <bgColor indexed="64"/>
      </patternFill>
    </fill>
    <fill>
      <patternFill patternType="solid">
        <fgColor rgb="FFFFC000"/>
        <bgColor indexed="64"/>
      </patternFill>
    </fill>
    <fill>
      <patternFill patternType="solid">
        <fgColor theme="4"/>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0000FF"/>
        <bgColor indexed="64"/>
      </patternFill>
    </fill>
    <fill>
      <patternFill patternType="solid">
        <fgColor theme="9" tint="0.79998168889431442"/>
        <bgColor indexed="64"/>
      </patternFill>
    </fill>
    <fill>
      <patternFill patternType="solid">
        <fgColor theme="4" tint="0.8999908444471571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9"/>
        <bgColor indexed="64"/>
      </patternFill>
    </fill>
    <fill>
      <patternFill patternType="solid">
        <fgColor rgb="FFFFCC99"/>
      </patternFill>
    </fill>
    <fill>
      <patternFill patternType="solid">
        <fgColor theme="4" tint="0.79998168889431442"/>
        <bgColor theme="4" tint="0.79998168889431442"/>
      </patternFill>
    </fill>
    <fill>
      <patternFill patternType="solid">
        <fgColor rgb="FF93C47D"/>
      </patternFill>
    </fill>
    <fill>
      <patternFill patternType="solid">
        <fgColor rgb="FFCCCCCC"/>
      </patternFill>
    </fill>
    <fill>
      <patternFill patternType="solid">
        <fgColor rgb="FF00B050"/>
        <bgColor indexed="64"/>
      </patternFill>
    </fill>
    <fill>
      <patternFill patternType="solid">
        <fgColor rgb="FFD9EAD3"/>
      </patternFill>
    </fill>
    <fill>
      <patternFill patternType="solid">
        <fgColor rgb="FFE5ECF9"/>
        <bgColor indexed="64"/>
      </patternFill>
    </fill>
    <fill>
      <patternFill patternType="solid">
        <fgColor rgb="FFFFFFFF"/>
        <bgColor indexed="64"/>
      </patternFill>
    </fill>
    <fill>
      <patternFill patternType="solid">
        <fgColor rgb="FFEFEFEF"/>
        <bgColor indexed="64"/>
      </patternFill>
    </fill>
    <fill>
      <patternFill patternType="solid">
        <fgColor theme="3" tint="0.39997558519241921"/>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medium">
        <color theme="3"/>
      </left>
      <right/>
      <top/>
      <bottom/>
      <diagonal/>
    </border>
    <border>
      <left/>
      <right style="medium">
        <color theme="3"/>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style="thin">
        <color theme="0" tint="-0.499984740745262"/>
      </left>
      <right/>
      <top/>
      <bottom/>
      <diagonal/>
    </border>
    <border>
      <left/>
      <right/>
      <top/>
      <bottom style="thin">
        <color indexed="64"/>
      </bottom>
      <diagonal/>
    </border>
    <border>
      <left/>
      <right/>
      <top style="thin">
        <color indexed="64"/>
      </top>
      <bottom style="double">
        <color indexed="64"/>
      </bottom>
      <diagonal/>
    </border>
    <border>
      <left/>
      <right/>
      <top/>
      <bottom style="double">
        <color indexed="64"/>
      </bottom>
      <diagonal/>
    </border>
    <border>
      <left/>
      <right/>
      <top style="double">
        <color indexed="64"/>
      </top>
      <bottom style="double">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theme="9"/>
      </left>
      <right/>
      <top style="medium">
        <color theme="9"/>
      </top>
      <bottom/>
      <diagonal/>
    </border>
    <border>
      <left/>
      <right/>
      <top style="medium">
        <color theme="9"/>
      </top>
      <bottom style="thin">
        <color indexed="64"/>
      </bottom>
      <diagonal/>
    </border>
    <border>
      <left style="medium">
        <color theme="9"/>
      </left>
      <right/>
      <top/>
      <bottom/>
      <diagonal/>
    </border>
    <border>
      <left style="medium">
        <color theme="9"/>
      </left>
      <right/>
      <top/>
      <bottom style="medium">
        <color theme="9"/>
      </bottom>
      <diagonal/>
    </border>
    <border>
      <left/>
      <right/>
      <top/>
      <bottom style="medium">
        <color theme="9"/>
      </bottom>
      <diagonal/>
    </border>
    <border>
      <left/>
      <right style="thin">
        <color indexed="64"/>
      </right>
      <top style="medium">
        <color theme="9"/>
      </top>
      <bottom style="thin">
        <color indexed="64"/>
      </bottom>
      <diagonal/>
    </border>
    <border>
      <left/>
      <right style="thin">
        <color indexed="64"/>
      </right>
      <top/>
      <bottom/>
      <diagonal/>
    </border>
    <border>
      <left/>
      <right style="thin">
        <color indexed="64"/>
      </right>
      <top/>
      <bottom style="medium">
        <color theme="9"/>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theme="4" tint="0.39997558519241921"/>
      </top>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22">
    <xf numFmtId="0" fontId="0" fillId="0" borderId="0"/>
    <xf numFmtId="166" fontId="11" fillId="2" borderId="1" applyNumberFormat="0" applyAlignment="0" applyProtection="0"/>
    <xf numFmtId="0" fontId="13" fillId="0" borderId="0" applyNumberFormat="0" applyFill="0" applyBorder="0" applyAlignment="0" applyProtection="0"/>
    <xf numFmtId="0" fontId="14" fillId="0" borderId="2" applyNumberFormat="0" applyFill="0" applyAlignment="0" applyProtection="0"/>
    <xf numFmtId="0" fontId="15" fillId="0" borderId="3" applyNumberFormat="0" applyFill="0" applyAlignment="0" applyProtection="0"/>
    <xf numFmtId="0" fontId="16" fillId="0" borderId="4" applyNumberFormat="0" applyFill="0" applyAlignment="0" applyProtection="0"/>
    <xf numFmtId="0" fontId="16" fillId="0" borderId="0" applyNumberFormat="0" applyFill="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5" applyNumberFormat="0" applyAlignment="0" applyProtection="0"/>
    <xf numFmtId="0" fontId="21" fillId="6" borderId="6" applyNumberFormat="0" applyAlignment="0" applyProtection="0"/>
    <xf numFmtId="0" fontId="22" fillId="0" borderId="7" applyNumberFormat="0" applyFill="0" applyAlignment="0" applyProtection="0"/>
    <xf numFmtId="0" fontId="23" fillId="7" borderId="8" applyNumberFormat="0" applyAlignment="0" applyProtection="0"/>
    <xf numFmtId="0" fontId="24" fillId="0" borderId="0" applyNumberFormat="0" applyFill="0" applyBorder="0" applyAlignment="0" applyProtection="0"/>
    <xf numFmtId="0" fontId="25" fillId="8" borderId="9" applyNumberFormat="0" applyFont="0" applyAlignment="0" applyProtection="0"/>
    <xf numFmtId="0" fontId="26" fillId="0" borderId="0" applyNumberFormat="0" applyFill="0" applyBorder="0" applyAlignment="0" applyProtection="0"/>
    <xf numFmtId="0" fontId="27" fillId="0" borderId="10" applyNumberFormat="0" applyFill="0" applyAlignment="0" applyProtection="0"/>
    <xf numFmtId="0" fontId="28"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8" fillId="16" borderId="0" applyNumberFormat="0" applyBorder="0" applyAlignment="0" applyProtection="0"/>
    <xf numFmtId="0" fontId="28"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8" fillId="20" borderId="0" applyNumberFormat="0" applyBorder="0" applyAlignment="0" applyProtection="0"/>
    <xf numFmtId="0" fontId="28"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8" fillId="24" borderId="0" applyNumberFormat="0" applyBorder="0" applyAlignment="0" applyProtection="0"/>
    <xf numFmtId="0" fontId="28"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8" fillId="28" borderId="0" applyNumberFormat="0" applyBorder="0" applyAlignment="0" applyProtection="0"/>
    <xf numFmtId="0" fontId="28"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8" fillId="32" borderId="0" applyNumberFormat="0" applyBorder="0" applyAlignment="0" applyProtection="0"/>
    <xf numFmtId="167" fontId="30" fillId="33" borderId="1" applyNumberFormat="0" applyFill="0" applyBorder="0" applyAlignment="0" applyProtection="0"/>
    <xf numFmtId="168" fontId="25" fillId="0" borderId="0" applyFont="0" applyFill="0" applyBorder="0" applyAlignment="0" applyProtection="0"/>
    <xf numFmtId="169" fontId="25" fillId="0" borderId="0"/>
    <xf numFmtId="43" fontId="31" fillId="0" borderId="0" applyFont="0" applyFill="0" applyBorder="0" applyAlignment="0" applyProtection="0"/>
    <xf numFmtId="41" fontId="31" fillId="0" borderId="0" applyFont="0" applyFill="0" applyBorder="0" applyAlignment="0" applyProtection="0"/>
    <xf numFmtId="165" fontId="31" fillId="0" borderId="0" applyFont="0" applyFill="0" applyBorder="0" applyAlignment="0" applyProtection="0"/>
    <xf numFmtId="164" fontId="31" fillId="0" borderId="0" applyFont="0" applyFill="0" applyBorder="0" applyAlignment="0" applyProtection="0"/>
    <xf numFmtId="167" fontId="25" fillId="0" borderId="0" applyFont="0" applyFill="0" applyBorder="0" applyAlignment="0" applyProtection="0"/>
    <xf numFmtId="166" fontId="30" fillId="34" borderId="1" applyNumberFormat="0" applyAlignment="0" applyProtection="0"/>
    <xf numFmtId="166" fontId="25" fillId="37" borderId="0"/>
    <xf numFmtId="166" fontId="25" fillId="0" borderId="0"/>
    <xf numFmtId="166" fontId="25" fillId="0" borderId="0"/>
    <xf numFmtId="0" fontId="40" fillId="0" borderId="0"/>
    <xf numFmtId="0" fontId="10" fillId="0" borderId="0"/>
    <xf numFmtId="0" fontId="9" fillId="0" borderId="0"/>
    <xf numFmtId="0" fontId="40" fillId="0" borderId="0"/>
    <xf numFmtId="0" fontId="43" fillId="0" borderId="0" applyNumberFormat="0" applyFill="0" applyBorder="0" applyAlignment="0" applyProtection="0"/>
    <xf numFmtId="0" fontId="8" fillId="0" borderId="0"/>
    <xf numFmtId="9" fontId="8" fillId="0" borderId="0" applyFont="0" applyFill="0" applyBorder="0" applyAlignment="0" applyProtection="0"/>
    <xf numFmtId="0" fontId="44" fillId="0" borderId="0"/>
    <xf numFmtId="0" fontId="7" fillId="0" borderId="0"/>
    <xf numFmtId="43" fontId="7" fillId="0" borderId="0" applyFont="0" applyFill="0" applyBorder="0" applyAlignment="0" applyProtection="0"/>
    <xf numFmtId="43" fontId="7" fillId="0" borderId="0" applyFont="0" applyFill="0" applyBorder="0" applyAlignment="0" applyProtection="0"/>
    <xf numFmtId="0" fontId="6" fillId="0" borderId="0"/>
    <xf numFmtId="0" fontId="25" fillId="0" borderId="0"/>
    <xf numFmtId="0" fontId="51" fillId="0" borderId="0"/>
    <xf numFmtId="0" fontId="51" fillId="0" borderId="0"/>
    <xf numFmtId="0" fontId="5" fillId="0" borderId="0"/>
    <xf numFmtId="0" fontId="56" fillId="0" borderId="0" applyNumberFormat="0" applyFill="0" applyBorder="0" applyAlignment="0" applyProtection="0"/>
    <xf numFmtId="0" fontId="59" fillId="0" borderId="0">
      <alignment vertical="top"/>
      <protection locked="0"/>
    </xf>
    <xf numFmtId="0" fontId="4" fillId="0" borderId="0"/>
    <xf numFmtId="0" fontId="61" fillId="0" borderId="0" applyNumberFormat="0" applyFill="0" applyBorder="0" applyAlignment="0" applyProtection="0"/>
    <xf numFmtId="0" fontId="62" fillId="0" borderId="2" applyNumberFormat="0" applyFill="0" applyAlignment="0" applyProtection="0"/>
    <xf numFmtId="0" fontId="63" fillId="0" borderId="3" applyNumberFormat="0" applyFill="0" applyAlignment="0" applyProtection="0"/>
    <xf numFmtId="0" fontId="64" fillId="0" borderId="4" applyNumberFormat="0" applyFill="0" applyAlignment="0" applyProtection="0"/>
    <xf numFmtId="0" fontId="64" fillId="0" borderId="0" applyNumberFormat="0" applyFill="0" applyBorder="0" applyAlignment="0" applyProtection="0"/>
    <xf numFmtId="0" fontId="65" fillId="3" borderId="0" applyNumberFormat="0" applyBorder="0" applyAlignment="0" applyProtection="0"/>
    <xf numFmtId="0" fontId="66" fillId="4" borderId="0" applyNumberFormat="0" applyBorder="0" applyAlignment="0" applyProtection="0"/>
    <xf numFmtId="0" fontId="67" fillId="5" borderId="0" applyNumberFormat="0" applyBorder="0" applyAlignment="0" applyProtection="0"/>
    <xf numFmtId="0" fontId="68" fillId="47" borderId="6" applyNumberFormat="0" applyAlignment="0" applyProtection="0"/>
    <xf numFmtId="0" fontId="69" fillId="6" borderId="5" applyNumberFormat="0" applyAlignment="0" applyProtection="0"/>
    <xf numFmtId="0" fontId="70" fillId="6" borderId="6" applyNumberFormat="0" applyAlignment="0" applyProtection="0"/>
    <xf numFmtId="0" fontId="71" fillId="0" borderId="7" applyNumberFormat="0" applyFill="0" applyAlignment="0" applyProtection="0"/>
    <xf numFmtId="0" fontId="72" fillId="7" borderId="8" applyNumberFormat="0" applyAlignment="0" applyProtection="0"/>
    <xf numFmtId="0" fontId="73" fillId="0" borderId="0" applyNumberFormat="0" applyFill="0" applyBorder="0" applyAlignment="0" applyProtection="0"/>
    <xf numFmtId="0" fontId="4" fillId="8" borderId="9" applyNumberFormat="0" applyFont="0" applyAlignment="0" applyProtection="0"/>
    <xf numFmtId="0" fontId="74" fillId="0" borderId="0" applyNumberFormat="0" applyFill="0" applyBorder="0" applyAlignment="0" applyProtection="0"/>
    <xf numFmtId="0" fontId="75" fillId="0" borderId="10" applyNumberFormat="0" applyFill="0" applyAlignment="0" applyProtection="0"/>
    <xf numFmtId="0" fontId="76"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76"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76"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76"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76"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76"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0" borderId="0"/>
    <xf numFmtId="0" fontId="77" fillId="0" borderId="0">
      <alignment vertical="top"/>
      <protection locked="0"/>
    </xf>
    <xf numFmtId="0" fontId="2" fillId="0" borderId="0"/>
    <xf numFmtId="0" fontId="1" fillId="0" borderId="0"/>
    <xf numFmtId="166" fontId="25" fillId="0" borderId="0"/>
    <xf numFmtId="43" fontId="1" fillId="0" borderId="0" applyFont="0" applyFill="0" applyBorder="0" applyAlignment="0" applyProtection="0"/>
    <xf numFmtId="9" fontId="1" fillId="0" borderId="0" applyFont="0" applyFill="0" applyBorder="0" applyAlignment="0" applyProtection="0"/>
    <xf numFmtId="0" fontId="84" fillId="0" borderId="0" applyNumberFormat="0" applyFill="0" applyBorder="0" applyAlignment="0" applyProtection="0"/>
  </cellStyleXfs>
  <cellXfs count="296">
    <xf numFmtId="0" fontId="0" fillId="0" borderId="0" xfId="0"/>
    <xf numFmtId="166" fontId="25" fillId="0" borderId="0" xfId="0" applyNumberFormat="1" applyFont="1"/>
    <xf numFmtId="166" fontId="0" fillId="0" borderId="0" xfId="0" applyNumberFormat="1"/>
    <xf numFmtId="166" fontId="30" fillId="0" borderId="0" xfId="42" applyNumberFormat="1" applyFill="1" applyBorder="1" applyAlignment="1">
      <alignment horizontal="center"/>
    </xf>
    <xf numFmtId="166" fontId="0" fillId="0" borderId="0" xfId="0" applyNumberFormat="1" applyAlignment="1">
      <alignment horizontal="center"/>
    </xf>
    <xf numFmtId="0" fontId="33" fillId="35" borderId="0" xfId="0" applyFont="1" applyFill="1" applyAlignment="1">
      <alignment horizontal="left" vertical="center"/>
    </xf>
    <xf numFmtId="0" fontId="32" fillId="35" borderId="0" xfId="0" applyFont="1" applyFill="1" applyAlignment="1">
      <alignment horizontal="right" vertical="center"/>
    </xf>
    <xf numFmtId="166" fontId="0" fillId="35" borderId="0" xfId="0" applyNumberFormat="1" applyFill="1"/>
    <xf numFmtId="0" fontId="14" fillId="36" borderId="0" xfId="0" applyFont="1" applyFill="1" applyAlignment="1">
      <alignment horizontal="left" vertical="center"/>
    </xf>
    <xf numFmtId="0" fontId="36" fillId="36" borderId="0" xfId="0" applyFont="1" applyFill="1" applyAlignment="1">
      <alignment horizontal="right" vertical="center"/>
    </xf>
    <xf numFmtId="166" fontId="36" fillId="36" borderId="0" xfId="0" applyNumberFormat="1" applyFont="1" applyFill="1" applyAlignment="1">
      <alignment horizontal="right"/>
    </xf>
    <xf numFmtId="166" fontId="37" fillId="36" borderId="0" xfId="0" applyNumberFormat="1" applyFont="1" applyFill="1"/>
    <xf numFmtId="166" fontId="38" fillId="0" borderId="11" xfId="0" applyNumberFormat="1" applyFont="1" applyBorder="1"/>
    <xf numFmtId="166" fontId="25" fillId="0" borderId="12" xfId="0" applyNumberFormat="1" applyFont="1" applyBorder="1"/>
    <xf numFmtId="166" fontId="0" fillId="0" borderId="12" xfId="0" applyNumberFormat="1" applyBorder="1"/>
    <xf numFmtId="166" fontId="0" fillId="0" borderId="13" xfId="0" applyNumberFormat="1" applyBorder="1"/>
    <xf numFmtId="166" fontId="25" fillId="0" borderId="14" xfId="0" applyNumberFormat="1" applyFont="1" applyBorder="1"/>
    <xf numFmtId="166" fontId="0" fillId="0" borderId="15" xfId="0" applyNumberFormat="1" applyBorder="1"/>
    <xf numFmtId="166" fontId="25" fillId="0" borderId="16" xfId="0" applyNumberFormat="1" applyFont="1" applyBorder="1"/>
    <xf numFmtId="166" fontId="25" fillId="0" borderId="17" xfId="0" applyNumberFormat="1" applyFont="1" applyBorder="1"/>
    <xf numFmtId="166" fontId="0" fillId="0" borderId="17" xfId="0" applyNumberFormat="1" applyBorder="1"/>
    <xf numFmtId="166" fontId="0" fillId="0" borderId="18" xfId="0" applyNumberFormat="1" applyBorder="1"/>
    <xf numFmtId="166" fontId="34" fillId="0" borderId="12" xfId="0" applyNumberFormat="1" applyFont="1" applyBorder="1"/>
    <xf numFmtId="166" fontId="0" fillId="0" borderId="14" xfId="0" applyNumberFormat="1" applyBorder="1"/>
    <xf numFmtId="166" fontId="0" fillId="0" borderId="16" xfId="0" applyNumberFormat="1" applyBorder="1"/>
    <xf numFmtId="0" fontId="32" fillId="35" borderId="19" xfId="0" applyFont="1" applyFill="1" applyBorder="1" applyAlignment="1">
      <alignment horizontal="right" vertical="center"/>
    </xf>
    <xf numFmtId="0" fontId="35" fillId="35" borderId="19" xfId="0" applyFont="1" applyFill="1" applyBorder="1" applyAlignment="1">
      <alignment horizontal="left" vertical="center"/>
    </xf>
    <xf numFmtId="0" fontId="12" fillId="35" borderId="19" xfId="52" applyNumberFormat="1" applyFont="1" applyFill="1" applyBorder="1" applyAlignment="1">
      <alignment horizontal="left" vertical="center"/>
    </xf>
    <xf numFmtId="166" fontId="38" fillId="0" borderId="0" xfId="0" applyNumberFormat="1" applyFont="1"/>
    <xf numFmtId="0" fontId="39" fillId="36" borderId="0" xfId="0" applyFont="1" applyFill="1" applyAlignment="1">
      <alignment horizontal="center"/>
    </xf>
    <xf numFmtId="166" fontId="41" fillId="36" borderId="0" xfId="0" applyNumberFormat="1" applyFont="1" applyFill="1"/>
    <xf numFmtId="170" fontId="0" fillId="0" borderId="0" xfId="0" applyNumberFormat="1"/>
    <xf numFmtId="166" fontId="41" fillId="38" borderId="0" xfId="0" applyNumberFormat="1" applyFont="1" applyFill="1"/>
    <xf numFmtId="166" fontId="42" fillId="39" borderId="0" xfId="0" applyNumberFormat="1" applyFont="1" applyFill="1"/>
    <xf numFmtId="0" fontId="41" fillId="36" borderId="0" xfId="0" applyFont="1" applyFill="1" applyAlignment="1">
      <alignment horizontal="center"/>
    </xf>
    <xf numFmtId="166" fontId="41" fillId="35" borderId="0" xfId="0" applyNumberFormat="1" applyFont="1" applyFill="1"/>
    <xf numFmtId="166" fontId="42" fillId="35" borderId="0" xfId="0" applyNumberFormat="1" applyFont="1" applyFill="1"/>
    <xf numFmtId="171" fontId="0" fillId="0" borderId="0" xfId="0" applyNumberFormat="1"/>
    <xf numFmtId="166" fontId="41" fillId="41" borderId="0" xfId="0" applyNumberFormat="1" applyFont="1" applyFill="1"/>
    <xf numFmtId="166" fontId="49" fillId="41" borderId="0" xfId="0" applyNumberFormat="1" applyFont="1" applyFill="1"/>
    <xf numFmtId="170" fontId="48" fillId="35" borderId="0" xfId="0" applyNumberFormat="1" applyFont="1" applyFill="1"/>
    <xf numFmtId="166" fontId="0" fillId="0" borderId="0" xfId="0" applyNumberFormat="1" applyAlignment="1">
      <alignment horizontal="left"/>
    </xf>
    <xf numFmtId="166" fontId="25" fillId="0" borderId="0" xfId="0" applyNumberFormat="1" applyFont="1" applyAlignment="1">
      <alignment horizontal="left"/>
    </xf>
    <xf numFmtId="170" fontId="0" fillId="0" borderId="0" xfId="0" applyNumberFormat="1" applyAlignment="1">
      <alignment horizontal="left"/>
    </xf>
    <xf numFmtId="166" fontId="41" fillId="36" borderId="0" xfId="0" applyNumberFormat="1" applyFont="1" applyFill="1" applyAlignment="1">
      <alignment horizontal="left"/>
    </xf>
    <xf numFmtId="0" fontId="41" fillId="36" borderId="0" xfId="0" applyFont="1" applyFill="1" applyAlignment="1">
      <alignment horizontal="left"/>
    </xf>
    <xf numFmtId="0" fontId="0" fillId="0" borderId="0" xfId="0" applyAlignment="1">
      <alignment horizontal="left"/>
    </xf>
    <xf numFmtId="166" fontId="49" fillId="35" borderId="0" xfId="0" applyNumberFormat="1" applyFont="1" applyFill="1"/>
    <xf numFmtId="166" fontId="41" fillId="35" borderId="0" xfId="0" applyNumberFormat="1" applyFont="1" applyFill="1" applyAlignment="1">
      <alignment horizontal="center"/>
    </xf>
    <xf numFmtId="166" fontId="49" fillId="35" borderId="0" xfId="0" applyNumberFormat="1" applyFont="1" applyFill="1" applyAlignment="1">
      <alignment horizontal="left"/>
    </xf>
    <xf numFmtId="0" fontId="41" fillId="35" borderId="0" xfId="0" applyFont="1" applyFill="1" applyAlignment="1">
      <alignment horizontal="left"/>
    </xf>
    <xf numFmtId="0" fontId="39" fillId="35" borderId="0" xfId="0" applyFont="1" applyFill="1" applyAlignment="1">
      <alignment horizontal="center"/>
    </xf>
    <xf numFmtId="166" fontId="38" fillId="35" borderId="0" xfId="0" applyNumberFormat="1" applyFont="1" applyFill="1"/>
    <xf numFmtId="171" fontId="0" fillId="35" borderId="0" xfId="0" applyNumberFormat="1" applyFill="1"/>
    <xf numFmtId="170" fontId="48" fillId="35" borderId="0" xfId="0" applyNumberFormat="1" applyFont="1" applyFill="1" applyAlignment="1">
      <alignment horizontal="left"/>
    </xf>
    <xf numFmtId="0" fontId="0" fillId="0" borderId="0" xfId="0" applyAlignment="1" applyProtection="1">
      <alignment vertical="top"/>
      <protection locked="0"/>
    </xf>
    <xf numFmtId="173" fontId="0" fillId="0" borderId="0" xfId="0" applyNumberFormat="1" applyAlignment="1" applyProtection="1">
      <alignment vertical="top"/>
      <protection locked="0"/>
    </xf>
    <xf numFmtId="166" fontId="25" fillId="35" borderId="0" xfId="0" applyNumberFormat="1" applyFont="1" applyFill="1"/>
    <xf numFmtId="172" fontId="0" fillId="0" borderId="0" xfId="0" applyNumberFormat="1" applyAlignment="1">
      <alignment horizontal="left"/>
    </xf>
    <xf numFmtId="0" fontId="0" fillId="0" borderId="0" xfId="0" pivotButton="1"/>
    <xf numFmtId="3" fontId="0" fillId="0" borderId="0" xfId="0" applyNumberFormat="1"/>
    <xf numFmtId="170" fontId="25" fillId="0" borderId="0" xfId="0" applyNumberFormat="1" applyFont="1" applyAlignment="1">
      <alignment horizontal="left"/>
    </xf>
    <xf numFmtId="170" fontId="49" fillId="35" borderId="0" xfId="0" applyNumberFormat="1" applyFont="1" applyFill="1"/>
    <xf numFmtId="0" fontId="0" fillId="35" borderId="0" xfId="0" applyFill="1" applyAlignment="1">
      <alignment horizontal="left"/>
    </xf>
    <xf numFmtId="0" fontId="50" fillId="35" borderId="0" xfId="0" applyFont="1" applyFill="1" applyAlignment="1" applyProtection="1">
      <alignment vertical="top"/>
      <protection locked="0"/>
    </xf>
    <xf numFmtId="10" fontId="0" fillId="0" borderId="0" xfId="0" applyNumberFormat="1"/>
    <xf numFmtId="2" fontId="0" fillId="0" borderId="0" xfId="49" applyNumberFormat="1" applyFont="1"/>
    <xf numFmtId="167" fontId="0" fillId="0" borderId="0" xfId="49" applyFont="1" applyAlignment="1">
      <alignment horizontal="left"/>
    </xf>
    <xf numFmtId="174" fontId="48" fillId="35" borderId="0" xfId="49" applyNumberFormat="1" applyFont="1" applyFill="1" applyAlignment="1">
      <alignment horizontal="left"/>
    </xf>
    <xf numFmtId="0" fontId="5" fillId="0" borderId="0" xfId="69"/>
    <xf numFmtId="0" fontId="5" fillId="0" borderId="0" xfId="69" applyAlignment="1">
      <alignment horizontal="left"/>
    </xf>
    <xf numFmtId="1" fontId="5" fillId="0" borderId="0" xfId="69" applyNumberFormat="1" applyAlignment="1">
      <alignment horizontal="left"/>
    </xf>
    <xf numFmtId="171" fontId="0" fillId="35" borderId="0" xfId="0" applyNumberFormat="1" applyFill="1" applyAlignment="1">
      <alignment horizontal="center"/>
    </xf>
    <xf numFmtId="171" fontId="25" fillId="35" borderId="0" xfId="0" applyNumberFormat="1" applyFont="1" applyFill="1"/>
    <xf numFmtId="1" fontId="0" fillId="35" borderId="0" xfId="0" applyNumberFormat="1" applyFill="1"/>
    <xf numFmtId="1" fontId="5" fillId="0" borderId="0" xfId="69" applyNumberFormat="1" applyAlignment="1">
      <alignment horizontal="center"/>
    </xf>
    <xf numFmtId="1" fontId="0" fillId="0" borderId="0" xfId="0" applyNumberFormat="1" applyAlignment="1">
      <alignment horizontal="center"/>
    </xf>
    <xf numFmtId="1" fontId="0" fillId="35" borderId="0" xfId="0" applyNumberFormat="1" applyFill="1" applyAlignment="1">
      <alignment horizontal="center"/>
    </xf>
    <xf numFmtId="2" fontId="25" fillId="0" borderId="0" xfId="0" applyNumberFormat="1" applyFont="1"/>
    <xf numFmtId="2" fontId="0" fillId="0" borderId="0" xfId="0" applyNumberFormat="1"/>
    <xf numFmtId="2" fontId="25" fillId="0" borderId="0" xfId="49" applyNumberFormat="1" applyFont="1" applyAlignment="1">
      <alignment horizontal="left"/>
    </xf>
    <xf numFmtId="174" fontId="0" fillId="0" borderId="0" xfId="49" applyNumberFormat="1" applyFont="1"/>
    <xf numFmtId="9" fontId="48" fillId="35" borderId="0" xfId="49" applyNumberFormat="1" applyFont="1" applyFill="1" applyAlignment="1">
      <alignment horizontal="left"/>
    </xf>
    <xf numFmtId="166" fontId="0" fillId="43" borderId="0" xfId="0" applyNumberFormat="1" applyFill="1"/>
    <xf numFmtId="166" fontId="53" fillId="35" borderId="17" xfId="0" applyNumberFormat="1" applyFont="1" applyFill="1" applyBorder="1"/>
    <xf numFmtId="166" fontId="0" fillId="44" borderId="0" xfId="0" applyNumberFormat="1" applyFill="1"/>
    <xf numFmtId="166" fontId="0" fillId="44" borderId="20" xfId="0" applyNumberFormat="1" applyFill="1" applyBorder="1"/>
    <xf numFmtId="166" fontId="25" fillId="44" borderId="21" xfId="0" applyNumberFormat="1" applyFont="1" applyFill="1" applyBorder="1"/>
    <xf numFmtId="167" fontId="25" fillId="0" borderId="0" xfId="49" applyFont="1"/>
    <xf numFmtId="167" fontId="47" fillId="35" borderId="0" xfId="49" applyFont="1" applyFill="1" applyAlignment="1">
      <alignment horizontal="left"/>
    </xf>
    <xf numFmtId="170" fontId="0" fillId="35" borderId="0" xfId="0" applyNumberFormat="1" applyFill="1" applyAlignment="1">
      <alignment horizontal="left"/>
    </xf>
    <xf numFmtId="166" fontId="25" fillId="44" borderId="0" xfId="0" applyNumberFormat="1" applyFont="1" applyFill="1"/>
    <xf numFmtId="0" fontId="52" fillId="0" borderId="20" xfId="0" applyFont="1" applyBorder="1" applyAlignment="1">
      <alignment horizontal="left"/>
    </xf>
    <xf numFmtId="170" fontId="41" fillId="35" borderId="0" xfId="0" applyNumberFormat="1" applyFont="1" applyFill="1"/>
    <xf numFmtId="1" fontId="49" fillId="35" borderId="0" xfId="0" applyNumberFormat="1" applyFont="1" applyFill="1"/>
    <xf numFmtId="1" fontId="49" fillId="35" borderId="0" xfId="49" applyNumberFormat="1" applyFont="1" applyFill="1"/>
    <xf numFmtId="167" fontId="41" fillId="35" borderId="0" xfId="49" applyFont="1" applyFill="1" applyAlignment="1">
      <alignment horizontal="left"/>
    </xf>
    <xf numFmtId="166" fontId="47" fillId="35" borderId="0" xfId="0" applyNumberFormat="1" applyFont="1" applyFill="1"/>
    <xf numFmtId="0" fontId="55" fillId="0" borderId="0" xfId="0" applyFont="1" applyAlignment="1">
      <alignment horizontal="left"/>
    </xf>
    <xf numFmtId="166" fontId="55" fillId="0" borderId="0" xfId="0" applyNumberFormat="1" applyFont="1"/>
    <xf numFmtId="166" fontId="55" fillId="0" borderId="24" xfId="0" applyNumberFormat="1" applyFont="1" applyBorder="1"/>
    <xf numFmtId="0" fontId="41" fillId="41" borderId="0" xfId="0" applyFont="1" applyFill="1" applyAlignment="1">
      <alignment horizontal="left"/>
    </xf>
    <xf numFmtId="0" fontId="25" fillId="0" borderId="0" xfId="0" applyFont="1"/>
    <xf numFmtId="166" fontId="0" fillId="42" borderId="23" xfId="0" applyNumberFormat="1" applyFill="1" applyBorder="1"/>
    <xf numFmtId="166" fontId="0" fillId="40" borderId="23" xfId="0" applyNumberFormat="1" applyFill="1" applyBorder="1"/>
    <xf numFmtId="2" fontId="0" fillId="0" borderId="0" xfId="0" applyNumberFormat="1" applyAlignment="1">
      <alignment horizontal="center" vertical="center"/>
    </xf>
    <xf numFmtId="2" fontId="0" fillId="43" borderId="0" xfId="0" applyNumberFormat="1" applyFill="1" applyAlignment="1">
      <alignment horizontal="center" vertical="center"/>
    </xf>
    <xf numFmtId="2" fontId="0" fillId="43" borderId="20" xfId="0" applyNumberFormat="1" applyFill="1" applyBorder="1" applyAlignment="1">
      <alignment horizontal="center" vertical="center"/>
    </xf>
    <xf numFmtId="2" fontId="0" fillId="0" borderId="21" xfId="0" applyNumberFormat="1" applyBorder="1" applyAlignment="1">
      <alignment horizontal="center" vertical="center"/>
    </xf>
    <xf numFmtId="2" fontId="0" fillId="43" borderId="21" xfId="0" applyNumberFormat="1" applyFill="1" applyBorder="1" applyAlignment="1">
      <alignment horizontal="center" vertical="center"/>
    </xf>
    <xf numFmtId="2" fontId="54" fillId="0" borderId="22" xfId="0" applyNumberFormat="1" applyFont="1" applyBorder="1" applyAlignment="1">
      <alignment horizontal="center" vertical="center"/>
    </xf>
    <xf numFmtId="2" fontId="54" fillId="43" borderId="22" xfId="0" applyNumberFormat="1" applyFont="1" applyFill="1" applyBorder="1" applyAlignment="1">
      <alignment horizontal="center" vertical="center"/>
    </xf>
    <xf numFmtId="175" fontId="0" fillId="43" borderId="0" xfId="0" applyNumberFormat="1" applyFill="1" applyAlignment="1">
      <alignment horizontal="center" vertical="center"/>
    </xf>
    <xf numFmtId="175" fontId="0" fillId="43" borderId="20" xfId="0" applyNumberFormat="1" applyFill="1" applyBorder="1" applyAlignment="1">
      <alignment horizontal="center" vertical="center"/>
    </xf>
    <xf numFmtId="2" fontId="54" fillId="43" borderId="21" xfId="0" applyNumberFormat="1" applyFont="1" applyFill="1" applyBorder="1" applyAlignment="1">
      <alignment horizontal="center" vertical="center"/>
    </xf>
    <xf numFmtId="170" fontId="0" fillId="43" borderId="0" xfId="0" applyNumberFormat="1" applyFill="1" applyAlignment="1">
      <alignment horizontal="center" vertical="center"/>
    </xf>
    <xf numFmtId="170" fontId="0" fillId="43" borderId="21" xfId="0" applyNumberFormat="1" applyFill="1" applyBorder="1" applyAlignment="1">
      <alignment horizontal="center" vertical="center"/>
    </xf>
    <xf numFmtId="167" fontId="48" fillId="35" borderId="0" xfId="49" applyFont="1" applyFill="1" applyAlignment="1">
      <alignment horizontal="center" vertical="center"/>
    </xf>
    <xf numFmtId="167" fontId="48" fillId="43" borderId="0" xfId="49" applyFont="1" applyFill="1" applyAlignment="1">
      <alignment horizontal="center" vertical="center"/>
    </xf>
    <xf numFmtId="167" fontId="48" fillId="35" borderId="20" xfId="49" applyFont="1" applyFill="1" applyBorder="1" applyAlignment="1">
      <alignment horizontal="center" vertical="center"/>
    </xf>
    <xf numFmtId="167" fontId="48" fillId="35" borderId="21" xfId="49" applyFont="1" applyFill="1" applyBorder="1" applyAlignment="1">
      <alignment horizontal="center" vertical="center"/>
    </xf>
    <xf numFmtId="172" fontId="0" fillId="43" borderId="0" xfId="0" applyNumberFormat="1" applyFill="1" applyAlignment="1">
      <alignment horizontal="center" vertical="center"/>
    </xf>
    <xf numFmtId="174" fontId="48" fillId="35" borderId="0" xfId="49" applyNumberFormat="1" applyFont="1" applyFill="1" applyAlignment="1">
      <alignment horizontal="center" vertical="center"/>
    </xf>
    <xf numFmtId="0" fontId="41" fillId="36" borderId="0" xfId="0" applyFont="1" applyFill="1" applyAlignment="1">
      <alignment horizontal="center" vertical="center"/>
    </xf>
    <xf numFmtId="172" fontId="0" fillId="0" borderId="20" xfId="0" applyNumberFormat="1" applyBorder="1" applyAlignment="1">
      <alignment horizontal="center" vertical="center"/>
    </xf>
    <xf numFmtId="2" fontId="25" fillId="0" borderId="0" xfId="0" applyNumberFormat="1" applyFont="1" applyAlignment="1">
      <alignment horizontal="center" vertical="center"/>
    </xf>
    <xf numFmtId="2" fontId="0" fillId="0" borderId="0" xfId="49" applyNumberFormat="1" applyFont="1" applyAlignment="1">
      <alignment horizontal="center" vertical="center"/>
    </xf>
    <xf numFmtId="1" fontId="0" fillId="43" borderId="0" xfId="0" applyNumberFormat="1" applyFill="1" applyAlignment="1">
      <alignment horizontal="center" vertical="center"/>
    </xf>
    <xf numFmtId="1" fontId="25" fillId="43" borderId="0" xfId="49" applyNumberFormat="1" applyFont="1" applyFill="1" applyAlignment="1">
      <alignment horizontal="center" vertical="center"/>
    </xf>
    <xf numFmtId="166" fontId="0" fillId="0" borderId="0" xfId="0" applyNumberFormat="1" applyAlignment="1">
      <alignment horizontal="center" vertical="center"/>
    </xf>
    <xf numFmtId="166" fontId="30" fillId="0" borderId="0" xfId="0" applyNumberFormat="1" applyFont="1" applyAlignment="1">
      <alignment horizontal="center" vertical="center"/>
    </xf>
    <xf numFmtId="166" fontId="42" fillId="40" borderId="0" xfId="0" applyNumberFormat="1" applyFont="1" applyFill="1" applyAlignment="1">
      <alignment horizontal="center" vertical="center"/>
    </xf>
    <xf numFmtId="166" fontId="0" fillId="0" borderId="23" xfId="0" applyNumberFormat="1" applyBorder="1" applyAlignment="1">
      <alignment vertical="center"/>
    </xf>
    <xf numFmtId="166" fontId="0" fillId="43" borderId="23" xfId="0" applyNumberFormat="1" applyFill="1" applyBorder="1" applyAlignment="1">
      <alignment vertical="center"/>
    </xf>
    <xf numFmtId="167" fontId="48" fillId="43" borderId="21" xfId="49" applyFont="1" applyFill="1" applyBorder="1" applyAlignment="1">
      <alignment horizontal="center" vertical="center"/>
    </xf>
    <xf numFmtId="0" fontId="56" fillId="35" borderId="19" xfId="70" applyNumberFormat="1" applyFill="1" applyBorder="1" applyAlignment="1">
      <alignment horizontal="left" vertical="center"/>
    </xf>
    <xf numFmtId="2" fontId="0" fillId="35" borderId="0" xfId="0" applyNumberFormat="1" applyFill="1" applyAlignment="1">
      <alignment horizontal="center" vertical="center"/>
    </xf>
    <xf numFmtId="2" fontId="0" fillId="35" borderId="20" xfId="0" applyNumberFormat="1" applyFill="1" applyBorder="1" applyAlignment="1">
      <alignment horizontal="center" vertical="center"/>
    </xf>
    <xf numFmtId="166" fontId="52" fillId="44" borderId="23" xfId="0" applyNumberFormat="1" applyFont="1" applyFill="1" applyBorder="1"/>
    <xf numFmtId="166" fontId="25" fillId="0" borderId="25" xfId="0" applyNumberFormat="1" applyFont="1" applyBorder="1"/>
    <xf numFmtId="175" fontId="0" fillId="35" borderId="0" xfId="0" applyNumberFormat="1" applyFill="1" applyAlignment="1">
      <alignment horizontal="center" vertical="center"/>
    </xf>
    <xf numFmtId="175" fontId="0" fillId="35" borderId="20" xfId="0" applyNumberFormat="1" applyFill="1" applyBorder="1" applyAlignment="1">
      <alignment horizontal="center" vertical="center"/>
    </xf>
    <xf numFmtId="2" fontId="0" fillId="35" borderId="21" xfId="0" applyNumberFormat="1" applyFill="1" applyBorder="1" applyAlignment="1">
      <alignment horizontal="center" vertical="center"/>
    </xf>
    <xf numFmtId="2" fontId="54" fillId="35" borderId="23" xfId="0" applyNumberFormat="1" applyFont="1" applyFill="1" applyBorder="1" applyAlignment="1">
      <alignment horizontal="center" vertical="center"/>
    </xf>
    <xf numFmtId="166" fontId="25" fillId="0" borderId="25" xfId="0" applyNumberFormat="1" applyFont="1" applyBorder="1" applyAlignment="1">
      <alignment horizontal="centerContinuous"/>
    </xf>
    <xf numFmtId="166" fontId="0" fillId="0" borderId="27" xfId="0" applyNumberFormat="1" applyBorder="1" applyAlignment="1">
      <alignment horizontal="centerContinuous"/>
    </xf>
    <xf numFmtId="166" fontId="0" fillId="0" borderId="26" xfId="0" applyNumberFormat="1" applyBorder="1" applyAlignment="1">
      <alignment horizontal="centerContinuous"/>
    </xf>
    <xf numFmtId="166" fontId="25" fillId="0" borderId="27" xfId="0" applyNumberFormat="1" applyFont="1" applyBorder="1" applyAlignment="1">
      <alignment horizontal="center"/>
    </xf>
    <xf numFmtId="167" fontId="42" fillId="35" borderId="1" xfId="49" applyFont="1" applyFill="1" applyBorder="1"/>
    <xf numFmtId="166" fontId="25" fillId="35" borderId="0" xfId="0" applyNumberFormat="1" applyFont="1" applyFill="1" applyAlignment="1">
      <alignment horizontal="left"/>
    </xf>
    <xf numFmtId="166" fontId="56" fillId="35" borderId="0" xfId="70" applyNumberFormat="1" applyFill="1"/>
    <xf numFmtId="166" fontId="0" fillId="35" borderId="0" xfId="0" applyNumberFormat="1" applyFill="1" applyAlignment="1">
      <alignment horizontal="left"/>
    </xf>
    <xf numFmtId="167" fontId="56" fillId="35" borderId="0" xfId="70" applyNumberFormat="1" applyFill="1" applyAlignment="1">
      <alignment horizontal="left"/>
    </xf>
    <xf numFmtId="166" fontId="25" fillId="34" borderId="0" xfId="50" applyNumberFormat="1" applyFont="1" applyBorder="1" applyAlignment="1">
      <alignment horizontal="center"/>
    </xf>
    <xf numFmtId="2" fontId="25" fillId="35" borderId="0" xfId="49" applyNumberFormat="1" applyFont="1" applyFill="1" applyAlignment="1">
      <alignment horizontal="center" vertical="center"/>
    </xf>
    <xf numFmtId="174" fontId="45" fillId="35" borderId="0" xfId="49" applyNumberFormat="1" applyFont="1" applyFill="1" applyAlignment="1">
      <alignment horizontal="center" vertical="center"/>
    </xf>
    <xf numFmtId="174" fontId="45" fillId="35" borderId="20" xfId="49" applyNumberFormat="1" applyFont="1" applyFill="1" applyBorder="1" applyAlignment="1">
      <alignment horizontal="center" vertical="center"/>
    </xf>
    <xf numFmtId="174" fontId="48" fillId="35" borderId="20" xfId="49" applyNumberFormat="1" applyFont="1" applyFill="1" applyBorder="1" applyAlignment="1">
      <alignment horizontal="center" vertical="center"/>
    </xf>
    <xf numFmtId="167" fontId="47" fillId="42" borderId="0" xfId="49" applyFont="1" applyFill="1" applyAlignment="1">
      <alignment horizontal="left"/>
    </xf>
    <xf numFmtId="174" fontId="42" fillId="35" borderId="0" xfId="49" applyNumberFormat="1" applyFont="1" applyFill="1" applyAlignment="1">
      <alignment horizontal="center" vertical="center"/>
    </xf>
    <xf numFmtId="166" fontId="0" fillId="0" borderId="28" xfId="0" applyNumberFormat="1" applyBorder="1"/>
    <xf numFmtId="166" fontId="0" fillId="0" borderId="29" xfId="0" applyNumberFormat="1" applyBorder="1"/>
    <xf numFmtId="166" fontId="49" fillId="46" borderId="30" xfId="0" applyNumberFormat="1" applyFont="1" applyFill="1" applyBorder="1"/>
    <xf numFmtId="166" fontId="55" fillId="40" borderId="0" xfId="0" applyNumberFormat="1" applyFont="1" applyFill="1"/>
    <xf numFmtId="170" fontId="0" fillId="35" borderId="0" xfId="0" applyNumberFormat="1" applyFill="1"/>
    <xf numFmtId="166" fontId="57" fillId="46" borderId="31" xfId="0" applyNumberFormat="1" applyFont="1" applyFill="1" applyBorder="1"/>
    <xf numFmtId="166" fontId="55" fillId="40" borderId="32" xfId="0" applyNumberFormat="1" applyFont="1" applyFill="1" applyBorder="1"/>
    <xf numFmtId="170" fontId="0" fillId="35" borderId="32" xfId="0" applyNumberFormat="1" applyFill="1" applyBorder="1"/>
    <xf numFmtId="170" fontId="0" fillId="35" borderId="34" xfId="0" applyNumberFormat="1" applyFill="1" applyBorder="1"/>
    <xf numFmtId="170" fontId="0" fillId="35" borderId="35" xfId="0" applyNumberFormat="1" applyFill="1" applyBorder="1"/>
    <xf numFmtId="166" fontId="58" fillId="0" borderId="1" xfId="0" applyNumberFormat="1" applyFont="1" applyBorder="1"/>
    <xf numFmtId="174" fontId="0" fillId="0" borderId="34" xfId="49" applyNumberFormat="1" applyFont="1" applyBorder="1"/>
    <xf numFmtId="174" fontId="0" fillId="0" borderId="37" xfId="49" applyNumberFormat="1" applyFont="1" applyBorder="1"/>
    <xf numFmtId="166" fontId="0" fillId="0" borderId="38" xfId="0" applyNumberFormat="1" applyBorder="1"/>
    <xf numFmtId="166" fontId="0" fillId="0" borderId="36" xfId="0" applyNumberFormat="1" applyBorder="1"/>
    <xf numFmtId="174" fontId="60" fillId="40" borderId="0" xfId="49" applyNumberFormat="1" applyFont="1" applyFill="1"/>
    <xf numFmtId="0" fontId="4" fillId="0" borderId="0" xfId="72"/>
    <xf numFmtId="170" fontId="0" fillId="35" borderId="0" xfId="0" applyNumberFormat="1" applyFill="1" applyAlignment="1">
      <alignment horizontal="center" vertical="center"/>
    </xf>
    <xf numFmtId="170" fontId="0" fillId="35" borderId="21" xfId="0" applyNumberFormat="1" applyFill="1" applyBorder="1" applyAlignment="1">
      <alignment horizontal="center" vertical="center"/>
    </xf>
    <xf numFmtId="167" fontId="0" fillId="0" borderId="0" xfId="49" applyFont="1"/>
    <xf numFmtId="0" fontId="56" fillId="0" borderId="0" xfId="70"/>
    <xf numFmtId="0" fontId="4" fillId="0" borderId="0" xfId="69" applyFont="1" applyAlignment="1">
      <alignment horizontal="left"/>
    </xf>
    <xf numFmtId="0" fontId="14" fillId="35" borderId="0" xfId="0" applyFont="1" applyFill="1" applyAlignment="1">
      <alignment horizontal="left" vertical="center"/>
    </xf>
    <xf numFmtId="0" fontId="36" fillId="35" borderId="0" xfId="0" applyFont="1" applyFill="1" applyAlignment="1">
      <alignment horizontal="right" vertical="center"/>
    </xf>
    <xf numFmtId="166" fontId="36" fillId="35" borderId="0" xfId="0" applyNumberFormat="1" applyFont="1" applyFill="1" applyAlignment="1">
      <alignment horizontal="right"/>
    </xf>
    <xf numFmtId="166" fontId="37" fillId="35" borderId="0" xfId="0" applyNumberFormat="1" applyFont="1" applyFill="1"/>
    <xf numFmtId="176" fontId="48" fillId="35" borderId="20" xfId="49" applyNumberFormat="1" applyFont="1" applyFill="1" applyBorder="1" applyAlignment="1">
      <alignment horizontal="center" vertical="center"/>
    </xf>
    <xf numFmtId="166" fontId="52" fillId="0" borderId="0" xfId="0" applyNumberFormat="1" applyFont="1"/>
    <xf numFmtId="0" fontId="14" fillId="0" borderId="0" xfId="0" applyFont="1" applyAlignment="1">
      <alignment horizontal="left" vertical="center"/>
    </xf>
    <xf numFmtId="166" fontId="37" fillId="0" borderId="0" xfId="0" applyNumberFormat="1" applyFont="1"/>
    <xf numFmtId="174" fontId="25" fillId="0" borderId="0" xfId="49" applyNumberFormat="1" applyFont="1"/>
    <xf numFmtId="170" fontId="52" fillId="0" borderId="0" xfId="0" applyNumberFormat="1" applyFont="1" applyAlignment="1">
      <alignment horizontal="left"/>
    </xf>
    <xf numFmtId="1" fontId="25" fillId="35" borderId="0" xfId="0" applyNumberFormat="1" applyFont="1" applyFill="1"/>
    <xf numFmtId="172" fontId="0" fillId="0" borderId="0" xfId="0" applyNumberFormat="1"/>
    <xf numFmtId="0" fontId="0" fillId="0" borderId="0" xfId="0" applyNumberFormat="1"/>
    <xf numFmtId="167" fontId="0" fillId="35" borderId="0" xfId="49" applyFont="1" applyFill="1"/>
    <xf numFmtId="1" fontId="4" fillId="0" borderId="0" xfId="72" applyNumberFormat="1"/>
    <xf numFmtId="0" fontId="0" fillId="45" borderId="0" xfId="0" applyFill="1" applyAlignment="1">
      <alignment horizontal="left"/>
    </xf>
    <xf numFmtId="0" fontId="78" fillId="49" borderId="0" xfId="0" applyFont="1" applyFill="1" applyAlignment="1">
      <alignment horizontal="center" vertical="center"/>
    </xf>
    <xf numFmtId="0" fontId="79" fillId="0" borderId="0" xfId="0" applyFont="1"/>
    <xf numFmtId="0" fontId="79" fillId="50" borderId="1" xfId="0" applyFont="1" applyFill="1" applyBorder="1" applyAlignment="1">
      <alignment horizontal="center" vertical="center"/>
    </xf>
    <xf numFmtId="0" fontId="79" fillId="50" borderId="40" xfId="0" applyFont="1" applyFill="1" applyBorder="1" applyAlignment="1">
      <alignment horizontal="center" vertical="center"/>
    </xf>
    <xf numFmtId="0" fontId="0" fillId="0" borderId="1" xfId="0" applyBorder="1" applyAlignment="1">
      <alignment horizontal="right" vertical="center"/>
    </xf>
    <xf numFmtId="0" fontId="0" fillId="0" borderId="1" xfId="0" applyBorder="1"/>
    <xf numFmtId="4" fontId="0" fillId="0" borderId="1" xfId="0" applyNumberFormat="1" applyBorder="1" applyAlignment="1">
      <alignment horizontal="right" vertical="center"/>
    </xf>
    <xf numFmtId="177" fontId="0" fillId="0" borderId="0" xfId="0" applyNumberFormat="1"/>
    <xf numFmtId="0" fontId="79" fillId="0" borderId="1" xfId="0" applyFont="1" applyBorder="1"/>
    <xf numFmtId="3" fontId="79" fillId="0" borderId="1" xfId="0" applyNumberFormat="1" applyFont="1" applyBorder="1" applyAlignment="1">
      <alignment horizontal="right" vertical="center"/>
    </xf>
    <xf numFmtId="178" fontId="0" fillId="0" borderId="0" xfId="0" applyNumberFormat="1"/>
    <xf numFmtId="173" fontId="77" fillId="0" borderId="0" xfId="115" applyNumberFormat="1">
      <alignment vertical="top"/>
      <protection locked="0"/>
    </xf>
    <xf numFmtId="1" fontId="48" fillId="48" borderId="39" xfId="0" applyNumberFormat="1" applyFont="1" applyFill="1" applyBorder="1"/>
    <xf numFmtId="1" fontId="2" fillId="0" borderId="0" xfId="116" applyNumberFormat="1"/>
    <xf numFmtId="1" fontId="0" fillId="0" borderId="0" xfId="0" applyNumberFormat="1"/>
    <xf numFmtId="3" fontId="25" fillId="35" borderId="0" xfId="49" applyNumberFormat="1" applyFont="1" applyFill="1" applyAlignment="1">
      <alignment horizontal="center" vertical="center"/>
    </xf>
    <xf numFmtId="170" fontId="42" fillId="0" borderId="0" xfId="0" applyNumberFormat="1" applyFont="1"/>
    <xf numFmtId="167" fontId="30" fillId="0" borderId="0" xfId="49" applyFont="1"/>
    <xf numFmtId="172" fontId="52" fillId="0" borderId="0" xfId="0" applyNumberFormat="1" applyFont="1"/>
    <xf numFmtId="166" fontId="25" fillId="43" borderId="23" xfId="0" applyNumberFormat="1" applyFont="1" applyFill="1" applyBorder="1" applyAlignment="1">
      <alignment vertical="center"/>
    </xf>
    <xf numFmtId="167" fontId="37" fillId="0" borderId="0" xfId="49" applyFont="1"/>
    <xf numFmtId="2" fontId="25" fillId="0" borderId="0" xfId="49" applyNumberFormat="1" applyFont="1"/>
    <xf numFmtId="0" fontId="1" fillId="0" borderId="0" xfId="117"/>
    <xf numFmtId="0" fontId="1" fillId="35" borderId="0" xfId="117" applyFill="1"/>
    <xf numFmtId="0" fontId="32" fillId="35" borderId="19" xfId="117" applyFont="1" applyFill="1" applyBorder="1" applyAlignment="1">
      <alignment horizontal="right" vertical="center"/>
    </xf>
    <xf numFmtId="0" fontId="33" fillId="35" borderId="0" xfId="117" applyFont="1" applyFill="1" applyAlignment="1">
      <alignment horizontal="left" vertical="center"/>
    </xf>
    <xf numFmtId="0" fontId="32" fillId="35" borderId="0" xfId="117" applyFont="1" applyFill="1" applyAlignment="1">
      <alignment horizontal="right" vertical="center"/>
    </xf>
    <xf numFmtId="166" fontId="1" fillId="35" borderId="0" xfId="117" applyNumberFormat="1" applyFill="1"/>
    <xf numFmtId="0" fontId="35" fillId="35" borderId="19" xfId="117" applyFont="1" applyFill="1" applyBorder="1" applyAlignment="1">
      <alignment horizontal="left" vertical="center"/>
    </xf>
    <xf numFmtId="0" fontId="12" fillId="35" borderId="19" xfId="118" applyNumberFormat="1" applyFont="1" applyFill="1" applyBorder="1" applyAlignment="1">
      <alignment horizontal="left" vertical="center"/>
    </xf>
    <xf numFmtId="0" fontId="80" fillId="35" borderId="19" xfId="118" applyNumberFormat="1" applyFont="1" applyFill="1" applyBorder="1" applyAlignment="1">
      <alignment horizontal="left" vertical="center"/>
    </xf>
    <xf numFmtId="0" fontId="14" fillId="51" borderId="0" xfId="117" applyFont="1" applyFill="1" applyAlignment="1">
      <alignment horizontal="left" vertical="center"/>
    </xf>
    <xf numFmtId="0" fontId="36" fillId="51" borderId="0" xfId="117" applyFont="1" applyFill="1" applyAlignment="1">
      <alignment horizontal="right" vertical="center"/>
    </xf>
    <xf numFmtId="166" fontId="36" fillId="51" borderId="0" xfId="117" applyNumberFormat="1" applyFont="1" applyFill="1" applyAlignment="1">
      <alignment horizontal="right"/>
    </xf>
    <xf numFmtId="166" fontId="37" fillId="51" borderId="0" xfId="117" applyNumberFormat="1" applyFont="1" applyFill="1"/>
    <xf numFmtId="0" fontId="14" fillId="35" borderId="0" xfId="117" applyFont="1" applyFill="1" applyAlignment="1">
      <alignment horizontal="left" vertical="center"/>
    </xf>
    <xf numFmtId="0" fontId="36" fillId="35" borderId="0" xfId="117" applyFont="1" applyFill="1" applyAlignment="1">
      <alignment horizontal="right" vertical="center"/>
    </xf>
    <xf numFmtId="166" fontId="36" fillId="35" borderId="0" xfId="117" applyNumberFormat="1" applyFont="1" applyFill="1" applyAlignment="1">
      <alignment horizontal="right"/>
    </xf>
    <xf numFmtId="166" fontId="37" fillId="35" borderId="0" xfId="117" applyNumberFormat="1" applyFont="1" applyFill="1"/>
    <xf numFmtId="4" fontId="1" fillId="0" borderId="0" xfId="117" applyNumberFormat="1"/>
    <xf numFmtId="0" fontId="1" fillId="0" borderId="1" xfId="117" applyBorder="1"/>
    <xf numFmtId="4" fontId="1" fillId="0" borderId="1" xfId="117" applyNumberFormat="1" applyBorder="1" applyAlignment="1">
      <alignment horizontal="right" vertical="center"/>
    </xf>
    <xf numFmtId="0" fontId="1" fillId="0" borderId="0" xfId="117" applyAlignment="1">
      <alignment horizontal="left"/>
    </xf>
    <xf numFmtId="0" fontId="1" fillId="0" borderId="0" xfId="117" applyAlignment="1">
      <alignment horizontal="left" indent="1"/>
    </xf>
    <xf numFmtId="177" fontId="1" fillId="0" borderId="0" xfId="117" applyNumberFormat="1"/>
    <xf numFmtId="0" fontId="79" fillId="0" borderId="0" xfId="117" applyFont="1"/>
    <xf numFmtId="0" fontId="79" fillId="50" borderId="1" xfId="117" applyFont="1" applyFill="1" applyBorder="1" applyAlignment="1">
      <alignment horizontal="center" vertical="center"/>
    </xf>
    <xf numFmtId="0" fontId="79" fillId="50" borderId="40" xfId="117" applyFont="1" applyFill="1" applyBorder="1" applyAlignment="1">
      <alignment horizontal="center" vertical="center"/>
    </xf>
    <xf numFmtId="0" fontId="1" fillId="0" borderId="40" xfId="117" applyBorder="1"/>
    <xf numFmtId="43" fontId="1" fillId="0" borderId="0" xfId="117" applyNumberFormat="1"/>
    <xf numFmtId="0" fontId="79" fillId="52" borderId="1" xfId="117" applyFont="1" applyFill="1" applyBorder="1" applyAlignment="1">
      <alignment vertical="center"/>
    </xf>
    <xf numFmtId="4" fontId="79" fillId="52" borderId="1" xfId="117" applyNumberFormat="1" applyFont="1" applyFill="1" applyBorder="1" applyAlignment="1">
      <alignment horizontal="right" vertical="center"/>
    </xf>
    <xf numFmtId="178" fontId="1" fillId="0" borderId="0" xfId="117" applyNumberFormat="1"/>
    <xf numFmtId="0" fontId="1" fillId="0" borderId="1" xfId="117" applyBorder="1" applyAlignment="1">
      <alignment horizontal="right" vertical="center"/>
    </xf>
    <xf numFmtId="0" fontId="78" fillId="49" borderId="0" xfId="117" applyFont="1" applyFill="1" applyAlignment="1">
      <alignment horizontal="center" vertical="center"/>
    </xf>
    <xf numFmtId="177" fontId="1" fillId="0" borderId="0" xfId="117" applyNumberFormat="1" applyAlignment="1">
      <alignment horizontal="left"/>
    </xf>
    <xf numFmtId="0" fontId="79" fillId="0" borderId="1" xfId="117" applyFont="1" applyBorder="1"/>
    <xf numFmtId="3" fontId="79" fillId="0" borderId="1" xfId="117" applyNumberFormat="1" applyFont="1" applyBorder="1" applyAlignment="1">
      <alignment horizontal="right" vertical="center"/>
    </xf>
    <xf numFmtId="0" fontId="1" fillId="0" borderId="1" xfId="117" applyBorder="1" applyAlignment="1">
      <alignment horizontal="center" vertical="center"/>
    </xf>
    <xf numFmtId="0" fontId="63" fillId="0" borderId="3" xfId="75"/>
    <xf numFmtId="0" fontId="75" fillId="0" borderId="1" xfId="117" applyFont="1" applyBorder="1"/>
    <xf numFmtId="14" fontId="1" fillId="0" borderId="1" xfId="117" applyNumberFormat="1" applyBorder="1"/>
    <xf numFmtId="177" fontId="0" fillId="0" borderId="1" xfId="119" applyNumberFormat="1" applyFont="1" applyBorder="1"/>
    <xf numFmtId="0" fontId="81" fillId="0" borderId="0" xfId="117" applyFont="1"/>
    <xf numFmtId="9" fontId="1" fillId="0" borderId="1" xfId="117" applyNumberFormat="1" applyBorder="1"/>
    <xf numFmtId="43" fontId="0" fillId="0" borderId="1" xfId="119" applyFont="1" applyBorder="1"/>
    <xf numFmtId="43" fontId="1" fillId="0" borderId="1" xfId="117" applyNumberFormat="1" applyBorder="1"/>
    <xf numFmtId="0" fontId="81" fillId="0" borderId="1" xfId="117" applyFont="1" applyBorder="1"/>
    <xf numFmtId="178" fontId="1" fillId="0" borderId="1" xfId="117" applyNumberFormat="1" applyBorder="1"/>
    <xf numFmtId="9" fontId="0" fillId="0" borderId="1" xfId="120" applyFont="1" applyBorder="1"/>
    <xf numFmtId="43" fontId="75" fillId="0" borderId="1" xfId="117" applyNumberFormat="1" applyFont="1" applyBorder="1"/>
    <xf numFmtId="177" fontId="1" fillId="0" borderId="1" xfId="117" applyNumberFormat="1" applyBorder="1"/>
    <xf numFmtId="177" fontId="81" fillId="0" borderId="1" xfId="119" applyNumberFormat="1" applyFont="1" applyBorder="1"/>
    <xf numFmtId="0" fontId="82" fillId="53" borderId="41" xfId="117" applyFont="1" applyFill="1" applyBorder="1" applyAlignment="1">
      <alignment horizontal="left" vertical="center" wrapText="1"/>
    </xf>
    <xf numFmtId="0" fontId="82" fillId="53" borderId="42" xfId="117" applyFont="1" applyFill="1" applyBorder="1" applyAlignment="1">
      <alignment horizontal="left" vertical="center" wrapText="1"/>
    </xf>
    <xf numFmtId="17" fontId="83" fillId="54" borderId="41" xfId="117" applyNumberFormat="1" applyFont="1" applyFill="1" applyBorder="1" applyAlignment="1">
      <alignment horizontal="right" vertical="center" wrapText="1"/>
    </xf>
    <xf numFmtId="0" fontId="83" fillId="54" borderId="41" xfId="117" applyFont="1" applyFill="1" applyBorder="1" applyAlignment="1">
      <alignment horizontal="right" vertical="center" wrapText="1"/>
    </xf>
    <xf numFmtId="0" fontId="84" fillId="0" borderId="0" xfId="121"/>
    <xf numFmtId="17" fontId="83" fillId="55" borderId="41" xfId="117" applyNumberFormat="1" applyFont="1" applyFill="1" applyBorder="1" applyAlignment="1">
      <alignment horizontal="right" vertical="center" wrapText="1"/>
    </xf>
    <xf numFmtId="0" fontId="83" fillId="55" borderId="41" xfId="117" applyFont="1" applyFill="1" applyBorder="1" applyAlignment="1">
      <alignment horizontal="right" vertical="center" wrapText="1"/>
    </xf>
    <xf numFmtId="10" fontId="83" fillId="55" borderId="41" xfId="117" applyNumberFormat="1" applyFont="1" applyFill="1" applyBorder="1" applyAlignment="1">
      <alignment horizontal="right" vertical="center" wrapText="1"/>
    </xf>
    <xf numFmtId="10" fontId="83" fillId="54" borderId="41" xfId="117" applyNumberFormat="1" applyFont="1" applyFill="1" applyBorder="1" applyAlignment="1">
      <alignment horizontal="right" vertical="center" wrapText="1"/>
    </xf>
    <xf numFmtId="0" fontId="85" fillId="56" borderId="43" xfId="54" applyFont="1" applyFill="1" applyBorder="1" applyAlignment="1">
      <alignment horizontal="left"/>
    </xf>
    <xf numFmtId="166" fontId="86" fillId="56" borderId="43" xfId="52" applyFont="1" applyFill="1" applyBorder="1"/>
    <xf numFmtId="0" fontId="86" fillId="56" borderId="43" xfId="0" applyFont="1" applyFill="1" applyBorder="1"/>
    <xf numFmtId="166" fontId="86" fillId="0" borderId="43" xfId="53" applyFont="1" applyBorder="1" applyAlignment="1">
      <alignment horizontal="left"/>
    </xf>
    <xf numFmtId="177" fontId="86" fillId="0" borderId="43" xfId="53" applyNumberFormat="1" applyFont="1" applyBorder="1"/>
    <xf numFmtId="178" fontId="86" fillId="0" borderId="43" xfId="0" applyNumberFormat="1" applyFont="1" applyBorder="1"/>
    <xf numFmtId="0" fontId="86" fillId="0" borderId="43" xfId="0" applyFont="1" applyBorder="1"/>
    <xf numFmtId="166" fontId="52" fillId="35" borderId="0" xfId="0" applyNumberFormat="1" applyFont="1" applyFill="1"/>
    <xf numFmtId="166" fontId="25" fillId="35" borderId="25" xfId="0" applyNumberFormat="1" applyFont="1" applyFill="1" applyBorder="1" applyAlignment="1">
      <alignment horizontal="center"/>
    </xf>
    <xf numFmtId="166" fontId="25" fillId="35" borderId="27" xfId="0" applyNumberFormat="1" applyFont="1" applyFill="1" applyBorder="1" applyAlignment="1">
      <alignment horizontal="center"/>
    </xf>
    <xf numFmtId="166" fontId="25" fillId="35" borderId="26" xfId="0" applyNumberFormat="1" applyFont="1" applyFill="1" applyBorder="1" applyAlignment="1">
      <alignment horizontal="center"/>
    </xf>
    <xf numFmtId="166" fontId="58" fillId="0" borderId="29" xfId="0" applyNumberFormat="1" applyFont="1" applyBorder="1" applyAlignment="1">
      <alignment horizontal="center"/>
    </xf>
    <xf numFmtId="166" fontId="58" fillId="0" borderId="33" xfId="0" applyNumberFormat="1" applyFont="1" applyBorder="1" applyAlignment="1">
      <alignment horizontal="center"/>
    </xf>
    <xf numFmtId="166" fontId="52" fillId="40" borderId="0" xfId="0" applyNumberFormat="1" applyFont="1" applyFill="1" applyAlignment="1">
      <alignment horizontal="center"/>
    </xf>
    <xf numFmtId="0" fontId="78" fillId="49" borderId="1" xfId="0" applyFont="1" applyFill="1" applyBorder="1" applyAlignment="1">
      <alignment horizontal="center" vertical="center"/>
    </xf>
    <xf numFmtId="0" fontId="78" fillId="49" borderId="1" xfId="117" applyFont="1" applyFill="1" applyBorder="1" applyAlignment="1">
      <alignment horizontal="center" vertical="center"/>
    </xf>
  </cellXfs>
  <cellStyles count="122">
    <cellStyle name="20% - Accent1" xfId="19" builtinId="30" hidden="1"/>
    <cellStyle name="20% - Accent1" xfId="91" builtinId="30" customBuiltin="1"/>
    <cellStyle name="20% - Accent2" xfId="23" builtinId="34" hidden="1"/>
    <cellStyle name="20% - Accent2" xfId="95" builtinId="34" customBuiltin="1"/>
    <cellStyle name="20% - Accent3" xfId="27" builtinId="38" hidden="1"/>
    <cellStyle name="20% - Accent3" xfId="99" builtinId="38" customBuiltin="1"/>
    <cellStyle name="20% - Accent4" xfId="31" builtinId="42" hidden="1"/>
    <cellStyle name="20% - Accent4" xfId="103" builtinId="42" customBuiltin="1"/>
    <cellStyle name="20% - Accent5" xfId="35" builtinId="46" hidden="1"/>
    <cellStyle name="20% - Accent5" xfId="107" builtinId="46" customBuiltin="1"/>
    <cellStyle name="20% - Accent6" xfId="39" builtinId="50" hidden="1"/>
    <cellStyle name="20% - Accent6" xfId="111" builtinId="50" customBuiltin="1"/>
    <cellStyle name="40% - Accent1" xfId="20" builtinId="31" hidden="1"/>
    <cellStyle name="40% - Accent1" xfId="92" builtinId="31" customBuiltin="1"/>
    <cellStyle name="40% - Accent2" xfId="24" builtinId="35" hidden="1"/>
    <cellStyle name="40% - Accent2" xfId="96" builtinId="35" customBuiltin="1"/>
    <cellStyle name="40% - Accent3" xfId="28" builtinId="39" hidden="1"/>
    <cellStyle name="40% - Accent3" xfId="100" builtinId="39" customBuiltin="1"/>
    <cellStyle name="40% - Accent4" xfId="32" builtinId="43" hidden="1"/>
    <cellStyle name="40% - Accent4" xfId="104" builtinId="43" customBuiltin="1"/>
    <cellStyle name="40% - Accent5" xfId="36" builtinId="47" hidden="1"/>
    <cellStyle name="40% - Accent5" xfId="108" builtinId="47" customBuiltin="1"/>
    <cellStyle name="40% - Accent6" xfId="40" builtinId="51" hidden="1"/>
    <cellStyle name="40% - Accent6" xfId="112" builtinId="51" customBuiltin="1"/>
    <cellStyle name="60% - Accent1" xfId="21" builtinId="32" hidden="1"/>
    <cellStyle name="60% - Accent1" xfId="93" builtinId="32" customBuiltin="1"/>
    <cellStyle name="60% - Accent2" xfId="25" builtinId="36" hidden="1"/>
    <cellStyle name="60% - Accent2" xfId="97" builtinId="36" customBuiltin="1"/>
    <cellStyle name="60% - Accent3" xfId="29" builtinId="40" hidden="1"/>
    <cellStyle name="60% - Accent3" xfId="101" builtinId="40" customBuiltin="1"/>
    <cellStyle name="60% - Accent4" xfId="33" builtinId="44" hidden="1"/>
    <cellStyle name="60% - Accent4" xfId="105" builtinId="44" customBuiltin="1"/>
    <cellStyle name="60% - Accent5" xfId="37" builtinId="48" hidden="1"/>
    <cellStyle name="60% - Accent5" xfId="109" builtinId="48" customBuiltin="1"/>
    <cellStyle name="60% - Accent6" xfId="41" builtinId="52" hidden="1"/>
    <cellStyle name="60% - Accent6" xfId="113" builtinId="52" customBuiltin="1"/>
    <cellStyle name="Accent1" xfId="18" builtinId="29" hidden="1"/>
    <cellStyle name="Accent1" xfId="90" builtinId="29" customBuiltin="1"/>
    <cellStyle name="Accent2" xfId="22" builtinId="33" hidden="1"/>
    <cellStyle name="Accent2" xfId="94" builtinId="33" customBuiltin="1"/>
    <cellStyle name="Accent3" xfId="26" builtinId="37" hidden="1"/>
    <cellStyle name="Accent3" xfId="98" builtinId="37" customBuiltin="1"/>
    <cellStyle name="Accent4" xfId="30" builtinId="41" hidden="1"/>
    <cellStyle name="Accent4" xfId="102" builtinId="41" customBuiltin="1"/>
    <cellStyle name="Accent5" xfId="34" builtinId="45" hidden="1"/>
    <cellStyle name="Accent5" xfId="106" builtinId="45" customBuiltin="1"/>
    <cellStyle name="Accent6" xfId="38" builtinId="49" hidden="1"/>
    <cellStyle name="Accent6" xfId="110" builtinId="49" customBuiltin="1"/>
    <cellStyle name="Assumptions" xfId="50" xr:uid="{00000000-0005-0000-0000-000018000000}"/>
    <cellStyle name="Bad" xfId="8" builtinId="27" hidden="1"/>
    <cellStyle name="Bad" xfId="79" builtinId="27" customBuiltin="1"/>
    <cellStyle name="Blank" xfId="44" xr:uid="{00000000-0005-0000-0000-00001A000000}"/>
    <cellStyle name="Calculation" xfId="11" builtinId="22" hidden="1"/>
    <cellStyle name="Calculation" xfId="83" builtinId="22" customBuiltin="1"/>
    <cellStyle name="Check Cell" xfId="13" builtinId="23" hidden="1"/>
    <cellStyle name="Check Cell" xfId="85" builtinId="23" customBuiltin="1"/>
    <cellStyle name="Comma" xfId="45" builtinId="3" hidden="1"/>
    <cellStyle name="Comma" xfId="119" builtinId="3"/>
    <cellStyle name="Comma [0]" xfId="46" builtinId="6" hidden="1"/>
    <cellStyle name="Comma 2 2 2" xfId="64" xr:uid="{595C4EC5-16D5-491E-AAE1-BAC0AD8A0F32}"/>
    <cellStyle name="Comma 7" xfId="63" xr:uid="{C082EF36-3322-41A7-8935-5B2410F09ED6}"/>
    <cellStyle name="Currency" xfId="47" builtinId="4" hidden="1"/>
    <cellStyle name="Currency [0]" xfId="48" builtinId="7" hidden="1"/>
    <cellStyle name="Date" xfId="43" xr:uid="{00000000-0005-0000-0000-000021000000}"/>
    <cellStyle name="Explanatory Text" xfId="16" builtinId="53" hidden="1"/>
    <cellStyle name="Explanatory Text" xfId="88" builtinId="53" customBuiltin="1"/>
    <cellStyle name="Good" xfId="7" builtinId="26" hidden="1"/>
    <cellStyle name="Good" xfId="78" builtinId="26" customBuiltin="1"/>
    <cellStyle name="Heading 1" xfId="3" builtinId="16" hidden="1"/>
    <cellStyle name="Heading 1" xfId="74" builtinId="16" customBuiltin="1"/>
    <cellStyle name="Heading 2" xfId="4" builtinId="17" hidden="1"/>
    <cellStyle name="Heading 2" xfId="75" builtinId="17" customBuiltin="1"/>
    <cellStyle name="Heading 3" xfId="5" builtinId="18" hidden="1"/>
    <cellStyle name="Heading 3" xfId="76" builtinId="18" customBuiltin="1"/>
    <cellStyle name="Heading 4" xfId="6" builtinId="19" hidden="1"/>
    <cellStyle name="Heading 4" xfId="77" builtinId="19" customBuiltin="1"/>
    <cellStyle name="Historical inputs" xfId="42" xr:uid="{00000000-0005-0000-0000-000028000000}"/>
    <cellStyle name="Hyperlink" xfId="70" builtinId="8"/>
    <cellStyle name="Hyperlink 2" xfId="58" xr:uid="{8D5DCA8D-5EE3-4136-98DA-9D89BF391220}"/>
    <cellStyle name="Hyperlink 3" xfId="121" xr:uid="{370BA0E6-9A1D-4F9B-8FC3-44006CEB54A0}"/>
    <cellStyle name="Important output" xfId="51" xr:uid="{00000000-0005-0000-0000-000029000000}"/>
    <cellStyle name="Input" xfId="1" builtinId="20" hidden="1" customBuiltin="1"/>
    <cellStyle name="Input" xfId="81" builtinId="20" customBuiltin="1"/>
    <cellStyle name="Linked Cell" xfId="12" builtinId="24" hidden="1"/>
    <cellStyle name="Linked Cell" xfId="84" builtinId="24" customBuiltin="1"/>
    <cellStyle name="Neutral" xfId="9" builtinId="28" hidden="1"/>
    <cellStyle name="Neutral" xfId="80" builtinId="28" customBuiltin="1"/>
    <cellStyle name="Normal" xfId="0" builtinId="0"/>
    <cellStyle name="Normal 10" xfId="72" xr:uid="{F7887B24-6711-4A47-83F6-5B347719D805}"/>
    <cellStyle name="Normal 11" xfId="114" xr:uid="{9F3EE703-1EDD-4365-8A15-17CB73AF4E33}"/>
    <cellStyle name="Normal 12" xfId="115" xr:uid="{9B30C5B1-B8AD-41A2-A287-B5B19B664FAD}"/>
    <cellStyle name="Normal 13" xfId="117" xr:uid="{52AB5A6C-ABF4-4500-B939-044621488737}"/>
    <cellStyle name="Normal 2" xfId="52" xr:uid="{0A3F0A62-75A9-4DAB-918D-DFBAB435CB2C}"/>
    <cellStyle name="Normal 2 2" xfId="61" xr:uid="{4050F5A3-2918-4C05-931F-E28B0ED8ABE7}"/>
    <cellStyle name="Normal 2 2 2" xfId="68" xr:uid="{04414A1E-90EB-4ADA-A1AE-0F9016BC285B}"/>
    <cellStyle name="Normal 2 3" xfId="65" xr:uid="{133C52F7-3616-4FD4-87C5-35F3F3A86A55}"/>
    <cellStyle name="Normal 2 3 2" xfId="118" xr:uid="{213058EA-EBFF-4092-AE51-58DD7F611E87}"/>
    <cellStyle name="Normal 2 4" xfId="71" xr:uid="{E470788E-F1A2-4755-A360-78CEB4F13A09}"/>
    <cellStyle name="Normal 3" xfId="53" xr:uid="{98A70635-4B06-4781-AAD6-921251ECA9C4}"/>
    <cellStyle name="Normal 3 2" xfId="57" xr:uid="{8A94803A-5837-47B2-90C7-16CDDF95A78B}"/>
    <cellStyle name="Normal 3 3" xfId="59" xr:uid="{263D99AA-4161-44C0-B0FE-CA448C0B3B8F}"/>
    <cellStyle name="Normal 3 4" xfId="116" xr:uid="{B1C0EAA2-1D19-41FD-9FEC-EC60A4FE7999}"/>
    <cellStyle name="Normal 4" xfId="54" xr:uid="{7E549C3A-7DA1-4A79-8DBA-BD78BD344796}"/>
    <cellStyle name="Normal 4 2" xfId="56" xr:uid="{EED7265A-68A8-4F5C-9E1C-954DD9081CBC}"/>
    <cellStyle name="Normal 5" xfId="55" xr:uid="{3FF89FD9-5247-49AD-96F4-C658CD717EDD}"/>
    <cellStyle name="Normal 6" xfId="67" xr:uid="{795E2629-4BCD-4A21-9395-A2FC382EB578}"/>
    <cellStyle name="Normal 7" xfId="62" xr:uid="{7AEE2B66-36F0-4937-A431-7D64ABD7F7EF}"/>
    <cellStyle name="Normal 8" xfId="66" xr:uid="{EE612A93-0777-449A-A05B-AD03C6EA7FC3}"/>
    <cellStyle name="Normal 9" xfId="69" xr:uid="{E8217428-2BAD-4063-8F7B-81BA5E6470F4}"/>
    <cellStyle name="Note" xfId="15" builtinId="10" hidden="1"/>
    <cellStyle name="Note" xfId="87" builtinId="10" customBuiltin="1"/>
    <cellStyle name="Output" xfId="10" builtinId="21" hidden="1"/>
    <cellStyle name="Output" xfId="82" builtinId="21" customBuiltin="1"/>
    <cellStyle name="Percent" xfId="49" builtinId="5" customBuiltin="1"/>
    <cellStyle name="Percent 2" xfId="60" xr:uid="{FB3226F9-E178-456C-81FF-99E1F5A981BE}"/>
    <cellStyle name="Percent 3" xfId="120" xr:uid="{C8A5620B-E609-40C3-90A5-E107B222186B}"/>
    <cellStyle name="Title" xfId="2" builtinId="15" hidden="1"/>
    <cellStyle name="Title" xfId="73" builtinId="15" customBuiltin="1"/>
    <cellStyle name="Total" xfId="17" builtinId="25" hidden="1"/>
    <cellStyle name="Total" xfId="89" builtinId="25" customBuiltin="1"/>
    <cellStyle name="Warning Text" xfId="14" builtinId="11" hidden="1"/>
    <cellStyle name="Warning Text" xfId="86" builtinId="11" customBuiltin="1"/>
  </cellStyles>
  <dxfs count="37">
    <dxf>
      <numFmt numFmtId="177" formatCode="_-* #,##0_-;\-* #,##0_-;_-* &quot;-&quot;??_-;_-@_-"/>
    </dxf>
    <dxf>
      <numFmt numFmtId="177" formatCode="_-* #,##0_-;\-* #,##0_-;_-* &quot;-&quot;??_-;_-@_-"/>
    </dxf>
    <dxf>
      <numFmt numFmtId="177" formatCode="_-* #,##0_-;\-* #,##0_-;_-* &quot;-&quot;??_-;_-@_-"/>
    </dxf>
    <dxf>
      <numFmt numFmtId="177" formatCode="_-* #,##0_-;\-* #,##0_-;_-* &quot;-&quot;??_-;_-@_-"/>
    </dxf>
    <dxf>
      <numFmt numFmtId="35" formatCode="_-* #,##0.00_-;\-* #,##0.00_-;_-* &quot;-&quot;??_-;_-@_-"/>
    </dxf>
    <dxf>
      <numFmt numFmtId="177" formatCode="_-* #,##0_-;\-* #,##0_-;_-* &quot;-&quot;??_-;_-@_-"/>
    </dxf>
    <dxf>
      <numFmt numFmtId="177" formatCode="_-* #,##0_-;\-* #,##0_-;_-* &quot;-&quot;??_-;_-@_-"/>
    </dxf>
    <dxf>
      <fill>
        <patternFill>
          <bgColor theme="0"/>
        </patternFill>
      </fill>
    </dxf>
    <dxf>
      <fill>
        <patternFill>
          <bgColor theme="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3" formatCode="#,##0"/>
    </dxf>
    <dxf>
      <fill>
        <patternFill>
          <bgColor theme="0"/>
        </patternFill>
      </fill>
    </dxf>
    <dxf>
      <numFmt numFmtId="14" formatCode="0.00%"/>
    </dxf>
    <dxf>
      <fill>
        <patternFill>
          <bgColor theme="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3" formatCode="#,##0"/>
    </dxf>
    <dxf>
      <numFmt numFmtId="177" formatCode="_-* #,##0_-;\-* #,##0_-;_-* &quot;-&quot;??_-;_-@_-"/>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8080"/>
      <rgbColor rgb="00FFFFFF"/>
      <rgbColor rgb="008EC6A1"/>
      <rgbColor rgb="00FFFFFF"/>
      <rgbColor rgb="00CEA09D"/>
      <rgbColor rgb="0006C245"/>
      <rgbColor rgb="00BCDEC2"/>
      <rgbColor rgb="00FFFFFF"/>
      <rgbColor rgb="005BC182"/>
      <rgbColor rgb="00E7D475"/>
      <rgbColor rgb="00B1726B"/>
      <rgbColor rgb="00BBAD87"/>
      <rgbColor rgb="00FEEC00"/>
      <rgbColor rgb="00F5C77B"/>
      <rgbColor rgb="00FFFFFF"/>
      <rgbColor rgb="00B2B2B2"/>
      <rgbColor rgb="005BAD82"/>
      <rgbColor rgb="008EC6A1"/>
      <rgbColor rgb="00BCDEC2"/>
      <rgbColor rgb="0079A2B3"/>
      <rgbColor rgb="00ACC6D0"/>
      <rgbColor rgb="00D2E0E6"/>
      <rgbColor rgb="00908052"/>
      <rgbColor rgb="00BBAD87"/>
      <rgbColor rgb="00177B57"/>
      <rgbColor rgb="003D6E81"/>
      <rgbColor rgb="00655939"/>
      <rgbColor rgb="004D4D4D"/>
      <rgbColor rgb="00CFA649"/>
      <rgbColor rgb="009C3328"/>
      <rgbColor rgb="00DC8700"/>
      <rgbColor rgb="00808080"/>
      <rgbColor rgb="00FFFFFF"/>
      <rgbColor rgb="00DC8700"/>
      <rgbColor rgb="00CFA649"/>
      <rgbColor rgb="00655939"/>
      <rgbColor rgb="009C3328"/>
      <rgbColor rgb="00177B57"/>
      <rgbColor rgb="004D4D4D"/>
      <rgbColor rgb="003D6E81"/>
      <rgbColor rgb="00E7C7C7"/>
      <rgbColor rgb="00F9DFB5"/>
      <rgbColor rgb="00D8CEB8"/>
      <rgbColor rgb="00008FC8"/>
      <rgbColor rgb="00D2E0E6"/>
      <rgbColor rgb="00ACC0D0"/>
      <rgbColor rgb="00DC6E00"/>
      <rgbColor rgb="00E2E2E2"/>
      <rgbColor rgb="00EEA632"/>
      <rgbColor rgb="00F9EFBD"/>
      <rgbColor rgb="00DCC05A"/>
      <rgbColor rgb="00908052"/>
      <rgbColor rgb="0079A2B3"/>
      <rgbColor rgb="007716B2"/>
      <rgbColor rgb="00C41300"/>
      <rgbColor rgb="00808080"/>
    </indexedColors>
    <mruColors>
      <color rgb="FF0000FF"/>
      <color rgb="FFFFFFCC"/>
      <color rgb="FFFFFF66"/>
      <color rgb="FF5BAD82"/>
      <color rgb="FFD4DF33"/>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pivotCacheDefinition" Target="pivotCache/pivotCacheDefinition5.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pivotCacheDefinition" Target="pivotCache/pivotCacheDefinition4.xml"/><Relationship Id="rId30" Type="http://schemas.openxmlformats.org/officeDocument/2006/relationships/theme" Target="theme/theme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15</xdr:row>
      <xdr:rowOff>28574</xdr:rowOff>
    </xdr:from>
    <xdr:ext cx="10210800" cy="1457326"/>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14300" y="4238624"/>
          <a:ext cx="10210800" cy="1457326"/>
        </a:xfrm>
        <a:prstGeom prst="rect">
          <a:avLst/>
        </a:prstGeom>
        <a:noFill/>
        <a:ln>
          <a:solidFill>
            <a:schemeClr val="bg1">
              <a:lumMod val="85000"/>
            </a:scheme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GB" sz="1000">
              <a:latin typeface="Arial" pitchFamily="34" charset="0"/>
              <a:cs typeface="Arial" pitchFamily="34" charset="0"/>
            </a:rPr>
            <a:t>Disclaimer:</a:t>
          </a:r>
          <a:r>
            <a:rPr lang="en-GB" sz="1000" baseline="0">
              <a:latin typeface="Arial" pitchFamily="34" charset="0"/>
              <a:cs typeface="Arial" pitchFamily="34" charset="0"/>
            </a:rPr>
            <a:t> </a:t>
          </a:r>
          <a:r>
            <a:rPr lang="en-US" sz="1000">
              <a:solidFill>
                <a:schemeClr val="tx1"/>
              </a:solidFill>
              <a:latin typeface="Arial" pitchFamily="34" charset="0"/>
              <a:ea typeface="+mn-ea"/>
              <a:cs typeface="Arial" pitchFamily="34" charset="0"/>
            </a:rPr>
            <a:t>Client is responsible for obtaining independent advice concerning these matters, which advice may affect the guidance given by BCG.  Further, BCG has made no undertaking to update these materials after the date hereof notwithstanding that such information may become outdated or inaccurate.</a:t>
          </a:r>
          <a:endParaRPr lang="de-DE" sz="1000">
            <a:solidFill>
              <a:schemeClr val="tx1"/>
            </a:solidFill>
            <a:latin typeface="Arial" pitchFamily="34" charset="0"/>
            <a:ea typeface="+mn-ea"/>
            <a:cs typeface="Arial" pitchFamily="34" charset="0"/>
          </a:endParaRPr>
        </a:p>
        <a:p>
          <a:r>
            <a:rPr lang="en-US" sz="1000">
              <a:solidFill>
                <a:schemeClr val="tx1"/>
              </a:solidFill>
              <a:latin typeface="Arial" pitchFamily="34" charset="0"/>
              <a:ea typeface="+mn-ea"/>
              <a:cs typeface="Arial" pitchFamily="34" charset="0"/>
            </a:rPr>
            <a:t>  To the fullest extent permitted by law (and except to the extent otherwise agreed in a signed writing by BCG), BCG shall have no liability whatsoever to any Third-Party, and any Third-Party hereby waives any rights and claims it may, have at any time against BCG with regard to the services, this presentation or other materials, including the accuracy or completeness thereof. </a:t>
          </a:r>
          <a:endParaRPr lang="de-DE" sz="1000">
            <a:solidFill>
              <a:schemeClr val="tx1"/>
            </a:solidFill>
            <a:latin typeface="Arial" pitchFamily="34" charset="0"/>
            <a:ea typeface="+mn-ea"/>
            <a:cs typeface="Arial" pitchFamily="34" charset="0"/>
          </a:endParaRPr>
        </a:p>
        <a:p>
          <a:r>
            <a:rPr lang="en-US" sz="1000">
              <a:solidFill>
                <a:schemeClr val="tx1"/>
              </a:solidFill>
              <a:latin typeface="Arial" pitchFamily="34" charset="0"/>
              <a:ea typeface="+mn-ea"/>
              <a:cs typeface="Arial" pitchFamily="34" charset="0"/>
            </a:rPr>
            <a:t>  Further, the financial evaluations, projected market and financial information, and conclusions contained in these materials are based upon standard valuation methodologies, are not definitive forecasts, and are not guaranteed by BCG. BCG has used public and/or confidential data and assumptions provided to BCG by the client which BCG has not independently verified the data and assumptions used in these analyses. Changes in the underlying data or operating assumptions will clearly impact the analyses and conclusions.</a:t>
          </a:r>
          <a:endParaRPr lang="en-GB" sz="1000">
            <a:latin typeface="Arial" pitchFamily="34" charset="0"/>
            <a:cs typeface="Arial" pitchFamily="34" charset="0"/>
          </a:endParaRPr>
        </a:p>
      </xdr:txBody>
    </xdr:sp>
    <xdr:clientData/>
  </xdr:oneCellAnchor>
  <xdr:twoCellAnchor editAs="oneCell">
    <xdr:from>
      <xdr:col>1</xdr:col>
      <xdr:colOff>0</xdr:colOff>
      <xdr:row>0</xdr:row>
      <xdr:rowOff>57150</xdr:rowOff>
    </xdr:from>
    <xdr:to>
      <xdr:col>1</xdr:col>
      <xdr:colOff>2056879</xdr:colOff>
      <xdr:row>3</xdr:row>
      <xdr:rowOff>104775</xdr:rowOff>
    </xdr:to>
    <xdr:pic>
      <xdr:nvPicPr>
        <xdr:cNvPr id="5" name="Picture 4">
          <a:extLst>
            <a:ext uri="{FF2B5EF4-FFF2-40B4-BE49-F238E27FC236}">
              <a16:creationId xmlns:a16="http://schemas.microsoft.com/office/drawing/2014/main" id="{19445CD8-873F-439C-B61E-F8989D8F4B72}"/>
            </a:ext>
          </a:extLst>
        </xdr:cNvPr>
        <xdr:cNvPicPr>
          <a:picLocks noChangeAspect="1"/>
        </xdr:cNvPicPr>
      </xdr:nvPicPr>
      <xdr:blipFill rotWithShape="1">
        <a:blip xmlns:r="http://schemas.openxmlformats.org/officeDocument/2006/relationships" r:embed="rId1"/>
        <a:srcRect t="25739" b="26749"/>
        <a:stretch/>
      </xdr:blipFill>
      <xdr:spPr>
        <a:xfrm>
          <a:off x="114300" y="57150"/>
          <a:ext cx="2056879" cy="542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2037829</xdr:colOff>
      <xdr:row>3</xdr:row>
      <xdr:rowOff>133985</xdr:rowOff>
    </xdr:to>
    <xdr:pic>
      <xdr:nvPicPr>
        <xdr:cNvPr id="2" name="Picture 1">
          <a:extLst>
            <a:ext uri="{FF2B5EF4-FFF2-40B4-BE49-F238E27FC236}">
              <a16:creationId xmlns:a16="http://schemas.microsoft.com/office/drawing/2014/main" id="{989E4088-3B2F-4361-9B83-102E65ACB5AF}"/>
            </a:ext>
          </a:extLst>
        </xdr:cNvPr>
        <xdr:cNvPicPr>
          <a:picLocks noChangeAspect="1"/>
        </xdr:cNvPicPr>
      </xdr:nvPicPr>
      <xdr:blipFill rotWithShape="1">
        <a:blip xmlns:r="http://schemas.openxmlformats.org/officeDocument/2006/relationships" r:embed="rId1"/>
        <a:srcRect t="25739" b="26749"/>
        <a:stretch/>
      </xdr:blipFill>
      <xdr:spPr>
        <a:xfrm>
          <a:off x="411480" y="83820"/>
          <a:ext cx="2047354" cy="5435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2041639</xdr:colOff>
      <xdr:row>3</xdr:row>
      <xdr:rowOff>130175</xdr:rowOff>
    </xdr:to>
    <xdr:pic>
      <xdr:nvPicPr>
        <xdr:cNvPr id="2" name="Picture 1">
          <a:extLst>
            <a:ext uri="{FF2B5EF4-FFF2-40B4-BE49-F238E27FC236}">
              <a16:creationId xmlns:a16="http://schemas.microsoft.com/office/drawing/2014/main" id="{F582B49C-4174-4CE5-B704-5371B5C954A8}"/>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2037829</xdr:colOff>
      <xdr:row>3</xdr:row>
      <xdr:rowOff>133985</xdr:rowOff>
    </xdr:to>
    <xdr:pic>
      <xdr:nvPicPr>
        <xdr:cNvPr id="3" name="Picture 2">
          <a:extLst>
            <a:ext uri="{FF2B5EF4-FFF2-40B4-BE49-F238E27FC236}">
              <a16:creationId xmlns:a16="http://schemas.microsoft.com/office/drawing/2014/main" id="{AFC4AE95-45A1-4D01-819B-220854278225}"/>
            </a:ext>
          </a:extLst>
        </xdr:cNvPr>
        <xdr:cNvPicPr>
          <a:picLocks noChangeAspect="1"/>
        </xdr:cNvPicPr>
      </xdr:nvPicPr>
      <xdr:blipFill rotWithShape="1">
        <a:blip xmlns:r="http://schemas.openxmlformats.org/officeDocument/2006/relationships" r:embed="rId1"/>
        <a:srcRect t="25739" b="26749"/>
        <a:stretch/>
      </xdr:blipFill>
      <xdr:spPr>
        <a:xfrm>
          <a:off x="447675" y="85725"/>
          <a:ext cx="2037829" cy="5626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2041639</xdr:colOff>
      <xdr:row>3</xdr:row>
      <xdr:rowOff>130175</xdr:rowOff>
    </xdr:to>
    <xdr:pic>
      <xdr:nvPicPr>
        <xdr:cNvPr id="2" name="Picture 1">
          <a:extLst>
            <a:ext uri="{FF2B5EF4-FFF2-40B4-BE49-F238E27FC236}">
              <a16:creationId xmlns:a16="http://schemas.microsoft.com/office/drawing/2014/main" id="{8BA9A74A-E936-4DAC-854E-ABB20A7BF96C}"/>
            </a:ext>
          </a:extLst>
        </xdr:cNvPr>
        <xdr:cNvPicPr>
          <a:picLocks noChangeAspect="1"/>
        </xdr:cNvPicPr>
      </xdr:nvPicPr>
      <xdr:blipFill rotWithShape="1">
        <a:blip xmlns:r="http://schemas.openxmlformats.org/officeDocument/2006/relationships" r:embed="rId1"/>
        <a:srcRect t="25739" b="26749"/>
        <a:stretch/>
      </xdr:blipFill>
      <xdr:spPr>
        <a:xfrm>
          <a:off x="447675" y="85725"/>
          <a:ext cx="2041639" cy="558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2041639</xdr:colOff>
      <xdr:row>3</xdr:row>
      <xdr:rowOff>130175</xdr:rowOff>
    </xdr:to>
    <xdr:pic>
      <xdr:nvPicPr>
        <xdr:cNvPr id="2" name="Picture 1">
          <a:extLst>
            <a:ext uri="{FF2B5EF4-FFF2-40B4-BE49-F238E27FC236}">
              <a16:creationId xmlns:a16="http://schemas.microsoft.com/office/drawing/2014/main" id="{50CBFA11-7C57-4FC7-B8A9-50C651F170B8}"/>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2037829</xdr:colOff>
      <xdr:row>3</xdr:row>
      <xdr:rowOff>133985</xdr:rowOff>
    </xdr:to>
    <xdr:pic>
      <xdr:nvPicPr>
        <xdr:cNvPr id="2" name="Picture 1">
          <a:extLst>
            <a:ext uri="{FF2B5EF4-FFF2-40B4-BE49-F238E27FC236}">
              <a16:creationId xmlns:a16="http://schemas.microsoft.com/office/drawing/2014/main" id="{8EDFC116-3ABF-45E7-AD92-C051E0ABD922}"/>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2041639</xdr:colOff>
      <xdr:row>3</xdr:row>
      <xdr:rowOff>130175</xdr:rowOff>
    </xdr:to>
    <xdr:pic>
      <xdr:nvPicPr>
        <xdr:cNvPr id="2" name="Picture 1">
          <a:extLst>
            <a:ext uri="{FF2B5EF4-FFF2-40B4-BE49-F238E27FC236}">
              <a16:creationId xmlns:a16="http://schemas.microsoft.com/office/drawing/2014/main" id="{5BF76F58-29E9-4F31-A731-54A341A2C0BC}"/>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2037829</xdr:colOff>
      <xdr:row>3</xdr:row>
      <xdr:rowOff>134620</xdr:rowOff>
    </xdr:to>
    <xdr:pic>
      <xdr:nvPicPr>
        <xdr:cNvPr id="2" name="Picture 1">
          <a:extLst>
            <a:ext uri="{FF2B5EF4-FFF2-40B4-BE49-F238E27FC236}">
              <a16:creationId xmlns:a16="http://schemas.microsoft.com/office/drawing/2014/main" id="{C2D90564-D834-4BC9-A220-5C343E29575E}"/>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0</xdr:colOff>
      <xdr:row>0</xdr:row>
      <xdr:rowOff>83820</xdr:rowOff>
    </xdr:from>
    <xdr:to>
      <xdr:col>3</xdr:col>
      <xdr:colOff>2041639</xdr:colOff>
      <xdr:row>3</xdr:row>
      <xdr:rowOff>130175</xdr:rowOff>
    </xdr:to>
    <xdr:pic>
      <xdr:nvPicPr>
        <xdr:cNvPr id="2" name="Picture 1">
          <a:extLst>
            <a:ext uri="{FF2B5EF4-FFF2-40B4-BE49-F238E27FC236}">
              <a16:creationId xmlns:a16="http://schemas.microsoft.com/office/drawing/2014/main" id="{BE33E2EB-93AF-49A8-942C-D4186C71A6F1}"/>
            </a:ext>
          </a:extLst>
        </xdr:cNvPr>
        <xdr:cNvPicPr>
          <a:picLocks noChangeAspect="1"/>
        </xdr:cNvPicPr>
      </xdr:nvPicPr>
      <xdr:blipFill rotWithShape="1">
        <a:blip xmlns:r="http://schemas.openxmlformats.org/officeDocument/2006/relationships" r:embed="rId1"/>
        <a:srcRect t="25739" b="26749"/>
        <a:stretch/>
      </xdr:blipFill>
      <xdr:spPr>
        <a:xfrm>
          <a:off x="428625" y="83820"/>
          <a:ext cx="2037829" cy="55689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50801</xdr:colOff>
      <xdr:row>2</xdr:row>
      <xdr:rowOff>25400</xdr:rowOff>
    </xdr:from>
    <xdr:to>
      <xdr:col>1</xdr:col>
      <xdr:colOff>1466942</xdr:colOff>
      <xdr:row>4</xdr:row>
      <xdr:rowOff>98425</xdr:rowOff>
    </xdr:to>
    <xdr:pic>
      <xdr:nvPicPr>
        <xdr:cNvPr id="2" name="Picture 1">
          <a:extLst>
            <a:ext uri="{FF2B5EF4-FFF2-40B4-BE49-F238E27FC236}">
              <a16:creationId xmlns:a16="http://schemas.microsoft.com/office/drawing/2014/main" id="{37C18660-F4EF-4A58-BEE5-4CF70B093DE8}"/>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27621" cy="43497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50801</xdr:colOff>
      <xdr:row>2</xdr:row>
      <xdr:rowOff>25400</xdr:rowOff>
    </xdr:from>
    <xdr:to>
      <xdr:col>1</xdr:col>
      <xdr:colOff>1311276</xdr:colOff>
      <xdr:row>4</xdr:row>
      <xdr:rowOff>115570</xdr:rowOff>
    </xdr:to>
    <xdr:pic>
      <xdr:nvPicPr>
        <xdr:cNvPr id="2" name="Picture 1">
          <a:extLst>
            <a:ext uri="{FF2B5EF4-FFF2-40B4-BE49-F238E27FC236}">
              <a16:creationId xmlns:a16="http://schemas.microsoft.com/office/drawing/2014/main" id="{C8096CE4-C871-44AD-BC7C-9AF8D6D7F551}"/>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37690" cy="45593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50801</xdr:colOff>
      <xdr:row>2</xdr:row>
      <xdr:rowOff>25400</xdr:rowOff>
    </xdr:from>
    <xdr:to>
      <xdr:col>1</xdr:col>
      <xdr:colOff>895986</xdr:colOff>
      <xdr:row>4</xdr:row>
      <xdr:rowOff>130810</xdr:rowOff>
    </xdr:to>
    <xdr:pic>
      <xdr:nvPicPr>
        <xdr:cNvPr id="2" name="Picture 1">
          <a:extLst>
            <a:ext uri="{FF2B5EF4-FFF2-40B4-BE49-F238E27FC236}">
              <a16:creationId xmlns:a16="http://schemas.microsoft.com/office/drawing/2014/main" id="{6F37E4DD-2AB3-4E0E-8407-AF1E1B2D521A}"/>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41500" cy="45593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50801</xdr:colOff>
      <xdr:row>2</xdr:row>
      <xdr:rowOff>25400</xdr:rowOff>
    </xdr:from>
    <xdr:to>
      <xdr:col>1</xdr:col>
      <xdr:colOff>1315086</xdr:colOff>
      <xdr:row>4</xdr:row>
      <xdr:rowOff>92710</xdr:rowOff>
    </xdr:to>
    <xdr:pic>
      <xdr:nvPicPr>
        <xdr:cNvPr id="2" name="Picture 1">
          <a:extLst>
            <a:ext uri="{FF2B5EF4-FFF2-40B4-BE49-F238E27FC236}">
              <a16:creationId xmlns:a16="http://schemas.microsoft.com/office/drawing/2014/main" id="{F4539C4F-0A08-4AA0-B902-29341E108754}"/>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41500" cy="43307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50801</xdr:colOff>
      <xdr:row>2</xdr:row>
      <xdr:rowOff>25400</xdr:rowOff>
    </xdr:from>
    <xdr:to>
      <xdr:col>1</xdr:col>
      <xdr:colOff>894081</xdr:colOff>
      <xdr:row>4</xdr:row>
      <xdr:rowOff>92710</xdr:rowOff>
    </xdr:to>
    <xdr:pic>
      <xdr:nvPicPr>
        <xdr:cNvPr id="2" name="Picture 1">
          <a:extLst>
            <a:ext uri="{FF2B5EF4-FFF2-40B4-BE49-F238E27FC236}">
              <a16:creationId xmlns:a16="http://schemas.microsoft.com/office/drawing/2014/main" id="{0370C590-1CE2-4C2F-9F34-C16A3874982D}"/>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33880" cy="43688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50801</xdr:colOff>
      <xdr:row>2</xdr:row>
      <xdr:rowOff>25400</xdr:rowOff>
    </xdr:from>
    <xdr:to>
      <xdr:col>3</xdr:col>
      <xdr:colOff>55881</xdr:colOff>
      <xdr:row>4</xdr:row>
      <xdr:rowOff>88900</xdr:rowOff>
    </xdr:to>
    <xdr:pic>
      <xdr:nvPicPr>
        <xdr:cNvPr id="2" name="Picture 1">
          <a:extLst>
            <a:ext uri="{FF2B5EF4-FFF2-40B4-BE49-F238E27FC236}">
              <a16:creationId xmlns:a16="http://schemas.microsoft.com/office/drawing/2014/main" id="{F5A631F1-49F2-4B46-A757-92CC12A94562}"/>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33880" cy="42735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50801</xdr:colOff>
      <xdr:row>2</xdr:row>
      <xdr:rowOff>25400</xdr:rowOff>
    </xdr:from>
    <xdr:to>
      <xdr:col>0</xdr:col>
      <xdr:colOff>1888491</xdr:colOff>
      <xdr:row>4</xdr:row>
      <xdr:rowOff>115570</xdr:rowOff>
    </xdr:to>
    <xdr:pic>
      <xdr:nvPicPr>
        <xdr:cNvPr id="2" name="Picture 1">
          <a:extLst>
            <a:ext uri="{FF2B5EF4-FFF2-40B4-BE49-F238E27FC236}">
              <a16:creationId xmlns:a16="http://schemas.microsoft.com/office/drawing/2014/main" id="{CCF2AA5F-F746-4C10-95F7-6FDCB9350905}"/>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33880" cy="45593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50801</xdr:colOff>
      <xdr:row>2</xdr:row>
      <xdr:rowOff>25400</xdr:rowOff>
    </xdr:from>
    <xdr:ext cx="1844766" cy="426539"/>
    <xdr:pic>
      <xdr:nvPicPr>
        <xdr:cNvPr id="2" name="Picture 1">
          <a:extLst>
            <a:ext uri="{FF2B5EF4-FFF2-40B4-BE49-F238E27FC236}">
              <a16:creationId xmlns:a16="http://schemas.microsoft.com/office/drawing/2014/main" id="{C3B2036B-B1C9-4020-8F49-83DBBE33BCD0}"/>
            </a:ext>
          </a:extLst>
        </xdr:cNvPr>
        <xdr:cNvPicPr>
          <a:picLocks noChangeAspect="1"/>
        </xdr:cNvPicPr>
      </xdr:nvPicPr>
      <xdr:blipFill rotWithShape="1">
        <a:blip xmlns:r="http://schemas.openxmlformats.org/officeDocument/2006/relationships" r:embed="rId1"/>
        <a:srcRect t="25739" b="26749"/>
        <a:stretch/>
      </xdr:blipFill>
      <xdr:spPr>
        <a:xfrm>
          <a:off x="54611" y="335915"/>
          <a:ext cx="1844766" cy="426539"/>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ites/265453-45/Externally%20accessible/OCP%20Africa%20Folder/230215%20DR/Reports/CRU/phosphate-fertilizer-market-outlook-november-2022-npk-flat-databa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265453-34/Shared%20Documents/2%20-%20Client%20data/CRU%20phosphate%20market%20outlook%20-%20August%202022_Amend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tion"/>
      <sheetName val="Data Dashboard"/>
      <sheetName val="Capacity"/>
      <sheetName val="Country Capacity - Total"/>
      <sheetName val="Country Capacity - Phos Acid"/>
      <sheetName val="Country Capacity - Nitrophos"/>
      <sheetName val="Country Capacity - Steam"/>
      <sheetName val="Country Capacity - Melt"/>
      <sheetName val="NPK"/>
      <sheetName val="NPK Production"/>
      <sheetName val="PK Production"/>
      <sheetName val="NPK App Demand"/>
      <sheetName val="NPK Imports"/>
      <sheetName val="NPK Exports"/>
      <sheetName val="NP"/>
      <sheetName val="NP Production"/>
      <sheetName val="NP App Demand"/>
      <sheetName val="NP Imports"/>
      <sheetName val="NP Exports"/>
      <sheetName val="PK"/>
      <sheetName val="PK App Demand"/>
      <sheetName val="PK Imports"/>
      <sheetName val="PK Exports"/>
      <sheetName val="NPK+NP+PK"/>
      <sheetName val="NPK+NP+PK Production"/>
      <sheetName val="NPK+NP+PK App Demand"/>
      <sheetName val="NPK+NP+PK Imports"/>
      <sheetName val="NPK+NP+PK Exports"/>
    </sheetNames>
    <sheetDataSet>
      <sheetData sheetId="0"/>
      <sheetData sheetId="1">
        <row r="19">
          <cell r="D19">
            <v>48.356453000000002</v>
          </cell>
          <cell r="E19">
            <v>77.101525000000009</v>
          </cell>
          <cell r="F19">
            <v>146.6422</v>
          </cell>
          <cell r="G19">
            <v>315.39183299999996</v>
          </cell>
          <cell r="H19">
            <v>175.23312000000001</v>
          </cell>
          <cell r="I19">
            <v>253.78091699999999</v>
          </cell>
          <cell r="J19">
            <v>611.14063799999997</v>
          </cell>
          <cell r="K19">
            <v>835.27263300000004</v>
          </cell>
          <cell r="L19">
            <v>458.58204212442399</v>
          </cell>
          <cell r="M19">
            <v>684.50591999999995</v>
          </cell>
          <cell r="N19">
            <v>906.47305000000006</v>
          </cell>
          <cell r="O19">
            <v>976.19905000002484</v>
          </cell>
          <cell r="P19">
            <v>990.01913084472369</v>
          </cell>
          <cell r="Q19">
            <v>1087.3219420780533</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row>
      </sheetData>
      <sheetData sheetId="2"/>
      <sheetData sheetId="3"/>
      <sheetData sheetId="4"/>
      <sheetData sheetId="5"/>
      <sheetData sheetId="6"/>
      <sheetData sheetId="7"/>
      <sheetData sheetId="8"/>
      <sheetData sheetId="9"/>
      <sheetData sheetId="10"/>
      <sheetData sheetId="11">
        <row r="4">
          <cell r="E4">
            <v>63121.263377337928</v>
          </cell>
        </row>
      </sheetData>
      <sheetData sheetId="12"/>
      <sheetData sheetId="13"/>
      <sheetData sheetId="14"/>
      <sheetData sheetId="15"/>
      <sheetData sheetId="16">
        <row r="4">
          <cell r="E4">
            <v>7183.2374317664198</v>
          </cell>
        </row>
      </sheetData>
      <sheetData sheetId="17"/>
      <sheetData sheetId="18"/>
      <sheetData sheetId="19"/>
      <sheetData sheetId="20">
        <row r="4">
          <cell r="E4">
            <v>3173.1806503090029</v>
          </cell>
        </row>
      </sheetData>
      <sheetData sheetId="21"/>
      <sheetData sheetId="22"/>
      <sheetData sheetId="23"/>
      <sheetData sheetId="24"/>
      <sheetData sheetId="25"/>
      <sheetData sheetId="26"/>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CONTROL"/>
      <sheetName val="DASHBOARD"/>
      <sheetName val="DATABASE - MARKET"/>
      <sheetName val="DATABASE - PRICES"/>
      <sheetName val="Sheet2"/>
      <sheetName val="PIVOT COUNTRY - MARKET"/>
      <sheetName val="Sheet1"/>
      <sheetName val="PIVOT COUNTRY - PRODUCT"/>
      <sheetName val="DATABASE - NPK PRICES"/>
      <sheetName val="PIVOT COMPARISON - PRICES"/>
      <sheetName val="DATABASE - NPK NP PK"/>
      <sheetName val="PIVOT COUNTRY - NPK NP PK"/>
      <sheetName val="PIVOT COMPARISON - NPK PRICES"/>
    </sheetNames>
    <sheetDataSet>
      <sheetData sheetId="0"/>
      <sheetData sheetId="1">
        <row r="3">
          <cell r="J3" t="str">
            <v>World_Total</v>
          </cell>
        </row>
        <row r="4">
          <cell r="J4" t="str">
            <v>Europe_CIS_Total</v>
          </cell>
        </row>
        <row r="5">
          <cell r="J5" t="str">
            <v>West_Europe</v>
          </cell>
        </row>
        <row r="6">
          <cell r="J6" t="str">
            <v>East_Europe</v>
          </cell>
        </row>
        <row r="7">
          <cell r="J7" t="str">
            <v>CIS</v>
          </cell>
        </row>
        <row r="8">
          <cell r="J8" t="str">
            <v>Africa_Total</v>
          </cell>
        </row>
        <row r="9">
          <cell r="J9" t="str">
            <v>North_Africa</v>
          </cell>
        </row>
        <row r="10">
          <cell r="J10" t="str">
            <v>East_Africa</v>
          </cell>
        </row>
        <row r="11">
          <cell r="J11" t="str">
            <v>West_Africa</v>
          </cell>
        </row>
        <row r="12">
          <cell r="J12" t="str">
            <v>Central_Africa</v>
          </cell>
        </row>
        <row r="13">
          <cell r="J13" t="str">
            <v>Southern_Africa</v>
          </cell>
        </row>
        <row r="14">
          <cell r="J14" t="str">
            <v>North_America</v>
          </cell>
        </row>
        <row r="15">
          <cell r="J15" t="str">
            <v>Central_South_America_Total</v>
          </cell>
        </row>
        <row r="16">
          <cell r="J16" t="str">
            <v>Caribbean</v>
          </cell>
        </row>
        <row r="17">
          <cell r="J17" t="str">
            <v>Central_America</v>
          </cell>
        </row>
        <row r="18">
          <cell r="J18" t="str">
            <v>South_America</v>
          </cell>
        </row>
        <row r="19">
          <cell r="J19" t="str">
            <v>Asia_Total</v>
          </cell>
        </row>
        <row r="20">
          <cell r="J20" t="str">
            <v>Middle_East</v>
          </cell>
        </row>
        <row r="21">
          <cell r="J21" t="str">
            <v>South_Asia</v>
          </cell>
        </row>
        <row r="22">
          <cell r="J22" t="str">
            <v>South-East_Asia</v>
          </cell>
        </row>
        <row r="23">
          <cell r="J23" t="str">
            <v>East_Asia</v>
          </cell>
        </row>
        <row r="24">
          <cell r="J24" t="str">
            <v>Oceania</v>
          </cell>
        </row>
        <row r="25">
          <cell r="J25" t="str">
            <v>Unidentified</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thagesen%20anders\Downloads\Apparent%20Fertilizer%20Consumption.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sites/265453-45/Shared%20Documents/05.%20Deliverables/3-FRP/1_Salesboost/3_Country%20fact%20sheets/08_Nigeria/20230713_OCP%20Nigeria%20analyses_vHandover.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2" Type="http://schemas.openxmlformats.org/officeDocument/2006/relationships/externalLinkPath" Target="/sites/265453-45/Shared%20Documents/05.%20Deliverables/3-FRP/1_Salesboost/3_Country%20fact%20sheets/08_Nigeria/20230713_OCP%20Nigeria%20analyses_vHandover.xlsx" TargetMode="External"/><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2" Type="http://schemas.openxmlformats.org/officeDocument/2006/relationships/externalLinkPath" Target="file:///C:\Users\thagesen%20anders\Downloads\Apparent%20Fertilizer%20Consumption.xlsx" TargetMode="External"/><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2" Type="http://schemas.openxmlformats.org/officeDocument/2006/relationships/externalLinkPath" Target="file:///C:\Users\thagesen%20anders\Downloads\Domestic%20Urea%20Consumption%20Over%20Time.xlsx" TargetMode="External"/><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gesen, Anders" refreshedDate="45083.593996412033" createdVersion="8" refreshedVersion="8" minRefreshableVersion="3" recordCount="250" xr:uid="{D87AEDA5-345E-4FCA-AEB1-29B76AFCC715}">
  <cacheSource type="worksheet">
    <worksheetSource ref="E7:R257" sheet="HarvestedAreas"/>
  </cacheSource>
  <cacheFields count="14">
    <cacheField name="Domain Code" numFmtId="0">
      <sharedItems/>
    </cacheField>
    <cacheField name="Domain" numFmtId="0">
      <sharedItems/>
    </cacheField>
    <cacheField name="Area Code (M49)" numFmtId="0">
      <sharedItems containsSemiMixedTypes="0" containsString="0" containsNumber="1" containsInteger="1" minValue="566" maxValue="566"/>
    </cacheField>
    <cacheField name="Area" numFmtId="0">
      <sharedItems/>
    </cacheField>
    <cacheField name="Element Code" numFmtId="0">
      <sharedItems containsSemiMixedTypes="0" containsString="0" containsNumber="1" containsInteger="1" minValue="5312" maxValue="5312"/>
    </cacheField>
    <cacheField name="Element" numFmtId="0">
      <sharedItems/>
    </cacheField>
    <cacheField name="Item Code (CPC)" numFmtId="0">
      <sharedItems containsSemiMixedTypes="0" containsString="0" containsNumber="1" minValue="111" maxValue="1970"/>
    </cacheField>
    <cacheField name="Item" numFmtId="0">
      <sharedItems count="50">
        <s v="Carrots and turnips"/>
        <s v="Cashew nuts, in shell"/>
        <s v="Cassava, fresh"/>
        <s v="Chillies and peppers, dry (Capsicum spp., Pimenta spp.), raw"/>
        <s v="Chillies and peppers, green (Capsicum spp. and Pimenta spp.)"/>
        <s v="Cocoa beans"/>
        <s v="Coconuts, in shell"/>
        <s v="Coffee, green"/>
        <s v="Cow peas, dry"/>
        <s v="Fonio"/>
        <s v="Ginger, raw"/>
        <s v="Green corn (maize)"/>
        <s v="Green garlic"/>
        <s v="Groundnuts, excluding shelled"/>
        <s v="Karite nuts (sheanuts)"/>
        <s v="Kenaf, and other textile bast fibres, raw or retted"/>
        <s v="Kola nuts"/>
        <s v="Maize (corn)"/>
        <s v="Mangoes, guavas and mangosteens"/>
        <s v="Melonseed"/>
        <s v="Millet"/>
        <s v="Natural rubber in primary forms"/>
        <s v="Oil palm fruit"/>
        <s v="Okra"/>
        <s v="Onions and shallots, dry (excluding dehydrated)"/>
        <s v="Onions and shallots, green"/>
        <s v="Other citrus fruit, n.e.c."/>
        <s v="Other fibre crops, raw, n.e.c."/>
        <s v="Other fruits, n.e.c."/>
        <s v="Other nuts (excluding wild edible nuts and groundnuts), in shell, n.e.c."/>
        <s v="Other oil seeds, n.e.c."/>
        <s v="Other pulses n.e.c."/>
        <s v="Other stimulant, spice and aromatic crops, n.e.c."/>
        <s v="Other vegetables, fresh n.e.c."/>
        <s v="Papayas"/>
        <s v="Pineapples"/>
        <s v="Plantains and cooking bananas"/>
        <s v="Potatoes"/>
        <s v="Rice"/>
        <s v="Seed cotton, unginned"/>
        <s v="Sesame seed"/>
        <s v="Sorghum"/>
        <s v="Soya beans"/>
        <s v="Sugar cane"/>
        <s v="Sweet potatoes"/>
        <s v="Taro"/>
        <s v="Tomatoes"/>
        <s v="Unmanufactured tobacco"/>
        <s v="Wheat"/>
        <s v="Yams"/>
      </sharedItems>
    </cacheField>
    <cacheField name="Year Code" numFmtId="0">
      <sharedItems containsSemiMixedTypes="0" containsString="0" containsNumber="1" containsInteger="1" minValue="2017" maxValue="2021"/>
    </cacheField>
    <cacheField name="Year" numFmtId="0">
      <sharedItems containsSemiMixedTypes="0" containsString="0" containsNumber="1" containsInteger="1" minValue="2017" maxValue="2021" count="5">
        <n v="2017"/>
        <n v="2018"/>
        <n v="2019"/>
        <n v="2020"/>
        <n v="2021"/>
      </sharedItems>
    </cacheField>
    <cacheField name="Unit" numFmtId="0">
      <sharedItems/>
    </cacheField>
    <cacheField name="Value" numFmtId="1">
      <sharedItems containsSemiMixedTypes="0" containsString="0" containsNumber="1" containsInteger="1" minValue="0" maxValue="9776650"/>
    </cacheField>
    <cacheField name="Flag" numFmtId="0">
      <sharedItems/>
    </cacheField>
    <cacheField name="Flag Description"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75.918682870368" createdVersion="8" refreshedVersion="8" minRefreshableVersion="3" recordCount="143" xr:uid="{B1EC858A-FEF3-44E0-A758-C1FD2A89E846}">
  <cacheSource type="worksheet">
    <worksheetSource ref="A6:E149" sheet="Sheet 1" r:id="rId2"/>
  </cacheSource>
  <cacheFields count="5">
    <cacheField name="Year" numFmtId="0">
      <sharedItems containsBlank="1" count="14">
        <s v="2010"/>
        <m/>
        <s v="2011"/>
        <s v="2012"/>
        <s v="2013"/>
        <s v="2014"/>
        <s v="2015"/>
        <s v="2016"/>
        <s v="2017"/>
        <s v="2018"/>
        <s v="2019"/>
        <s v="2020"/>
        <s v="2021"/>
        <s v="2022"/>
      </sharedItems>
    </cacheField>
    <cacheField name="Product HS Code" numFmtId="0">
      <sharedItems containsBlank="1"/>
    </cacheField>
    <cacheField name="Product" numFmtId="0">
      <sharedItems/>
    </cacheField>
    <cacheField name="Apparent Consumption in MT" numFmtId="0">
      <sharedItems containsSemiMixedTypes="0" containsString="0" containsNumber="1" minValue="0.01" maxValue="1859306"/>
    </cacheField>
    <cacheField name="Product new" numFmtId="0">
      <sharedItems count="22">
        <s v="Ammonium Sulphate"/>
        <s v="Potash"/>
        <s v="SSP"/>
        <s v="Urea"/>
        <s v="CAN"/>
        <s v="Other"/>
        <s v="NPK"/>
        <s v="Total"/>
        <s v="DAP"/>
        <s v="MAP"/>
        <s v="Other NP Compound" u="1"/>
        <s v="Other PK Compound" u="1"/>
        <s v="Other phosphate" u="1"/>
        <s v="Other Potash fertilizer" u="1"/>
        <s v="Biostimulant" u="1"/>
        <s v="Sulphate of Potash" u="1"/>
        <s v="Other Nitrogen" u="1"/>
        <s v="Organic Fertilizer" u="1"/>
        <s v="Potassium Nitrate" u="1"/>
        <s v="Calcium Nitrate" u="1"/>
        <s v="Phosphate Rock" u="1"/>
        <s v="Single Super Phosphate" u="1"/>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gesen, Anders" refreshedDate="45068.814961805554" createdVersion="8" refreshedVersion="8" minRefreshableVersion="3" recordCount="120" xr:uid="{B52E3047-B410-467B-91D4-4286BA2DB596}">
  <cacheSource type="worksheet">
    <worksheetSource ref="A12:D132" sheet="Africa fertilizers imports" r:id="rId2"/>
  </cacheSource>
  <cacheFields count="4">
    <cacheField name="Year" numFmtId="0">
      <sharedItems containsMixedTypes="1" containsNumber="1" containsInteger="1" minValue="2016" maxValue="2018" count="7">
        <s v="2019"/>
        <s v="2021"/>
        <s v="2020"/>
        <s v="2022"/>
        <n v="2018"/>
        <n v="2017"/>
        <n v="2016"/>
      </sharedItems>
    </cacheField>
    <cacheField name="Country" numFmtId="0">
      <sharedItems count="34">
        <s v="China"/>
        <s v="Egypt"/>
        <s v="Germany"/>
        <s v="India"/>
        <s v="Italy"/>
        <s v="Morocco"/>
        <s v="Netherlands"/>
        <s v="Singapore"/>
        <s v="Spain"/>
        <s v="United Arab Emirates"/>
        <s v="United Kingdom"/>
        <s v="United States"/>
        <s v="United States of America"/>
        <s v="Andorra"/>
        <s v="Austria"/>
        <s v="Belarus"/>
        <s v="Belgium"/>
        <s v="France"/>
        <s v="Hong Kong"/>
        <s v="Israel"/>
        <s v="Lithuania"/>
        <s v="Malaysia"/>
        <s v="Mexico"/>
        <s v="Pakistan"/>
        <s v="Russian Federation"/>
        <s v="Sri Lanka"/>
        <s v="Viet Nam"/>
        <s v="Philippines"/>
        <s v="Switzerland"/>
        <s v="Ukraine"/>
        <s v="Cameroon"/>
        <s v="Estonia"/>
        <s v="Indonesia"/>
        <s v="Tunisia"/>
      </sharedItems>
    </cacheField>
    <cacheField name="Product" numFmtId="0">
      <sharedItems count="15">
        <s v="Diammonium Phosphate"/>
        <s v="NPK unspecified"/>
        <s v="Single Super Phosphate"/>
        <s v="Other PK Compound"/>
        <s v="NPK 18-10-20 + 1MgO + 0.1B"/>
        <s v="Phosphate Rock"/>
        <s v="NPK 28-11-14 + TE"/>
        <s v="NPK 20-20-20 + TE"/>
        <s v="Monoammonium Phosphate"/>
        <s v="Other phosphate"/>
        <s v="Other NP Compound"/>
        <s v="NPK 20-20-20"/>
        <s v="NPK 15-15-15"/>
        <s v="NPK 17-8-9"/>
        <s v="NPK 3-3-45"/>
      </sharedItems>
    </cacheField>
    <cacheField name="Amount" numFmtId="0">
      <sharedItems containsSemiMixedTypes="0" containsString="0" containsNumber="1" minValue="0" maxValue="292158"/>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agesen, Anders" refreshedDate="45093.773648958333" createdVersion="8" refreshedVersion="8" minRefreshableVersion="3" recordCount="118" xr:uid="{623229D1-716A-4B64-A678-82A0CD6C73EC}">
  <cacheSource type="worksheet">
    <worksheetSource ref="A15:E133" sheet="Imports per product" r:id="rId2"/>
  </cacheSource>
  <cacheFields count="5">
    <cacheField name="Date" numFmtId="0">
      <sharedItems count="13">
        <s v="2010"/>
        <s v="2011"/>
        <s v="2012"/>
        <s v="2013"/>
        <s v="2014"/>
        <s v="2015"/>
        <s v="2016"/>
        <s v="2017"/>
        <s v="2018"/>
        <s v="2019"/>
        <s v="2020"/>
        <s v="2021"/>
        <s v="2022"/>
      </sharedItems>
    </cacheField>
    <cacheField name="Product HS Code" numFmtId="0">
      <sharedItems containsBlank="1"/>
    </cacheField>
    <cacheField name="Product" numFmtId="0">
      <sharedItems count="25">
        <s v="Monoammonium Phosphate"/>
        <s v="Other Nitrogen"/>
        <s v="Other PK Compound"/>
        <s v="Calcium Ammonium Nitrate"/>
        <s v="Other Potash fertilizer"/>
        <s v="Sulphate of Potash"/>
        <s v="Other NP Compound"/>
        <s v="NPK unspecified"/>
        <s v="Total"/>
        <s v="Single Super Phosphate"/>
        <s v="Phosphate Rock"/>
        <s v="Other phosphate"/>
        <s v="Diammonium Phosphate"/>
        <s v="Potassium Nitrate"/>
        <s v="Calcium Nitrate"/>
        <s v="NPK 15-15-15"/>
        <s v="NPK 3-3-45"/>
        <s v="NPK 17-8-9"/>
        <s v="NPK 20-20-20"/>
        <s v="NPK 20-20-20 + TE"/>
        <s v="NPK 28-11-14 + TE"/>
        <s v="NPK 18-10-20 + 1MgO + 0.1B"/>
        <s v="Organic Fertilizer"/>
        <s v="Biostimulant"/>
        <s v="Enhancers"/>
      </sharedItems>
    </cacheField>
    <cacheField name="Imports (MT)" numFmtId="4">
      <sharedItems containsSemiMixedTypes="0" containsString="0" containsNumber="1" minValue="5.0000000000000001E-3" maxValue="639935.43900000001"/>
    </cacheField>
    <cacheField name="Product new" numFmtId="0">
      <sharedItems containsBlank="1" count="6">
        <s v="MAP"/>
        <m/>
        <s v="Other"/>
        <s v="NPK"/>
        <s v="SSP"/>
        <s v="DAP"/>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75.918682870368" createdVersion="8" refreshedVersion="8" minRefreshableVersion="3" recordCount="143" xr:uid="{9E91BC70-63F4-4827-B9E5-F4EC1DDFD363}">
  <cacheSource type="worksheet">
    <worksheetSource ref="A6:E149" sheet="Sheet 1" r:id="rId2"/>
  </cacheSource>
  <cacheFields count="5">
    <cacheField name="Year" numFmtId="0">
      <sharedItems containsBlank="1" count="14">
        <s v="2010"/>
        <m/>
        <s v="2011"/>
        <s v="2012"/>
        <s v="2013"/>
        <s v="2014"/>
        <s v="2015"/>
        <s v="2016"/>
        <s v="2017"/>
        <s v="2018"/>
        <s v="2019"/>
        <s v="2020"/>
        <s v="2021"/>
        <s v="2022"/>
      </sharedItems>
    </cacheField>
    <cacheField name="Product HS Code" numFmtId="0">
      <sharedItems containsBlank="1"/>
    </cacheField>
    <cacheField name="Product" numFmtId="0">
      <sharedItems/>
    </cacheField>
    <cacheField name="Apparent Consumption in MT" numFmtId="0">
      <sharedItems containsSemiMixedTypes="0" containsString="0" containsNumber="1" minValue="0.01" maxValue="1859306"/>
    </cacheField>
    <cacheField name="Product new" numFmtId="0">
      <sharedItems count="22">
        <s v="Ammonium Sulphate"/>
        <s v="Potash"/>
        <s v="SSP"/>
        <s v="Urea"/>
        <s v="CAN"/>
        <s v="Other"/>
        <s v="NPK"/>
        <s v="Total"/>
        <s v="DAP"/>
        <s v="MAP"/>
        <s v="Other NP Compound" u="1"/>
        <s v="Other PK Compound" u="1"/>
        <s v="Other phosphate" u="1"/>
        <s v="Other Potash fertilizer" u="1"/>
        <s v="Biostimulant" u="1"/>
        <s v="Sulphate of Potash" u="1"/>
        <s v="Other Nitrogen" u="1"/>
        <s v="Organic Fertilizer" u="1"/>
        <s v="Potassium Nitrate" u="1"/>
        <s v="Calcium Nitrate" u="1"/>
        <s v="Phosphate Rock" u="1"/>
        <s v="Single Super Phosphate" u="1"/>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069.617211226854" createdVersion="8" refreshedVersion="8" minRefreshableVersion="3" recordCount="39" xr:uid="{A796DC8A-5106-4E09-A2F1-DA433F413B4B}">
  <cacheSource type="worksheet">
    <worksheetSource ref="A6:C45" sheet="Sheet 1" r:id="rId2"/>
  </cacheSource>
  <cacheFields count="3">
    <cacheField name="Year" numFmtId="0">
      <sharedItems count="13">
        <s v="2010"/>
        <s v="2011"/>
        <s v="2012"/>
        <s v="2013"/>
        <s v="2014"/>
        <s v="2015"/>
        <s v="2016"/>
        <s v="2017"/>
        <s v="2018"/>
        <s v="2019"/>
        <s v="2020"/>
        <s v="2021"/>
        <s v="2022"/>
      </sharedItems>
    </cacheField>
    <cacheField name="Component" numFmtId="0">
      <sharedItems count="3">
        <s v="Apparent Consumption"/>
        <s v="Production"/>
        <s v="Export"/>
      </sharedItems>
    </cacheField>
    <cacheField name="Volume (MT)" numFmtId="4">
      <sharedItems containsSemiMixedTypes="0" containsString="0" containsNumber="1" containsInteger="1" minValue="18950" maxValue="345874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
  <r>
    <s v="QCL"/>
    <s v="Crops and livestock products"/>
    <n v="566"/>
    <s v="Nigeria"/>
    <n v="5312"/>
    <s v="Area harvested"/>
    <n v="1251"/>
    <x v="0"/>
    <n v="2017"/>
    <x v="0"/>
    <s v="ha"/>
    <n v="26809"/>
    <s v="I"/>
    <s v="Imputed value"/>
  </r>
  <r>
    <s v="QCL"/>
    <s v="Crops and livestock products"/>
    <n v="566"/>
    <s v="Nigeria"/>
    <n v="5312"/>
    <s v="Area harvested"/>
    <n v="1251"/>
    <x v="0"/>
    <n v="2018"/>
    <x v="1"/>
    <s v="ha"/>
    <n v="26678"/>
    <s v="I"/>
    <s v="Imputed value"/>
  </r>
  <r>
    <s v="QCL"/>
    <s v="Crops and livestock products"/>
    <n v="566"/>
    <s v="Nigeria"/>
    <n v="5312"/>
    <s v="Area harvested"/>
    <n v="1251"/>
    <x v="0"/>
    <n v="2019"/>
    <x v="2"/>
    <s v="ha"/>
    <n v="26587"/>
    <s v="I"/>
    <s v="Imputed value"/>
  </r>
  <r>
    <s v="QCL"/>
    <s v="Crops and livestock products"/>
    <n v="566"/>
    <s v="Nigeria"/>
    <n v="5312"/>
    <s v="Area harvested"/>
    <n v="1251"/>
    <x v="0"/>
    <n v="2020"/>
    <x v="3"/>
    <s v="ha"/>
    <n v="26576"/>
    <s v="I"/>
    <s v="Imputed value"/>
  </r>
  <r>
    <s v="QCL"/>
    <s v="Crops and livestock products"/>
    <n v="566"/>
    <s v="Nigeria"/>
    <n v="5312"/>
    <s v="Area harvested"/>
    <n v="1251"/>
    <x v="0"/>
    <n v="2021"/>
    <x v="4"/>
    <s v="ha"/>
    <n v="26566"/>
    <s v="I"/>
    <s v="Imputed value"/>
  </r>
  <r>
    <s v="QCL"/>
    <s v="Crops and livestock products"/>
    <n v="566"/>
    <s v="Nigeria"/>
    <n v="5312"/>
    <s v="Area harvested"/>
    <n v="1372"/>
    <x v="1"/>
    <n v="2017"/>
    <x v="0"/>
    <s v="ha"/>
    <n v="140000"/>
    <s v="E"/>
    <s v="Estimated value"/>
  </r>
  <r>
    <s v="QCL"/>
    <s v="Crops and livestock products"/>
    <n v="566"/>
    <s v="Nigeria"/>
    <n v="5312"/>
    <s v="Area harvested"/>
    <n v="1372"/>
    <x v="1"/>
    <n v="2018"/>
    <x v="1"/>
    <s v="ha"/>
    <n v="140000"/>
    <s v="E"/>
    <s v="Estimated value"/>
  </r>
  <r>
    <s v="QCL"/>
    <s v="Crops and livestock products"/>
    <n v="566"/>
    <s v="Nigeria"/>
    <n v="5312"/>
    <s v="Area harvested"/>
    <n v="1372"/>
    <x v="1"/>
    <n v="2019"/>
    <x v="2"/>
    <s v="ha"/>
    <n v="140000"/>
    <s v="E"/>
    <s v="Estimated value"/>
  </r>
  <r>
    <s v="QCL"/>
    <s v="Crops and livestock products"/>
    <n v="566"/>
    <s v="Nigeria"/>
    <n v="5312"/>
    <s v="Area harvested"/>
    <n v="1372"/>
    <x v="1"/>
    <n v="2020"/>
    <x v="3"/>
    <s v="ha"/>
    <n v="159128"/>
    <s v="I"/>
    <s v="Imputed value"/>
  </r>
  <r>
    <s v="QCL"/>
    <s v="Crops and livestock products"/>
    <n v="566"/>
    <s v="Nigeria"/>
    <n v="5312"/>
    <s v="Area harvested"/>
    <n v="1372"/>
    <x v="1"/>
    <n v="2021"/>
    <x v="4"/>
    <s v="ha"/>
    <n v="165247"/>
    <s v="E"/>
    <s v="Estimated value"/>
  </r>
  <r>
    <s v="QCL"/>
    <s v="Crops and livestock products"/>
    <n v="566"/>
    <s v="Nigeria"/>
    <n v="5312"/>
    <s v="Area harvested"/>
    <n v="1520.01"/>
    <x v="2"/>
    <n v="2017"/>
    <x v="0"/>
    <s v="ha"/>
    <n v="6761350"/>
    <s v="A"/>
    <s v="Official figure"/>
  </r>
  <r>
    <s v="QCL"/>
    <s v="Crops and livestock products"/>
    <n v="566"/>
    <s v="Nigeria"/>
    <n v="5312"/>
    <s v="Area harvested"/>
    <n v="1520.01"/>
    <x v="2"/>
    <n v="2018"/>
    <x v="1"/>
    <s v="ha"/>
    <n v="6949400"/>
    <s v="A"/>
    <s v="Official figure"/>
  </r>
  <r>
    <s v="QCL"/>
    <s v="Crops and livestock products"/>
    <n v="566"/>
    <s v="Nigeria"/>
    <n v="5312"/>
    <s v="Area harvested"/>
    <n v="1520.01"/>
    <x v="2"/>
    <n v="2019"/>
    <x v="2"/>
    <s v="ha"/>
    <n v="9776650"/>
    <s v="A"/>
    <s v="Official figure"/>
  </r>
  <r>
    <s v="QCL"/>
    <s v="Crops and livestock products"/>
    <n v="566"/>
    <s v="Nigeria"/>
    <n v="5312"/>
    <s v="Area harvested"/>
    <n v="1520.01"/>
    <x v="2"/>
    <n v="2020"/>
    <x v="3"/>
    <s v="ha"/>
    <n v="7290381"/>
    <s v="E"/>
    <s v="Estimated value"/>
  </r>
  <r>
    <s v="QCL"/>
    <s v="Crops and livestock products"/>
    <n v="566"/>
    <s v="Nigeria"/>
    <n v="5312"/>
    <s v="Area harvested"/>
    <n v="1520.01"/>
    <x v="2"/>
    <n v="2021"/>
    <x v="4"/>
    <s v="ha"/>
    <n v="9085736"/>
    <s v="I"/>
    <s v="Imputed value"/>
  </r>
  <r>
    <s v="QCL"/>
    <s v="Crops and livestock products"/>
    <n v="566"/>
    <s v="Nigeria"/>
    <n v="5312"/>
    <s v="Area harvested"/>
    <n v="1652"/>
    <x v="3"/>
    <n v="2017"/>
    <x v="0"/>
    <s v="ha"/>
    <n v="36482"/>
    <s v="I"/>
    <s v="Imputed value"/>
  </r>
  <r>
    <s v="QCL"/>
    <s v="Crops and livestock products"/>
    <n v="566"/>
    <s v="Nigeria"/>
    <n v="5312"/>
    <s v="Area harvested"/>
    <n v="1652"/>
    <x v="3"/>
    <n v="2018"/>
    <x v="1"/>
    <s v="ha"/>
    <n v="36811"/>
    <s v="E"/>
    <s v="Estimated value"/>
  </r>
  <r>
    <s v="QCL"/>
    <s v="Crops and livestock products"/>
    <n v="566"/>
    <s v="Nigeria"/>
    <n v="5312"/>
    <s v="Area harvested"/>
    <n v="1652"/>
    <x v="3"/>
    <n v="2019"/>
    <x v="2"/>
    <s v="ha"/>
    <n v="36475"/>
    <s v="E"/>
    <s v="Estimated value"/>
  </r>
  <r>
    <s v="QCL"/>
    <s v="Crops and livestock products"/>
    <n v="566"/>
    <s v="Nigeria"/>
    <n v="5312"/>
    <s v="Area harvested"/>
    <n v="1652"/>
    <x v="3"/>
    <n v="2020"/>
    <x v="3"/>
    <s v="ha"/>
    <n v="36589"/>
    <s v="E"/>
    <s v="Estimated value"/>
  </r>
  <r>
    <s v="QCL"/>
    <s v="Crops and livestock products"/>
    <n v="566"/>
    <s v="Nigeria"/>
    <n v="5312"/>
    <s v="Area harvested"/>
    <n v="1652"/>
    <x v="3"/>
    <n v="2021"/>
    <x v="4"/>
    <s v="ha"/>
    <n v="36625"/>
    <s v="E"/>
    <s v="Estimated value"/>
  </r>
  <r>
    <s v="QCL"/>
    <s v="Crops and livestock products"/>
    <n v="566"/>
    <s v="Nigeria"/>
    <n v="5312"/>
    <s v="Area harvested"/>
    <n v="1231"/>
    <x v="4"/>
    <n v="2017"/>
    <x v="0"/>
    <s v="ha"/>
    <n v="100792"/>
    <s v="I"/>
    <s v="Imputed value"/>
  </r>
  <r>
    <s v="QCL"/>
    <s v="Crops and livestock products"/>
    <n v="566"/>
    <s v="Nigeria"/>
    <n v="5312"/>
    <s v="Area harvested"/>
    <n v="1231"/>
    <x v="4"/>
    <n v="2018"/>
    <x v="1"/>
    <s v="ha"/>
    <n v="100736"/>
    <s v="I"/>
    <s v="Imputed value"/>
  </r>
  <r>
    <s v="QCL"/>
    <s v="Crops and livestock products"/>
    <n v="566"/>
    <s v="Nigeria"/>
    <n v="5312"/>
    <s v="Area harvested"/>
    <n v="1231"/>
    <x v="4"/>
    <n v="2019"/>
    <x v="2"/>
    <s v="ha"/>
    <n v="100334"/>
    <s v="I"/>
    <s v="Imputed value"/>
  </r>
  <r>
    <s v="QCL"/>
    <s v="Crops and livestock products"/>
    <n v="566"/>
    <s v="Nigeria"/>
    <n v="5312"/>
    <s v="Area harvested"/>
    <n v="1231"/>
    <x v="4"/>
    <n v="2020"/>
    <x v="3"/>
    <s v="ha"/>
    <n v="100833"/>
    <s v="I"/>
    <s v="Imputed value"/>
  </r>
  <r>
    <s v="QCL"/>
    <s v="Crops and livestock products"/>
    <n v="566"/>
    <s v="Nigeria"/>
    <n v="5312"/>
    <s v="Area harvested"/>
    <n v="1231"/>
    <x v="4"/>
    <n v="2021"/>
    <x v="4"/>
    <s v="ha"/>
    <n v="101335"/>
    <s v="I"/>
    <s v="Imputed value"/>
  </r>
  <r>
    <s v="QCL"/>
    <s v="Crops and livestock products"/>
    <n v="566"/>
    <s v="Nigeria"/>
    <n v="5312"/>
    <s v="Area harvested"/>
    <n v="1640"/>
    <x v="5"/>
    <n v="2017"/>
    <x v="0"/>
    <s v="ha"/>
    <n v="892101"/>
    <s v="I"/>
    <s v="Imputed value"/>
  </r>
  <r>
    <s v="QCL"/>
    <s v="Crops and livestock products"/>
    <n v="566"/>
    <s v="Nigeria"/>
    <n v="5312"/>
    <s v="Area harvested"/>
    <n v="1640"/>
    <x v="5"/>
    <n v="2018"/>
    <x v="1"/>
    <s v="ha"/>
    <n v="974173"/>
    <s v="I"/>
    <s v="Imputed value"/>
  </r>
  <r>
    <s v="QCL"/>
    <s v="Crops and livestock products"/>
    <n v="566"/>
    <s v="Nigeria"/>
    <n v="5312"/>
    <s v="Area harvested"/>
    <n v="1640"/>
    <x v="5"/>
    <n v="2019"/>
    <x v="2"/>
    <s v="ha"/>
    <n v="913097"/>
    <s v="I"/>
    <s v="Imputed value"/>
  </r>
  <r>
    <s v="QCL"/>
    <s v="Crops and livestock products"/>
    <n v="566"/>
    <s v="Nigeria"/>
    <n v="5312"/>
    <s v="Area harvested"/>
    <n v="1640"/>
    <x v="5"/>
    <n v="2020"/>
    <x v="3"/>
    <s v="ha"/>
    <n v="1076093"/>
    <s v="I"/>
    <s v="Imputed value"/>
  </r>
  <r>
    <s v="QCL"/>
    <s v="Crops and livestock products"/>
    <n v="566"/>
    <s v="Nigeria"/>
    <n v="5312"/>
    <s v="Area harvested"/>
    <n v="1640"/>
    <x v="5"/>
    <n v="2021"/>
    <x v="4"/>
    <s v="ha"/>
    <n v="1055833"/>
    <s v="I"/>
    <s v="Imputed value"/>
  </r>
  <r>
    <s v="QCL"/>
    <s v="Crops and livestock products"/>
    <n v="566"/>
    <s v="Nigeria"/>
    <n v="5312"/>
    <s v="Area harvested"/>
    <n v="1460"/>
    <x v="6"/>
    <n v="2017"/>
    <x v="0"/>
    <s v="ha"/>
    <n v="31459"/>
    <s v="I"/>
    <s v="Imputed value"/>
  </r>
  <r>
    <s v="QCL"/>
    <s v="Crops and livestock products"/>
    <n v="566"/>
    <s v="Nigeria"/>
    <n v="5312"/>
    <s v="Area harvested"/>
    <n v="1460"/>
    <x v="6"/>
    <n v="2018"/>
    <x v="1"/>
    <s v="ha"/>
    <n v="30267"/>
    <s v="I"/>
    <s v="Imputed value"/>
  </r>
  <r>
    <s v="QCL"/>
    <s v="Crops and livestock products"/>
    <n v="566"/>
    <s v="Nigeria"/>
    <n v="5312"/>
    <s v="Area harvested"/>
    <n v="1460"/>
    <x v="6"/>
    <n v="2019"/>
    <x v="2"/>
    <s v="ha"/>
    <n v="30093"/>
    <s v="I"/>
    <s v="Imputed value"/>
  </r>
  <r>
    <s v="QCL"/>
    <s v="Crops and livestock products"/>
    <n v="566"/>
    <s v="Nigeria"/>
    <n v="5312"/>
    <s v="Area harvested"/>
    <n v="1460"/>
    <x v="6"/>
    <n v="2020"/>
    <x v="3"/>
    <s v="ha"/>
    <n v="29274"/>
    <s v="I"/>
    <s v="Imputed value"/>
  </r>
  <r>
    <s v="QCL"/>
    <s v="Crops and livestock products"/>
    <n v="566"/>
    <s v="Nigeria"/>
    <n v="5312"/>
    <s v="Area harvested"/>
    <n v="1460"/>
    <x v="6"/>
    <n v="2021"/>
    <x v="4"/>
    <s v="ha"/>
    <n v="28629"/>
    <s v="I"/>
    <s v="Imputed value"/>
  </r>
  <r>
    <s v="QCL"/>
    <s v="Crops and livestock products"/>
    <n v="566"/>
    <s v="Nigeria"/>
    <n v="5312"/>
    <s v="Area harvested"/>
    <n v="1610"/>
    <x v="7"/>
    <n v="2017"/>
    <x v="0"/>
    <s v="ha"/>
    <n v="1455"/>
    <s v="E"/>
    <s v="Estimated value"/>
  </r>
  <r>
    <s v="QCL"/>
    <s v="Crops and livestock products"/>
    <n v="566"/>
    <s v="Nigeria"/>
    <n v="5312"/>
    <s v="Area harvested"/>
    <n v="1610"/>
    <x v="7"/>
    <n v="2018"/>
    <x v="1"/>
    <s v="ha"/>
    <n v="1495"/>
    <s v="I"/>
    <s v="Imputed value"/>
  </r>
  <r>
    <s v="QCL"/>
    <s v="Crops and livestock products"/>
    <n v="566"/>
    <s v="Nigeria"/>
    <n v="5312"/>
    <s v="Area harvested"/>
    <n v="1610"/>
    <x v="7"/>
    <n v="2019"/>
    <x v="2"/>
    <s v="ha"/>
    <n v="1466"/>
    <s v="I"/>
    <s v="Imputed value"/>
  </r>
  <r>
    <s v="QCL"/>
    <s v="Crops and livestock products"/>
    <n v="566"/>
    <s v="Nigeria"/>
    <n v="5312"/>
    <s v="Area harvested"/>
    <n v="1610"/>
    <x v="7"/>
    <n v="2020"/>
    <x v="3"/>
    <s v="ha"/>
    <n v="1432"/>
    <s v="I"/>
    <s v="Imputed value"/>
  </r>
  <r>
    <s v="QCL"/>
    <s v="Crops and livestock products"/>
    <n v="566"/>
    <s v="Nigeria"/>
    <n v="5312"/>
    <s v="Area harvested"/>
    <n v="1610"/>
    <x v="7"/>
    <n v="2021"/>
    <x v="4"/>
    <s v="ha"/>
    <n v="1398"/>
    <s v="I"/>
    <s v="Imputed value"/>
  </r>
  <r>
    <s v="QCL"/>
    <s v="Crops and livestock products"/>
    <n v="566"/>
    <s v="Nigeria"/>
    <n v="5312"/>
    <s v="Area harvested"/>
    <n v="1706"/>
    <x v="8"/>
    <n v="2017"/>
    <x v="0"/>
    <s v="ha"/>
    <n v="5008440"/>
    <s v="A"/>
    <s v="Official figure"/>
  </r>
  <r>
    <s v="QCL"/>
    <s v="Crops and livestock products"/>
    <n v="566"/>
    <s v="Nigeria"/>
    <n v="5312"/>
    <s v="Area harvested"/>
    <n v="1706"/>
    <x v="8"/>
    <n v="2018"/>
    <x v="1"/>
    <s v="ha"/>
    <n v="4282797"/>
    <s v="I"/>
    <s v="Imputed value"/>
  </r>
  <r>
    <s v="QCL"/>
    <s v="Crops and livestock products"/>
    <n v="566"/>
    <s v="Nigeria"/>
    <n v="5312"/>
    <s v="Area harvested"/>
    <n v="1706"/>
    <x v="8"/>
    <n v="2019"/>
    <x v="2"/>
    <s v="ha"/>
    <n v="4410336"/>
    <s v="I"/>
    <s v="Imputed value"/>
  </r>
  <r>
    <s v="QCL"/>
    <s v="Crops and livestock products"/>
    <n v="566"/>
    <s v="Nigeria"/>
    <n v="5312"/>
    <s v="Area harvested"/>
    <n v="1706"/>
    <x v="8"/>
    <n v="2020"/>
    <x v="3"/>
    <s v="ha"/>
    <n v="4688231"/>
    <s v="I"/>
    <s v="Imputed value"/>
  </r>
  <r>
    <s v="QCL"/>
    <s v="Crops and livestock products"/>
    <n v="566"/>
    <s v="Nigeria"/>
    <n v="5312"/>
    <s v="Area harvested"/>
    <n v="1706"/>
    <x v="8"/>
    <n v="2021"/>
    <x v="4"/>
    <s v="ha"/>
    <n v="4701992"/>
    <s v="I"/>
    <s v="Imputed value"/>
  </r>
  <r>
    <s v="QCL"/>
    <s v="Crops and livestock products"/>
    <n v="566"/>
    <s v="Nigeria"/>
    <n v="5312"/>
    <s v="Area harvested"/>
    <n v="1193"/>
    <x v="9"/>
    <n v="2017"/>
    <x v="0"/>
    <s v="ha"/>
    <n v="170905"/>
    <s v="I"/>
    <s v="Imputed value"/>
  </r>
  <r>
    <s v="QCL"/>
    <s v="Crops and livestock products"/>
    <n v="566"/>
    <s v="Nigeria"/>
    <n v="5312"/>
    <s v="Area harvested"/>
    <n v="1193"/>
    <x v="9"/>
    <n v="2018"/>
    <x v="1"/>
    <s v="ha"/>
    <n v="175794"/>
    <s v="I"/>
    <s v="Imputed value"/>
  </r>
  <r>
    <s v="QCL"/>
    <s v="Crops and livestock products"/>
    <n v="566"/>
    <s v="Nigeria"/>
    <n v="5312"/>
    <s v="Area harvested"/>
    <n v="1193"/>
    <x v="9"/>
    <n v="2019"/>
    <x v="2"/>
    <s v="ha"/>
    <n v="174961"/>
    <s v="I"/>
    <s v="Imputed value"/>
  </r>
  <r>
    <s v="QCL"/>
    <s v="Crops and livestock products"/>
    <n v="566"/>
    <s v="Nigeria"/>
    <n v="5312"/>
    <s v="Area harvested"/>
    <n v="1193"/>
    <x v="9"/>
    <n v="2020"/>
    <x v="3"/>
    <s v="ha"/>
    <n v="176694"/>
    <s v="I"/>
    <s v="Imputed value"/>
  </r>
  <r>
    <s v="QCL"/>
    <s v="Crops and livestock products"/>
    <n v="566"/>
    <s v="Nigeria"/>
    <n v="5312"/>
    <s v="Area harvested"/>
    <n v="1193"/>
    <x v="9"/>
    <n v="2021"/>
    <x v="4"/>
    <s v="ha"/>
    <n v="175816"/>
    <s v="E"/>
    <s v="Estimated value"/>
  </r>
  <r>
    <s v="QCL"/>
    <s v="Crops and livestock products"/>
    <n v="566"/>
    <s v="Nigeria"/>
    <n v="5312"/>
    <s v="Area harvested"/>
    <n v="1657"/>
    <x v="10"/>
    <n v="2017"/>
    <x v="0"/>
    <s v="ha"/>
    <n v="96059"/>
    <s v="A"/>
    <s v="Official figure"/>
  </r>
  <r>
    <s v="QCL"/>
    <s v="Crops and livestock products"/>
    <n v="566"/>
    <s v="Nigeria"/>
    <n v="5312"/>
    <s v="Area harvested"/>
    <n v="1657"/>
    <x v="10"/>
    <n v="2018"/>
    <x v="1"/>
    <s v="ha"/>
    <n v="87125"/>
    <s v="I"/>
    <s v="Imputed value"/>
  </r>
  <r>
    <s v="QCL"/>
    <s v="Crops and livestock products"/>
    <n v="566"/>
    <s v="Nigeria"/>
    <n v="5312"/>
    <s v="Area harvested"/>
    <n v="1657"/>
    <x v="10"/>
    <n v="2019"/>
    <x v="2"/>
    <s v="ha"/>
    <n v="81027"/>
    <s v="I"/>
    <s v="Imputed value"/>
  </r>
  <r>
    <s v="QCL"/>
    <s v="Crops and livestock products"/>
    <n v="566"/>
    <s v="Nigeria"/>
    <n v="5312"/>
    <s v="Area harvested"/>
    <n v="1657"/>
    <x v="10"/>
    <n v="2020"/>
    <x v="3"/>
    <s v="ha"/>
    <n v="85685"/>
    <s v="I"/>
    <s v="Imputed value"/>
  </r>
  <r>
    <s v="QCL"/>
    <s v="Crops and livestock products"/>
    <n v="566"/>
    <s v="Nigeria"/>
    <n v="5312"/>
    <s v="Area harvested"/>
    <n v="1657"/>
    <x v="10"/>
    <n v="2021"/>
    <x v="4"/>
    <s v="ha"/>
    <n v="86911"/>
    <s v="I"/>
    <s v="Imputed value"/>
  </r>
  <r>
    <s v="QCL"/>
    <s v="Crops and livestock products"/>
    <n v="566"/>
    <s v="Nigeria"/>
    <n v="5312"/>
    <s v="Area harvested"/>
    <n v="1290.01"/>
    <x v="11"/>
    <n v="2017"/>
    <x v="0"/>
    <s v="ha"/>
    <n v="199241"/>
    <s v="I"/>
    <s v="Imputed value"/>
  </r>
  <r>
    <s v="QCL"/>
    <s v="Crops and livestock products"/>
    <n v="566"/>
    <s v="Nigeria"/>
    <n v="5312"/>
    <s v="Area harvested"/>
    <n v="1290.01"/>
    <x v="11"/>
    <n v="2018"/>
    <x v="1"/>
    <s v="ha"/>
    <n v="199787"/>
    <s v="I"/>
    <s v="Imputed value"/>
  </r>
  <r>
    <s v="QCL"/>
    <s v="Crops and livestock products"/>
    <n v="566"/>
    <s v="Nigeria"/>
    <n v="5312"/>
    <s v="Area harvested"/>
    <n v="1290.01"/>
    <x v="11"/>
    <n v="2019"/>
    <x v="2"/>
    <s v="ha"/>
    <n v="201849"/>
    <s v="I"/>
    <s v="Imputed value"/>
  </r>
  <r>
    <s v="QCL"/>
    <s v="Crops and livestock products"/>
    <n v="566"/>
    <s v="Nigeria"/>
    <n v="5312"/>
    <s v="Area harvested"/>
    <n v="1290.01"/>
    <x v="11"/>
    <n v="2020"/>
    <x v="3"/>
    <s v="ha"/>
    <n v="203145"/>
    <s v="I"/>
    <s v="Imputed value"/>
  </r>
  <r>
    <s v="QCL"/>
    <s v="Crops and livestock products"/>
    <n v="566"/>
    <s v="Nigeria"/>
    <n v="5312"/>
    <s v="Area harvested"/>
    <n v="1290.01"/>
    <x v="11"/>
    <n v="2021"/>
    <x v="4"/>
    <s v="ha"/>
    <n v="204527"/>
    <s v="I"/>
    <s v="Imputed value"/>
  </r>
  <r>
    <s v="QCL"/>
    <s v="Crops and livestock products"/>
    <n v="566"/>
    <s v="Nigeria"/>
    <n v="5312"/>
    <s v="Area harvested"/>
    <n v="1252"/>
    <x v="12"/>
    <n v="2017"/>
    <x v="0"/>
    <s v="ha"/>
    <n v="176"/>
    <s v="I"/>
    <s v="Imputed value"/>
  </r>
  <r>
    <s v="QCL"/>
    <s v="Crops and livestock products"/>
    <n v="566"/>
    <s v="Nigeria"/>
    <n v="5312"/>
    <s v="Area harvested"/>
    <n v="1252"/>
    <x v="12"/>
    <n v="2018"/>
    <x v="1"/>
    <s v="ha"/>
    <n v="138"/>
    <s v="I"/>
    <s v="Imputed value"/>
  </r>
  <r>
    <s v="QCL"/>
    <s v="Crops and livestock products"/>
    <n v="566"/>
    <s v="Nigeria"/>
    <n v="5312"/>
    <s v="Area harvested"/>
    <n v="1252"/>
    <x v="12"/>
    <n v="2019"/>
    <x v="2"/>
    <s v="ha"/>
    <n v="98"/>
    <s v="I"/>
    <s v="Imputed value"/>
  </r>
  <r>
    <s v="QCL"/>
    <s v="Crops and livestock products"/>
    <n v="566"/>
    <s v="Nigeria"/>
    <n v="5312"/>
    <s v="Area harvested"/>
    <n v="1252"/>
    <x v="12"/>
    <n v="2020"/>
    <x v="3"/>
    <s v="ha"/>
    <n v="170"/>
    <s v="I"/>
    <s v="Imputed value"/>
  </r>
  <r>
    <s v="QCL"/>
    <s v="Crops and livestock products"/>
    <n v="566"/>
    <s v="Nigeria"/>
    <n v="5312"/>
    <s v="Area harvested"/>
    <n v="1252"/>
    <x v="12"/>
    <n v="2021"/>
    <x v="4"/>
    <s v="ha"/>
    <n v="167"/>
    <s v="I"/>
    <s v="Imputed value"/>
  </r>
  <r>
    <s v="QCL"/>
    <s v="Crops and livestock products"/>
    <n v="566"/>
    <s v="Nigeria"/>
    <n v="5312"/>
    <s v="Area harvested"/>
    <n v="142"/>
    <x v="13"/>
    <n v="2017"/>
    <x v="0"/>
    <s v="ha"/>
    <n v="3596850"/>
    <s v="A"/>
    <s v="Official figure"/>
  </r>
  <r>
    <s v="QCL"/>
    <s v="Crops and livestock products"/>
    <n v="566"/>
    <s v="Nigeria"/>
    <n v="5312"/>
    <s v="Area harvested"/>
    <n v="142"/>
    <x v="13"/>
    <n v="2018"/>
    <x v="1"/>
    <s v="ha"/>
    <n v="3757889"/>
    <s v="I"/>
    <s v="Imputed value"/>
  </r>
  <r>
    <s v="QCL"/>
    <s v="Crops and livestock products"/>
    <n v="566"/>
    <s v="Nigeria"/>
    <n v="5312"/>
    <s v="Area harvested"/>
    <n v="142"/>
    <x v="13"/>
    <n v="2019"/>
    <x v="2"/>
    <s v="ha"/>
    <n v="3941360"/>
    <s v="I"/>
    <s v="Imputed value"/>
  </r>
  <r>
    <s v="QCL"/>
    <s v="Crops and livestock products"/>
    <n v="566"/>
    <s v="Nigeria"/>
    <n v="5312"/>
    <s v="Area harvested"/>
    <n v="142"/>
    <x v="13"/>
    <n v="2020"/>
    <x v="3"/>
    <s v="ha"/>
    <n v="4119066"/>
    <s v="I"/>
    <s v="Imputed value"/>
  </r>
  <r>
    <s v="QCL"/>
    <s v="Crops and livestock products"/>
    <n v="566"/>
    <s v="Nigeria"/>
    <n v="5312"/>
    <s v="Area harvested"/>
    <n v="142"/>
    <x v="13"/>
    <n v="2021"/>
    <x v="4"/>
    <s v="ha"/>
    <n v="4271859"/>
    <s v="E"/>
    <s v="Estimated value"/>
  </r>
  <r>
    <s v="QCL"/>
    <s v="Crops and livestock products"/>
    <n v="566"/>
    <s v="Nigeria"/>
    <n v="5312"/>
    <s v="Area harvested"/>
    <n v="1499.01"/>
    <x v="14"/>
    <n v="2017"/>
    <x v="0"/>
    <s v="ha"/>
    <n v="403911"/>
    <s v="I"/>
    <s v="Imputed value"/>
  </r>
  <r>
    <s v="QCL"/>
    <s v="Crops and livestock products"/>
    <n v="566"/>
    <s v="Nigeria"/>
    <n v="5312"/>
    <s v="Area harvested"/>
    <n v="1499.01"/>
    <x v="14"/>
    <n v="2018"/>
    <x v="1"/>
    <s v="ha"/>
    <n v="400345"/>
    <s v="E"/>
    <s v="Estimated value"/>
  </r>
  <r>
    <s v="QCL"/>
    <s v="Crops and livestock products"/>
    <n v="566"/>
    <s v="Nigeria"/>
    <n v="5312"/>
    <s v="Area harvested"/>
    <n v="1499.01"/>
    <x v="14"/>
    <n v="2019"/>
    <x v="2"/>
    <s v="ha"/>
    <n v="397969"/>
    <s v="E"/>
    <s v="Estimated value"/>
  </r>
  <r>
    <s v="QCL"/>
    <s v="Crops and livestock products"/>
    <n v="566"/>
    <s v="Nigeria"/>
    <n v="5312"/>
    <s v="Area harvested"/>
    <n v="1499.01"/>
    <x v="14"/>
    <n v="2020"/>
    <x v="3"/>
    <s v="ha"/>
    <n v="400742"/>
    <s v="E"/>
    <s v="Estimated value"/>
  </r>
  <r>
    <s v="QCL"/>
    <s v="Crops and livestock products"/>
    <n v="566"/>
    <s v="Nigeria"/>
    <n v="5312"/>
    <s v="Area harvested"/>
    <n v="1499.01"/>
    <x v="14"/>
    <n v="2021"/>
    <x v="4"/>
    <s v="ha"/>
    <n v="399685"/>
    <s v="E"/>
    <s v="Estimated value"/>
  </r>
  <r>
    <s v="QCL"/>
    <s v="Crops and livestock products"/>
    <n v="566"/>
    <s v="Nigeria"/>
    <n v="5312"/>
    <s v="Area harvested"/>
    <n v="1922.02"/>
    <x v="15"/>
    <n v="2017"/>
    <x v="0"/>
    <s v="ha"/>
    <n v="1012"/>
    <s v="I"/>
    <s v="Imputed value"/>
  </r>
  <r>
    <s v="QCL"/>
    <s v="Crops and livestock products"/>
    <n v="566"/>
    <s v="Nigeria"/>
    <n v="5312"/>
    <s v="Area harvested"/>
    <n v="1922.02"/>
    <x v="15"/>
    <n v="2018"/>
    <x v="1"/>
    <s v="ha"/>
    <n v="1007"/>
    <s v="I"/>
    <s v="Imputed value"/>
  </r>
  <r>
    <s v="QCL"/>
    <s v="Crops and livestock products"/>
    <n v="566"/>
    <s v="Nigeria"/>
    <n v="5312"/>
    <s v="Area harvested"/>
    <n v="1922.02"/>
    <x v="15"/>
    <n v="2019"/>
    <x v="2"/>
    <s v="ha"/>
    <n v="1015"/>
    <s v="I"/>
    <s v="Imputed value"/>
  </r>
  <r>
    <s v="QCL"/>
    <s v="Crops and livestock products"/>
    <n v="566"/>
    <s v="Nigeria"/>
    <n v="5312"/>
    <s v="Area harvested"/>
    <n v="1922.02"/>
    <x v="15"/>
    <n v="2020"/>
    <x v="3"/>
    <s v="ha"/>
    <n v="1018"/>
    <s v="I"/>
    <s v="Imputed value"/>
  </r>
  <r>
    <s v="QCL"/>
    <s v="Crops and livestock products"/>
    <n v="566"/>
    <s v="Nigeria"/>
    <n v="5312"/>
    <s v="Area harvested"/>
    <n v="1922.02"/>
    <x v="15"/>
    <n v="2021"/>
    <x v="4"/>
    <s v="ha"/>
    <n v="1020"/>
    <s v="I"/>
    <s v="Imputed value"/>
  </r>
  <r>
    <s v="QCL"/>
    <s v="Crops and livestock products"/>
    <n v="566"/>
    <s v="Nigeria"/>
    <n v="5312"/>
    <s v="Area harvested"/>
    <n v="1379.02"/>
    <x v="16"/>
    <n v="2017"/>
    <x v="0"/>
    <s v="ha"/>
    <n v="258790"/>
    <s v="I"/>
    <s v="Imputed value"/>
  </r>
  <r>
    <s v="QCL"/>
    <s v="Crops and livestock products"/>
    <n v="566"/>
    <s v="Nigeria"/>
    <n v="5312"/>
    <s v="Area harvested"/>
    <n v="1379.02"/>
    <x v="16"/>
    <n v="2018"/>
    <x v="1"/>
    <s v="ha"/>
    <n v="258750"/>
    <s v="E"/>
    <s v="Estimated value"/>
  </r>
  <r>
    <s v="QCL"/>
    <s v="Crops and livestock products"/>
    <n v="566"/>
    <s v="Nigeria"/>
    <n v="5312"/>
    <s v="Area harvested"/>
    <n v="1379.02"/>
    <x v="16"/>
    <n v="2019"/>
    <x v="2"/>
    <s v="ha"/>
    <n v="255059"/>
    <s v="E"/>
    <s v="Estimated value"/>
  </r>
  <r>
    <s v="QCL"/>
    <s v="Crops and livestock products"/>
    <n v="566"/>
    <s v="Nigeria"/>
    <n v="5312"/>
    <s v="Area harvested"/>
    <n v="1379.02"/>
    <x v="16"/>
    <n v="2020"/>
    <x v="3"/>
    <s v="ha"/>
    <n v="257533"/>
    <s v="E"/>
    <s v="Estimated value"/>
  </r>
  <r>
    <s v="QCL"/>
    <s v="Crops and livestock products"/>
    <n v="566"/>
    <s v="Nigeria"/>
    <n v="5312"/>
    <s v="Area harvested"/>
    <n v="1379.02"/>
    <x v="16"/>
    <n v="2021"/>
    <x v="4"/>
    <s v="ha"/>
    <n v="257114"/>
    <s v="E"/>
    <s v="Estimated value"/>
  </r>
  <r>
    <s v="QCL"/>
    <s v="Crops and livestock products"/>
    <n v="566"/>
    <s v="Nigeria"/>
    <n v="5312"/>
    <s v="Area harvested"/>
    <n v="112"/>
    <x v="17"/>
    <n v="2017"/>
    <x v="0"/>
    <s v="ha"/>
    <n v="6389296"/>
    <s v="A"/>
    <s v="Official figure"/>
  </r>
  <r>
    <s v="QCL"/>
    <s v="Crops and livestock products"/>
    <n v="566"/>
    <s v="Nigeria"/>
    <n v="5312"/>
    <s v="Area harvested"/>
    <n v="112"/>
    <x v="17"/>
    <n v="2018"/>
    <x v="1"/>
    <s v="ha"/>
    <n v="6541183"/>
    <s v="A"/>
    <s v="Official figure"/>
  </r>
  <r>
    <s v="QCL"/>
    <s v="Crops and livestock products"/>
    <n v="566"/>
    <s v="Nigeria"/>
    <n v="5312"/>
    <s v="Area harvested"/>
    <n v="112"/>
    <x v="17"/>
    <n v="2019"/>
    <x v="2"/>
    <s v="ha"/>
    <n v="6543376"/>
    <s v="I"/>
    <s v="Imputed value"/>
  </r>
  <r>
    <s v="QCL"/>
    <s v="Crops and livestock products"/>
    <n v="566"/>
    <s v="Nigeria"/>
    <n v="5312"/>
    <s v="Area harvested"/>
    <n v="112"/>
    <x v="17"/>
    <n v="2020"/>
    <x v="3"/>
    <s v="ha"/>
    <n v="5500000"/>
    <s v="T"/>
    <s v="Unofficial figure"/>
  </r>
  <r>
    <s v="QCL"/>
    <s v="Crops and livestock products"/>
    <n v="566"/>
    <s v="Nigeria"/>
    <n v="5312"/>
    <s v="Area harvested"/>
    <n v="112"/>
    <x v="17"/>
    <n v="2021"/>
    <x v="4"/>
    <s v="ha"/>
    <n v="6000000"/>
    <s v="T"/>
    <s v="Unofficial figure"/>
  </r>
  <r>
    <s v="QCL"/>
    <s v="Crops and livestock products"/>
    <n v="566"/>
    <s v="Nigeria"/>
    <n v="5312"/>
    <s v="Area harvested"/>
    <n v="1316"/>
    <x v="18"/>
    <n v="2017"/>
    <x v="0"/>
    <s v="ha"/>
    <n v="130775"/>
    <s v="I"/>
    <s v="Imputed value"/>
  </r>
  <r>
    <s v="QCL"/>
    <s v="Crops and livestock products"/>
    <n v="566"/>
    <s v="Nigeria"/>
    <n v="5312"/>
    <s v="Area harvested"/>
    <n v="1316"/>
    <x v="18"/>
    <n v="2018"/>
    <x v="1"/>
    <s v="ha"/>
    <n v="130868"/>
    <s v="I"/>
    <s v="Imputed value"/>
  </r>
  <r>
    <s v="QCL"/>
    <s v="Crops and livestock products"/>
    <n v="566"/>
    <s v="Nigeria"/>
    <n v="5312"/>
    <s v="Area harvested"/>
    <n v="1316"/>
    <x v="18"/>
    <n v="2019"/>
    <x v="2"/>
    <s v="ha"/>
    <n v="130249"/>
    <s v="I"/>
    <s v="Imputed value"/>
  </r>
  <r>
    <s v="QCL"/>
    <s v="Crops and livestock products"/>
    <n v="566"/>
    <s v="Nigeria"/>
    <n v="5312"/>
    <s v="Area harvested"/>
    <n v="1316"/>
    <x v="18"/>
    <n v="2020"/>
    <x v="3"/>
    <s v="ha"/>
    <n v="129998"/>
    <s v="I"/>
    <s v="Imputed value"/>
  </r>
  <r>
    <s v="QCL"/>
    <s v="Crops and livestock products"/>
    <n v="566"/>
    <s v="Nigeria"/>
    <n v="5312"/>
    <s v="Area harvested"/>
    <n v="1316"/>
    <x v="18"/>
    <n v="2021"/>
    <x v="4"/>
    <s v="ha"/>
    <n v="129710"/>
    <s v="I"/>
    <s v="Imputed value"/>
  </r>
  <r>
    <s v="QCL"/>
    <s v="Crops and livestock products"/>
    <n v="566"/>
    <s v="Nigeria"/>
    <n v="5312"/>
    <s v="Area harvested"/>
    <n v="1449.01"/>
    <x v="19"/>
    <n v="2017"/>
    <x v="0"/>
    <s v="ha"/>
    <n v="954189"/>
    <s v="I"/>
    <s v="Imputed value"/>
  </r>
  <r>
    <s v="QCL"/>
    <s v="Crops and livestock products"/>
    <n v="566"/>
    <s v="Nigeria"/>
    <n v="5312"/>
    <s v="Area harvested"/>
    <n v="1449.01"/>
    <x v="19"/>
    <n v="2018"/>
    <x v="1"/>
    <s v="ha"/>
    <n v="901068"/>
    <s v="E"/>
    <s v="Estimated value"/>
  </r>
  <r>
    <s v="QCL"/>
    <s v="Crops and livestock products"/>
    <n v="566"/>
    <s v="Nigeria"/>
    <n v="5312"/>
    <s v="Area harvested"/>
    <n v="1449.01"/>
    <x v="19"/>
    <n v="2019"/>
    <x v="2"/>
    <s v="ha"/>
    <n v="919875"/>
    <s v="E"/>
    <s v="Estimated value"/>
  </r>
  <r>
    <s v="QCL"/>
    <s v="Crops and livestock products"/>
    <n v="566"/>
    <s v="Nigeria"/>
    <n v="5312"/>
    <s v="Area harvested"/>
    <n v="1449.01"/>
    <x v="19"/>
    <n v="2020"/>
    <x v="3"/>
    <s v="ha"/>
    <n v="925044"/>
    <s v="E"/>
    <s v="Estimated value"/>
  </r>
  <r>
    <s v="QCL"/>
    <s v="Crops and livestock products"/>
    <n v="566"/>
    <s v="Nigeria"/>
    <n v="5312"/>
    <s v="Area harvested"/>
    <n v="1449.01"/>
    <x v="19"/>
    <n v="2021"/>
    <x v="4"/>
    <s v="ha"/>
    <n v="915329"/>
    <s v="E"/>
    <s v="Estimated value"/>
  </r>
  <r>
    <s v="QCL"/>
    <s v="Crops and livestock products"/>
    <n v="566"/>
    <s v="Nigeria"/>
    <n v="5312"/>
    <s v="Area harvested"/>
    <n v="118"/>
    <x v="20"/>
    <n v="2017"/>
    <x v="0"/>
    <s v="ha"/>
    <n v="1800069"/>
    <s v="A"/>
    <s v="Official figure"/>
  </r>
  <r>
    <s v="QCL"/>
    <s v="Crops and livestock products"/>
    <n v="566"/>
    <s v="Nigeria"/>
    <n v="5312"/>
    <s v="Area harvested"/>
    <n v="118"/>
    <x v="20"/>
    <n v="2018"/>
    <x v="1"/>
    <s v="ha"/>
    <n v="1734330"/>
    <s v="A"/>
    <s v="Official figure"/>
  </r>
  <r>
    <s v="QCL"/>
    <s v="Crops and livestock products"/>
    <n v="566"/>
    <s v="Nigeria"/>
    <n v="5312"/>
    <s v="Area harvested"/>
    <n v="118"/>
    <x v="20"/>
    <n v="2019"/>
    <x v="2"/>
    <s v="ha"/>
    <n v="1747800"/>
    <s v="A"/>
    <s v="Official figure"/>
  </r>
  <r>
    <s v="QCL"/>
    <s v="Crops and livestock products"/>
    <n v="566"/>
    <s v="Nigeria"/>
    <n v="5312"/>
    <s v="Area harvested"/>
    <n v="118"/>
    <x v="20"/>
    <n v="2020"/>
    <x v="3"/>
    <s v="ha"/>
    <n v="2000000"/>
    <s v="T"/>
    <s v="Unofficial figure"/>
  </r>
  <r>
    <s v="QCL"/>
    <s v="Crops and livestock products"/>
    <n v="566"/>
    <s v="Nigeria"/>
    <n v="5312"/>
    <s v="Area harvested"/>
    <n v="118"/>
    <x v="20"/>
    <n v="2021"/>
    <x v="4"/>
    <s v="ha"/>
    <n v="2000000"/>
    <s v="T"/>
    <s v="Unofficial figure"/>
  </r>
  <r>
    <s v="QCL"/>
    <s v="Crops and livestock products"/>
    <n v="566"/>
    <s v="Nigeria"/>
    <n v="5312"/>
    <s v="Area harvested"/>
    <n v="1950.01"/>
    <x v="21"/>
    <n v="2017"/>
    <x v="0"/>
    <s v="ha"/>
    <n v="361237"/>
    <s v="I"/>
    <s v="Imputed value"/>
  </r>
  <r>
    <s v="QCL"/>
    <s v="Crops and livestock products"/>
    <n v="566"/>
    <s v="Nigeria"/>
    <n v="5312"/>
    <s v="Area harvested"/>
    <n v="1950.01"/>
    <x v="21"/>
    <n v="2018"/>
    <x v="1"/>
    <s v="ha"/>
    <n v="361269"/>
    <s v="I"/>
    <s v="Imputed value"/>
  </r>
  <r>
    <s v="QCL"/>
    <s v="Crops and livestock products"/>
    <n v="566"/>
    <s v="Nigeria"/>
    <n v="5312"/>
    <s v="Area harvested"/>
    <n v="1950.01"/>
    <x v="21"/>
    <n v="2019"/>
    <x v="2"/>
    <s v="ha"/>
    <n v="358239"/>
    <s v="I"/>
    <s v="Imputed value"/>
  </r>
  <r>
    <s v="QCL"/>
    <s v="Crops and livestock products"/>
    <n v="566"/>
    <s v="Nigeria"/>
    <n v="5312"/>
    <s v="Area harvested"/>
    <n v="1950.01"/>
    <x v="21"/>
    <n v="2020"/>
    <x v="3"/>
    <s v="ha"/>
    <n v="358807"/>
    <s v="I"/>
    <s v="Imputed value"/>
  </r>
  <r>
    <s v="QCL"/>
    <s v="Crops and livestock products"/>
    <n v="566"/>
    <s v="Nigeria"/>
    <n v="5312"/>
    <s v="Area harvested"/>
    <n v="1950.01"/>
    <x v="21"/>
    <n v="2021"/>
    <x v="4"/>
    <s v="ha"/>
    <n v="359111"/>
    <s v="I"/>
    <s v="Imputed value"/>
  </r>
  <r>
    <s v="QCL"/>
    <s v="Crops and livestock products"/>
    <n v="566"/>
    <s v="Nigeria"/>
    <n v="5312"/>
    <s v="Area harvested"/>
    <n v="1491.01"/>
    <x v="22"/>
    <n v="2017"/>
    <x v="0"/>
    <s v="ha"/>
    <n v="3545307"/>
    <s v="I"/>
    <s v="Imputed value"/>
  </r>
  <r>
    <s v="QCL"/>
    <s v="Crops and livestock products"/>
    <n v="566"/>
    <s v="Nigeria"/>
    <n v="5312"/>
    <s v="Area harvested"/>
    <n v="1491.01"/>
    <x v="22"/>
    <n v="2018"/>
    <x v="1"/>
    <s v="ha"/>
    <n v="3736228"/>
    <s v="I"/>
    <s v="Imputed value"/>
  </r>
  <r>
    <s v="QCL"/>
    <s v="Crops and livestock products"/>
    <n v="566"/>
    <s v="Nigeria"/>
    <n v="5312"/>
    <s v="Area harvested"/>
    <n v="1491.01"/>
    <x v="22"/>
    <n v="2019"/>
    <x v="2"/>
    <s v="ha"/>
    <n v="3784800"/>
    <s v="I"/>
    <s v="Imputed value"/>
  </r>
  <r>
    <s v="QCL"/>
    <s v="Crops and livestock products"/>
    <n v="566"/>
    <s v="Nigeria"/>
    <n v="5312"/>
    <s v="Area harvested"/>
    <n v="1491.01"/>
    <x v="22"/>
    <n v="2020"/>
    <x v="3"/>
    <s v="ha"/>
    <n v="3878183"/>
    <s v="I"/>
    <s v="Imputed value"/>
  </r>
  <r>
    <s v="QCL"/>
    <s v="Crops and livestock products"/>
    <n v="566"/>
    <s v="Nigeria"/>
    <n v="5312"/>
    <s v="Area harvested"/>
    <n v="1491.01"/>
    <x v="22"/>
    <n v="2021"/>
    <x v="4"/>
    <s v="ha"/>
    <n v="3937865"/>
    <s v="I"/>
    <s v="Imputed value"/>
  </r>
  <r>
    <s v="QCL"/>
    <s v="Crops and livestock products"/>
    <n v="566"/>
    <s v="Nigeria"/>
    <n v="5312"/>
    <s v="Area harvested"/>
    <n v="1239.01"/>
    <x v="23"/>
    <n v="2017"/>
    <x v="0"/>
    <s v="ha"/>
    <n v="1301600"/>
    <s v="A"/>
    <s v="Official figure"/>
  </r>
  <r>
    <s v="QCL"/>
    <s v="Crops and livestock products"/>
    <n v="566"/>
    <s v="Nigeria"/>
    <n v="5312"/>
    <s v="Area harvested"/>
    <n v="1239.01"/>
    <x v="23"/>
    <n v="2018"/>
    <x v="1"/>
    <s v="ha"/>
    <n v="1526657"/>
    <s v="I"/>
    <s v="Imputed value"/>
  </r>
  <r>
    <s v="QCL"/>
    <s v="Crops and livestock products"/>
    <n v="566"/>
    <s v="Nigeria"/>
    <n v="5312"/>
    <s v="Area harvested"/>
    <n v="1239.01"/>
    <x v="23"/>
    <n v="2019"/>
    <x v="2"/>
    <s v="ha"/>
    <n v="1922771"/>
    <s v="I"/>
    <s v="Imputed value"/>
  </r>
  <r>
    <s v="QCL"/>
    <s v="Crops and livestock products"/>
    <n v="566"/>
    <s v="Nigeria"/>
    <n v="5312"/>
    <s v="Area harvested"/>
    <n v="1239.01"/>
    <x v="23"/>
    <n v="2020"/>
    <x v="3"/>
    <s v="ha"/>
    <n v="1460341"/>
    <s v="E"/>
    <s v="Estimated value"/>
  </r>
  <r>
    <s v="QCL"/>
    <s v="Crops and livestock products"/>
    <n v="566"/>
    <s v="Nigeria"/>
    <n v="5312"/>
    <s v="Area harvested"/>
    <n v="1239.01"/>
    <x v="23"/>
    <n v="2021"/>
    <x v="4"/>
    <s v="ha"/>
    <n v="1496501"/>
    <s v="E"/>
    <s v="Estimated value"/>
  </r>
  <r>
    <s v="QCL"/>
    <s v="Crops and livestock products"/>
    <n v="566"/>
    <s v="Nigeria"/>
    <n v="5312"/>
    <s v="Area harvested"/>
    <n v="1253.02"/>
    <x v="24"/>
    <n v="2017"/>
    <x v="0"/>
    <s v="ha"/>
    <n v="550399"/>
    <s v="A"/>
    <s v="Official figure"/>
  </r>
  <r>
    <s v="QCL"/>
    <s v="Crops and livestock products"/>
    <n v="566"/>
    <s v="Nigeria"/>
    <n v="5312"/>
    <s v="Area harvested"/>
    <n v="1253.02"/>
    <x v="24"/>
    <n v="2018"/>
    <x v="1"/>
    <s v="ha"/>
    <n v="577229"/>
    <s v="I"/>
    <s v="Imputed value"/>
  </r>
  <r>
    <s v="QCL"/>
    <s v="Crops and livestock products"/>
    <n v="566"/>
    <s v="Nigeria"/>
    <n v="5312"/>
    <s v="Area harvested"/>
    <n v="1253.02"/>
    <x v="24"/>
    <n v="2019"/>
    <x v="2"/>
    <s v="ha"/>
    <n v="618499"/>
    <s v="I"/>
    <s v="Imputed value"/>
  </r>
  <r>
    <s v="QCL"/>
    <s v="Crops and livestock products"/>
    <n v="566"/>
    <s v="Nigeria"/>
    <n v="5312"/>
    <s v="Area harvested"/>
    <n v="1253.02"/>
    <x v="24"/>
    <n v="2020"/>
    <x v="3"/>
    <s v="ha"/>
    <n v="686088"/>
    <s v="I"/>
    <s v="Imputed value"/>
  </r>
  <r>
    <s v="QCL"/>
    <s v="Crops and livestock products"/>
    <n v="566"/>
    <s v="Nigeria"/>
    <n v="5312"/>
    <s v="Area harvested"/>
    <n v="1253.02"/>
    <x v="24"/>
    <n v="2021"/>
    <x v="4"/>
    <s v="ha"/>
    <n v="704924"/>
    <s v="I"/>
    <s v="Imputed value"/>
  </r>
  <r>
    <s v="QCL"/>
    <s v="Crops and livestock products"/>
    <n v="566"/>
    <s v="Nigeria"/>
    <n v="5312"/>
    <s v="Area harvested"/>
    <n v="1253.01"/>
    <x v="25"/>
    <n v="2017"/>
    <x v="0"/>
    <s v="ha"/>
    <n v="14091"/>
    <s v="I"/>
    <s v="Imputed value"/>
  </r>
  <r>
    <s v="QCL"/>
    <s v="Crops and livestock products"/>
    <n v="566"/>
    <s v="Nigeria"/>
    <n v="5312"/>
    <s v="Area harvested"/>
    <n v="1253.01"/>
    <x v="25"/>
    <n v="2018"/>
    <x v="1"/>
    <s v="ha"/>
    <n v="14000"/>
    <s v="E"/>
    <s v="Estimated value"/>
  </r>
  <r>
    <s v="QCL"/>
    <s v="Crops and livestock products"/>
    <n v="566"/>
    <s v="Nigeria"/>
    <n v="5312"/>
    <s v="Area harvested"/>
    <n v="1253.01"/>
    <x v="25"/>
    <n v="2019"/>
    <x v="2"/>
    <s v="ha"/>
    <n v="14019"/>
    <s v="E"/>
    <s v="Estimated value"/>
  </r>
  <r>
    <s v="QCL"/>
    <s v="Crops and livestock products"/>
    <n v="566"/>
    <s v="Nigeria"/>
    <n v="5312"/>
    <s v="Area harvested"/>
    <n v="1253.01"/>
    <x v="25"/>
    <n v="2020"/>
    <x v="3"/>
    <s v="ha"/>
    <n v="14036"/>
    <s v="E"/>
    <s v="Estimated value"/>
  </r>
  <r>
    <s v="QCL"/>
    <s v="Crops and livestock products"/>
    <n v="566"/>
    <s v="Nigeria"/>
    <n v="5312"/>
    <s v="Area harvested"/>
    <n v="1253.01"/>
    <x v="25"/>
    <n v="2021"/>
    <x v="4"/>
    <s v="ha"/>
    <n v="14018"/>
    <s v="E"/>
    <s v="Estimated value"/>
  </r>
  <r>
    <s v="QCL"/>
    <s v="Crops and livestock products"/>
    <n v="566"/>
    <s v="Nigeria"/>
    <n v="5312"/>
    <s v="Area harvested"/>
    <n v="1329"/>
    <x v="26"/>
    <n v="2017"/>
    <x v="0"/>
    <s v="ha"/>
    <n v="823987"/>
    <s v="I"/>
    <s v="Imputed value"/>
  </r>
  <r>
    <s v="QCL"/>
    <s v="Crops and livestock products"/>
    <n v="566"/>
    <s v="Nigeria"/>
    <n v="5312"/>
    <s v="Area harvested"/>
    <n v="1329"/>
    <x v="26"/>
    <n v="2018"/>
    <x v="1"/>
    <s v="ha"/>
    <n v="833377"/>
    <s v="I"/>
    <s v="Imputed value"/>
  </r>
  <r>
    <s v="QCL"/>
    <s v="Crops and livestock products"/>
    <n v="566"/>
    <s v="Nigeria"/>
    <n v="5312"/>
    <s v="Area harvested"/>
    <n v="1329"/>
    <x v="26"/>
    <n v="2019"/>
    <x v="2"/>
    <s v="ha"/>
    <n v="837825"/>
    <s v="I"/>
    <s v="Imputed value"/>
  </r>
  <r>
    <s v="QCL"/>
    <s v="Crops and livestock products"/>
    <n v="566"/>
    <s v="Nigeria"/>
    <n v="5312"/>
    <s v="Area harvested"/>
    <n v="1329"/>
    <x v="26"/>
    <n v="2020"/>
    <x v="3"/>
    <s v="ha"/>
    <n v="843604"/>
    <s v="I"/>
    <s v="Imputed value"/>
  </r>
  <r>
    <s v="QCL"/>
    <s v="Crops and livestock products"/>
    <n v="566"/>
    <s v="Nigeria"/>
    <n v="5312"/>
    <s v="Area harvested"/>
    <n v="1329"/>
    <x v="26"/>
    <n v="2021"/>
    <x v="4"/>
    <s v="ha"/>
    <n v="849324"/>
    <s v="I"/>
    <s v="Imputed value"/>
  </r>
  <r>
    <s v="QCL"/>
    <s v="Crops and livestock products"/>
    <n v="566"/>
    <s v="Nigeria"/>
    <n v="5312"/>
    <s v="Area harvested"/>
    <n v="1929.9"/>
    <x v="27"/>
    <n v="2017"/>
    <x v="0"/>
    <s v="ha"/>
    <n v="0"/>
    <s v="M"/>
    <s v="Missing value (data cannot exist, not applicable)"/>
  </r>
  <r>
    <s v="QCL"/>
    <s v="Crops and livestock products"/>
    <n v="566"/>
    <s v="Nigeria"/>
    <n v="5312"/>
    <s v="Area harvested"/>
    <n v="1929.9"/>
    <x v="27"/>
    <n v="2018"/>
    <x v="1"/>
    <s v="ha"/>
    <n v="0"/>
    <s v="M"/>
    <s v="Missing value (data cannot exist, not applicable)"/>
  </r>
  <r>
    <s v="QCL"/>
    <s v="Crops and livestock products"/>
    <n v="566"/>
    <s v="Nigeria"/>
    <n v="5312"/>
    <s v="Area harvested"/>
    <n v="1929.9"/>
    <x v="27"/>
    <n v="2019"/>
    <x v="2"/>
    <s v="ha"/>
    <n v="0"/>
    <s v="M"/>
    <s v="Missing value (data cannot exist, not applicable)"/>
  </r>
  <r>
    <s v="QCL"/>
    <s v="Crops and livestock products"/>
    <n v="566"/>
    <s v="Nigeria"/>
    <n v="5312"/>
    <s v="Area harvested"/>
    <n v="1929.9"/>
    <x v="27"/>
    <n v="2020"/>
    <x v="3"/>
    <s v="ha"/>
    <n v="0"/>
    <s v="M"/>
    <s v="Missing value (data cannot exist, not applicable)"/>
  </r>
  <r>
    <s v="QCL"/>
    <s v="Crops and livestock products"/>
    <n v="566"/>
    <s v="Nigeria"/>
    <n v="5312"/>
    <s v="Area harvested"/>
    <n v="1929.9"/>
    <x v="27"/>
    <n v="2021"/>
    <x v="4"/>
    <s v="ha"/>
    <n v="0"/>
    <s v="M"/>
    <s v="Missing value (data cannot exist, not applicable)"/>
  </r>
  <r>
    <s v="QCL"/>
    <s v="Crops and livestock products"/>
    <n v="566"/>
    <s v="Nigeria"/>
    <n v="5312"/>
    <s v="Area harvested"/>
    <n v="1359.9"/>
    <x v="28"/>
    <n v="2017"/>
    <x v="0"/>
    <s v="ha"/>
    <n v="189171"/>
    <s v="I"/>
    <s v="Imputed value"/>
  </r>
  <r>
    <s v="QCL"/>
    <s v="Crops and livestock products"/>
    <n v="566"/>
    <s v="Nigeria"/>
    <n v="5312"/>
    <s v="Area harvested"/>
    <n v="1359.9"/>
    <x v="28"/>
    <n v="2018"/>
    <x v="1"/>
    <s v="ha"/>
    <n v="191099"/>
    <s v="I"/>
    <s v="Imputed value"/>
  </r>
  <r>
    <s v="QCL"/>
    <s v="Crops and livestock products"/>
    <n v="566"/>
    <s v="Nigeria"/>
    <n v="5312"/>
    <s v="Area harvested"/>
    <n v="1359.9"/>
    <x v="28"/>
    <n v="2019"/>
    <x v="2"/>
    <s v="ha"/>
    <n v="188326"/>
    <s v="E"/>
    <s v="Estimated value"/>
  </r>
  <r>
    <s v="QCL"/>
    <s v="Crops and livestock products"/>
    <n v="566"/>
    <s v="Nigeria"/>
    <n v="5312"/>
    <s v="Area harvested"/>
    <n v="1359.9"/>
    <x v="28"/>
    <n v="2020"/>
    <x v="3"/>
    <s v="ha"/>
    <n v="189532"/>
    <s v="E"/>
    <s v="Estimated value"/>
  </r>
  <r>
    <s v="QCL"/>
    <s v="Crops and livestock products"/>
    <n v="566"/>
    <s v="Nigeria"/>
    <n v="5312"/>
    <s v="Area harvested"/>
    <n v="1359.9"/>
    <x v="28"/>
    <n v="2021"/>
    <x v="4"/>
    <s v="ha"/>
    <n v="189652"/>
    <s v="E"/>
    <s v="Estimated value"/>
  </r>
  <r>
    <s v="QCL"/>
    <s v="Crops and livestock products"/>
    <n v="566"/>
    <s v="Nigeria"/>
    <n v="5312"/>
    <s v="Area harvested"/>
    <n v="1379.9"/>
    <x v="29"/>
    <n v="2017"/>
    <x v="0"/>
    <s v="ha"/>
    <n v="2717"/>
    <s v="I"/>
    <s v="Imputed value"/>
  </r>
  <r>
    <s v="QCL"/>
    <s v="Crops and livestock products"/>
    <n v="566"/>
    <s v="Nigeria"/>
    <n v="5312"/>
    <s v="Area harvested"/>
    <n v="1379.9"/>
    <x v="29"/>
    <n v="2018"/>
    <x v="1"/>
    <s v="ha"/>
    <n v="2786"/>
    <s v="I"/>
    <s v="Imputed value"/>
  </r>
  <r>
    <s v="QCL"/>
    <s v="Crops and livestock products"/>
    <n v="566"/>
    <s v="Nigeria"/>
    <n v="5312"/>
    <s v="Area harvested"/>
    <n v="1379.9"/>
    <x v="29"/>
    <n v="2019"/>
    <x v="2"/>
    <s v="ha"/>
    <n v="2793"/>
    <s v="I"/>
    <s v="Imputed value"/>
  </r>
  <r>
    <s v="QCL"/>
    <s v="Crops and livestock products"/>
    <n v="566"/>
    <s v="Nigeria"/>
    <n v="5312"/>
    <s v="Area harvested"/>
    <n v="1379.9"/>
    <x v="29"/>
    <n v="2020"/>
    <x v="3"/>
    <s v="ha"/>
    <n v="2805"/>
    <s v="I"/>
    <s v="Imputed value"/>
  </r>
  <r>
    <s v="QCL"/>
    <s v="Crops and livestock products"/>
    <n v="566"/>
    <s v="Nigeria"/>
    <n v="5312"/>
    <s v="Area harvested"/>
    <n v="1379.9"/>
    <x v="29"/>
    <n v="2021"/>
    <x v="4"/>
    <s v="ha"/>
    <n v="2817"/>
    <s v="I"/>
    <s v="Imputed value"/>
  </r>
  <r>
    <s v="QCL"/>
    <s v="Crops and livestock products"/>
    <n v="566"/>
    <s v="Nigeria"/>
    <n v="5312"/>
    <s v="Area harvested"/>
    <n v="1449.9"/>
    <x v="30"/>
    <n v="2017"/>
    <x v="0"/>
    <s v="ha"/>
    <n v="300"/>
    <s v="E"/>
    <s v="Estimated value"/>
  </r>
  <r>
    <s v="QCL"/>
    <s v="Crops and livestock products"/>
    <n v="566"/>
    <s v="Nigeria"/>
    <n v="5312"/>
    <s v="Area harvested"/>
    <n v="1449.9"/>
    <x v="30"/>
    <n v="2018"/>
    <x v="1"/>
    <s v="ha"/>
    <n v="300"/>
    <s v="E"/>
    <s v="Estimated value"/>
  </r>
  <r>
    <s v="QCL"/>
    <s v="Crops and livestock products"/>
    <n v="566"/>
    <s v="Nigeria"/>
    <n v="5312"/>
    <s v="Area harvested"/>
    <n v="1449.9"/>
    <x v="30"/>
    <n v="2019"/>
    <x v="2"/>
    <s v="ha"/>
    <n v="200"/>
    <s v="E"/>
    <s v="Estimated value"/>
  </r>
  <r>
    <s v="QCL"/>
    <s v="Crops and livestock products"/>
    <n v="566"/>
    <s v="Nigeria"/>
    <n v="5312"/>
    <s v="Area harvested"/>
    <n v="1449.9"/>
    <x v="30"/>
    <n v="2020"/>
    <x v="3"/>
    <s v="ha"/>
    <n v="200"/>
    <s v="E"/>
    <s v="Estimated value"/>
  </r>
  <r>
    <s v="QCL"/>
    <s v="Crops and livestock products"/>
    <n v="566"/>
    <s v="Nigeria"/>
    <n v="5312"/>
    <s v="Area harvested"/>
    <n v="1449.9"/>
    <x v="30"/>
    <n v="2021"/>
    <x v="4"/>
    <s v="ha"/>
    <n v="200"/>
    <s v="E"/>
    <s v="Estimated value"/>
  </r>
  <r>
    <s v="QCL"/>
    <s v="Crops and livestock products"/>
    <n v="566"/>
    <s v="Nigeria"/>
    <n v="5312"/>
    <s v="Area harvested"/>
    <n v="1709.9"/>
    <x v="31"/>
    <n v="2017"/>
    <x v="0"/>
    <s v="ha"/>
    <n v="147496"/>
    <s v="I"/>
    <s v="Imputed value"/>
  </r>
  <r>
    <s v="QCL"/>
    <s v="Crops and livestock products"/>
    <n v="566"/>
    <s v="Nigeria"/>
    <n v="5312"/>
    <s v="Area harvested"/>
    <n v="1709.9"/>
    <x v="31"/>
    <n v="2018"/>
    <x v="1"/>
    <s v="ha"/>
    <n v="145547"/>
    <s v="E"/>
    <s v="Estimated value"/>
  </r>
  <r>
    <s v="QCL"/>
    <s v="Crops and livestock products"/>
    <n v="566"/>
    <s v="Nigeria"/>
    <n v="5312"/>
    <s v="Area harvested"/>
    <n v="1709.9"/>
    <x v="31"/>
    <n v="2019"/>
    <x v="2"/>
    <s v="ha"/>
    <n v="146259"/>
    <s v="E"/>
    <s v="Estimated value"/>
  </r>
  <r>
    <s v="QCL"/>
    <s v="Crops and livestock products"/>
    <n v="566"/>
    <s v="Nigeria"/>
    <n v="5312"/>
    <s v="Area harvested"/>
    <n v="1709.9"/>
    <x v="31"/>
    <n v="2020"/>
    <x v="3"/>
    <s v="ha"/>
    <n v="146434"/>
    <s v="E"/>
    <s v="Estimated value"/>
  </r>
  <r>
    <s v="QCL"/>
    <s v="Crops and livestock products"/>
    <n v="566"/>
    <s v="Nigeria"/>
    <n v="5312"/>
    <s v="Area harvested"/>
    <n v="1709.9"/>
    <x v="31"/>
    <n v="2021"/>
    <x v="4"/>
    <s v="ha"/>
    <n v="146080"/>
    <s v="E"/>
    <s v="Estimated value"/>
  </r>
  <r>
    <s v="QCL"/>
    <s v="Crops and livestock products"/>
    <n v="566"/>
    <s v="Nigeria"/>
    <n v="5312"/>
    <s v="Area harvested"/>
    <n v="1699"/>
    <x v="32"/>
    <n v="2017"/>
    <x v="0"/>
    <s v="ha"/>
    <n v="4292"/>
    <s v="I"/>
    <s v="Imputed value"/>
  </r>
  <r>
    <s v="QCL"/>
    <s v="Crops and livestock products"/>
    <n v="566"/>
    <s v="Nigeria"/>
    <n v="5312"/>
    <s v="Area harvested"/>
    <n v="1699"/>
    <x v="32"/>
    <n v="2018"/>
    <x v="1"/>
    <s v="ha"/>
    <n v="4188"/>
    <s v="E"/>
    <s v="Estimated value"/>
  </r>
  <r>
    <s v="QCL"/>
    <s v="Crops and livestock products"/>
    <n v="566"/>
    <s v="Nigeria"/>
    <n v="5312"/>
    <s v="Area harvested"/>
    <n v="1699"/>
    <x v="32"/>
    <n v="2019"/>
    <x v="2"/>
    <s v="ha"/>
    <n v="4220"/>
    <s v="E"/>
    <s v="Estimated value"/>
  </r>
  <r>
    <s v="QCL"/>
    <s v="Crops and livestock products"/>
    <n v="566"/>
    <s v="Nigeria"/>
    <n v="5312"/>
    <s v="Area harvested"/>
    <n v="1699"/>
    <x v="32"/>
    <n v="2020"/>
    <x v="3"/>
    <s v="ha"/>
    <n v="4234"/>
    <s v="E"/>
    <s v="Estimated value"/>
  </r>
  <r>
    <s v="QCL"/>
    <s v="Crops and livestock products"/>
    <n v="566"/>
    <s v="Nigeria"/>
    <n v="5312"/>
    <s v="Area harvested"/>
    <n v="1699"/>
    <x v="32"/>
    <n v="2021"/>
    <x v="4"/>
    <s v="ha"/>
    <n v="4214"/>
    <s v="E"/>
    <s v="Estimated value"/>
  </r>
  <r>
    <s v="QCL"/>
    <s v="Crops and livestock products"/>
    <n v="566"/>
    <s v="Nigeria"/>
    <n v="5312"/>
    <s v="Area harvested"/>
    <n v="1290.9000000000001"/>
    <x v="33"/>
    <n v="2017"/>
    <x v="0"/>
    <s v="ha"/>
    <n v="747456"/>
    <s v="E"/>
    <s v="Estimated value"/>
  </r>
  <r>
    <s v="QCL"/>
    <s v="Crops and livestock products"/>
    <n v="566"/>
    <s v="Nigeria"/>
    <n v="5312"/>
    <s v="Area harvested"/>
    <n v="1290.9000000000001"/>
    <x v="33"/>
    <n v="2018"/>
    <x v="1"/>
    <s v="ha"/>
    <n v="748828"/>
    <s v="E"/>
    <s v="Estimated value"/>
  </r>
  <r>
    <s v="QCL"/>
    <s v="Crops and livestock products"/>
    <n v="566"/>
    <s v="Nigeria"/>
    <n v="5312"/>
    <s v="Area harvested"/>
    <n v="1290.9000000000001"/>
    <x v="33"/>
    <n v="2019"/>
    <x v="2"/>
    <s v="ha"/>
    <n v="749466"/>
    <s v="E"/>
    <s v="Estimated value"/>
  </r>
  <r>
    <s v="QCL"/>
    <s v="Crops and livestock products"/>
    <n v="566"/>
    <s v="Nigeria"/>
    <n v="5312"/>
    <s v="Area harvested"/>
    <n v="1290.9000000000001"/>
    <x v="33"/>
    <n v="2020"/>
    <x v="3"/>
    <s v="ha"/>
    <n v="748583"/>
    <s v="E"/>
    <s v="Estimated value"/>
  </r>
  <r>
    <s v="QCL"/>
    <s v="Crops and livestock products"/>
    <n v="566"/>
    <s v="Nigeria"/>
    <n v="5312"/>
    <s v="Area harvested"/>
    <n v="1290.9000000000001"/>
    <x v="33"/>
    <n v="2021"/>
    <x v="4"/>
    <s v="ha"/>
    <n v="748959"/>
    <s v="E"/>
    <s v="Estimated value"/>
  </r>
  <r>
    <s v="QCL"/>
    <s v="Crops and livestock products"/>
    <n v="566"/>
    <s v="Nigeria"/>
    <n v="5312"/>
    <s v="Area harvested"/>
    <n v="1317"/>
    <x v="34"/>
    <n v="2017"/>
    <x v="0"/>
    <s v="ha"/>
    <n v="91850"/>
    <s v="I"/>
    <s v="Imputed value"/>
  </r>
  <r>
    <s v="QCL"/>
    <s v="Crops and livestock products"/>
    <n v="566"/>
    <s v="Nigeria"/>
    <n v="5312"/>
    <s v="Area harvested"/>
    <n v="1317"/>
    <x v="34"/>
    <n v="2018"/>
    <x v="1"/>
    <s v="ha"/>
    <n v="96234"/>
    <s v="I"/>
    <s v="Imputed value"/>
  </r>
  <r>
    <s v="QCL"/>
    <s v="Crops and livestock products"/>
    <n v="566"/>
    <s v="Nigeria"/>
    <n v="5312"/>
    <s v="Area harvested"/>
    <n v="1317"/>
    <x v="34"/>
    <n v="2019"/>
    <x v="2"/>
    <s v="ha"/>
    <n v="96890"/>
    <s v="I"/>
    <s v="Imputed value"/>
  </r>
  <r>
    <s v="QCL"/>
    <s v="Crops and livestock products"/>
    <n v="566"/>
    <s v="Nigeria"/>
    <n v="5312"/>
    <s v="Area harvested"/>
    <n v="1317"/>
    <x v="34"/>
    <n v="2020"/>
    <x v="3"/>
    <s v="ha"/>
    <n v="94991"/>
    <s v="E"/>
    <s v="Estimated value"/>
  </r>
  <r>
    <s v="QCL"/>
    <s v="Crops and livestock products"/>
    <n v="566"/>
    <s v="Nigeria"/>
    <n v="5312"/>
    <s v="Area harvested"/>
    <n v="1317"/>
    <x v="34"/>
    <n v="2021"/>
    <x v="4"/>
    <s v="ha"/>
    <n v="96038"/>
    <s v="E"/>
    <s v="Estimated value"/>
  </r>
  <r>
    <s v="QCL"/>
    <s v="Crops and livestock products"/>
    <n v="566"/>
    <s v="Nigeria"/>
    <n v="5312"/>
    <s v="Area harvested"/>
    <n v="1318"/>
    <x v="35"/>
    <n v="2017"/>
    <x v="0"/>
    <s v="ha"/>
    <n v="190314"/>
    <s v="I"/>
    <s v="Imputed value"/>
  </r>
  <r>
    <s v="QCL"/>
    <s v="Crops and livestock products"/>
    <n v="566"/>
    <s v="Nigeria"/>
    <n v="5312"/>
    <s v="Area harvested"/>
    <n v="1318"/>
    <x v="35"/>
    <n v="2018"/>
    <x v="1"/>
    <s v="ha"/>
    <n v="186953"/>
    <s v="E"/>
    <s v="Estimated value"/>
  </r>
  <r>
    <s v="QCL"/>
    <s v="Crops and livestock products"/>
    <n v="566"/>
    <s v="Nigeria"/>
    <n v="5312"/>
    <s v="Area harvested"/>
    <n v="1318"/>
    <x v="35"/>
    <n v="2019"/>
    <x v="2"/>
    <s v="ha"/>
    <n v="188083"/>
    <s v="E"/>
    <s v="Estimated value"/>
  </r>
  <r>
    <s v="QCL"/>
    <s v="Crops and livestock products"/>
    <n v="566"/>
    <s v="Nigeria"/>
    <n v="5312"/>
    <s v="Area harvested"/>
    <n v="1318"/>
    <x v="35"/>
    <n v="2020"/>
    <x v="3"/>
    <s v="ha"/>
    <n v="188450"/>
    <s v="E"/>
    <s v="Estimated value"/>
  </r>
  <r>
    <s v="QCL"/>
    <s v="Crops and livestock products"/>
    <n v="566"/>
    <s v="Nigeria"/>
    <n v="5312"/>
    <s v="Area harvested"/>
    <n v="1318"/>
    <x v="35"/>
    <n v="2021"/>
    <x v="4"/>
    <s v="ha"/>
    <n v="187829"/>
    <s v="E"/>
    <s v="Estimated value"/>
  </r>
  <r>
    <s v="QCL"/>
    <s v="Crops and livestock products"/>
    <n v="566"/>
    <s v="Nigeria"/>
    <n v="5312"/>
    <s v="Area harvested"/>
    <n v="1313"/>
    <x v="36"/>
    <n v="2017"/>
    <x v="0"/>
    <s v="ha"/>
    <n v="495582"/>
    <s v="I"/>
    <s v="Imputed value"/>
  </r>
  <r>
    <s v="QCL"/>
    <s v="Crops and livestock products"/>
    <n v="566"/>
    <s v="Nigeria"/>
    <n v="5312"/>
    <s v="Area harvested"/>
    <n v="1313"/>
    <x v="36"/>
    <n v="2018"/>
    <x v="1"/>
    <s v="ha"/>
    <n v="495102"/>
    <s v="E"/>
    <s v="Estimated value"/>
  </r>
  <r>
    <s v="QCL"/>
    <s v="Crops and livestock products"/>
    <n v="566"/>
    <s v="Nigeria"/>
    <n v="5312"/>
    <s v="Area harvested"/>
    <n v="1313"/>
    <x v="36"/>
    <n v="2019"/>
    <x v="2"/>
    <s v="ha"/>
    <n v="493203"/>
    <s v="E"/>
    <s v="Estimated value"/>
  </r>
  <r>
    <s v="QCL"/>
    <s v="Crops and livestock products"/>
    <n v="566"/>
    <s v="Nigeria"/>
    <n v="5312"/>
    <s v="Area harvested"/>
    <n v="1313"/>
    <x v="36"/>
    <n v="2020"/>
    <x v="3"/>
    <s v="ha"/>
    <n v="494629"/>
    <s v="E"/>
    <s v="Estimated value"/>
  </r>
  <r>
    <s v="QCL"/>
    <s v="Crops and livestock products"/>
    <n v="566"/>
    <s v="Nigeria"/>
    <n v="5312"/>
    <s v="Area harvested"/>
    <n v="1313"/>
    <x v="36"/>
    <n v="2021"/>
    <x v="4"/>
    <s v="ha"/>
    <n v="494311"/>
    <s v="E"/>
    <s v="Estimated value"/>
  </r>
  <r>
    <s v="QCL"/>
    <s v="Crops and livestock products"/>
    <n v="566"/>
    <s v="Nigeria"/>
    <n v="5312"/>
    <s v="Area harvested"/>
    <n v="1510"/>
    <x v="37"/>
    <n v="2017"/>
    <x v="0"/>
    <s v="ha"/>
    <n v="318556"/>
    <s v="E"/>
    <s v="Estimated value"/>
  </r>
  <r>
    <s v="QCL"/>
    <s v="Crops and livestock products"/>
    <n v="566"/>
    <s v="Nigeria"/>
    <n v="5312"/>
    <s v="Area harvested"/>
    <n v="1510"/>
    <x v="37"/>
    <n v="2018"/>
    <x v="1"/>
    <s v="ha"/>
    <n v="319164"/>
    <s v="E"/>
    <s v="Estimated value"/>
  </r>
  <r>
    <s v="QCL"/>
    <s v="Crops and livestock products"/>
    <n v="566"/>
    <s v="Nigeria"/>
    <n v="5312"/>
    <s v="Area harvested"/>
    <n v="1510"/>
    <x v="37"/>
    <n v="2019"/>
    <x v="2"/>
    <s v="ha"/>
    <n v="319352"/>
    <s v="E"/>
    <s v="Estimated value"/>
  </r>
  <r>
    <s v="QCL"/>
    <s v="Crops and livestock products"/>
    <n v="566"/>
    <s v="Nigeria"/>
    <n v="5312"/>
    <s v="Area harvested"/>
    <n v="1510"/>
    <x v="37"/>
    <n v="2020"/>
    <x v="3"/>
    <s v="ha"/>
    <n v="319024"/>
    <s v="E"/>
    <s v="Estimated value"/>
  </r>
  <r>
    <s v="QCL"/>
    <s v="Crops and livestock products"/>
    <n v="566"/>
    <s v="Nigeria"/>
    <n v="5312"/>
    <s v="Area harvested"/>
    <n v="1510"/>
    <x v="37"/>
    <n v="2021"/>
    <x v="4"/>
    <s v="ha"/>
    <n v="319180"/>
    <s v="E"/>
    <s v="Estimated value"/>
  </r>
  <r>
    <s v="QCL"/>
    <s v="Crops and livestock products"/>
    <n v="566"/>
    <s v="Nigeria"/>
    <n v="5312"/>
    <s v="Area harvested"/>
    <n v="113"/>
    <x v="38"/>
    <n v="2017"/>
    <x v="0"/>
    <s v="ha"/>
    <n v="4446980"/>
    <s v="A"/>
    <s v="Official figure"/>
  </r>
  <r>
    <s v="QCL"/>
    <s v="Crops and livestock products"/>
    <n v="566"/>
    <s v="Nigeria"/>
    <n v="5312"/>
    <s v="Area harvested"/>
    <n v="113"/>
    <x v="38"/>
    <n v="2018"/>
    <x v="1"/>
    <s v="ha"/>
    <n v="4065510"/>
    <s v="A"/>
    <s v="Official figure"/>
  </r>
  <r>
    <s v="QCL"/>
    <s v="Crops and livestock products"/>
    <n v="566"/>
    <s v="Nigeria"/>
    <n v="5312"/>
    <s v="Area harvested"/>
    <n v="113"/>
    <x v="38"/>
    <n v="2019"/>
    <x v="2"/>
    <s v="ha"/>
    <n v="4126670"/>
    <s v="A"/>
    <s v="Official figure"/>
  </r>
  <r>
    <s v="QCL"/>
    <s v="Crops and livestock products"/>
    <n v="566"/>
    <s v="Nigeria"/>
    <n v="5312"/>
    <s v="Area harvested"/>
    <n v="113"/>
    <x v="38"/>
    <n v="2020"/>
    <x v="3"/>
    <s v="ha"/>
    <n v="4195100"/>
    <s v="A"/>
    <s v="Official figure"/>
  </r>
  <r>
    <s v="QCL"/>
    <s v="Crops and livestock products"/>
    <n v="566"/>
    <s v="Nigeria"/>
    <n v="5312"/>
    <s v="Area harvested"/>
    <n v="113"/>
    <x v="38"/>
    <n v="2021"/>
    <x v="4"/>
    <s v="ha"/>
    <n v="4320100"/>
    <s v="A"/>
    <s v="Official figure"/>
  </r>
  <r>
    <s v="QCL"/>
    <s v="Crops and livestock products"/>
    <n v="566"/>
    <s v="Nigeria"/>
    <n v="5312"/>
    <s v="Area harvested"/>
    <n v="1921.01"/>
    <x v="39"/>
    <n v="2017"/>
    <x v="0"/>
    <s v="ha"/>
    <n v="380643"/>
    <s v="E"/>
    <s v="Estimated value"/>
  </r>
  <r>
    <s v="QCL"/>
    <s v="Crops and livestock products"/>
    <n v="566"/>
    <s v="Nigeria"/>
    <n v="5312"/>
    <s v="Area harvested"/>
    <n v="1921.01"/>
    <x v="39"/>
    <n v="2018"/>
    <x v="1"/>
    <s v="ha"/>
    <n v="374620"/>
    <s v="E"/>
    <s v="Estimated value"/>
  </r>
  <r>
    <s v="QCL"/>
    <s v="Crops and livestock products"/>
    <n v="566"/>
    <s v="Nigeria"/>
    <n v="5312"/>
    <s v="Area harvested"/>
    <n v="1921.01"/>
    <x v="39"/>
    <n v="2019"/>
    <x v="2"/>
    <s v="ha"/>
    <n v="365680"/>
    <s v="E"/>
    <s v="Estimated value"/>
  </r>
  <r>
    <s v="QCL"/>
    <s v="Crops and livestock products"/>
    <n v="566"/>
    <s v="Nigeria"/>
    <n v="5312"/>
    <s v="Area harvested"/>
    <n v="1921.01"/>
    <x v="39"/>
    <n v="2020"/>
    <x v="3"/>
    <s v="ha"/>
    <n v="373648"/>
    <s v="E"/>
    <s v="Estimated value"/>
  </r>
  <r>
    <s v="QCL"/>
    <s v="Crops and livestock products"/>
    <n v="566"/>
    <s v="Nigeria"/>
    <n v="5312"/>
    <s v="Area harvested"/>
    <n v="1921.01"/>
    <x v="39"/>
    <n v="2021"/>
    <x v="4"/>
    <s v="ha"/>
    <n v="371316"/>
    <s v="E"/>
    <s v="Estimated value"/>
  </r>
  <r>
    <s v="QCL"/>
    <s v="Crops and livestock products"/>
    <n v="566"/>
    <s v="Nigeria"/>
    <n v="5312"/>
    <s v="Area harvested"/>
    <n v="1444"/>
    <x v="40"/>
    <n v="2017"/>
    <x v="0"/>
    <s v="ha"/>
    <n v="1012730"/>
    <s v="A"/>
    <s v="Official figure"/>
  </r>
  <r>
    <s v="QCL"/>
    <s v="Crops and livestock products"/>
    <n v="566"/>
    <s v="Nigeria"/>
    <n v="5312"/>
    <s v="Area harvested"/>
    <n v="1444"/>
    <x v="40"/>
    <n v="2018"/>
    <x v="1"/>
    <s v="ha"/>
    <n v="632591"/>
    <s v="I"/>
    <s v="Imputed value"/>
  </r>
  <r>
    <s v="QCL"/>
    <s v="Crops and livestock products"/>
    <n v="566"/>
    <s v="Nigeria"/>
    <n v="5312"/>
    <s v="Area harvested"/>
    <n v="1444"/>
    <x v="40"/>
    <n v="2019"/>
    <x v="2"/>
    <s v="ha"/>
    <n v="602201"/>
    <s v="I"/>
    <s v="Imputed value"/>
  </r>
  <r>
    <s v="QCL"/>
    <s v="Crops and livestock products"/>
    <n v="566"/>
    <s v="Nigeria"/>
    <n v="5312"/>
    <s v="Area harvested"/>
    <n v="1444"/>
    <x v="40"/>
    <n v="2020"/>
    <x v="3"/>
    <s v="ha"/>
    <n v="508181"/>
    <s v="I"/>
    <s v="Imputed value"/>
  </r>
  <r>
    <s v="QCL"/>
    <s v="Crops and livestock products"/>
    <n v="566"/>
    <s v="Nigeria"/>
    <n v="5312"/>
    <s v="Area harvested"/>
    <n v="1444"/>
    <x v="40"/>
    <n v="2021"/>
    <x v="4"/>
    <s v="ha"/>
    <n v="496710"/>
    <s v="I"/>
    <s v="Imputed value"/>
  </r>
  <r>
    <s v="QCL"/>
    <s v="Crops and livestock products"/>
    <n v="566"/>
    <s v="Nigeria"/>
    <n v="5312"/>
    <s v="Area harvested"/>
    <n v="114"/>
    <x v="41"/>
    <n v="2017"/>
    <x v="0"/>
    <s v="ha"/>
    <n v="5820000"/>
    <s v="A"/>
    <s v="Official figure"/>
  </r>
  <r>
    <s v="QCL"/>
    <s v="Crops and livestock products"/>
    <n v="566"/>
    <s v="Nigeria"/>
    <n v="5312"/>
    <s v="Area harvested"/>
    <n v="114"/>
    <x v="41"/>
    <n v="2018"/>
    <x v="1"/>
    <s v="ha"/>
    <n v="5590557"/>
    <s v="I"/>
    <s v="Imputed value"/>
  </r>
  <r>
    <s v="QCL"/>
    <s v="Crops and livestock products"/>
    <n v="566"/>
    <s v="Nigeria"/>
    <n v="5312"/>
    <s v="Area harvested"/>
    <n v="114"/>
    <x v="41"/>
    <n v="2019"/>
    <x v="2"/>
    <s v="ha"/>
    <n v="5397000"/>
    <s v="T"/>
    <s v="Unofficial figure"/>
  </r>
  <r>
    <s v="QCL"/>
    <s v="Crops and livestock products"/>
    <n v="566"/>
    <s v="Nigeria"/>
    <n v="5312"/>
    <s v="Area harvested"/>
    <n v="114"/>
    <x v="41"/>
    <n v="2020"/>
    <x v="3"/>
    <s v="ha"/>
    <n v="5600000"/>
    <s v="T"/>
    <s v="Unofficial figure"/>
  </r>
  <r>
    <s v="QCL"/>
    <s v="Crops and livestock products"/>
    <n v="566"/>
    <s v="Nigeria"/>
    <n v="5312"/>
    <s v="Area harvested"/>
    <n v="114"/>
    <x v="41"/>
    <n v="2021"/>
    <x v="4"/>
    <s v="ha"/>
    <n v="5700000"/>
    <s v="T"/>
    <s v="Unofficial figure"/>
  </r>
  <r>
    <s v="QCL"/>
    <s v="Crops and livestock products"/>
    <n v="566"/>
    <s v="Nigeria"/>
    <n v="5312"/>
    <s v="Area harvested"/>
    <n v="141"/>
    <x v="42"/>
    <n v="2017"/>
    <x v="0"/>
    <s v="ha"/>
    <n v="1119660"/>
    <s v="A"/>
    <s v="Official figure"/>
  </r>
  <r>
    <s v="QCL"/>
    <s v="Crops and livestock products"/>
    <n v="566"/>
    <s v="Nigeria"/>
    <n v="5312"/>
    <s v="Area harvested"/>
    <n v="141"/>
    <x v="42"/>
    <n v="2018"/>
    <x v="1"/>
    <s v="ha"/>
    <n v="710792"/>
    <s v="I"/>
    <s v="Imputed value"/>
  </r>
  <r>
    <s v="QCL"/>
    <s v="Crops and livestock products"/>
    <n v="566"/>
    <s v="Nigeria"/>
    <n v="5312"/>
    <s v="Area harvested"/>
    <n v="141"/>
    <x v="42"/>
    <n v="2019"/>
    <x v="2"/>
    <s v="ha"/>
    <n v="847647"/>
    <s v="I"/>
    <s v="Imputed value"/>
  </r>
  <r>
    <s v="QCL"/>
    <s v="Crops and livestock products"/>
    <n v="566"/>
    <s v="Nigeria"/>
    <n v="5312"/>
    <s v="Area harvested"/>
    <n v="141"/>
    <x v="42"/>
    <n v="2020"/>
    <x v="3"/>
    <s v="ha"/>
    <n v="972053"/>
    <s v="I"/>
    <s v="Imputed value"/>
  </r>
  <r>
    <s v="QCL"/>
    <s v="Crops and livestock products"/>
    <n v="566"/>
    <s v="Nigeria"/>
    <n v="5312"/>
    <s v="Area harvested"/>
    <n v="141"/>
    <x v="42"/>
    <n v="2021"/>
    <x v="4"/>
    <s v="ha"/>
    <n v="1057861"/>
    <s v="I"/>
    <s v="Imputed value"/>
  </r>
  <r>
    <s v="QCL"/>
    <s v="Crops and livestock products"/>
    <n v="566"/>
    <s v="Nigeria"/>
    <n v="5312"/>
    <s v="Area harvested"/>
    <n v="1802"/>
    <x v="43"/>
    <n v="2017"/>
    <x v="0"/>
    <s v="ha"/>
    <n v="84421"/>
    <s v="E"/>
    <s v="Estimated value"/>
  </r>
  <r>
    <s v="QCL"/>
    <s v="Crops and livestock products"/>
    <n v="566"/>
    <s v="Nigeria"/>
    <n v="5312"/>
    <s v="Area harvested"/>
    <n v="1802"/>
    <x v="43"/>
    <n v="2018"/>
    <x v="1"/>
    <s v="ha"/>
    <n v="85271"/>
    <s v="E"/>
    <s v="Estimated value"/>
  </r>
  <r>
    <s v="QCL"/>
    <s v="Crops and livestock products"/>
    <n v="566"/>
    <s v="Nigeria"/>
    <n v="5312"/>
    <s v="Area harvested"/>
    <n v="1802"/>
    <x v="43"/>
    <n v="2019"/>
    <x v="2"/>
    <s v="ha"/>
    <n v="85355"/>
    <s v="E"/>
    <s v="Estimated value"/>
  </r>
  <r>
    <s v="QCL"/>
    <s v="Crops and livestock products"/>
    <n v="566"/>
    <s v="Nigeria"/>
    <n v="5312"/>
    <s v="Area harvested"/>
    <n v="1802"/>
    <x v="43"/>
    <n v="2020"/>
    <x v="3"/>
    <s v="ha"/>
    <n v="85016"/>
    <s v="E"/>
    <s v="Estimated value"/>
  </r>
  <r>
    <s v="QCL"/>
    <s v="Crops and livestock products"/>
    <n v="566"/>
    <s v="Nigeria"/>
    <n v="5312"/>
    <s v="Area harvested"/>
    <n v="1802"/>
    <x v="43"/>
    <n v="2021"/>
    <x v="4"/>
    <s v="ha"/>
    <n v="85214"/>
    <s v="E"/>
    <s v="Estimated value"/>
  </r>
  <r>
    <s v="QCL"/>
    <s v="Crops and livestock products"/>
    <n v="566"/>
    <s v="Nigeria"/>
    <n v="5312"/>
    <s v="Area harvested"/>
    <n v="1530"/>
    <x v="44"/>
    <n v="2017"/>
    <x v="0"/>
    <s v="ha"/>
    <n v="1513745"/>
    <s v="E"/>
    <s v="Estimated value"/>
  </r>
  <r>
    <s v="QCL"/>
    <s v="Crops and livestock products"/>
    <n v="566"/>
    <s v="Nigeria"/>
    <n v="5312"/>
    <s v="Area harvested"/>
    <n v="1530"/>
    <x v="44"/>
    <n v="2018"/>
    <x v="1"/>
    <s v="ha"/>
    <n v="1516091"/>
    <s v="E"/>
    <s v="Estimated value"/>
  </r>
  <r>
    <s v="QCL"/>
    <s v="Crops and livestock products"/>
    <n v="566"/>
    <s v="Nigeria"/>
    <n v="5312"/>
    <s v="Area harvested"/>
    <n v="1530"/>
    <x v="44"/>
    <n v="2019"/>
    <x v="2"/>
    <s v="ha"/>
    <n v="1503891"/>
    <s v="E"/>
    <s v="Estimated value"/>
  </r>
  <r>
    <s v="QCL"/>
    <s v="Crops and livestock products"/>
    <n v="566"/>
    <s v="Nigeria"/>
    <n v="5312"/>
    <s v="Area harvested"/>
    <n v="1530"/>
    <x v="44"/>
    <n v="2020"/>
    <x v="3"/>
    <s v="ha"/>
    <n v="1511243"/>
    <s v="E"/>
    <s v="Estimated value"/>
  </r>
  <r>
    <s v="QCL"/>
    <s v="Crops and livestock products"/>
    <n v="566"/>
    <s v="Nigeria"/>
    <n v="5312"/>
    <s v="Area harvested"/>
    <n v="1530"/>
    <x v="44"/>
    <n v="2021"/>
    <x v="4"/>
    <s v="ha"/>
    <n v="1510408"/>
    <s v="E"/>
    <s v="Estimated value"/>
  </r>
  <r>
    <s v="QCL"/>
    <s v="Crops and livestock products"/>
    <n v="566"/>
    <s v="Nigeria"/>
    <n v="5312"/>
    <s v="Area harvested"/>
    <n v="1550"/>
    <x v="45"/>
    <n v="2017"/>
    <x v="0"/>
    <s v="ha"/>
    <n v="776405"/>
    <s v="E"/>
    <s v="Estimated value"/>
  </r>
  <r>
    <s v="QCL"/>
    <s v="Crops and livestock products"/>
    <n v="566"/>
    <s v="Nigeria"/>
    <n v="5312"/>
    <s v="Area harvested"/>
    <n v="1550"/>
    <x v="45"/>
    <n v="2018"/>
    <x v="1"/>
    <s v="ha"/>
    <n v="821880"/>
    <s v="E"/>
    <s v="Estimated value"/>
  </r>
  <r>
    <s v="QCL"/>
    <s v="Crops and livestock products"/>
    <n v="566"/>
    <s v="Nigeria"/>
    <n v="5312"/>
    <s v="Area harvested"/>
    <n v="1550"/>
    <x v="45"/>
    <n v="2019"/>
    <x v="2"/>
    <s v="ha"/>
    <n v="820239"/>
    <s v="E"/>
    <s v="Estimated value"/>
  </r>
  <r>
    <s v="QCL"/>
    <s v="Crops and livestock products"/>
    <n v="566"/>
    <s v="Nigeria"/>
    <n v="5312"/>
    <s v="Area harvested"/>
    <n v="1550"/>
    <x v="45"/>
    <n v="2020"/>
    <x v="3"/>
    <s v="ha"/>
    <n v="806175"/>
    <s v="E"/>
    <s v="Estimated value"/>
  </r>
  <r>
    <s v="QCL"/>
    <s v="Crops and livestock products"/>
    <n v="566"/>
    <s v="Nigeria"/>
    <n v="5312"/>
    <s v="Area harvested"/>
    <n v="1550"/>
    <x v="45"/>
    <n v="2021"/>
    <x v="4"/>
    <s v="ha"/>
    <n v="816098"/>
    <s v="E"/>
    <s v="Estimated value"/>
  </r>
  <r>
    <s v="QCL"/>
    <s v="Crops and livestock products"/>
    <n v="566"/>
    <s v="Nigeria"/>
    <n v="5312"/>
    <s v="Area harvested"/>
    <n v="1234"/>
    <x v="46"/>
    <n v="2017"/>
    <x v="0"/>
    <s v="ha"/>
    <n v="701300"/>
    <s v="A"/>
    <s v="Official figure"/>
  </r>
  <r>
    <s v="QCL"/>
    <s v="Crops and livestock products"/>
    <n v="566"/>
    <s v="Nigeria"/>
    <n v="5312"/>
    <s v="Area harvested"/>
    <n v="1234"/>
    <x v="46"/>
    <n v="2018"/>
    <x v="1"/>
    <s v="ha"/>
    <n v="869271"/>
    <s v="I"/>
    <s v="Imputed value"/>
  </r>
  <r>
    <s v="QCL"/>
    <s v="Crops and livestock products"/>
    <n v="566"/>
    <s v="Nigeria"/>
    <n v="5312"/>
    <s v="Area harvested"/>
    <n v="1234"/>
    <x v="46"/>
    <n v="2019"/>
    <x v="2"/>
    <s v="ha"/>
    <n v="859441"/>
    <s v="I"/>
    <s v="Imputed value"/>
  </r>
  <r>
    <s v="QCL"/>
    <s v="Crops and livestock products"/>
    <n v="566"/>
    <s v="Nigeria"/>
    <n v="5312"/>
    <s v="Area harvested"/>
    <n v="1234"/>
    <x v="46"/>
    <n v="2020"/>
    <x v="3"/>
    <s v="ha"/>
    <n v="849427"/>
    <s v="I"/>
    <s v="Imputed value"/>
  </r>
  <r>
    <s v="QCL"/>
    <s v="Crops and livestock products"/>
    <n v="566"/>
    <s v="Nigeria"/>
    <n v="5312"/>
    <s v="Area harvested"/>
    <n v="1234"/>
    <x v="46"/>
    <n v="2021"/>
    <x v="4"/>
    <s v="ha"/>
    <n v="844633"/>
    <s v="I"/>
    <s v="Imputed value"/>
  </r>
  <r>
    <s v="QCL"/>
    <s v="Crops and livestock products"/>
    <n v="566"/>
    <s v="Nigeria"/>
    <n v="5312"/>
    <s v="Area harvested"/>
    <n v="1970"/>
    <x v="47"/>
    <n v="2017"/>
    <x v="0"/>
    <s v="ha"/>
    <n v="9800"/>
    <s v="E"/>
    <s v="Estimated value"/>
  </r>
  <r>
    <s v="QCL"/>
    <s v="Crops and livestock products"/>
    <n v="566"/>
    <s v="Nigeria"/>
    <n v="5312"/>
    <s v="Area harvested"/>
    <n v="1970"/>
    <x v="47"/>
    <n v="2018"/>
    <x v="1"/>
    <s v="ha"/>
    <n v="10364"/>
    <s v="I"/>
    <s v="Imputed value"/>
  </r>
  <r>
    <s v="QCL"/>
    <s v="Crops and livestock products"/>
    <n v="566"/>
    <s v="Nigeria"/>
    <n v="5312"/>
    <s v="Area harvested"/>
    <n v="1970"/>
    <x v="47"/>
    <n v="2019"/>
    <x v="2"/>
    <s v="ha"/>
    <n v="8718"/>
    <s v="I"/>
    <s v="Imputed value"/>
  </r>
  <r>
    <s v="QCL"/>
    <s v="Crops and livestock products"/>
    <n v="566"/>
    <s v="Nigeria"/>
    <n v="5312"/>
    <s v="Area harvested"/>
    <n v="1970"/>
    <x v="47"/>
    <n v="2020"/>
    <x v="3"/>
    <s v="ha"/>
    <n v="8369"/>
    <s v="I"/>
    <s v="Imputed value"/>
  </r>
  <r>
    <s v="QCL"/>
    <s v="Crops and livestock products"/>
    <n v="566"/>
    <s v="Nigeria"/>
    <n v="5312"/>
    <s v="Area harvested"/>
    <n v="1970"/>
    <x v="47"/>
    <n v="2021"/>
    <x v="4"/>
    <s v="ha"/>
    <n v="7998"/>
    <s v="I"/>
    <s v="Imputed value"/>
  </r>
  <r>
    <s v="QCL"/>
    <s v="Crops and livestock products"/>
    <n v="566"/>
    <s v="Nigeria"/>
    <n v="5312"/>
    <s v="Area harvested"/>
    <n v="111"/>
    <x v="48"/>
    <n v="2017"/>
    <x v="0"/>
    <s v="ha"/>
    <n v="49322"/>
    <s v="A"/>
    <s v="Official figure"/>
  </r>
  <r>
    <s v="QCL"/>
    <s v="Crops and livestock products"/>
    <n v="566"/>
    <s v="Nigeria"/>
    <n v="5312"/>
    <s v="Area harvested"/>
    <n v="111"/>
    <x v="48"/>
    <n v="2018"/>
    <x v="1"/>
    <s v="ha"/>
    <n v="51548"/>
    <s v="A"/>
    <s v="Official figure"/>
  </r>
  <r>
    <s v="QCL"/>
    <s v="Crops and livestock products"/>
    <n v="566"/>
    <s v="Nigeria"/>
    <n v="5312"/>
    <s v="Area harvested"/>
    <n v="111"/>
    <x v="48"/>
    <n v="2019"/>
    <x v="2"/>
    <s v="ha"/>
    <n v="51646"/>
    <s v="A"/>
    <s v="Official figure"/>
  </r>
  <r>
    <s v="QCL"/>
    <s v="Crops and livestock products"/>
    <n v="566"/>
    <s v="Nigeria"/>
    <n v="5312"/>
    <s v="Area harvested"/>
    <n v="111"/>
    <x v="48"/>
    <n v="2020"/>
    <x v="3"/>
    <s v="ha"/>
    <n v="50000"/>
    <s v="T"/>
    <s v="Unofficial figure"/>
  </r>
  <r>
    <s v="QCL"/>
    <s v="Crops and livestock products"/>
    <n v="566"/>
    <s v="Nigeria"/>
    <n v="5312"/>
    <s v="Area harvested"/>
    <n v="111"/>
    <x v="48"/>
    <n v="2021"/>
    <x v="4"/>
    <s v="ha"/>
    <n v="80000"/>
    <s v="T"/>
    <s v="Unofficial figure"/>
  </r>
  <r>
    <s v="QCL"/>
    <s v="Crops and livestock products"/>
    <n v="566"/>
    <s v="Nigeria"/>
    <n v="5312"/>
    <s v="Area harvested"/>
    <n v="1540"/>
    <x v="49"/>
    <n v="2017"/>
    <x v="0"/>
    <s v="ha"/>
    <n v="5276098"/>
    <s v="A"/>
    <s v="Official figure"/>
  </r>
  <r>
    <s v="QCL"/>
    <s v="Crops and livestock products"/>
    <n v="566"/>
    <s v="Nigeria"/>
    <n v="5312"/>
    <s v="Area harvested"/>
    <n v="1540"/>
    <x v="49"/>
    <n v="2018"/>
    <x v="1"/>
    <s v="ha"/>
    <n v="5427899"/>
    <s v="A"/>
    <s v="Official figure"/>
  </r>
  <r>
    <s v="QCL"/>
    <s v="Crops and livestock products"/>
    <n v="566"/>
    <s v="Nigeria"/>
    <n v="5312"/>
    <s v="Area harvested"/>
    <n v="1540"/>
    <x v="49"/>
    <n v="2019"/>
    <x v="2"/>
    <s v="ha"/>
    <n v="6778080"/>
    <s v="A"/>
    <s v="Official figure"/>
  </r>
  <r>
    <s v="QCL"/>
    <s v="Crops and livestock products"/>
    <n v="566"/>
    <s v="Nigeria"/>
    <n v="5312"/>
    <s v="Area harvested"/>
    <n v="1540"/>
    <x v="49"/>
    <n v="2020"/>
    <x v="3"/>
    <s v="ha"/>
    <n v="6200472"/>
    <s v="I"/>
    <s v="Imputed value"/>
  </r>
  <r>
    <s v="QCL"/>
    <s v="Crops and livestock products"/>
    <n v="566"/>
    <s v="Nigeria"/>
    <n v="5312"/>
    <s v="Area harvested"/>
    <n v="1540"/>
    <x v="49"/>
    <n v="2021"/>
    <x v="4"/>
    <s v="ha"/>
    <n v="5902180"/>
    <s v="I"/>
    <s v="Imputed valu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3102210000"/>
    <s v="Ammonium Sulphate"/>
    <n v="25358"/>
    <x v="0"/>
  </r>
  <r>
    <x v="0"/>
    <s v="3104200000"/>
    <s v="Muriate of Potash"/>
    <n v="16382"/>
    <x v="1"/>
  </r>
  <r>
    <x v="0"/>
    <s v="3103100000"/>
    <s v="Single Super Phosphate"/>
    <n v="11088"/>
    <x v="2"/>
  </r>
  <r>
    <x v="0"/>
    <s v="3102100000"/>
    <s v="Urea"/>
    <n v="420526"/>
    <x v="3"/>
  </r>
  <r>
    <x v="0"/>
    <s v="3102400000"/>
    <s v="Calcium Ammonium Nitrate"/>
    <n v="25"/>
    <x v="4"/>
  </r>
  <r>
    <x v="0"/>
    <s v=""/>
    <s v="Other NP Compound"/>
    <n v="47301"/>
    <x v="5"/>
  </r>
  <r>
    <x v="0"/>
    <s v="3104300000"/>
    <s v="Sulphate of Potash"/>
    <n v="6000"/>
    <x v="5"/>
  </r>
  <r>
    <x v="0"/>
    <s v="3105200000"/>
    <s v="NPK unspecified"/>
    <n v="366114"/>
    <x v="6"/>
  </r>
  <r>
    <x v="1"/>
    <m/>
    <s v="Total 2010"/>
    <n v="892794"/>
    <x v="7"/>
  </r>
  <r>
    <x v="2"/>
    <s v="3102210000"/>
    <s v="Ammonium Sulphate"/>
    <n v="26.67"/>
    <x v="0"/>
  </r>
  <r>
    <x v="2"/>
    <s v="3104200000"/>
    <s v="Muriate of Potash"/>
    <n v="20779"/>
    <x v="1"/>
  </r>
  <r>
    <x v="2"/>
    <s v="3103100000"/>
    <s v="Single Super Phosphate"/>
    <n v="32474"/>
    <x v="2"/>
  </r>
  <r>
    <x v="2"/>
    <s v="3102100000"/>
    <s v="Urea"/>
    <n v="242761"/>
    <x v="3"/>
  </r>
  <r>
    <x v="2"/>
    <s v="3102400000"/>
    <s v="Calcium Ammonium Nitrate"/>
    <n v="15.75"/>
    <x v="4"/>
  </r>
  <r>
    <x v="2"/>
    <s v=""/>
    <s v="Other NP Compound"/>
    <n v="0.04"/>
    <x v="5"/>
  </r>
  <r>
    <x v="2"/>
    <s v="3102900000"/>
    <s v="Other Nitrogen"/>
    <n v="128"/>
    <x v="5"/>
  </r>
  <r>
    <x v="2"/>
    <s v="3104900000"/>
    <s v="Other Potash fertilizer"/>
    <n v="902.8"/>
    <x v="5"/>
  </r>
  <r>
    <x v="2"/>
    <s v="3104300000"/>
    <s v="Sulphate of Potash"/>
    <n v="6228"/>
    <x v="5"/>
  </r>
  <r>
    <x v="2"/>
    <s v="3105200000"/>
    <s v="NPK unspecified"/>
    <n v="178320"/>
    <x v="6"/>
  </r>
  <r>
    <x v="1"/>
    <m/>
    <s v="Total 2011"/>
    <n v="481635"/>
    <x v="7"/>
  </r>
  <r>
    <x v="3"/>
    <s v="3102210000"/>
    <s v="Ammonium Sulphate"/>
    <n v="11109"/>
    <x v="0"/>
  </r>
  <r>
    <x v="3"/>
    <s v="3104200000"/>
    <s v="Muriate of Potash"/>
    <n v="34479"/>
    <x v="1"/>
  </r>
  <r>
    <x v="3"/>
    <s v="3103100000"/>
    <s v="Single Super Phosphate"/>
    <n v="13910"/>
    <x v="2"/>
  </r>
  <r>
    <x v="3"/>
    <s v="3102100000"/>
    <s v="Urea"/>
    <n v="451394"/>
    <x v="3"/>
  </r>
  <r>
    <x v="3"/>
    <s v=""/>
    <s v="Other NP Compound"/>
    <n v="6612"/>
    <x v="5"/>
  </r>
  <r>
    <x v="3"/>
    <s v="3105200000"/>
    <s v="NPK unspecified"/>
    <n v="345953"/>
    <x v="6"/>
  </r>
  <r>
    <x v="1"/>
    <m/>
    <s v="Total 2012"/>
    <n v="863458"/>
    <x v="7"/>
  </r>
  <r>
    <x v="4"/>
    <s v="3102210000"/>
    <s v="Ammonium Sulphate"/>
    <n v="12301"/>
    <x v="0"/>
  </r>
  <r>
    <x v="4"/>
    <s v="3104200000"/>
    <s v="Muriate of Potash"/>
    <n v="13921"/>
    <x v="1"/>
  </r>
  <r>
    <x v="4"/>
    <s v="3103100000"/>
    <s v="Single Super Phosphate"/>
    <n v="37682"/>
    <x v="2"/>
  </r>
  <r>
    <x v="4"/>
    <s v="3102100000"/>
    <s v="Urea"/>
    <n v="765731"/>
    <x v="3"/>
  </r>
  <r>
    <x v="4"/>
    <s v=""/>
    <s v="Other NP Compound"/>
    <n v="87988"/>
    <x v="5"/>
  </r>
  <r>
    <x v="4"/>
    <s v=""/>
    <s v="Other PK Compound"/>
    <n v="3015"/>
    <x v="5"/>
  </r>
  <r>
    <x v="4"/>
    <s v="3104900000"/>
    <s v="Other Potash fertilizer"/>
    <n v="221.8"/>
    <x v="5"/>
  </r>
  <r>
    <x v="4"/>
    <s v="3103900000"/>
    <s v="Other phosphate"/>
    <n v="6.26"/>
    <x v="5"/>
  </r>
  <r>
    <x v="4"/>
    <s v="2510000000"/>
    <s v="Phosphate Rock"/>
    <n v="5.15"/>
    <x v="5"/>
  </r>
  <r>
    <x v="4"/>
    <s v="3104300000"/>
    <s v="Sulphate of Potash"/>
    <n v="7700"/>
    <x v="5"/>
  </r>
  <r>
    <x v="4"/>
    <s v="3105200000"/>
    <s v="NPK unspecified"/>
    <n v="270919"/>
    <x v="6"/>
  </r>
  <r>
    <x v="1"/>
    <m/>
    <s v="Total 2013"/>
    <n v="1199490"/>
    <x v="7"/>
  </r>
  <r>
    <x v="5"/>
    <s v="3102210000"/>
    <s v="Ammonium Sulphate"/>
    <n v="2321"/>
    <x v="0"/>
  </r>
  <r>
    <x v="5"/>
    <s v="3104200000"/>
    <s v="Muriate of Potash"/>
    <n v="13721"/>
    <x v="1"/>
  </r>
  <r>
    <x v="5"/>
    <s v="3103100000"/>
    <s v="Single Super Phosphate"/>
    <n v="80.19"/>
    <x v="2"/>
  </r>
  <r>
    <x v="5"/>
    <s v="3102100000"/>
    <s v="Urea"/>
    <n v="423966"/>
    <x v="3"/>
  </r>
  <r>
    <x v="5"/>
    <s v=""/>
    <s v="Other NP Compound"/>
    <n v="68535"/>
    <x v="5"/>
  </r>
  <r>
    <x v="5"/>
    <s v="3102900000"/>
    <s v="Other Nitrogen"/>
    <n v="30.21"/>
    <x v="5"/>
  </r>
  <r>
    <x v="5"/>
    <s v=""/>
    <s v="Other PK Compound"/>
    <n v="485.1"/>
    <x v="5"/>
  </r>
  <r>
    <x v="5"/>
    <s v="3104900000"/>
    <s v="Other Potash fertilizer"/>
    <n v="7401"/>
    <x v="5"/>
  </r>
  <r>
    <x v="5"/>
    <s v="3104300000"/>
    <s v="Sulphate of Potash"/>
    <n v="0.21"/>
    <x v="5"/>
  </r>
  <r>
    <x v="5"/>
    <s v="3105200000"/>
    <s v="NPK unspecified"/>
    <n v="344879"/>
    <x v="6"/>
  </r>
  <r>
    <x v="1"/>
    <m/>
    <s v="Total 2014"/>
    <n v="861418"/>
    <x v="7"/>
  </r>
  <r>
    <x v="6"/>
    <s v="3102210000"/>
    <s v="Ammonium Sulphate"/>
    <n v="10483"/>
    <x v="0"/>
  </r>
  <r>
    <x v="6"/>
    <s v="3105300000"/>
    <s v="Diammonium Phosphate"/>
    <n v="5500"/>
    <x v="8"/>
  </r>
  <r>
    <x v="6"/>
    <s v="3104200000"/>
    <s v="Muriate of Potash"/>
    <n v="407.5"/>
    <x v="1"/>
  </r>
  <r>
    <x v="6"/>
    <s v="3103100000"/>
    <s v="Single Super Phosphate"/>
    <n v="16751"/>
    <x v="2"/>
  </r>
  <r>
    <x v="6"/>
    <s v="3102100000"/>
    <s v="Urea"/>
    <n v="319656"/>
    <x v="3"/>
  </r>
  <r>
    <x v="6"/>
    <s v=""/>
    <s v="Other NP Compound"/>
    <n v="47986"/>
    <x v="5"/>
  </r>
  <r>
    <x v="6"/>
    <s v="3102900000"/>
    <s v="Other Nitrogen"/>
    <n v="60.94"/>
    <x v="5"/>
  </r>
  <r>
    <x v="6"/>
    <s v="3103900000"/>
    <s v="Other phosphate"/>
    <n v="50596"/>
    <x v="5"/>
  </r>
  <r>
    <x v="6"/>
    <s v="2510000000"/>
    <s v="Phosphate Rock"/>
    <n v="595.29999999999995"/>
    <x v="5"/>
  </r>
  <r>
    <x v="6"/>
    <s v="2834210000"/>
    <s v="Potassium Nitrate"/>
    <n v="86.06"/>
    <x v="5"/>
  </r>
  <r>
    <x v="6"/>
    <s v="3105200000"/>
    <s v="NPK unspecified"/>
    <n v="165728"/>
    <x v="6"/>
  </r>
  <r>
    <x v="1"/>
    <m/>
    <s v="Total 2015"/>
    <n v="617851"/>
    <x v="7"/>
  </r>
  <r>
    <x v="7"/>
    <s v="3102210000"/>
    <s v="Ammonium Sulphate"/>
    <n v="27450"/>
    <x v="0"/>
  </r>
  <r>
    <x v="7"/>
    <s v="3105300000"/>
    <s v="Diammonium Phosphate"/>
    <n v="5250"/>
    <x v="8"/>
  </r>
  <r>
    <x v="7"/>
    <s v="3104200000"/>
    <s v="Muriate of Potash"/>
    <n v="3683"/>
    <x v="1"/>
  </r>
  <r>
    <x v="7"/>
    <s v="3103100000"/>
    <s v="Single Super Phosphate"/>
    <n v="16599"/>
    <x v="2"/>
  </r>
  <r>
    <x v="7"/>
    <s v="3102100000"/>
    <s v="Urea"/>
    <n v="386383"/>
    <x v="3"/>
  </r>
  <r>
    <x v="7"/>
    <s v="3105400000"/>
    <s v="Monoammonium Phosphate"/>
    <n v="49"/>
    <x v="9"/>
  </r>
  <r>
    <x v="7"/>
    <s v=""/>
    <s v="Other NP Compound"/>
    <n v="115845"/>
    <x v="5"/>
  </r>
  <r>
    <x v="7"/>
    <s v="3102900000"/>
    <s v="Other Nitrogen"/>
    <n v="100"/>
    <x v="5"/>
  </r>
  <r>
    <x v="7"/>
    <s v="3104900000"/>
    <s v="Other Potash fertilizer"/>
    <n v="128"/>
    <x v="5"/>
  </r>
  <r>
    <x v="7"/>
    <s v="3103900000"/>
    <s v="Other phosphate"/>
    <n v="22452"/>
    <x v="5"/>
  </r>
  <r>
    <x v="7"/>
    <s v="2510000000"/>
    <s v="Phosphate Rock"/>
    <n v="793.7"/>
    <x v="5"/>
  </r>
  <r>
    <x v="7"/>
    <s v="3105200000"/>
    <s v="NPK unspecified"/>
    <n v="380455"/>
    <x v="6"/>
  </r>
  <r>
    <x v="1"/>
    <m/>
    <s v="Total 2016"/>
    <n v="959188"/>
    <x v="7"/>
  </r>
  <r>
    <x v="8"/>
    <s v="3102210000"/>
    <s v="Ammonium Sulphate"/>
    <n v="40248"/>
    <x v="0"/>
  </r>
  <r>
    <x v="8"/>
    <s v="3105300000"/>
    <s v="Diammonium Phosphate"/>
    <n v="102770"/>
    <x v="8"/>
  </r>
  <r>
    <x v="8"/>
    <s v="3104200000"/>
    <s v="Muriate of Potash"/>
    <n v="121846"/>
    <x v="1"/>
  </r>
  <r>
    <x v="8"/>
    <s v="3103100000"/>
    <s v="Single Super Phosphate"/>
    <n v="16550"/>
    <x v="2"/>
  </r>
  <r>
    <x v="8"/>
    <s v="3102100000"/>
    <s v="Urea"/>
    <n v="760734"/>
    <x v="3"/>
  </r>
  <r>
    <x v="8"/>
    <s v="3102600000"/>
    <s v="Calcium Nitrate"/>
    <n v="20"/>
    <x v="5"/>
  </r>
  <r>
    <x v="8"/>
    <s v="3105400000"/>
    <s v="Monoammonium Phosphate"/>
    <n v="25.1"/>
    <x v="9"/>
  </r>
  <r>
    <x v="8"/>
    <s v=""/>
    <s v="Other NP Compound"/>
    <n v="96984"/>
    <x v="5"/>
  </r>
  <r>
    <x v="8"/>
    <s v="3102900000"/>
    <s v="Other Nitrogen"/>
    <n v="407.2"/>
    <x v="5"/>
  </r>
  <r>
    <x v="8"/>
    <s v="3104900000"/>
    <s v="Other Potash fertilizer"/>
    <n v="2001"/>
    <x v="5"/>
  </r>
  <r>
    <x v="8"/>
    <s v="3103900000"/>
    <s v="Other phosphate"/>
    <n v="21112"/>
    <x v="5"/>
  </r>
  <r>
    <x v="8"/>
    <s v="3104300000"/>
    <s v="Sulphate of Potash"/>
    <n v="117.4"/>
    <x v="5"/>
  </r>
  <r>
    <x v="8"/>
    <s v="3105200000"/>
    <s v="NPK unspecified"/>
    <n v="399949"/>
    <x v="6"/>
  </r>
  <r>
    <x v="1"/>
    <m/>
    <s v="Total 2017"/>
    <n v="1562764"/>
    <x v="7"/>
  </r>
  <r>
    <x v="9"/>
    <s v="3102210000"/>
    <s v="Ammonium Sulphate"/>
    <n v="17700"/>
    <x v="0"/>
  </r>
  <r>
    <x v="9"/>
    <s v="3105300000"/>
    <s v="Diammonium Phosphate"/>
    <n v="92956"/>
    <x v="8"/>
  </r>
  <r>
    <x v="9"/>
    <s v="3104200000"/>
    <s v="Muriate of Potash"/>
    <n v="95373"/>
    <x v="1"/>
  </r>
  <r>
    <x v="9"/>
    <s v="3103100000"/>
    <s v="Single Super Phosphate"/>
    <n v="19854"/>
    <x v="2"/>
  </r>
  <r>
    <x v="9"/>
    <s v="3102100000"/>
    <s v="Urea"/>
    <n v="758499"/>
    <x v="3"/>
  </r>
  <r>
    <x v="9"/>
    <s v="3105400000"/>
    <s v="Monoammonium Phosphate"/>
    <n v="37.6"/>
    <x v="9"/>
  </r>
  <r>
    <x v="9"/>
    <s v=""/>
    <s v="Other NP Compound"/>
    <n v="111500"/>
    <x v="5"/>
  </r>
  <r>
    <x v="9"/>
    <s v="3102900000"/>
    <s v="Other Nitrogen"/>
    <n v="2723"/>
    <x v="5"/>
  </r>
  <r>
    <x v="9"/>
    <s v=""/>
    <s v="Other PK Compound"/>
    <n v="421"/>
    <x v="5"/>
  </r>
  <r>
    <x v="9"/>
    <s v="3104900000"/>
    <s v="Other Potash fertilizer"/>
    <n v="12022"/>
    <x v="5"/>
  </r>
  <r>
    <x v="9"/>
    <s v="3103900000"/>
    <s v="Other phosphate"/>
    <n v="10214"/>
    <x v="5"/>
  </r>
  <r>
    <x v="9"/>
    <s v="2510000000"/>
    <s v="Phosphate Rock"/>
    <n v="250"/>
    <x v="5"/>
  </r>
  <r>
    <x v="9"/>
    <s v="3105200000"/>
    <s v="NPK unspecified"/>
    <n v="351821"/>
    <x v="6"/>
  </r>
  <r>
    <x v="1"/>
    <m/>
    <s v="Total 2018"/>
    <n v="1473369"/>
    <x v="7"/>
  </r>
  <r>
    <x v="10"/>
    <s v="3102210000"/>
    <s v="Ammonium Sulphate"/>
    <n v="41533"/>
    <x v="0"/>
  </r>
  <r>
    <x v="10"/>
    <s v="3105300000"/>
    <s v="Diammonium Phosphate"/>
    <n v="56800"/>
    <x v="8"/>
  </r>
  <r>
    <x v="10"/>
    <s v="3104200000"/>
    <s v="Muriate of Potash"/>
    <n v="29276"/>
    <x v="1"/>
  </r>
  <r>
    <x v="10"/>
    <s v="3103100000"/>
    <s v="Single Super Phosphate"/>
    <n v="1507"/>
    <x v="2"/>
  </r>
  <r>
    <x v="10"/>
    <s v="3102100000"/>
    <s v="Urea"/>
    <n v="730151"/>
    <x v="3"/>
  </r>
  <r>
    <x v="10"/>
    <s v=""/>
    <s v="Other PK Compound"/>
    <n v="24.58"/>
    <x v="5"/>
  </r>
  <r>
    <x v="10"/>
    <s v="2510000000"/>
    <s v="Phosphate Rock"/>
    <n v="63.63"/>
    <x v="5"/>
  </r>
  <r>
    <x v="10"/>
    <s v="2834210000"/>
    <s v="Potassium Nitrate"/>
    <n v="24.3"/>
    <x v="5"/>
  </r>
  <r>
    <x v="10"/>
    <s v="3104300000"/>
    <s v="Sulphate of Potash"/>
    <n v="423"/>
    <x v="5"/>
  </r>
  <r>
    <x v="10"/>
    <s v="3105200000"/>
    <s v="NPK 20-20-20 + TE"/>
    <n v="16.010000000000002"/>
    <x v="6"/>
  </r>
  <r>
    <x v="10"/>
    <s v="3105200000"/>
    <s v="NPK unspecified"/>
    <n v="1368"/>
    <x v="6"/>
  </r>
  <r>
    <x v="10"/>
    <s v="3105200000"/>
    <s v="NPK 18-10-20 + 1MgO + 0.1B"/>
    <n v="24.76"/>
    <x v="6"/>
  </r>
  <r>
    <x v="10"/>
    <s v="3105200000"/>
    <s v="NPK 28-11-14 + TE"/>
    <n v="376.8"/>
    <x v="6"/>
  </r>
  <r>
    <x v="1"/>
    <m/>
    <s v="Total 2019"/>
    <n v="861587"/>
    <x v="7"/>
  </r>
  <r>
    <x v="11"/>
    <s v="3105300000"/>
    <s v="Diammonium Phosphate"/>
    <n v="168181"/>
    <x v="8"/>
  </r>
  <r>
    <x v="11"/>
    <s v="3104200000"/>
    <s v="Muriate of Potash"/>
    <n v="248789"/>
    <x v="1"/>
  </r>
  <r>
    <x v="11"/>
    <s v="3103100000"/>
    <s v="Single Super Phosphate"/>
    <n v="11255"/>
    <x v="2"/>
  </r>
  <r>
    <x v="11"/>
    <s v="3102100000"/>
    <s v="Urea"/>
    <n v="988343"/>
    <x v="3"/>
  </r>
  <r>
    <x v="11"/>
    <s v="3103900000"/>
    <s v="Other phosphate"/>
    <n v="0.65"/>
    <x v="5"/>
  </r>
  <r>
    <x v="11"/>
    <s v="2834210000"/>
    <s v="Potassium Nitrate"/>
    <n v="28.1"/>
    <x v="5"/>
  </r>
  <r>
    <x v="11"/>
    <s v="3105200000"/>
    <s v="NPK unspecified"/>
    <n v="1016"/>
    <x v="6"/>
  </r>
  <r>
    <x v="1"/>
    <m/>
    <s v="Total 2020"/>
    <n v="1417614"/>
    <x v="7"/>
  </r>
  <r>
    <x v="12"/>
    <s v="3102100000"/>
    <s v="Urea"/>
    <n v="1303423"/>
    <x v="3"/>
  </r>
  <r>
    <x v="12"/>
    <s v="3105300000"/>
    <s v="Diammonium Phosphate"/>
    <n v="229588"/>
    <x v="8"/>
  </r>
  <r>
    <x v="12"/>
    <s v="3102210000"/>
    <s v="Ammonium Sulphate"/>
    <n v="182845"/>
    <x v="0"/>
  </r>
  <r>
    <x v="12"/>
    <s v="3104200000"/>
    <s v="Muriate of Potash"/>
    <n v="142846"/>
    <x v="1"/>
  </r>
  <r>
    <x v="12"/>
    <s v="3105400000"/>
    <s v="Monoammonium Phosphate"/>
    <n v="209.7"/>
    <x v="9"/>
  </r>
  <r>
    <x v="12"/>
    <s v="3101000000"/>
    <s v="Organic Fertilizer"/>
    <n v="358"/>
    <x v="5"/>
  </r>
  <r>
    <x v="12"/>
    <s v="3104900000"/>
    <s v="Other Potash fertilizer"/>
    <n v="8.5500000000000007"/>
    <x v="5"/>
  </r>
  <r>
    <x v="12"/>
    <s v="3105200000"/>
    <s v="NPK unspecified"/>
    <n v="26.88"/>
    <x v="6"/>
  </r>
  <r>
    <x v="1"/>
    <m/>
    <s v="Total 2021"/>
    <n v="1859306"/>
    <x v="7"/>
  </r>
  <r>
    <x v="13"/>
    <s v="3102100000"/>
    <s v="Urea"/>
    <n v="955980"/>
    <x v="3"/>
  </r>
  <r>
    <x v="13"/>
    <s v="3102210000"/>
    <s v="Ammonium Sulphate"/>
    <n v="188740"/>
    <x v="0"/>
  </r>
  <r>
    <x v="13"/>
    <s v="3105300000"/>
    <s v="Diammonium Phosphate"/>
    <n v="118678"/>
    <x v="8"/>
  </r>
  <r>
    <x v="13"/>
    <s v="3104200000"/>
    <s v="Muriate of Potash"/>
    <n v="34996"/>
    <x v="1"/>
  </r>
  <r>
    <x v="13"/>
    <s v="9999999990"/>
    <s v="Biostimulant"/>
    <n v="16.13"/>
    <x v="5"/>
  </r>
  <r>
    <x v="13"/>
    <s v="3101000000"/>
    <s v="Organic Fertilizer"/>
    <n v="66.78"/>
    <x v="5"/>
  </r>
  <r>
    <x v="13"/>
    <s v="3103900000"/>
    <s v="Other phosphate"/>
    <n v="0.01"/>
    <x v="5"/>
  </r>
  <r>
    <x v="13"/>
    <s v="2834210000"/>
    <s v="Potassium Nitrate"/>
    <n v="27.11"/>
    <x v="5"/>
  </r>
  <r>
    <x v="1"/>
    <m/>
    <s v="Total 2022"/>
    <n v="1298505"/>
    <x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x v="0"/>
    <n v="6000"/>
  </r>
  <r>
    <x v="0"/>
    <x v="0"/>
    <x v="1"/>
    <n v="27.11"/>
  </r>
  <r>
    <x v="0"/>
    <x v="1"/>
    <x v="2"/>
    <n v="1507"/>
  </r>
  <r>
    <x v="0"/>
    <x v="2"/>
    <x v="0"/>
    <n v="0.02"/>
  </r>
  <r>
    <x v="0"/>
    <x v="3"/>
    <x v="3"/>
    <n v="2"/>
  </r>
  <r>
    <x v="0"/>
    <x v="4"/>
    <x v="4"/>
    <n v="24.76"/>
  </r>
  <r>
    <x v="0"/>
    <x v="4"/>
    <x v="1"/>
    <n v="817.1"/>
  </r>
  <r>
    <x v="0"/>
    <x v="5"/>
    <x v="0"/>
    <n v="50800"/>
  </r>
  <r>
    <x v="0"/>
    <x v="6"/>
    <x v="1"/>
    <n v="10.29"/>
  </r>
  <r>
    <x v="0"/>
    <x v="7"/>
    <x v="5"/>
    <n v="63.64"/>
  </r>
  <r>
    <x v="0"/>
    <x v="8"/>
    <x v="6"/>
    <n v="376.7"/>
  </r>
  <r>
    <x v="0"/>
    <x v="8"/>
    <x v="1"/>
    <n v="445.5"/>
  </r>
  <r>
    <x v="0"/>
    <x v="9"/>
    <x v="3"/>
    <n v="22.58"/>
  </r>
  <r>
    <x v="0"/>
    <x v="10"/>
    <x v="7"/>
    <n v="16.010000000000002"/>
  </r>
  <r>
    <x v="0"/>
    <x v="10"/>
    <x v="1"/>
    <n v="66.38"/>
  </r>
  <r>
    <x v="0"/>
    <x v="11"/>
    <x v="1"/>
    <n v="1.44"/>
  </r>
  <r>
    <x v="1"/>
    <x v="0"/>
    <x v="8"/>
    <n v="209.7"/>
  </r>
  <r>
    <x v="1"/>
    <x v="0"/>
    <x v="1"/>
    <n v="22.86"/>
  </r>
  <r>
    <x v="1"/>
    <x v="2"/>
    <x v="1"/>
    <n v="1"/>
  </r>
  <r>
    <x v="1"/>
    <x v="4"/>
    <x v="1"/>
    <n v="1.02"/>
  </r>
  <r>
    <x v="1"/>
    <x v="5"/>
    <x v="0"/>
    <n v="292158"/>
  </r>
  <r>
    <x v="1"/>
    <x v="11"/>
    <x v="1"/>
    <n v="2"/>
  </r>
  <r>
    <x v="2"/>
    <x v="0"/>
    <x v="0"/>
    <n v="181.4"/>
  </r>
  <r>
    <x v="2"/>
    <x v="1"/>
    <x v="2"/>
    <n v="11255"/>
  </r>
  <r>
    <x v="2"/>
    <x v="5"/>
    <x v="0"/>
    <n v="168000"/>
  </r>
  <r>
    <x v="2"/>
    <x v="6"/>
    <x v="1"/>
    <n v="153.30000000000001"/>
  </r>
  <r>
    <x v="2"/>
    <x v="8"/>
    <x v="9"/>
    <n v="0.65"/>
  </r>
  <r>
    <x v="2"/>
    <x v="11"/>
    <x v="1"/>
    <n v="863"/>
  </r>
  <r>
    <x v="3"/>
    <x v="4"/>
    <x v="1"/>
    <n v="0.03"/>
  </r>
  <r>
    <x v="3"/>
    <x v="5"/>
    <x v="0"/>
    <n v="177776"/>
  </r>
  <r>
    <x v="3"/>
    <x v="8"/>
    <x v="1"/>
    <n v="0.06"/>
  </r>
  <r>
    <x v="3"/>
    <x v="10"/>
    <x v="9"/>
    <n v="0.01"/>
  </r>
  <r>
    <x v="3"/>
    <x v="12"/>
    <x v="1"/>
    <n v="1"/>
  </r>
  <r>
    <x v="4"/>
    <x v="13"/>
    <x v="1"/>
    <n v="0.55000000000000004"/>
  </r>
  <r>
    <x v="4"/>
    <x v="14"/>
    <x v="1"/>
    <n v="0.02"/>
  </r>
  <r>
    <x v="4"/>
    <x v="15"/>
    <x v="9"/>
    <n v="10000"/>
  </r>
  <r>
    <x v="4"/>
    <x v="16"/>
    <x v="1"/>
    <n v="547.70000000000005"/>
  </r>
  <r>
    <x v="4"/>
    <x v="0"/>
    <x v="0"/>
    <n v="4000"/>
  </r>
  <r>
    <x v="4"/>
    <x v="0"/>
    <x v="8"/>
    <n v="25.1"/>
  </r>
  <r>
    <x v="4"/>
    <x v="0"/>
    <x v="1"/>
    <n v="2.58"/>
  </r>
  <r>
    <x v="4"/>
    <x v="0"/>
    <x v="10"/>
    <n v="45100"/>
  </r>
  <r>
    <x v="4"/>
    <x v="0"/>
    <x v="2"/>
    <n v="3"/>
  </r>
  <r>
    <x v="4"/>
    <x v="1"/>
    <x v="2"/>
    <n v="19851"/>
  </r>
  <r>
    <x v="4"/>
    <x v="17"/>
    <x v="1"/>
    <n v="21.42"/>
  </r>
  <r>
    <x v="4"/>
    <x v="18"/>
    <x v="1"/>
    <n v="0.12"/>
  </r>
  <r>
    <x v="4"/>
    <x v="19"/>
    <x v="1"/>
    <n v="24.77"/>
  </r>
  <r>
    <x v="4"/>
    <x v="20"/>
    <x v="8"/>
    <n v="7.5"/>
  </r>
  <r>
    <x v="4"/>
    <x v="20"/>
    <x v="1"/>
    <n v="4.93"/>
  </r>
  <r>
    <x v="4"/>
    <x v="21"/>
    <x v="1"/>
    <n v="19785"/>
  </r>
  <r>
    <x v="4"/>
    <x v="22"/>
    <x v="1"/>
    <n v="12.84"/>
  </r>
  <r>
    <x v="4"/>
    <x v="5"/>
    <x v="0"/>
    <n v="88950"/>
  </r>
  <r>
    <x v="4"/>
    <x v="5"/>
    <x v="1"/>
    <n v="285775"/>
  </r>
  <r>
    <x v="4"/>
    <x v="5"/>
    <x v="10"/>
    <n v="34100"/>
  </r>
  <r>
    <x v="4"/>
    <x v="6"/>
    <x v="8"/>
    <n v="5"/>
  </r>
  <r>
    <x v="4"/>
    <x v="23"/>
    <x v="1"/>
    <n v="652.6"/>
  </r>
  <r>
    <x v="4"/>
    <x v="24"/>
    <x v="10"/>
    <n v="32300"/>
  </r>
  <r>
    <x v="4"/>
    <x v="8"/>
    <x v="1"/>
    <n v="568.20000000000005"/>
  </r>
  <r>
    <x v="4"/>
    <x v="8"/>
    <x v="5"/>
    <n v="250"/>
  </r>
  <r>
    <x v="4"/>
    <x v="25"/>
    <x v="1"/>
    <n v="0"/>
  </r>
  <r>
    <x v="4"/>
    <x v="9"/>
    <x v="1"/>
    <n v="41811"/>
  </r>
  <r>
    <x v="4"/>
    <x v="9"/>
    <x v="3"/>
    <n v="421"/>
  </r>
  <r>
    <x v="4"/>
    <x v="9"/>
    <x v="9"/>
    <n v="9"/>
  </r>
  <r>
    <x v="4"/>
    <x v="10"/>
    <x v="0"/>
    <n v="5.64"/>
  </r>
  <r>
    <x v="4"/>
    <x v="10"/>
    <x v="1"/>
    <n v="7.0000000000000007E-2"/>
  </r>
  <r>
    <x v="4"/>
    <x v="11"/>
    <x v="1"/>
    <n v="8.0399999999999991"/>
  </r>
  <r>
    <x v="4"/>
    <x v="11"/>
    <x v="9"/>
    <n v="204.5"/>
  </r>
  <r>
    <x v="4"/>
    <x v="26"/>
    <x v="1"/>
    <n v="2606"/>
  </r>
  <r>
    <x v="5"/>
    <x v="15"/>
    <x v="0"/>
    <n v="16000"/>
  </r>
  <r>
    <x v="5"/>
    <x v="15"/>
    <x v="9"/>
    <n v="21000"/>
  </r>
  <r>
    <x v="5"/>
    <x v="16"/>
    <x v="0"/>
    <n v="12.12"/>
  </r>
  <r>
    <x v="5"/>
    <x v="0"/>
    <x v="8"/>
    <n v="25.1"/>
  </r>
  <r>
    <x v="5"/>
    <x v="0"/>
    <x v="1"/>
    <n v="175.6"/>
  </r>
  <r>
    <x v="5"/>
    <x v="0"/>
    <x v="10"/>
    <n v="27604"/>
  </r>
  <r>
    <x v="5"/>
    <x v="0"/>
    <x v="2"/>
    <n v="50.1"/>
  </r>
  <r>
    <x v="5"/>
    <x v="1"/>
    <x v="2"/>
    <n v="16500"/>
  </r>
  <r>
    <x v="5"/>
    <x v="3"/>
    <x v="10"/>
    <n v="1.5"/>
  </r>
  <r>
    <x v="5"/>
    <x v="3"/>
    <x v="9"/>
    <n v="105"/>
  </r>
  <r>
    <x v="5"/>
    <x v="19"/>
    <x v="11"/>
    <n v="1050"/>
  </r>
  <r>
    <x v="5"/>
    <x v="21"/>
    <x v="1"/>
    <n v="7996"/>
  </r>
  <r>
    <x v="5"/>
    <x v="5"/>
    <x v="0"/>
    <n v="86758"/>
  </r>
  <r>
    <x v="5"/>
    <x v="5"/>
    <x v="12"/>
    <n v="237692"/>
  </r>
  <r>
    <x v="5"/>
    <x v="5"/>
    <x v="10"/>
    <n v="60475"/>
  </r>
  <r>
    <x v="5"/>
    <x v="6"/>
    <x v="13"/>
    <n v="1070"/>
  </r>
  <r>
    <x v="5"/>
    <x v="6"/>
    <x v="14"/>
    <n v="7924"/>
  </r>
  <r>
    <x v="5"/>
    <x v="6"/>
    <x v="1"/>
    <n v="19.27"/>
  </r>
  <r>
    <x v="5"/>
    <x v="6"/>
    <x v="9"/>
    <n v="6"/>
  </r>
  <r>
    <x v="5"/>
    <x v="23"/>
    <x v="1"/>
    <n v="511.6"/>
  </r>
  <r>
    <x v="5"/>
    <x v="27"/>
    <x v="10"/>
    <n v="20.190000000000001"/>
  </r>
  <r>
    <x v="5"/>
    <x v="24"/>
    <x v="10"/>
    <n v="8880"/>
  </r>
  <r>
    <x v="5"/>
    <x v="8"/>
    <x v="10"/>
    <n v="1"/>
  </r>
  <r>
    <x v="5"/>
    <x v="28"/>
    <x v="10"/>
    <n v="0.6"/>
  </r>
  <r>
    <x v="5"/>
    <x v="29"/>
    <x v="1"/>
    <n v="405"/>
  </r>
  <r>
    <x v="5"/>
    <x v="9"/>
    <x v="12"/>
    <n v="141940"/>
  </r>
  <r>
    <x v="5"/>
    <x v="10"/>
    <x v="10"/>
    <n v="1.4"/>
  </r>
  <r>
    <x v="5"/>
    <x v="11"/>
    <x v="9"/>
    <n v="0.5"/>
  </r>
  <r>
    <x v="5"/>
    <x v="26"/>
    <x v="13"/>
    <n v="1165"/>
  </r>
  <r>
    <x v="6"/>
    <x v="16"/>
    <x v="8"/>
    <n v="49"/>
  </r>
  <r>
    <x v="6"/>
    <x v="16"/>
    <x v="1"/>
    <n v="73"/>
  </r>
  <r>
    <x v="6"/>
    <x v="30"/>
    <x v="10"/>
    <n v="3190"/>
  </r>
  <r>
    <x v="6"/>
    <x v="0"/>
    <x v="1"/>
    <n v="100"/>
  </r>
  <r>
    <x v="6"/>
    <x v="0"/>
    <x v="3"/>
    <n v="17"/>
  </r>
  <r>
    <x v="6"/>
    <x v="0"/>
    <x v="5"/>
    <n v="70.819999999999993"/>
  </r>
  <r>
    <x v="6"/>
    <x v="1"/>
    <x v="1"/>
    <n v="493"/>
  </r>
  <r>
    <x v="6"/>
    <x v="1"/>
    <x v="5"/>
    <n v="793.7"/>
  </r>
  <r>
    <x v="6"/>
    <x v="1"/>
    <x v="2"/>
    <n v="16500"/>
  </r>
  <r>
    <x v="6"/>
    <x v="31"/>
    <x v="1"/>
    <n v="33000"/>
  </r>
  <r>
    <x v="6"/>
    <x v="3"/>
    <x v="5"/>
    <n v="100"/>
  </r>
  <r>
    <x v="6"/>
    <x v="32"/>
    <x v="1"/>
    <n v="1578"/>
  </r>
  <r>
    <x v="6"/>
    <x v="32"/>
    <x v="10"/>
    <n v="200"/>
  </r>
  <r>
    <x v="6"/>
    <x v="20"/>
    <x v="1"/>
    <n v="758"/>
  </r>
  <r>
    <x v="6"/>
    <x v="5"/>
    <x v="0"/>
    <n v="5250"/>
  </r>
  <r>
    <x v="6"/>
    <x v="5"/>
    <x v="1"/>
    <n v="253418"/>
  </r>
  <r>
    <x v="6"/>
    <x v="5"/>
    <x v="10"/>
    <n v="112455"/>
  </r>
  <r>
    <x v="6"/>
    <x v="5"/>
    <x v="2"/>
    <n v="99"/>
  </r>
  <r>
    <x v="6"/>
    <x v="6"/>
    <x v="1"/>
    <n v="525"/>
  </r>
  <r>
    <x v="6"/>
    <x v="24"/>
    <x v="1"/>
    <n v="64246"/>
  </r>
  <r>
    <x v="6"/>
    <x v="24"/>
    <x v="9"/>
    <n v="22452"/>
  </r>
  <r>
    <x v="6"/>
    <x v="33"/>
    <x v="5"/>
    <n v="556.20000000000005"/>
  </r>
  <r>
    <x v="6"/>
    <x v="29"/>
    <x v="1"/>
    <n v="14"/>
  </r>
  <r>
    <x v="6"/>
    <x v="9"/>
    <x v="1"/>
    <n v="262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8">
  <r>
    <x v="0"/>
    <s v="3105400000"/>
    <x v="0"/>
    <n v="0.46200000000000002"/>
    <x v="0"/>
  </r>
  <r>
    <x v="0"/>
    <s v="3102900000"/>
    <x v="1"/>
    <n v="24.088999999999999"/>
    <x v="1"/>
  </r>
  <r>
    <x v="0"/>
    <s v=""/>
    <x v="2"/>
    <n v="7.0000000000000001E-3"/>
    <x v="2"/>
  </r>
  <r>
    <x v="0"/>
    <s v="3102400000"/>
    <x v="3"/>
    <n v="25.074999999999999"/>
    <x v="1"/>
  </r>
  <r>
    <x v="0"/>
    <s v="3104900000"/>
    <x v="4"/>
    <n v="51.835999999999999"/>
    <x v="1"/>
  </r>
  <r>
    <x v="0"/>
    <s v="3104300000"/>
    <x v="5"/>
    <n v="6000"/>
    <x v="1"/>
  </r>
  <r>
    <x v="0"/>
    <s v=""/>
    <x v="6"/>
    <n v="47241.328999999998"/>
    <x v="2"/>
  </r>
  <r>
    <x v="0"/>
    <s v="3105200000"/>
    <x v="7"/>
    <n v="365914.05699999997"/>
    <x v="3"/>
  </r>
  <r>
    <x v="0"/>
    <m/>
    <x v="8"/>
    <n v="419256.85499999998"/>
    <x v="1"/>
  </r>
  <r>
    <x v="1"/>
    <s v="3103100000"/>
    <x v="9"/>
    <n v="20000"/>
    <x v="4"/>
  </r>
  <r>
    <x v="1"/>
    <s v=""/>
    <x v="2"/>
    <n v="21.492999999999999"/>
    <x v="2"/>
  </r>
  <r>
    <x v="1"/>
    <s v="3102400000"/>
    <x v="3"/>
    <n v="15.75"/>
    <x v="1"/>
  </r>
  <r>
    <x v="1"/>
    <s v="2510000000"/>
    <x v="10"/>
    <n v="2.8000000000000001E-2"/>
    <x v="2"/>
  </r>
  <r>
    <x v="1"/>
    <s v="3104300000"/>
    <x v="5"/>
    <n v="6228"/>
    <x v="1"/>
  </r>
  <r>
    <x v="1"/>
    <s v="3105200000"/>
    <x v="7"/>
    <n v="178327.976"/>
    <x v="3"/>
  </r>
  <r>
    <x v="1"/>
    <m/>
    <x v="8"/>
    <n v="204593.247"/>
    <x v="1"/>
  </r>
  <r>
    <x v="2"/>
    <s v="3103100000"/>
    <x v="9"/>
    <n v="50"/>
    <x v="4"/>
  </r>
  <r>
    <x v="2"/>
    <s v="3105400000"/>
    <x v="0"/>
    <n v="6612"/>
    <x v="0"/>
  </r>
  <r>
    <x v="2"/>
    <s v="3102900000"/>
    <x v="1"/>
    <n v="20085.629000000001"/>
    <x v="1"/>
  </r>
  <r>
    <x v="2"/>
    <s v="2510000000"/>
    <x v="10"/>
    <n v="5"/>
    <x v="2"/>
  </r>
  <r>
    <x v="2"/>
    <s v="3103900000"/>
    <x v="11"/>
    <n v="45401.3"/>
    <x v="2"/>
  </r>
  <r>
    <x v="2"/>
    <s v=""/>
    <x v="6"/>
    <n v="5.0000000000000001E-3"/>
    <x v="2"/>
  </r>
  <r>
    <x v="2"/>
    <s v="3105200000"/>
    <x v="7"/>
    <n v="280488.81599999999"/>
    <x v="3"/>
  </r>
  <r>
    <x v="2"/>
    <m/>
    <x v="8"/>
    <n v="352642.75"/>
    <x v="1"/>
  </r>
  <r>
    <x v="3"/>
    <s v="3103100000"/>
    <x v="9"/>
    <n v="22682.11"/>
    <x v="4"/>
  </r>
  <r>
    <x v="3"/>
    <s v=""/>
    <x v="2"/>
    <n v="3015.2069999999999"/>
    <x v="2"/>
  </r>
  <r>
    <x v="3"/>
    <s v="2510000000"/>
    <x v="10"/>
    <n v="5.15"/>
    <x v="2"/>
  </r>
  <r>
    <x v="3"/>
    <s v="3103900000"/>
    <x v="11"/>
    <n v="6.2640000000000002"/>
    <x v="2"/>
  </r>
  <r>
    <x v="3"/>
    <s v="3104300000"/>
    <x v="5"/>
    <n v="7700"/>
    <x v="1"/>
  </r>
  <r>
    <x v="3"/>
    <s v="3104900000"/>
    <x v="4"/>
    <n v="221.797"/>
    <x v="1"/>
  </r>
  <r>
    <x v="3"/>
    <s v=""/>
    <x v="6"/>
    <n v="87987.93"/>
    <x v="2"/>
  </r>
  <r>
    <x v="3"/>
    <s v="3105200000"/>
    <x v="7"/>
    <n v="270919.09899999999"/>
    <x v="3"/>
  </r>
  <r>
    <x v="3"/>
    <m/>
    <x v="8"/>
    <n v="392537.55699999997"/>
    <x v="1"/>
  </r>
  <r>
    <x v="4"/>
    <s v="3103100000"/>
    <x v="9"/>
    <n v="80.185000000000002"/>
    <x v="4"/>
  </r>
  <r>
    <x v="4"/>
    <s v="3102900000"/>
    <x v="1"/>
    <n v="30.210999999999999"/>
    <x v="1"/>
  </r>
  <r>
    <x v="4"/>
    <s v=""/>
    <x v="2"/>
    <n v="485.05900000000003"/>
    <x v="2"/>
  </r>
  <r>
    <x v="4"/>
    <s v="3104300000"/>
    <x v="5"/>
    <n v="0.21"/>
    <x v="1"/>
  </r>
  <r>
    <x v="4"/>
    <s v="3104900000"/>
    <x v="4"/>
    <n v="7401.4340000000002"/>
    <x v="1"/>
  </r>
  <r>
    <x v="4"/>
    <s v=""/>
    <x v="6"/>
    <n v="68534.5"/>
    <x v="2"/>
  </r>
  <r>
    <x v="4"/>
    <s v="3105200000"/>
    <x v="7"/>
    <n v="344878.59899999999"/>
    <x v="3"/>
  </r>
  <r>
    <x v="4"/>
    <m/>
    <x v="8"/>
    <n v="421410.19799999997"/>
    <x v="1"/>
  </r>
  <r>
    <x v="5"/>
    <s v="3105300000"/>
    <x v="12"/>
    <n v="5500"/>
    <x v="5"/>
  </r>
  <r>
    <x v="5"/>
    <s v="3103100000"/>
    <x v="9"/>
    <n v="16140.18"/>
    <x v="4"/>
  </r>
  <r>
    <x v="5"/>
    <s v="3102900000"/>
    <x v="1"/>
    <n v="60.94"/>
    <x v="1"/>
  </r>
  <r>
    <x v="5"/>
    <s v="2834210000"/>
    <x v="13"/>
    <n v="86.06"/>
    <x v="1"/>
  </r>
  <r>
    <x v="5"/>
    <s v="2510000000"/>
    <x v="10"/>
    <n v="595.34"/>
    <x v="2"/>
  </r>
  <r>
    <x v="5"/>
    <s v="3103900000"/>
    <x v="11"/>
    <n v="50595.78"/>
    <x v="2"/>
  </r>
  <r>
    <x v="5"/>
    <s v=""/>
    <x v="6"/>
    <n v="47986"/>
    <x v="2"/>
  </r>
  <r>
    <x v="5"/>
    <s v="3105200000"/>
    <x v="7"/>
    <n v="165727.70000000001"/>
    <x v="3"/>
  </r>
  <r>
    <x v="5"/>
    <m/>
    <x v="8"/>
    <n v="286692"/>
    <x v="1"/>
  </r>
  <r>
    <x v="6"/>
    <s v="3105300000"/>
    <x v="12"/>
    <n v="5250"/>
    <x v="5"/>
  </r>
  <r>
    <x v="6"/>
    <s v="3103100000"/>
    <x v="9"/>
    <n v="16599"/>
    <x v="4"/>
  </r>
  <r>
    <x v="6"/>
    <s v="3105400000"/>
    <x v="0"/>
    <n v="49"/>
    <x v="0"/>
  </r>
  <r>
    <x v="6"/>
    <s v="3102900000"/>
    <x v="1"/>
    <n v="100"/>
    <x v="1"/>
  </r>
  <r>
    <x v="6"/>
    <s v=""/>
    <x v="2"/>
    <n v="17"/>
    <x v="2"/>
  </r>
  <r>
    <x v="6"/>
    <s v="2510000000"/>
    <x v="10"/>
    <n v="1520.742"/>
    <x v="2"/>
  </r>
  <r>
    <x v="6"/>
    <s v="3103900000"/>
    <x v="11"/>
    <n v="22452"/>
    <x v="2"/>
  </r>
  <r>
    <x v="6"/>
    <s v=""/>
    <x v="6"/>
    <n v="115845"/>
    <x v="2"/>
  </r>
  <r>
    <x v="6"/>
    <s v="3104900000"/>
    <x v="4"/>
    <n v="499"/>
    <x v="1"/>
  </r>
  <r>
    <x v="6"/>
    <s v="3105200000"/>
    <x v="7"/>
    <n v="380455"/>
    <x v="3"/>
  </r>
  <r>
    <x v="6"/>
    <m/>
    <x v="8"/>
    <n v="542786.74199999997"/>
    <x v="1"/>
  </r>
  <r>
    <x v="7"/>
    <s v="3105300000"/>
    <x v="12"/>
    <n v="102770"/>
    <x v="5"/>
  </r>
  <r>
    <x v="7"/>
    <s v="3103100000"/>
    <x v="9"/>
    <n v="16550.099999999999"/>
    <x v="4"/>
  </r>
  <r>
    <x v="7"/>
    <s v="3105400000"/>
    <x v="0"/>
    <n v="25.1"/>
    <x v="0"/>
  </r>
  <r>
    <x v="7"/>
    <s v="3102900000"/>
    <x v="1"/>
    <n v="407.20600000000002"/>
    <x v="1"/>
  </r>
  <r>
    <x v="7"/>
    <s v="3102600000"/>
    <x v="14"/>
    <n v="20"/>
    <x v="1"/>
  </r>
  <r>
    <x v="7"/>
    <s v="3103900000"/>
    <x v="11"/>
    <n v="21111.5"/>
    <x v="2"/>
  </r>
  <r>
    <x v="7"/>
    <s v="3104300000"/>
    <x v="5"/>
    <n v="117.373"/>
    <x v="1"/>
  </r>
  <r>
    <x v="7"/>
    <s v="3104900000"/>
    <x v="4"/>
    <n v="2001"/>
    <x v="1"/>
  </r>
  <r>
    <x v="7"/>
    <s v=""/>
    <x v="6"/>
    <n v="96984.413"/>
    <x v="2"/>
  </r>
  <r>
    <x v="7"/>
    <s v="3105200000"/>
    <x v="15"/>
    <n v="379632"/>
    <x v="3"/>
  </r>
  <r>
    <x v="7"/>
    <s v="3105200000"/>
    <x v="7"/>
    <n v="9107.4699999999993"/>
    <x v="3"/>
  </r>
  <r>
    <x v="7"/>
    <s v="3105200000"/>
    <x v="16"/>
    <n v="7923.6959999999999"/>
    <x v="3"/>
  </r>
  <r>
    <x v="7"/>
    <s v="3105200000"/>
    <x v="17"/>
    <n v="2235.3510000000001"/>
    <x v="3"/>
  </r>
  <r>
    <x v="7"/>
    <s v="3105200000"/>
    <x v="18"/>
    <n v="1050.23"/>
    <x v="3"/>
  </r>
  <r>
    <x v="7"/>
    <m/>
    <x v="8"/>
    <n v="639935.43900000001"/>
    <x v="1"/>
  </r>
  <r>
    <x v="8"/>
    <s v="3105300000"/>
    <x v="12"/>
    <n v="92955.64"/>
    <x v="5"/>
  </r>
  <r>
    <x v="8"/>
    <s v="3103100000"/>
    <x v="9"/>
    <n v="19853.5"/>
    <x v="4"/>
  </r>
  <r>
    <x v="8"/>
    <s v="3105400000"/>
    <x v="0"/>
    <n v="37.6"/>
    <x v="0"/>
  </r>
  <r>
    <x v="8"/>
    <s v="3102900000"/>
    <x v="1"/>
    <n v="2722.88"/>
    <x v="1"/>
  </r>
  <r>
    <x v="8"/>
    <s v=""/>
    <x v="2"/>
    <n v="421"/>
    <x v="2"/>
  </r>
  <r>
    <x v="8"/>
    <s v="2510000000"/>
    <x v="10"/>
    <n v="250"/>
    <x v="2"/>
  </r>
  <r>
    <x v="8"/>
    <s v="3103900000"/>
    <x v="11"/>
    <n v="10213.540000000001"/>
    <x v="2"/>
  </r>
  <r>
    <x v="8"/>
    <s v=""/>
    <x v="6"/>
    <n v="111500"/>
    <x v="2"/>
  </r>
  <r>
    <x v="8"/>
    <s v="3104900000"/>
    <x v="4"/>
    <n v="12021.7"/>
    <x v="1"/>
  </r>
  <r>
    <x v="8"/>
    <s v="3105200000"/>
    <x v="7"/>
    <n v="351820.82400000002"/>
    <x v="3"/>
  </r>
  <r>
    <x v="8"/>
    <m/>
    <x v="8"/>
    <n v="601796.68400000001"/>
    <x v="1"/>
  </r>
  <r>
    <x v="9"/>
    <s v="3105300000"/>
    <x v="12"/>
    <n v="56800.02"/>
    <x v="5"/>
  </r>
  <r>
    <x v="9"/>
    <s v="3103100000"/>
    <x v="9"/>
    <n v="1506.6"/>
    <x v="4"/>
  </r>
  <r>
    <x v="9"/>
    <s v="2834210000"/>
    <x v="13"/>
    <n v="24.3"/>
    <x v="1"/>
  </r>
  <r>
    <x v="9"/>
    <s v=""/>
    <x v="2"/>
    <n v="24.58"/>
    <x v="2"/>
  </r>
  <r>
    <x v="9"/>
    <s v="2510000000"/>
    <x v="10"/>
    <n v="63.64"/>
    <x v="2"/>
  </r>
  <r>
    <x v="9"/>
    <s v="3104300000"/>
    <x v="5"/>
    <n v="422.99"/>
    <x v="1"/>
  </r>
  <r>
    <x v="9"/>
    <s v="3105200000"/>
    <x v="7"/>
    <n v="1367.79"/>
    <x v="3"/>
  </r>
  <r>
    <x v="9"/>
    <s v="3105200000"/>
    <x v="19"/>
    <n v="16.010000000000002"/>
    <x v="3"/>
  </r>
  <r>
    <x v="9"/>
    <s v="3105200000"/>
    <x v="20"/>
    <n v="376.7"/>
    <x v="3"/>
  </r>
  <r>
    <x v="9"/>
    <s v="3105200000"/>
    <x v="21"/>
    <n v="24.76"/>
    <x v="3"/>
  </r>
  <r>
    <x v="9"/>
    <m/>
    <x v="8"/>
    <n v="60627.39"/>
    <x v="1"/>
  </r>
  <r>
    <x v="10"/>
    <s v="3105300000"/>
    <x v="12"/>
    <n v="168181.356"/>
    <x v="5"/>
  </r>
  <r>
    <x v="10"/>
    <s v="3103100000"/>
    <x v="9"/>
    <n v="11255"/>
    <x v="4"/>
  </r>
  <r>
    <x v="10"/>
    <s v="2834210000"/>
    <x v="13"/>
    <n v="28.094999999999999"/>
    <x v="1"/>
  </r>
  <r>
    <x v="10"/>
    <s v="3103900000"/>
    <x v="11"/>
    <n v="0.64800000000000002"/>
    <x v="2"/>
  </r>
  <r>
    <x v="10"/>
    <s v="3105200000"/>
    <x v="7"/>
    <n v="1016.3"/>
    <x v="3"/>
  </r>
  <r>
    <x v="10"/>
    <m/>
    <x v="8"/>
    <n v="180481.39899999998"/>
    <x v="1"/>
  </r>
  <r>
    <x v="11"/>
    <s v="3105300000"/>
    <x v="12"/>
    <n v="292158"/>
    <x v="5"/>
  </r>
  <r>
    <x v="11"/>
    <s v="3105400000"/>
    <x v="0"/>
    <n v="209.67400000000001"/>
    <x v="0"/>
  </r>
  <r>
    <x v="11"/>
    <s v="3101000000"/>
    <x v="22"/>
    <n v="358.03399999999999"/>
    <x v="1"/>
  </r>
  <r>
    <x v="11"/>
    <s v="3104900000"/>
    <x v="4"/>
    <n v="8.5449999999999999"/>
    <x v="1"/>
  </r>
  <r>
    <x v="11"/>
    <s v="3105200000"/>
    <x v="7"/>
    <n v="26.882000000000001"/>
    <x v="3"/>
  </r>
  <r>
    <x v="11"/>
    <m/>
    <x v="8"/>
    <n v="292761.13500000001"/>
    <x v="1"/>
  </r>
  <r>
    <x v="12"/>
    <s v="3105300000"/>
    <x v="12"/>
    <n v="177776.1"/>
    <x v="5"/>
  </r>
  <r>
    <x v="12"/>
    <s v="2834210000"/>
    <x v="13"/>
    <n v="27.11"/>
    <x v="1"/>
  </r>
  <r>
    <x v="12"/>
    <s v="3101000000"/>
    <x v="22"/>
    <n v="66.760000000000005"/>
    <x v="1"/>
  </r>
  <r>
    <x v="12"/>
    <s v="9999999990"/>
    <x v="23"/>
    <n v="15.26"/>
    <x v="1"/>
  </r>
  <r>
    <x v="12"/>
    <s v="9999999990"/>
    <x v="24"/>
    <n v="0.86"/>
    <x v="1"/>
  </r>
  <r>
    <x v="12"/>
    <s v="3103900000"/>
    <x v="11"/>
    <n v="0.01"/>
    <x v="2"/>
  </r>
  <r>
    <x v="12"/>
    <s v="3105200000"/>
    <x v="7"/>
    <n v="1.0900000000000001"/>
    <x v="3"/>
  </r>
  <r>
    <x v="12"/>
    <m/>
    <x v="8"/>
    <n v="177887.19"/>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3102210000"/>
    <s v="Ammonium Sulphate"/>
    <n v="25358"/>
    <x v="0"/>
  </r>
  <r>
    <x v="0"/>
    <s v="3104200000"/>
    <s v="Muriate of Potash"/>
    <n v="16382"/>
    <x v="1"/>
  </r>
  <r>
    <x v="0"/>
    <s v="3103100000"/>
    <s v="Single Super Phosphate"/>
    <n v="11088"/>
    <x v="2"/>
  </r>
  <r>
    <x v="0"/>
    <s v="3102100000"/>
    <s v="Urea"/>
    <n v="420526"/>
    <x v="3"/>
  </r>
  <r>
    <x v="0"/>
    <s v="3102400000"/>
    <s v="Calcium Ammonium Nitrate"/>
    <n v="25"/>
    <x v="4"/>
  </r>
  <r>
    <x v="0"/>
    <s v=""/>
    <s v="Other NP Compound"/>
    <n v="47301"/>
    <x v="5"/>
  </r>
  <r>
    <x v="0"/>
    <s v="3104300000"/>
    <s v="Sulphate of Potash"/>
    <n v="6000"/>
    <x v="5"/>
  </r>
  <r>
    <x v="0"/>
    <s v="3105200000"/>
    <s v="NPK unspecified"/>
    <n v="366114"/>
    <x v="6"/>
  </r>
  <r>
    <x v="1"/>
    <m/>
    <s v="Total 2010"/>
    <n v="892794"/>
    <x v="7"/>
  </r>
  <r>
    <x v="2"/>
    <s v="3102210000"/>
    <s v="Ammonium Sulphate"/>
    <n v="26.67"/>
    <x v="0"/>
  </r>
  <r>
    <x v="2"/>
    <s v="3104200000"/>
    <s v="Muriate of Potash"/>
    <n v="20779"/>
    <x v="1"/>
  </r>
  <r>
    <x v="2"/>
    <s v="3103100000"/>
    <s v="Single Super Phosphate"/>
    <n v="32474"/>
    <x v="2"/>
  </r>
  <r>
    <x v="2"/>
    <s v="3102100000"/>
    <s v="Urea"/>
    <n v="242761"/>
    <x v="3"/>
  </r>
  <r>
    <x v="2"/>
    <s v="3102400000"/>
    <s v="Calcium Ammonium Nitrate"/>
    <n v="15.75"/>
    <x v="4"/>
  </r>
  <r>
    <x v="2"/>
    <s v=""/>
    <s v="Other NP Compound"/>
    <n v="0.04"/>
    <x v="5"/>
  </r>
  <r>
    <x v="2"/>
    <s v="3102900000"/>
    <s v="Other Nitrogen"/>
    <n v="128"/>
    <x v="5"/>
  </r>
  <r>
    <x v="2"/>
    <s v="3104900000"/>
    <s v="Other Potash fertilizer"/>
    <n v="902.8"/>
    <x v="5"/>
  </r>
  <r>
    <x v="2"/>
    <s v="3104300000"/>
    <s v="Sulphate of Potash"/>
    <n v="6228"/>
    <x v="5"/>
  </r>
  <r>
    <x v="2"/>
    <s v="3105200000"/>
    <s v="NPK unspecified"/>
    <n v="178320"/>
    <x v="6"/>
  </r>
  <r>
    <x v="1"/>
    <m/>
    <s v="Total 2011"/>
    <n v="481635"/>
    <x v="7"/>
  </r>
  <r>
    <x v="3"/>
    <s v="3102210000"/>
    <s v="Ammonium Sulphate"/>
    <n v="11109"/>
    <x v="0"/>
  </r>
  <r>
    <x v="3"/>
    <s v="3104200000"/>
    <s v="Muriate of Potash"/>
    <n v="34479"/>
    <x v="1"/>
  </r>
  <r>
    <x v="3"/>
    <s v="3103100000"/>
    <s v="Single Super Phosphate"/>
    <n v="13910"/>
    <x v="2"/>
  </r>
  <r>
    <x v="3"/>
    <s v="3102100000"/>
    <s v="Urea"/>
    <n v="451394"/>
    <x v="3"/>
  </r>
  <r>
    <x v="3"/>
    <s v=""/>
    <s v="Other NP Compound"/>
    <n v="6612"/>
    <x v="5"/>
  </r>
  <r>
    <x v="3"/>
    <s v="3105200000"/>
    <s v="NPK unspecified"/>
    <n v="345953"/>
    <x v="6"/>
  </r>
  <r>
    <x v="1"/>
    <m/>
    <s v="Total 2012"/>
    <n v="863458"/>
    <x v="7"/>
  </r>
  <r>
    <x v="4"/>
    <s v="3102210000"/>
    <s v="Ammonium Sulphate"/>
    <n v="12301"/>
    <x v="0"/>
  </r>
  <r>
    <x v="4"/>
    <s v="3104200000"/>
    <s v="Muriate of Potash"/>
    <n v="13921"/>
    <x v="1"/>
  </r>
  <r>
    <x v="4"/>
    <s v="3103100000"/>
    <s v="Single Super Phosphate"/>
    <n v="37682"/>
    <x v="2"/>
  </r>
  <r>
    <x v="4"/>
    <s v="3102100000"/>
    <s v="Urea"/>
    <n v="765731"/>
    <x v="3"/>
  </r>
  <r>
    <x v="4"/>
    <s v=""/>
    <s v="Other NP Compound"/>
    <n v="87988"/>
    <x v="5"/>
  </r>
  <r>
    <x v="4"/>
    <s v=""/>
    <s v="Other PK Compound"/>
    <n v="3015"/>
    <x v="5"/>
  </r>
  <r>
    <x v="4"/>
    <s v="3104900000"/>
    <s v="Other Potash fertilizer"/>
    <n v="221.8"/>
    <x v="5"/>
  </r>
  <r>
    <x v="4"/>
    <s v="3103900000"/>
    <s v="Other phosphate"/>
    <n v="6.26"/>
    <x v="5"/>
  </r>
  <r>
    <x v="4"/>
    <s v="2510000000"/>
    <s v="Phosphate Rock"/>
    <n v="5.15"/>
    <x v="5"/>
  </r>
  <r>
    <x v="4"/>
    <s v="3104300000"/>
    <s v="Sulphate of Potash"/>
    <n v="7700"/>
    <x v="5"/>
  </r>
  <r>
    <x v="4"/>
    <s v="3105200000"/>
    <s v="NPK unspecified"/>
    <n v="270919"/>
    <x v="6"/>
  </r>
  <r>
    <x v="1"/>
    <m/>
    <s v="Total 2013"/>
    <n v="1199490"/>
    <x v="7"/>
  </r>
  <r>
    <x v="5"/>
    <s v="3102210000"/>
    <s v="Ammonium Sulphate"/>
    <n v="2321"/>
    <x v="0"/>
  </r>
  <r>
    <x v="5"/>
    <s v="3104200000"/>
    <s v="Muriate of Potash"/>
    <n v="13721"/>
    <x v="1"/>
  </r>
  <r>
    <x v="5"/>
    <s v="3103100000"/>
    <s v="Single Super Phosphate"/>
    <n v="80.19"/>
    <x v="2"/>
  </r>
  <r>
    <x v="5"/>
    <s v="3102100000"/>
    <s v="Urea"/>
    <n v="423966"/>
    <x v="3"/>
  </r>
  <r>
    <x v="5"/>
    <s v=""/>
    <s v="Other NP Compound"/>
    <n v="68535"/>
    <x v="5"/>
  </r>
  <r>
    <x v="5"/>
    <s v="3102900000"/>
    <s v="Other Nitrogen"/>
    <n v="30.21"/>
    <x v="5"/>
  </r>
  <r>
    <x v="5"/>
    <s v=""/>
    <s v="Other PK Compound"/>
    <n v="485.1"/>
    <x v="5"/>
  </r>
  <r>
    <x v="5"/>
    <s v="3104900000"/>
    <s v="Other Potash fertilizer"/>
    <n v="7401"/>
    <x v="5"/>
  </r>
  <r>
    <x v="5"/>
    <s v="3104300000"/>
    <s v="Sulphate of Potash"/>
    <n v="0.21"/>
    <x v="5"/>
  </r>
  <r>
    <x v="5"/>
    <s v="3105200000"/>
    <s v="NPK unspecified"/>
    <n v="344879"/>
    <x v="6"/>
  </r>
  <r>
    <x v="1"/>
    <m/>
    <s v="Total 2014"/>
    <n v="861418"/>
    <x v="7"/>
  </r>
  <r>
    <x v="6"/>
    <s v="3102210000"/>
    <s v="Ammonium Sulphate"/>
    <n v="10483"/>
    <x v="0"/>
  </r>
  <r>
    <x v="6"/>
    <s v="3105300000"/>
    <s v="Diammonium Phosphate"/>
    <n v="5500"/>
    <x v="8"/>
  </r>
  <r>
    <x v="6"/>
    <s v="3104200000"/>
    <s v="Muriate of Potash"/>
    <n v="407.5"/>
    <x v="1"/>
  </r>
  <r>
    <x v="6"/>
    <s v="3103100000"/>
    <s v="Single Super Phosphate"/>
    <n v="16751"/>
    <x v="2"/>
  </r>
  <r>
    <x v="6"/>
    <s v="3102100000"/>
    <s v="Urea"/>
    <n v="319656"/>
    <x v="3"/>
  </r>
  <r>
    <x v="6"/>
    <s v=""/>
    <s v="Other NP Compound"/>
    <n v="47986"/>
    <x v="5"/>
  </r>
  <r>
    <x v="6"/>
    <s v="3102900000"/>
    <s v="Other Nitrogen"/>
    <n v="60.94"/>
    <x v="5"/>
  </r>
  <r>
    <x v="6"/>
    <s v="3103900000"/>
    <s v="Other phosphate"/>
    <n v="50596"/>
    <x v="5"/>
  </r>
  <r>
    <x v="6"/>
    <s v="2510000000"/>
    <s v="Phosphate Rock"/>
    <n v="595.29999999999995"/>
    <x v="5"/>
  </r>
  <r>
    <x v="6"/>
    <s v="2834210000"/>
    <s v="Potassium Nitrate"/>
    <n v="86.06"/>
    <x v="5"/>
  </r>
  <r>
    <x v="6"/>
    <s v="3105200000"/>
    <s v="NPK unspecified"/>
    <n v="165728"/>
    <x v="6"/>
  </r>
  <r>
    <x v="1"/>
    <m/>
    <s v="Total 2015"/>
    <n v="617851"/>
    <x v="7"/>
  </r>
  <r>
    <x v="7"/>
    <s v="3102210000"/>
    <s v="Ammonium Sulphate"/>
    <n v="27450"/>
    <x v="0"/>
  </r>
  <r>
    <x v="7"/>
    <s v="3105300000"/>
    <s v="Diammonium Phosphate"/>
    <n v="5250"/>
    <x v="8"/>
  </r>
  <r>
    <x v="7"/>
    <s v="3104200000"/>
    <s v="Muriate of Potash"/>
    <n v="3683"/>
    <x v="1"/>
  </r>
  <r>
    <x v="7"/>
    <s v="3103100000"/>
    <s v="Single Super Phosphate"/>
    <n v="16599"/>
    <x v="2"/>
  </r>
  <r>
    <x v="7"/>
    <s v="3102100000"/>
    <s v="Urea"/>
    <n v="386383"/>
    <x v="3"/>
  </r>
  <r>
    <x v="7"/>
    <s v="3105400000"/>
    <s v="Monoammonium Phosphate"/>
    <n v="49"/>
    <x v="9"/>
  </r>
  <r>
    <x v="7"/>
    <s v=""/>
    <s v="Other NP Compound"/>
    <n v="115845"/>
    <x v="5"/>
  </r>
  <r>
    <x v="7"/>
    <s v="3102900000"/>
    <s v="Other Nitrogen"/>
    <n v="100"/>
    <x v="5"/>
  </r>
  <r>
    <x v="7"/>
    <s v="3104900000"/>
    <s v="Other Potash fertilizer"/>
    <n v="128"/>
    <x v="5"/>
  </r>
  <r>
    <x v="7"/>
    <s v="3103900000"/>
    <s v="Other phosphate"/>
    <n v="22452"/>
    <x v="5"/>
  </r>
  <r>
    <x v="7"/>
    <s v="2510000000"/>
    <s v="Phosphate Rock"/>
    <n v="793.7"/>
    <x v="5"/>
  </r>
  <r>
    <x v="7"/>
    <s v="3105200000"/>
    <s v="NPK unspecified"/>
    <n v="380455"/>
    <x v="6"/>
  </r>
  <r>
    <x v="1"/>
    <m/>
    <s v="Total 2016"/>
    <n v="959188"/>
    <x v="7"/>
  </r>
  <r>
    <x v="8"/>
    <s v="3102210000"/>
    <s v="Ammonium Sulphate"/>
    <n v="40248"/>
    <x v="0"/>
  </r>
  <r>
    <x v="8"/>
    <s v="3105300000"/>
    <s v="Diammonium Phosphate"/>
    <n v="102770"/>
    <x v="8"/>
  </r>
  <r>
    <x v="8"/>
    <s v="3104200000"/>
    <s v="Muriate of Potash"/>
    <n v="121846"/>
    <x v="1"/>
  </r>
  <r>
    <x v="8"/>
    <s v="3103100000"/>
    <s v="Single Super Phosphate"/>
    <n v="16550"/>
    <x v="2"/>
  </r>
  <r>
    <x v="8"/>
    <s v="3102100000"/>
    <s v="Urea"/>
    <n v="760734"/>
    <x v="3"/>
  </r>
  <r>
    <x v="8"/>
    <s v="3102600000"/>
    <s v="Calcium Nitrate"/>
    <n v="20"/>
    <x v="5"/>
  </r>
  <r>
    <x v="8"/>
    <s v="3105400000"/>
    <s v="Monoammonium Phosphate"/>
    <n v="25.1"/>
    <x v="9"/>
  </r>
  <r>
    <x v="8"/>
    <s v=""/>
    <s v="Other NP Compound"/>
    <n v="96984"/>
    <x v="5"/>
  </r>
  <r>
    <x v="8"/>
    <s v="3102900000"/>
    <s v="Other Nitrogen"/>
    <n v="407.2"/>
    <x v="5"/>
  </r>
  <r>
    <x v="8"/>
    <s v="3104900000"/>
    <s v="Other Potash fertilizer"/>
    <n v="2001"/>
    <x v="5"/>
  </r>
  <r>
    <x v="8"/>
    <s v="3103900000"/>
    <s v="Other phosphate"/>
    <n v="21112"/>
    <x v="5"/>
  </r>
  <r>
    <x v="8"/>
    <s v="3104300000"/>
    <s v="Sulphate of Potash"/>
    <n v="117.4"/>
    <x v="5"/>
  </r>
  <r>
    <x v="8"/>
    <s v="3105200000"/>
    <s v="NPK unspecified"/>
    <n v="399949"/>
    <x v="6"/>
  </r>
  <r>
    <x v="1"/>
    <m/>
    <s v="Total 2017"/>
    <n v="1562764"/>
    <x v="7"/>
  </r>
  <r>
    <x v="9"/>
    <s v="3102210000"/>
    <s v="Ammonium Sulphate"/>
    <n v="17700"/>
    <x v="0"/>
  </r>
  <r>
    <x v="9"/>
    <s v="3105300000"/>
    <s v="Diammonium Phosphate"/>
    <n v="92956"/>
    <x v="8"/>
  </r>
  <r>
    <x v="9"/>
    <s v="3104200000"/>
    <s v="Muriate of Potash"/>
    <n v="95373"/>
    <x v="1"/>
  </r>
  <r>
    <x v="9"/>
    <s v="3103100000"/>
    <s v="Single Super Phosphate"/>
    <n v="19854"/>
    <x v="2"/>
  </r>
  <r>
    <x v="9"/>
    <s v="3102100000"/>
    <s v="Urea"/>
    <n v="758499"/>
    <x v="3"/>
  </r>
  <r>
    <x v="9"/>
    <s v="3105400000"/>
    <s v="Monoammonium Phosphate"/>
    <n v="37.6"/>
    <x v="9"/>
  </r>
  <r>
    <x v="9"/>
    <s v=""/>
    <s v="Other NP Compound"/>
    <n v="111500"/>
    <x v="5"/>
  </r>
  <r>
    <x v="9"/>
    <s v="3102900000"/>
    <s v="Other Nitrogen"/>
    <n v="2723"/>
    <x v="5"/>
  </r>
  <r>
    <x v="9"/>
    <s v=""/>
    <s v="Other PK Compound"/>
    <n v="421"/>
    <x v="5"/>
  </r>
  <r>
    <x v="9"/>
    <s v="3104900000"/>
    <s v="Other Potash fertilizer"/>
    <n v="12022"/>
    <x v="5"/>
  </r>
  <r>
    <x v="9"/>
    <s v="3103900000"/>
    <s v="Other phosphate"/>
    <n v="10214"/>
    <x v="5"/>
  </r>
  <r>
    <x v="9"/>
    <s v="2510000000"/>
    <s v="Phosphate Rock"/>
    <n v="250"/>
    <x v="5"/>
  </r>
  <r>
    <x v="9"/>
    <s v="3105200000"/>
    <s v="NPK unspecified"/>
    <n v="351821"/>
    <x v="6"/>
  </r>
  <r>
    <x v="1"/>
    <m/>
    <s v="Total 2018"/>
    <n v="1473369"/>
    <x v="7"/>
  </r>
  <r>
    <x v="10"/>
    <s v="3102210000"/>
    <s v="Ammonium Sulphate"/>
    <n v="41533"/>
    <x v="0"/>
  </r>
  <r>
    <x v="10"/>
    <s v="3105300000"/>
    <s v="Diammonium Phosphate"/>
    <n v="56800"/>
    <x v="8"/>
  </r>
  <r>
    <x v="10"/>
    <s v="3104200000"/>
    <s v="Muriate of Potash"/>
    <n v="29276"/>
    <x v="1"/>
  </r>
  <r>
    <x v="10"/>
    <s v="3103100000"/>
    <s v="Single Super Phosphate"/>
    <n v="1507"/>
    <x v="2"/>
  </r>
  <r>
    <x v="10"/>
    <s v="3102100000"/>
    <s v="Urea"/>
    <n v="730151"/>
    <x v="3"/>
  </r>
  <r>
    <x v="10"/>
    <s v=""/>
    <s v="Other PK Compound"/>
    <n v="24.58"/>
    <x v="5"/>
  </r>
  <r>
    <x v="10"/>
    <s v="2510000000"/>
    <s v="Phosphate Rock"/>
    <n v="63.63"/>
    <x v="5"/>
  </r>
  <r>
    <x v="10"/>
    <s v="2834210000"/>
    <s v="Potassium Nitrate"/>
    <n v="24.3"/>
    <x v="5"/>
  </r>
  <r>
    <x v="10"/>
    <s v="3104300000"/>
    <s v="Sulphate of Potash"/>
    <n v="423"/>
    <x v="5"/>
  </r>
  <r>
    <x v="10"/>
    <s v="3105200000"/>
    <s v="NPK 20-20-20 + TE"/>
    <n v="16.010000000000002"/>
    <x v="6"/>
  </r>
  <r>
    <x v="10"/>
    <s v="3105200000"/>
    <s v="NPK unspecified"/>
    <n v="1368"/>
    <x v="6"/>
  </r>
  <r>
    <x v="10"/>
    <s v="3105200000"/>
    <s v="NPK 18-10-20 + 1MgO + 0.1B"/>
    <n v="24.76"/>
    <x v="6"/>
  </r>
  <r>
    <x v="10"/>
    <s v="3105200000"/>
    <s v="NPK 28-11-14 + TE"/>
    <n v="376.8"/>
    <x v="6"/>
  </r>
  <r>
    <x v="1"/>
    <m/>
    <s v="Total 2019"/>
    <n v="861587"/>
    <x v="7"/>
  </r>
  <r>
    <x v="11"/>
    <s v="3105300000"/>
    <s v="Diammonium Phosphate"/>
    <n v="168181"/>
    <x v="8"/>
  </r>
  <r>
    <x v="11"/>
    <s v="3104200000"/>
    <s v="Muriate of Potash"/>
    <n v="248789"/>
    <x v="1"/>
  </r>
  <r>
    <x v="11"/>
    <s v="3103100000"/>
    <s v="Single Super Phosphate"/>
    <n v="11255"/>
    <x v="2"/>
  </r>
  <r>
    <x v="11"/>
    <s v="3102100000"/>
    <s v="Urea"/>
    <n v="988343"/>
    <x v="3"/>
  </r>
  <r>
    <x v="11"/>
    <s v="3103900000"/>
    <s v="Other phosphate"/>
    <n v="0.65"/>
    <x v="5"/>
  </r>
  <r>
    <x v="11"/>
    <s v="2834210000"/>
    <s v="Potassium Nitrate"/>
    <n v="28.1"/>
    <x v="5"/>
  </r>
  <r>
    <x v="11"/>
    <s v="3105200000"/>
    <s v="NPK unspecified"/>
    <n v="1016"/>
    <x v="6"/>
  </r>
  <r>
    <x v="1"/>
    <m/>
    <s v="Total 2020"/>
    <n v="1417614"/>
    <x v="7"/>
  </r>
  <r>
    <x v="12"/>
    <s v="3102100000"/>
    <s v="Urea"/>
    <n v="1303423"/>
    <x v="3"/>
  </r>
  <r>
    <x v="12"/>
    <s v="3105300000"/>
    <s v="Diammonium Phosphate"/>
    <n v="229588"/>
    <x v="8"/>
  </r>
  <r>
    <x v="12"/>
    <s v="3102210000"/>
    <s v="Ammonium Sulphate"/>
    <n v="182845"/>
    <x v="0"/>
  </r>
  <r>
    <x v="12"/>
    <s v="3104200000"/>
    <s v="Muriate of Potash"/>
    <n v="142846"/>
    <x v="1"/>
  </r>
  <r>
    <x v="12"/>
    <s v="3105400000"/>
    <s v="Monoammonium Phosphate"/>
    <n v="209.7"/>
    <x v="9"/>
  </r>
  <r>
    <x v="12"/>
    <s v="3101000000"/>
    <s v="Organic Fertilizer"/>
    <n v="358"/>
    <x v="5"/>
  </r>
  <r>
    <x v="12"/>
    <s v="3104900000"/>
    <s v="Other Potash fertilizer"/>
    <n v="8.5500000000000007"/>
    <x v="5"/>
  </r>
  <r>
    <x v="12"/>
    <s v="3105200000"/>
    <s v="NPK unspecified"/>
    <n v="26.88"/>
    <x v="6"/>
  </r>
  <r>
    <x v="1"/>
    <m/>
    <s v="Total 2021"/>
    <n v="1859306"/>
    <x v="7"/>
  </r>
  <r>
    <x v="13"/>
    <s v="3102100000"/>
    <s v="Urea"/>
    <n v="955980"/>
    <x v="3"/>
  </r>
  <r>
    <x v="13"/>
    <s v="3102210000"/>
    <s v="Ammonium Sulphate"/>
    <n v="188740"/>
    <x v="0"/>
  </r>
  <r>
    <x v="13"/>
    <s v="3105300000"/>
    <s v="Diammonium Phosphate"/>
    <n v="118678"/>
    <x v="8"/>
  </r>
  <r>
    <x v="13"/>
    <s v="3104200000"/>
    <s v="Muriate of Potash"/>
    <n v="34996"/>
    <x v="1"/>
  </r>
  <r>
    <x v="13"/>
    <s v="9999999990"/>
    <s v="Biostimulant"/>
    <n v="16.13"/>
    <x v="5"/>
  </r>
  <r>
    <x v="13"/>
    <s v="3101000000"/>
    <s v="Organic Fertilizer"/>
    <n v="66.78"/>
    <x v="5"/>
  </r>
  <r>
    <x v="13"/>
    <s v="3103900000"/>
    <s v="Other phosphate"/>
    <n v="0.01"/>
    <x v="5"/>
  </r>
  <r>
    <x v="13"/>
    <s v="2834210000"/>
    <s v="Potassium Nitrate"/>
    <n v="27.11"/>
    <x v="5"/>
  </r>
  <r>
    <x v="1"/>
    <m/>
    <s v="Total 2022"/>
    <n v="1298505"/>
    <x v="7"/>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x v="0"/>
    <n v="420526"/>
  </r>
  <r>
    <x v="1"/>
    <x v="0"/>
    <n v="242761"/>
  </r>
  <r>
    <x v="2"/>
    <x v="0"/>
    <n v="451394"/>
  </r>
  <r>
    <x v="3"/>
    <x v="0"/>
    <n v="765731"/>
  </r>
  <r>
    <x v="4"/>
    <x v="0"/>
    <n v="423966"/>
  </r>
  <r>
    <x v="5"/>
    <x v="0"/>
    <n v="319656"/>
  </r>
  <r>
    <x v="6"/>
    <x v="0"/>
    <n v="386383"/>
  </r>
  <r>
    <x v="7"/>
    <x v="0"/>
    <n v="760734"/>
  </r>
  <r>
    <x v="8"/>
    <x v="0"/>
    <n v="758499"/>
  </r>
  <r>
    <x v="9"/>
    <x v="0"/>
    <n v="730151"/>
  </r>
  <r>
    <x v="10"/>
    <x v="0"/>
    <n v="988343"/>
  </r>
  <r>
    <x v="11"/>
    <x v="0"/>
    <n v="1303423"/>
  </r>
  <r>
    <x v="12"/>
    <x v="0"/>
    <n v="955980"/>
  </r>
  <r>
    <x v="0"/>
    <x v="1"/>
    <n v="69561"/>
  </r>
  <r>
    <x v="1"/>
    <x v="1"/>
    <n v="143348"/>
  </r>
  <r>
    <x v="2"/>
    <x v="1"/>
    <n v="370000"/>
  </r>
  <r>
    <x v="3"/>
    <x v="1"/>
    <n v="235000"/>
  </r>
  <r>
    <x v="4"/>
    <x v="1"/>
    <n v="170000"/>
  </r>
  <r>
    <x v="5"/>
    <x v="1"/>
    <n v="281750"/>
  </r>
  <r>
    <x v="6"/>
    <x v="1"/>
    <n v="695000"/>
  </r>
  <r>
    <x v="7"/>
    <x v="1"/>
    <n v="1420325"/>
  </r>
  <r>
    <x v="8"/>
    <x v="1"/>
    <n v="1595935"/>
  </r>
  <r>
    <x v="9"/>
    <x v="1"/>
    <n v="1473858"/>
  </r>
  <r>
    <x v="10"/>
    <x v="1"/>
    <n v="1435193"/>
  </r>
  <r>
    <x v="11"/>
    <x v="1"/>
    <n v="2701279"/>
  </r>
  <r>
    <x v="12"/>
    <x v="1"/>
    <n v="3458740"/>
  </r>
  <r>
    <x v="0"/>
    <x v="2"/>
    <n v="18950"/>
  </r>
  <r>
    <x v="1"/>
    <x v="2"/>
    <n v="18950"/>
  </r>
  <r>
    <x v="2"/>
    <x v="2"/>
    <n v="18950"/>
  </r>
  <r>
    <x v="3"/>
    <x v="2"/>
    <n v="50000"/>
  </r>
  <r>
    <x v="4"/>
    <x v="2"/>
    <n v="38000"/>
  </r>
  <r>
    <x v="5"/>
    <x v="2"/>
    <n v="82440"/>
  </r>
  <r>
    <x v="6"/>
    <x v="2"/>
    <n v="329630"/>
  </r>
  <r>
    <x v="7"/>
    <x v="2"/>
    <n v="659603"/>
  </r>
  <r>
    <x v="8"/>
    <x v="2"/>
    <n v="837436"/>
  </r>
  <r>
    <x v="9"/>
    <x v="2"/>
    <n v="743707"/>
  </r>
  <r>
    <x v="10"/>
    <x v="2"/>
    <n v="446850"/>
  </r>
  <r>
    <x v="11"/>
    <x v="2"/>
    <n v="1348924"/>
  </r>
  <r>
    <x v="12"/>
    <x v="2"/>
    <n v="25405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744840-6437-4477-B36F-398B695C5F93}"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2:Z18" firstHeaderRow="1" firstDataRow="2" firstDataCol="1"/>
  <pivotFields count="5">
    <pivotField axis="axisCol" showAll="0">
      <items count="15">
        <item x="0"/>
        <item x="2"/>
        <item x="3"/>
        <item x="4"/>
        <item x="5"/>
        <item x="6"/>
        <item x="7"/>
        <item x="8"/>
        <item x="9"/>
        <item x="10"/>
        <item x="11"/>
        <item x="12"/>
        <item x="13"/>
        <item x="1"/>
        <item t="default"/>
      </items>
    </pivotField>
    <pivotField showAll="0"/>
    <pivotField showAll="0"/>
    <pivotField dataField="1" showAll="0"/>
    <pivotField axis="axisRow" showAll="0">
      <items count="23">
        <item h="1" x="0"/>
        <item h="1" m="1" x="14"/>
        <item h="1" m="1" x="19"/>
        <item h="1" x="4"/>
        <item x="8"/>
        <item x="9"/>
        <item x="6"/>
        <item h="1" m="1" x="17"/>
        <item h="1" m="1" x="16"/>
        <item m="1" x="10"/>
        <item m="1" x="12"/>
        <item m="1" x="11"/>
        <item h="1" m="1" x="13"/>
        <item m="1" x="20"/>
        <item h="1" x="1"/>
        <item h="1" m="1" x="18"/>
        <item m="1" x="21"/>
        <item h="1" m="1" x="15"/>
        <item h="1" x="7"/>
        <item h="1" x="3"/>
        <item x="2"/>
        <item h="1" x="5"/>
        <item t="default"/>
      </items>
    </pivotField>
  </pivotFields>
  <rowFields count="1">
    <field x="4"/>
  </rowFields>
  <rowItems count="5">
    <i>
      <x v="4"/>
    </i>
    <i>
      <x v="5"/>
    </i>
    <i>
      <x v="6"/>
    </i>
    <i>
      <x v="20"/>
    </i>
    <i t="grand">
      <x/>
    </i>
  </rowItems>
  <colFields count="1">
    <field x="0"/>
  </colFields>
  <colItems count="14">
    <i>
      <x/>
    </i>
    <i>
      <x v="1"/>
    </i>
    <i>
      <x v="2"/>
    </i>
    <i>
      <x v="3"/>
    </i>
    <i>
      <x v="4"/>
    </i>
    <i>
      <x v="5"/>
    </i>
    <i>
      <x v="6"/>
    </i>
    <i>
      <x v="7"/>
    </i>
    <i>
      <x v="8"/>
    </i>
    <i>
      <x v="9"/>
    </i>
    <i>
      <x v="10"/>
    </i>
    <i>
      <x v="11"/>
    </i>
    <i>
      <x v="12"/>
    </i>
    <i t="grand">
      <x/>
    </i>
  </colItems>
  <dataFields count="1">
    <dataField name="Sum of Apparent Consumption in MT" fld="3" baseField="0" baseItem="0"/>
  </dataFields>
  <formats count="1">
    <format dxfId="36">
      <pivotArea collapsedLevelsAreSubtotals="1" fieldPosition="0">
        <references count="2">
          <reference field="0" count="13" selected="0">
            <x v="0"/>
            <x v="1"/>
            <x v="2"/>
            <x v="3"/>
            <x v="4"/>
            <x v="5"/>
            <x v="6"/>
            <x v="7"/>
            <x v="8"/>
            <x v="9"/>
            <x v="10"/>
            <x v="11"/>
            <x v="12"/>
          </reference>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AE7C3C-DA11-4DEC-9154-25BA5BB6EF4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8:K30" firstHeaderRow="1" firstDataRow="2" firstDataCol="1"/>
  <pivotFields count="14">
    <pivotField showAll="0"/>
    <pivotField showAll="0"/>
    <pivotField showAll="0"/>
    <pivotField showAll="0"/>
    <pivotField showAll="0"/>
    <pivotField showAll="0"/>
    <pivotField showAll="0"/>
    <pivotField axis="axisRow" showAll="0" sortType="descending">
      <items count="51">
        <item h="1" x="0"/>
        <item x="2"/>
        <item h="1" x="3"/>
        <item h="1" x="4"/>
        <item x="8"/>
        <item h="1" x="12"/>
        <item x="13"/>
        <item x="17"/>
        <item h="1" x="18"/>
        <item x="20"/>
        <item x="23"/>
        <item x="24"/>
        <item h="1" x="28"/>
        <item h="1" x="30"/>
        <item h="1" x="31"/>
        <item h="1" x="32"/>
        <item x="33"/>
        <item h="1" x="37"/>
        <item x="38"/>
        <item h="1" x="39"/>
        <item x="40"/>
        <item x="41"/>
        <item h="1" x="43"/>
        <item x="44"/>
        <item x="46"/>
        <item h="1" x="47"/>
        <item h="1" x="48"/>
        <item h="1" x="1"/>
        <item h="1" x="6"/>
        <item h="1" x="7"/>
        <item h="1" x="10"/>
        <item x="26"/>
        <item h="1" x="29"/>
        <item h="1" x="34"/>
        <item h="1" x="35"/>
        <item h="1" x="36"/>
        <item x="42"/>
        <item x="49"/>
        <item x="5"/>
        <item h="1" x="9"/>
        <item h="1" x="11"/>
        <item h="1" x="14"/>
        <item h="1" x="15"/>
        <item h="1" x="16"/>
        <item x="19"/>
        <item h="1" x="21"/>
        <item x="22"/>
        <item h="1" x="25"/>
        <item h="1" x="27"/>
        <item x="45"/>
        <item t="default"/>
      </items>
      <autoSortScope>
        <pivotArea dataOnly="0" outline="0" fieldPosition="0">
          <references count="2">
            <reference field="4294967294" count="1" selected="0">
              <x v="0"/>
            </reference>
            <reference field="9" count="1" selected="0">
              <x v="4"/>
            </reference>
          </references>
        </pivotArea>
      </autoSortScope>
    </pivotField>
    <pivotField showAll="0"/>
    <pivotField axis="axisCol" showAll="0">
      <items count="6">
        <item x="0"/>
        <item x="1"/>
        <item x="2"/>
        <item x="3"/>
        <item x="4"/>
        <item t="default"/>
      </items>
    </pivotField>
    <pivotField showAll="0"/>
    <pivotField dataField="1" numFmtId="173" showAll="0"/>
    <pivotField showAll="0"/>
    <pivotField showAll="0"/>
  </pivotFields>
  <rowFields count="1">
    <field x="7"/>
  </rowFields>
  <rowItems count="21">
    <i>
      <x v="1"/>
    </i>
    <i>
      <x v="7"/>
    </i>
    <i>
      <x v="37"/>
    </i>
    <i>
      <x v="21"/>
    </i>
    <i>
      <x v="4"/>
    </i>
    <i>
      <x v="18"/>
    </i>
    <i>
      <x v="6"/>
    </i>
    <i>
      <x v="46"/>
    </i>
    <i>
      <x v="9"/>
    </i>
    <i>
      <x v="23"/>
    </i>
    <i>
      <x v="10"/>
    </i>
    <i>
      <x v="36"/>
    </i>
    <i>
      <x v="38"/>
    </i>
    <i>
      <x v="44"/>
    </i>
    <i>
      <x v="31"/>
    </i>
    <i>
      <x v="24"/>
    </i>
    <i>
      <x v="49"/>
    </i>
    <i>
      <x v="16"/>
    </i>
    <i>
      <x v="11"/>
    </i>
    <i>
      <x v="20"/>
    </i>
    <i t="grand">
      <x/>
    </i>
  </rowItems>
  <colFields count="1">
    <field x="9"/>
  </colFields>
  <colItems count="6">
    <i>
      <x/>
    </i>
    <i>
      <x v="1"/>
    </i>
    <i>
      <x v="2"/>
    </i>
    <i>
      <x v="3"/>
    </i>
    <i>
      <x v="4"/>
    </i>
    <i t="grand">
      <x/>
    </i>
  </colItems>
  <dataFields count="1">
    <dataField name="Sum of Value" fld="11" baseField="0" baseItem="0" numFmtId="3"/>
  </dataFields>
  <formats count="14">
    <format dxfId="20">
      <pivotArea outline="0" collapsedLevelsAreSubtotals="1" fieldPosition="0"/>
    </format>
    <format dxfId="19">
      <pivotArea dataOnly="0" labelOnly="1" fieldPosition="0">
        <references count="1">
          <reference field="7" count="3">
            <x v="4"/>
            <x v="9"/>
            <x v="21"/>
          </reference>
        </references>
      </pivotArea>
    </format>
    <format dxfId="18">
      <pivotArea dataOnly="0" labelOnly="1" fieldPosition="0">
        <references count="1">
          <reference field="7" count="1">
            <x v="6"/>
          </reference>
        </references>
      </pivotArea>
    </format>
    <format dxfId="17">
      <pivotArea dataOnly="0" labelOnly="1" fieldPosition="0">
        <references count="1">
          <reference field="7" count="1">
            <x v="20"/>
          </reference>
        </references>
      </pivotArea>
    </format>
    <format dxfId="16">
      <pivotArea dataOnly="0" labelOnly="1" fieldPosition="0">
        <references count="1">
          <reference field="7" count="1">
            <x v="11"/>
          </reference>
        </references>
      </pivotArea>
    </format>
    <format dxfId="15">
      <pivotArea dataOnly="0" labelOnly="1" fieldPosition="0">
        <references count="1">
          <reference field="7" count="1">
            <x v="24"/>
          </reference>
        </references>
      </pivotArea>
    </format>
    <format dxfId="14">
      <pivotArea dataOnly="0" labelOnly="1" fieldPosition="0">
        <references count="1">
          <reference field="7" count="1">
            <x v="18"/>
          </reference>
        </references>
      </pivotArea>
    </format>
    <format dxfId="13">
      <pivotArea dataOnly="0" labelOnly="1" fieldPosition="0">
        <references count="1">
          <reference field="7" count="1">
            <x v="7"/>
          </reference>
        </references>
      </pivotArea>
    </format>
    <format dxfId="12">
      <pivotArea dataOnly="0" labelOnly="1" fieldPosition="0">
        <references count="1">
          <reference field="7" count="1">
            <x v="17"/>
          </reference>
        </references>
      </pivotArea>
    </format>
    <format dxfId="11">
      <pivotArea dataOnly="0" labelOnly="1" fieldPosition="0">
        <references count="1">
          <reference field="7" count="1">
            <x v="23"/>
          </reference>
        </references>
      </pivotArea>
    </format>
    <format dxfId="10">
      <pivotArea dataOnly="0" fieldPosition="0">
        <references count="1">
          <reference field="7" count="1">
            <x v="3"/>
          </reference>
        </references>
      </pivotArea>
    </format>
    <format dxfId="9">
      <pivotArea dataOnly="0" labelOnly="1" fieldPosition="0">
        <references count="1">
          <reference field="7" count="1">
            <x v="16"/>
          </reference>
        </references>
      </pivotArea>
    </format>
    <format dxfId="8">
      <pivotArea collapsedLevelsAreSubtotals="1" fieldPosition="0">
        <references count="1">
          <reference field="7" count="1">
            <x v="3"/>
          </reference>
        </references>
      </pivotArea>
    </format>
    <format dxfId="7">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24B129-F321-45E0-ACE5-C88705ACB54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8:S30" firstHeaderRow="1" firstDataRow="2" firstDataCol="1"/>
  <pivotFields count="14">
    <pivotField showAll="0"/>
    <pivotField showAll="0"/>
    <pivotField showAll="0"/>
    <pivotField showAll="0"/>
    <pivotField showAll="0"/>
    <pivotField showAll="0"/>
    <pivotField showAll="0"/>
    <pivotField axis="axisRow" showAll="0" sortType="descending">
      <items count="51">
        <item h="1" x="0"/>
        <item x="2"/>
        <item h="1" x="3"/>
        <item h="1" x="4"/>
        <item x="8"/>
        <item h="1" x="12"/>
        <item x="13"/>
        <item x="17"/>
        <item h="1" x="18"/>
        <item x="20"/>
        <item x="23"/>
        <item x="24"/>
        <item h="1" x="28"/>
        <item h="1" x="30"/>
        <item h="1" x="31"/>
        <item h="1" x="32"/>
        <item x="33"/>
        <item h="1" x="37"/>
        <item x="38"/>
        <item h="1" x="39"/>
        <item x="40"/>
        <item x="41"/>
        <item h="1" x="43"/>
        <item x="44"/>
        <item x="46"/>
        <item h="1" x="47"/>
        <item h="1" x="48"/>
        <item h="1" x="1"/>
        <item h="1" x="6"/>
        <item h="1" x="7"/>
        <item h="1" x="10"/>
        <item x="26"/>
        <item h="1" x="29"/>
        <item h="1" x="34"/>
        <item h="1" x="35"/>
        <item h="1" x="36"/>
        <item x="42"/>
        <item x="49"/>
        <item x="5"/>
        <item h="1" x="9"/>
        <item h="1" x="11"/>
        <item h="1" x="14"/>
        <item h="1" x="15"/>
        <item h="1" x="16"/>
        <item x="19"/>
        <item h="1" x="21"/>
        <item x="22"/>
        <item h="1" x="25"/>
        <item h="1" x="27"/>
        <item x="45"/>
        <item t="default"/>
      </items>
      <autoSortScope>
        <pivotArea dataOnly="0" outline="0" fieldPosition="0">
          <references count="2">
            <reference field="4294967294" count="1" selected="0">
              <x v="0"/>
            </reference>
            <reference field="9" count="1" selected="0">
              <x v="4"/>
            </reference>
          </references>
        </pivotArea>
      </autoSortScope>
    </pivotField>
    <pivotField showAll="0"/>
    <pivotField axis="axisCol" showAll="0">
      <items count="6">
        <item x="0"/>
        <item x="1"/>
        <item x="2"/>
        <item x="3"/>
        <item x="4"/>
        <item t="default"/>
      </items>
    </pivotField>
    <pivotField showAll="0"/>
    <pivotField dataField="1" numFmtId="173" showAll="0"/>
    <pivotField showAll="0"/>
    <pivotField showAll="0"/>
  </pivotFields>
  <rowFields count="1">
    <field x="7"/>
  </rowFields>
  <rowItems count="21">
    <i>
      <x v="1"/>
    </i>
    <i>
      <x v="7"/>
    </i>
    <i>
      <x v="37"/>
    </i>
    <i>
      <x v="21"/>
    </i>
    <i>
      <x v="4"/>
    </i>
    <i>
      <x v="18"/>
    </i>
    <i>
      <x v="6"/>
    </i>
    <i>
      <x v="46"/>
    </i>
    <i>
      <x v="9"/>
    </i>
    <i>
      <x v="23"/>
    </i>
    <i>
      <x v="10"/>
    </i>
    <i>
      <x v="36"/>
    </i>
    <i>
      <x v="38"/>
    </i>
    <i>
      <x v="44"/>
    </i>
    <i>
      <x v="31"/>
    </i>
    <i>
      <x v="24"/>
    </i>
    <i>
      <x v="49"/>
    </i>
    <i>
      <x v="16"/>
    </i>
    <i>
      <x v="11"/>
    </i>
    <i>
      <x v="20"/>
    </i>
    <i t="grand">
      <x/>
    </i>
  </rowItems>
  <colFields count="1">
    <field x="9"/>
  </colFields>
  <colItems count="6">
    <i>
      <x/>
    </i>
    <i>
      <x v="1"/>
    </i>
    <i>
      <x v="2"/>
    </i>
    <i>
      <x v="3"/>
    </i>
    <i>
      <x v="4"/>
    </i>
    <i t="grand">
      <x/>
    </i>
  </colItems>
  <dataFields count="1">
    <dataField name="Sum of Value" fld="11" showDataAs="percentOfCol" baseField="0" baseItem="0" numFmtId="10"/>
  </dataFields>
  <formats count="15">
    <format dxfId="35">
      <pivotArea outline="0" collapsedLevelsAreSubtotals="1" fieldPosition="0"/>
    </format>
    <format dxfId="34">
      <pivotArea dataOnly="0" labelOnly="1" fieldPosition="0">
        <references count="1">
          <reference field="7" count="3">
            <x v="4"/>
            <x v="9"/>
            <x v="21"/>
          </reference>
        </references>
      </pivotArea>
    </format>
    <format dxfId="33">
      <pivotArea dataOnly="0" labelOnly="1" fieldPosition="0">
        <references count="1">
          <reference field="7" count="1">
            <x v="6"/>
          </reference>
        </references>
      </pivotArea>
    </format>
    <format dxfId="32">
      <pivotArea dataOnly="0" labelOnly="1" fieldPosition="0">
        <references count="1">
          <reference field="7" count="1">
            <x v="20"/>
          </reference>
        </references>
      </pivotArea>
    </format>
    <format dxfId="31">
      <pivotArea dataOnly="0" labelOnly="1" fieldPosition="0">
        <references count="1">
          <reference field="7" count="1">
            <x v="11"/>
          </reference>
        </references>
      </pivotArea>
    </format>
    <format dxfId="30">
      <pivotArea dataOnly="0" labelOnly="1" fieldPosition="0">
        <references count="1">
          <reference field="7" count="1">
            <x v="24"/>
          </reference>
        </references>
      </pivotArea>
    </format>
    <format dxfId="29">
      <pivotArea dataOnly="0" labelOnly="1" fieldPosition="0">
        <references count="1">
          <reference field="7" count="1">
            <x v="18"/>
          </reference>
        </references>
      </pivotArea>
    </format>
    <format dxfId="28">
      <pivotArea dataOnly="0" labelOnly="1" fieldPosition="0">
        <references count="1">
          <reference field="7" count="1">
            <x v="7"/>
          </reference>
        </references>
      </pivotArea>
    </format>
    <format dxfId="27">
      <pivotArea dataOnly="0" labelOnly="1" fieldPosition="0">
        <references count="1">
          <reference field="7" count="1">
            <x v="17"/>
          </reference>
        </references>
      </pivotArea>
    </format>
    <format dxfId="26">
      <pivotArea dataOnly="0" labelOnly="1" fieldPosition="0">
        <references count="1">
          <reference field="7" count="1">
            <x v="23"/>
          </reference>
        </references>
      </pivotArea>
    </format>
    <format dxfId="25">
      <pivotArea dataOnly="0" fieldPosition="0">
        <references count="1">
          <reference field="7" count="1">
            <x v="3"/>
          </reference>
        </references>
      </pivotArea>
    </format>
    <format dxfId="24">
      <pivotArea dataOnly="0" labelOnly="1" fieldPosition="0">
        <references count="1">
          <reference field="7" count="1">
            <x v="16"/>
          </reference>
        </references>
      </pivotArea>
    </format>
    <format dxfId="23">
      <pivotArea collapsedLevelsAreSubtotals="1" fieldPosition="0">
        <references count="1">
          <reference field="7" count="1">
            <x v="3"/>
          </reference>
        </references>
      </pivotArea>
    </format>
    <format dxfId="22">
      <pivotArea outline="0" fieldPosition="0">
        <references count="1">
          <reference field="4294967294" count="1">
            <x v="0"/>
          </reference>
        </references>
      </pivotArea>
    </format>
    <format dxfId="21">
      <pivotArea dataOnly="0" labelOnly="1" fieldPosition="0">
        <references count="1">
          <reference field="7" count="14">
            <x v="0"/>
            <x v="2"/>
            <x v="4"/>
            <x v="7"/>
            <x v="9"/>
            <x v="10"/>
            <x v="11"/>
            <x v="16"/>
            <x v="17"/>
            <x v="18"/>
            <x v="20"/>
            <x v="21"/>
            <x v="23"/>
            <x v="2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7F6A41-423F-44EE-B3DE-CE609EFC6B3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14:Y43" firstHeaderRow="1" firstDataRow="2" firstDataCol="1"/>
  <pivotFields count="4">
    <pivotField axis="axisCol" showAll="0">
      <items count="8">
        <item x="6"/>
        <item x="5"/>
        <item x="4"/>
        <item x="0"/>
        <item x="2"/>
        <item x="1"/>
        <item x="3"/>
        <item t="default"/>
      </items>
    </pivotField>
    <pivotField axis="axisRow" showAll="0" sortType="descending">
      <items count="35">
        <item h="1" x="13"/>
        <item h="1" x="14"/>
        <item h="1" x="15"/>
        <item h="1" x="16"/>
        <item h="1" x="30"/>
        <item x="0"/>
        <item x="1"/>
        <item h="1" x="31"/>
        <item h="1" x="17"/>
        <item h="1" x="2"/>
        <item h="1" x="18"/>
        <item h="1" x="3"/>
        <item h="1" x="32"/>
        <item h="1" x="19"/>
        <item h="1" x="4"/>
        <item h="1" x="20"/>
        <item h="1" x="21"/>
        <item h="1" x="22"/>
        <item x="5"/>
        <item h="1" x="6"/>
        <item h="1" x="23"/>
        <item h="1" x="27"/>
        <item x="24"/>
        <item h="1" x="7"/>
        <item h="1" x="8"/>
        <item h="1" x="25"/>
        <item h="1" x="28"/>
        <item h="1" x="33"/>
        <item h="1" x="29"/>
        <item x="9"/>
        <item h="1" x="10"/>
        <item h="1" x="11"/>
        <item h="1" x="12"/>
        <item h="1" x="26"/>
        <item t="default"/>
      </items>
      <autoSortScope>
        <pivotArea dataOnly="0" outline="0" fieldPosition="0">
          <references count="2">
            <reference field="4294967294" count="1" selected="0">
              <x v="0"/>
            </reference>
            <reference field="0" count="1" selected="0">
              <x v="6"/>
            </reference>
          </references>
        </pivotArea>
      </autoSortScope>
    </pivotField>
    <pivotField axis="axisRow" multipleItemSelectionAllowed="1" showAll="0">
      <items count="16">
        <item x="0"/>
        <item x="8"/>
        <item x="12"/>
        <item x="13"/>
        <item x="4"/>
        <item x="11"/>
        <item x="7"/>
        <item x="6"/>
        <item x="14"/>
        <item x="1"/>
        <item x="10"/>
        <item x="9"/>
        <item x="3"/>
        <item x="5"/>
        <item x="2"/>
        <item t="default"/>
      </items>
    </pivotField>
    <pivotField dataField="1" showAll="0"/>
  </pivotFields>
  <rowFields count="2">
    <field x="1"/>
    <field x="2"/>
  </rowFields>
  <rowItems count="28">
    <i>
      <x v="18"/>
    </i>
    <i r="1">
      <x/>
    </i>
    <i r="1">
      <x v="2"/>
    </i>
    <i r="1">
      <x v="9"/>
    </i>
    <i r="1">
      <x v="10"/>
    </i>
    <i r="1">
      <x v="14"/>
    </i>
    <i>
      <x v="29"/>
    </i>
    <i r="1">
      <x v="2"/>
    </i>
    <i r="1">
      <x v="9"/>
    </i>
    <i r="1">
      <x v="11"/>
    </i>
    <i r="1">
      <x v="12"/>
    </i>
    <i>
      <x v="22"/>
    </i>
    <i r="1">
      <x v="9"/>
    </i>
    <i r="1">
      <x v="10"/>
    </i>
    <i r="1">
      <x v="11"/>
    </i>
    <i>
      <x v="6"/>
    </i>
    <i r="1">
      <x v="9"/>
    </i>
    <i r="1">
      <x v="13"/>
    </i>
    <i r="1">
      <x v="14"/>
    </i>
    <i>
      <x v="5"/>
    </i>
    <i r="1">
      <x/>
    </i>
    <i r="1">
      <x v="1"/>
    </i>
    <i r="1">
      <x v="9"/>
    </i>
    <i r="1">
      <x v="10"/>
    </i>
    <i r="1">
      <x v="12"/>
    </i>
    <i r="1">
      <x v="13"/>
    </i>
    <i r="1">
      <x v="14"/>
    </i>
    <i t="grand">
      <x/>
    </i>
  </rowItems>
  <colFields count="1">
    <field x="0"/>
  </colFields>
  <colItems count="8">
    <i>
      <x/>
    </i>
    <i>
      <x v="1"/>
    </i>
    <i>
      <x v="2"/>
    </i>
    <i>
      <x v="3"/>
    </i>
    <i>
      <x v="4"/>
    </i>
    <i>
      <x v="5"/>
    </i>
    <i>
      <x v="6"/>
    </i>
    <i t="grand">
      <x/>
    </i>
  </colItems>
  <dataFields count="1">
    <dataField name="Sum of Amount" fld="3" baseField="0" baseItem="0"/>
  </dataFields>
  <formats count="1">
    <format dxfId="5">
      <pivotArea field="0" grandRow="1" outline="0" collapsedLevelsAreSubtotals="1" axis="axisCol" fieldPosition="0">
        <references count="1">
          <reference field="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7D83FB5-AAEF-43DF-8EA8-D6EA42758F2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4:O50" firstHeaderRow="1" firstDataRow="2" firstDataCol="1" rowPageCount="1" colPageCount="1"/>
  <pivotFields count="4">
    <pivotField axis="axisCol" showAll="0">
      <items count="8">
        <item x="6"/>
        <item x="5"/>
        <item x="4"/>
        <item x="0"/>
        <item x="2"/>
        <item x="1"/>
        <item x="3"/>
        <item t="default"/>
      </items>
    </pivotField>
    <pivotField axis="axisRow" showAll="0" sortType="descending">
      <items count="35">
        <item x="13"/>
        <item x="14"/>
        <item x="15"/>
        <item x="16"/>
        <item x="30"/>
        <item x="0"/>
        <item x="1"/>
        <item x="31"/>
        <item x="17"/>
        <item x="2"/>
        <item x="18"/>
        <item x="3"/>
        <item x="32"/>
        <item x="19"/>
        <item x="4"/>
        <item x="20"/>
        <item x="21"/>
        <item x="22"/>
        <item x="5"/>
        <item x="6"/>
        <item x="23"/>
        <item x="27"/>
        <item x="24"/>
        <item x="7"/>
        <item x="8"/>
        <item x="25"/>
        <item x="28"/>
        <item x="33"/>
        <item x="29"/>
        <item x="9"/>
        <item x="10"/>
        <item x="11"/>
        <item x="12"/>
        <item x="26"/>
        <item t="default"/>
      </items>
      <autoSortScope>
        <pivotArea dataOnly="0" outline="0" fieldPosition="0">
          <references count="2">
            <reference field="4294967294" count="1" selected="0">
              <x v="0"/>
            </reference>
            <reference field="0" count="1" selected="0">
              <x v="6"/>
            </reference>
          </references>
        </pivotArea>
      </autoSortScope>
    </pivotField>
    <pivotField axis="axisPage" multipleItemSelectionAllowed="1" showAll="0">
      <items count="16">
        <item x="0"/>
        <item x="8"/>
        <item x="12"/>
        <item x="13"/>
        <item x="4"/>
        <item x="11"/>
        <item x="7"/>
        <item x="6"/>
        <item x="14"/>
        <item x="1"/>
        <item x="10"/>
        <item x="9"/>
        <item x="3"/>
        <item x="5"/>
        <item x="2"/>
        <item t="default"/>
      </items>
    </pivotField>
    <pivotField dataField="1" showAll="0"/>
  </pivotFields>
  <rowFields count="1">
    <field x="1"/>
  </rowFields>
  <rowItems count="35">
    <i>
      <x v="18"/>
    </i>
    <i>
      <x v="32"/>
    </i>
    <i>
      <x v="24"/>
    </i>
    <i>
      <x v="14"/>
    </i>
    <i>
      <x v="30"/>
    </i>
    <i>
      <x v="20"/>
    </i>
    <i>
      <x v="28"/>
    </i>
    <i>
      <x v="4"/>
    </i>
    <i>
      <x v="6"/>
    </i>
    <i>
      <x v="1"/>
    </i>
    <i>
      <x v="7"/>
    </i>
    <i>
      <x v="22"/>
    </i>
    <i>
      <x v="8"/>
    </i>
    <i>
      <x v="26"/>
    </i>
    <i>
      <x v="9"/>
    </i>
    <i>
      <x v="17"/>
    </i>
    <i>
      <x v="10"/>
    </i>
    <i>
      <x v="19"/>
    </i>
    <i>
      <x v="11"/>
    </i>
    <i>
      <x v="21"/>
    </i>
    <i>
      <x v="12"/>
    </i>
    <i>
      <x v="23"/>
    </i>
    <i>
      <x v="13"/>
    </i>
    <i>
      <x v="25"/>
    </i>
    <i>
      <x v="3"/>
    </i>
    <i>
      <x v="27"/>
    </i>
    <i>
      <x v="29"/>
    </i>
    <i>
      <x v="5"/>
    </i>
    <i>
      <x v="2"/>
    </i>
    <i>
      <x v="31"/>
    </i>
    <i>
      <x v="33"/>
    </i>
    <i>
      <x v="15"/>
    </i>
    <i>
      <x/>
    </i>
    <i>
      <x v="16"/>
    </i>
    <i t="grand">
      <x/>
    </i>
  </rowItems>
  <colFields count="1">
    <field x="0"/>
  </colFields>
  <colItems count="8">
    <i>
      <x/>
    </i>
    <i>
      <x v="1"/>
    </i>
    <i>
      <x v="2"/>
    </i>
    <i>
      <x v="3"/>
    </i>
    <i>
      <x v="4"/>
    </i>
    <i>
      <x v="5"/>
    </i>
    <i>
      <x v="6"/>
    </i>
    <i t="grand">
      <x/>
    </i>
  </colItems>
  <pageFields count="1">
    <pageField fld="2" hier="-1"/>
  </pageFields>
  <dataFields count="1">
    <dataField name="Sum of Amount" fld="3" baseField="0" baseItem="0"/>
  </dataFields>
  <formats count="1">
    <format dxfId="6">
      <pivotArea field="0" grandRow="1" outline="0" collapsedLevelsAreSubtotals="1" axis="axisCol" fieldPosition="0">
        <references count="1">
          <reference field="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C73D9E-B14B-4A1A-BD30-8F2468F81AB8}"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5:U22" firstHeaderRow="1" firstDataRow="2" firstDataCol="1"/>
  <pivotFields count="5">
    <pivotField axis="axisCol" showAll="0">
      <items count="14">
        <item x="0"/>
        <item x="1"/>
        <item x="2"/>
        <item x="3"/>
        <item x="4"/>
        <item x="5"/>
        <item x="6"/>
        <item x="7"/>
        <item x="8"/>
        <item x="9"/>
        <item x="10"/>
        <item x="11"/>
        <item x="12"/>
        <item t="default"/>
      </items>
    </pivotField>
    <pivotField showAll="0"/>
    <pivotField showAll="0">
      <items count="26">
        <item h="1" x="23"/>
        <item h="1" x="3"/>
        <item h="1" x="14"/>
        <item x="12"/>
        <item h="1" x="24"/>
        <item x="0"/>
        <item x="15"/>
        <item x="17"/>
        <item x="21"/>
        <item x="18"/>
        <item x="19"/>
        <item x="20"/>
        <item x="16"/>
        <item x="7"/>
        <item h="1" x="22"/>
        <item x="1"/>
        <item x="6"/>
        <item x="11"/>
        <item x="2"/>
        <item h="1" x="4"/>
        <item x="10"/>
        <item h="1" x="13"/>
        <item x="9"/>
        <item h="1" x="5"/>
        <item h="1" x="8"/>
        <item t="default"/>
      </items>
    </pivotField>
    <pivotField dataField="1" numFmtId="4" showAll="0"/>
    <pivotField axis="axisRow" showAll="0">
      <items count="7">
        <item x="5"/>
        <item x="0"/>
        <item x="3"/>
        <item x="2"/>
        <item x="4"/>
        <item h="1" x="1"/>
        <item t="default"/>
      </items>
    </pivotField>
  </pivotFields>
  <rowFields count="1">
    <field x="4"/>
  </rowFields>
  <rowItems count="6">
    <i>
      <x/>
    </i>
    <i>
      <x v="1"/>
    </i>
    <i>
      <x v="2"/>
    </i>
    <i>
      <x v="3"/>
    </i>
    <i>
      <x v="4"/>
    </i>
    <i t="grand">
      <x/>
    </i>
  </rowItems>
  <colFields count="1">
    <field x="0"/>
  </colFields>
  <colItems count="14">
    <i>
      <x/>
    </i>
    <i>
      <x v="1"/>
    </i>
    <i>
      <x v="2"/>
    </i>
    <i>
      <x v="3"/>
    </i>
    <i>
      <x v="4"/>
    </i>
    <i>
      <x v="5"/>
    </i>
    <i>
      <x v="6"/>
    </i>
    <i>
      <x v="7"/>
    </i>
    <i>
      <x v="8"/>
    </i>
    <i>
      <x v="9"/>
    </i>
    <i>
      <x v="10"/>
    </i>
    <i>
      <x v="11"/>
    </i>
    <i>
      <x v="12"/>
    </i>
    <i t="grand">
      <x/>
    </i>
  </colItems>
  <dataFields count="1">
    <dataField name="Sum of Imports (MT)" fld="3" baseField="0" baseItem="0"/>
  </dataFields>
  <formats count="1">
    <format dxfId="4">
      <pivotArea outline="0" collapsedLevelsAreSubtotals="1" fieldPosition="0">
        <references count="1">
          <reference field="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F804D22-5BC6-49EC-B988-9E9CAA7845F7}"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5:V26" firstHeaderRow="1" firstDataRow="2" firstDataCol="1"/>
  <pivotFields count="5">
    <pivotField axis="axisCol" showAll="0">
      <items count="15">
        <item x="0"/>
        <item x="2"/>
        <item x="3"/>
        <item x="4"/>
        <item x="5"/>
        <item x="6"/>
        <item x="7"/>
        <item x="8"/>
        <item x="9"/>
        <item x="10"/>
        <item x="11"/>
        <item x="12"/>
        <item x="13"/>
        <item x="1"/>
        <item t="default"/>
      </items>
    </pivotField>
    <pivotField showAll="0"/>
    <pivotField showAll="0"/>
    <pivotField dataField="1" showAll="0"/>
    <pivotField axis="axisRow" showAll="0">
      <items count="23">
        <item x="0"/>
        <item m="1" x="14"/>
        <item m="1" x="19"/>
        <item x="4"/>
        <item x="8"/>
        <item x="9"/>
        <item x="6"/>
        <item m="1" x="17"/>
        <item m="1" x="16"/>
        <item m="1" x="10"/>
        <item m="1" x="12"/>
        <item m="1" x="11"/>
        <item m="1" x="13"/>
        <item m="1" x="20"/>
        <item x="1"/>
        <item m="1" x="18"/>
        <item m="1" x="21"/>
        <item m="1" x="15"/>
        <item h="1" x="7"/>
        <item x="3"/>
        <item x="2"/>
        <item x="5"/>
        <item t="default"/>
      </items>
    </pivotField>
  </pivotFields>
  <rowFields count="1">
    <field x="4"/>
  </rowFields>
  <rowItems count="10">
    <i>
      <x/>
    </i>
    <i>
      <x v="3"/>
    </i>
    <i>
      <x v="4"/>
    </i>
    <i>
      <x v="5"/>
    </i>
    <i>
      <x v="6"/>
    </i>
    <i>
      <x v="14"/>
    </i>
    <i>
      <x v="19"/>
    </i>
    <i>
      <x v="20"/>
    </i>
    <i>
      <x v="21"/>
    </i>
    <i t="grand">
      <x/>
    </i>
  </rowItems>
  <colFields count="1">
    <field x="0"/>
  </colFields>
  <colItems count="14">
    <i>
      <x/>
    </i>
    <i>
      <x v="1"/>
    </i>
    <i>
      <x v="2"/>
    </i>
    <i>
      <x v="3"/>
    </i>
    <i>
      <x v="4"/>
    </i>
    <i>
      <x v="5"/>
    </i>
    <i>
      <x v="6"/>
    </i>
    <i>
      <x v="7"/>
    </i>
    <i>
      <x v="8"/>
    </i>
    <i>
      <x v="9"/>
    </i>
    <i>
      <x v="10"/>
    </i>
    <i>
      <x v="11"/>
    </i>
    <i>
      <x v="12"/>
    </i>
    <i t="grand">
      <x/>
    </i>
  </colItems>
  <dataFields count="1">
    <dataField name="Sum of Apparent Consumption in MT" fld="3" baseField="0" baseItem="0" numFmtId="177"/>
  </dataFields>
  <formats count="4">
    <format dxfId="3">
      <pivotArea collapsedLevelsAreSubtotals="1" fieldPosition="0">
        <references count="2">
          <reference field="0" count="13" selected="0">
            <x v="0"/>
            <x v="1"/>
            <x v="2"/>
            <x v="3"/>
            <x v="4"/>
            <x v="5"/>
            <x v="6"/>
            <x v="7"/>
            <x v="8"/>
            <x v="9"/>
            <x v="10"/>
            <x v="11"/>
            <x v="12"/>
          </reference>
          <reference field="4" count="0"/>
        </references>
      </pivotArea>
    </format>
    <format dxfId="2">
      <pivotArea outline="0" collapsedLevelsAreSubtotals="1" fieldPosition="0"/>
    </format>
    <format dxfId="1">
      <pivotArea dataOnly="0" labelOnly="1" fieldPosition="0">
        <references count="1">
          <reference field="4" count="0"/>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33DD88-F48A-43D8-8BFD-AE45A38CB17B}" name="PivotTable1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5:S20" firstHeaderRow="1" firstDataRow="2" firstDataCol="1"/>
  <pivotFields count="3">
    <pivotField axis="axisCol" showAll="0">
      <items count="14">
        <item x="0"/>
        <item x="1"/>
        <item x="2"/>
        <item x="3"/>
        <item x="4"/>
        <item x="5"/>
        <item x="6"/>
        <item x="7"/>
        <item x="8"/>
        <item x="9"/>
        <item x="10"/>
        <item x="11"/>
        <item x="12"/>
        <item t="default"/>
      </items>
    </pivotField>
    <pivotField axis="axisRow" showAll="0">
      <items count="4">
        <item x="0"/>
        <item x="2"/>
        <item x="1"/>
        <item t="default"/>
      </items>
    </pivotField>
    <pivotField dataField="1" numFmtId="4" showAll="0"/>
  </pivotFields>
  <rowFields count="1">
    <field x="1"/>
  </rowFields>
  <rowItems count="4">
    <i>
      <x/>
    </i>
    <i>
      <x v="1"/>
    </i>
    <i>
      <x v="2"/>
    </i>
    <i t="grand">
      <x/>
    </i>
  </rowItems>
  <colFields count="1">
    <field x="0"/>
  </colFields>
  <colItems count="14">
    <i>
      <x/>
    </i>
    <i>
      <x v="1"/>
    </i>
    <i>
      <x v="2"/>
    </i>
    <i>
      <x v="3"/>
    </i>
    <i>
      <x v="4"/>
    </i>
    <i>
      <x v="5"/>
    </i>
    <i>
      <x v="6"/>
    </i>
    <i>
      <x v="7"/>
    </i>
    <i>
      <x v="8"/>
    </i>
    <i>
      <x v="9"/>
    </i>
    <i>
      <x v="10"/>
    </i>
    <i>
      <x v="11"/>
    </i>
    <i>
      <x v="12"/>
    </i>
    <i t="grand">
      <x/>
    </i>
  </colItems>
  <dataFields count="1">
    <dataField name="Sum of Volume (MT)"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202207_Thème Office BCG">
  <a:themeElements>
    <a:clrScheme name="The Boston Consulting Group">
      <a:dk1>
        <a:srgbClr val="575757"/>
      </a:dk1>
      <a:lt1>
        <a:sysClr val="window" lastClr="FFFFFF"/>
      </a:lt1>
      <a:dk2>
        <a:srgbClr val="29BA74"/>
      </a:dk2>
      <a:lt2>
        <a:srgbClr val="F2F2F2"/>
      </a:lt2>
      <a:accent1>
        <a:srgbClr val="03522D"/>
      </a:accent1>
      <a:accent2>
        <a:srgbClr val="197A56"/>
      </a:accent2>
      <a:accent3>
        <a:srgbClr val="D4DF33"/>
      </a:accent3>
      <a:accent4>
        <a:srgbClr val="3EAD92"/>
      </a:accent4>
      <a:accent5>
        <a:srgbClr val="6E6F73"/>
      </a:accent5>
      <a:accent6>
        <a:srgbClr val="295E7E"/>
      </a:accent6>
      <a:hlink>
        <a:srgbClr val="2E3558"/>
      </a:hlink>
      <a:folHlink>
        <a:srgbClr val="2E3558"/>
      </a:folHlink>
    </a:clrScheme>
    <a:fontScheme name="BCG Trebuchet">
      <a:majorFont>
        <a:latin typeface="Trebuchet MS"/>
        <a:ea typeface=""/>
        <a:cs typeface=""/>
      </a:majorFont>
      <a:minorFont>
        <a:latin typeface="Trebuchet MS"/>
        <a:ea typeface=""/>
        <a:cs typeface=""/>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29BA74"/>
        </a:solidFill>
        <a:ln w="9525" cap="rnd" cmpd="sng" algn="ctr">
          <a:solidFill>
            <a:srgbClr val="29BA74"/>
          </a:solidFill>
          <a:prstDash val="solid"/>
          <a:round/>
          <a:headEnd type="none" w="med" len="med"/>
          <a:tailEnd type="none" w="med" len="med"/>
        </a:ln>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algn="ctr">
          <a:defRPr sz="1200" dirty="0" smtClean="0">
            <a:solidFill>
              <a:srgbClr val="FFFFFF"/>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9525" cap="rnd">
          <a:solidFill>
            <a:schemeClr val="tx1">
              <a:lumMod val="60000"/>
              <a:lumOff val="40000"/>
            </a:schemeClr>
          </a:solidFill>
          <a:prstDash val="solid"/>
          <a:round/>
        </a:ln>
      </a:spPr>
      <a:bodyPr/>
      <a:lstStyle/>
      <a:style>
        <a:lnRef idx="1">
          <a:schemeClr val="accent1"/>
        </a:lnRef>
        <a:fillRef idx="0">
          <a:schemeClr val="accent1"/>
        </a:fillRef>
        <a:effectRef idx="0">
          <a:schemeClr val="accent1"/>
        </a:effectRef>
        <a:fontRef idx="minor">
          <a:schemeClr val="tx1"/>
        </a:fontRef>
      </a:style>
    </a:lnDef>
    <a:txDef>
      <a:spPr>
        <a:noFill/>
        <a:ln w="9525" cap="rnd">
          <a:noFill/>
          <a:prstDash val="solid"/>
          <a:round/>
        </a:ln>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algn="ctr">
          <a:defRPr dirty="0" err="1" smtClean="0">
            <a:solidFill>
              <a:srgbClr val="575757"/>
            </a:solidFill>
          </a:defRPr>
        </a:defPPr>
      </a:lstStyle>
      <a:style>
        <a:lnRef idx="2">
          <a:schemeClr val="accent1">
            <a:shade val="50000"/>
          </a:schemeClr>
        </a:lnRef>
        <a:fillRef idx="1">
          <a:schemeClr val="accent1"/>
        </a:fillRef>
        <a:effectRef idx="0">
          <a:schemeClr val="accent1"/>
        </a:effectRef>
        <a:fontRef idx="minor">
          <a:schemeClr val="lt1"/>
        </a:fontRef>
      </a: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202207_Thème Office BCG" id="{C38D97F7-B6FF-4155-B383-6558208F276D}" vid="{525C28D3-6468-4332-BFB5-D18BAB716765}"/>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dailytrust.com/fg-ifad-review-cassava-rice-value-chain-development-project/" TargetMode="External"/><Relationship Id="rId2" Type="http://schemas.openxmlformats.org/officeDocument/2006/relationships/hyperlink" Target="https://sahelconsult.com/yiifswa-ii/" TargetMode="External"/><Relationship Id="rId1" Type="http://schemas.openxmlformats.org/officeDocument/2006/relationships/hyperlink" Target="https://leadership.ng/nigeria-targets-6m-mt-wheat-production-by-2032-2/" TargetMode="Externa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9.bin"/><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4.bin"/><Relationship Id="rId1" Type="http://schemas.openxmlformats.org/officeDocument/2006/relationships/pivotTable" Target="../pivotTables/pivotTable6.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6.bin"/><Relationship Id="rId1" Type="http://schemas.openxmlformats.org/officeDocument/2006/relationships/pivotTable" Target="../pivotTables/pivotTable7.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7.bin"/><Relationship Id="rId1" Type="http://schemas.openxmlformats.org/officeDocument/2006/relationships/pivotTable" Target="../pivotTables/pivotTable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20.bin"/><Relationship Id="rId1" Type="http://schemas.openxmlformats.org/officeDocument/2006/relationships/hyperlink" Target="https://www.indexmundi.com/commodities/?commodity=dap-fertilizer&amp;months=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249977111117893"/>
  </sheetPr>
  <dimension ref="A1:Q19"/>
  <sheetViews>
    <sheetView showGridLines="0" zoomScaleNormal="100" workbookViewId="0">
      <pane ySplit="5" topLeftCell="A7" activePane="bottomLeft" state="frozen"/>
      <selection pane="bottomLeft" activeCell="M50" sqref="M50"/>
    </sheetView>
  </sheetViews>
  <sheetFormatPr defaultRowHeight="13.2" x14ac:dyDescent="0.25"/>
  <cols>
    <col min="1" max="1" width="1.77734375" customWidth="1"/>
    <col min="2" max="2" width="38.77734375" customWidth="1"/>
    <col min="3" max="10" width="11" customWidth="1"/>
    <col min="11" max="11" width="1.21875" style="2" customWidth="1"/>
    <col min="12" max="12" width="0.77734375" customWidth="1"/>
    <col min="13" max="13" width="16.77734375" customWidth="1"/>
    <col min="14" max="14" width="2.21875" customWidth="1"/>
    <col min="15" max="15" width="10" bestFit="1" customWidth="1"/>
  </cols>
  <sheetData>
    <row r="1" spans="1:17" s="7" customFormat="1" ht="11.25" customHeight="1" x14ac:dyDescent="0.25">
      <c r="A1" s="5"/>
      <c r="B1" s="6"/>
      <c r="C1" s="25"/>
      <c r="E1" s="6"/>
      <c r="F1" s="6"/>
      <c r="G1" s="6"/>
      <c r="H1" s="6"/>
      <c r="I1" s="6"/>
      <c r="J1" s="6"/>
      <c r="K1" s="6"/>
      <c r="L1" s="6"/>
      <c r="M1" s="6"/>
      <c r="N1" s="6"/>
      <c r="O1" s="6"/>
      <c r="P1" s="6"/>
    </row>
    <row r="2" spans="1:17" s="7" customFormat="1" ht="15.75" customHeight="1" x14ac:dyDescent="0.25">
      <c r="A2" s="5"/>
      <c r="B2" s="6"/>
      <c r="C2" s="26" t="str">
        <f>C9&amp;" - "&amp;C11</f>
        <v>OCP Africa - Nigeria P205 projections + backing analyses</v>
      </c>
      <c r="E2" s="6"/>
      <c r="F2" s="6"/>
      <c r="G2" s="6"/>
      <c r="H2" s="6"/>
      <c r="I2" s="6"/>
      <c r="J2" s="6"/>
      <c r="K2" s="6"/>
      <c r="L2" s="6"/>
      <c r="M2" s="6"/>
      <c r="N2" s="6"/>
      <c r="O2" s="6"/>
      <c r="P2" s="6"/>
    </row>
    <row r="3" spans="1:17" s="7" customFormat="1" ht="12.75" customHeight="1" x14ac:dyDescent="0.25">
      <c r="A3" s="5"/>
      <c r="B3" s="6"/>
      <c r="C3" s="27" t="str">
        <f ca="1">MID(CELL("filename",C3),FIND("]",CELL("filename",C3))+1,256)</f>
        <v>Couverture</v>
      </c>
      <c r="E3" s="6"/>
      <c r="F3" s="6"/>
      <c r="G3" s="6"/>
      <c r="H3" s="6"/>
      <c r="I3" s="6"/>
      <c r="J3" s="6"/>
      <c r="K3" s="6"/>
      <c r="L3" s="6"/>
      <c r="M3" s="6"/>
      <c r="N3" s="6"/>
      <c r="O3" s="6"/>
      <c r="P3" s="6"/>
    </row>
    <row r="4" spans="1:17" s="7" customFormat="1" ht="15.75" customHeight="1" x14ac:dyDescent="0.25">
      <c r="A4" s="5"/>
      <c r="B4" s="6"/>
      <c r="C4" s="25"/>
      <c r="E4" s="6"/>
      <c r="F4" s="6"/>
      <c r="G4" s="6"/>
      <c r="H4" s="6"/>
      <c r="I4" s="6"/>
      <c r="J4" s="6"/>
      <c r="K4" s="6"/>
      <c r="L4" s="6"/>
      <c r="M4" s="6"/>
      <c r="N4" s="6"/>
      <c r="O4" s="6"/>
      <c r="P4" s="6"/>
    </row>
    <row r="5" spans="1:17" s="11" customFormat="1" ht="9" customHeight="1" x14ac:dyDescent="0.25">
      <c r="A5" s="8"/>
      <c r="B5" s="9"/>
      <c r="C5" s="10"/>
      <c r="D5" s="10"/>
      <c r="E5" s="10"/>
      <c r="F5" s="10"/>
      <c r="G5" s="10"/>
      <c r="H5" s="10"/>
      <c r="I5" s="10"/>
      <c r="J5" s="10"/>
      <c r="K5" s="10"/>
      <c r="L5" s="10"/>
      <c r="M5" s="10"/>
      <c r="N5" s="10"/>
      <c r="O5" s="10"/>
      <c r="P5" s="10"/>
    </row>
    <row r="6" spans="1:17" x14ac:dyDescent="0.25">
      <c r="Q6" s="2"/>
    </row>
    <row r="7" spans="1:17" s="2" customFormat="1" ht="13.8" thickBot="1" x14ac:dyDescent="0.3">
      <c r="Q7" s="7"/>
    </row>
    <row r="8" spans="1:17" ht="15.6" x14ac:dyDescent="0.3">
      <c r="B8" s="12" t="s">
        <v>0</v>
      </c>
      <c r="C8" s="13"/>
      <c r="D8" s="14"/>
      <c r="E8" s="14"/>
      <c r="F8" s="14"/>
      <c r="G8" s="14"/>
      <c r="H8" s="14"/>
      <c r="I8" s="14"/>
      <c r="J8" s="15"/>
      <c r="L8" s="12" t="s">
        <v>1</v>
      </c>
      <c r="M8" s="22"/>
      <c r="N8" s="14"/>
      <c r="O8" s="14"/>
      <c r="P8" s="15"/>
    </row>
    <row r="9" spans="1:17" x14ac:dyDescent="0.25">
      <c r="B9" s="16" t="s">
        <v>2</v>
      </c>
      <c r="C9" s="1" t="s">
        <v>3</v>
      </c>
      <c r="D9" s="2"/>
      <c r="E9" s="2"/>
      <c r="F9" s="2"/>
      <c r="G9" s="2"/>
      <c r="H9" s="2"/>
      <c r="I9" s="2"/>
      <c r="J9" s="17"/>
      <c r="L9" s="23"/>
      <c r="M9" s="153" t="s">
        <v>4</v>
      </c>
      <c r="N9" s="2"/>
      <c r="O9" s="2" t="s">
        <v>5</v>
      </c>
      <c r="P9" s="17"/>
    </row>
    <row r="10" spans="1:17" x14ac:dyDescent="0.25">
      <c r="B10" s="16"/>
      <c r="C10" s="1"/>
      <c r="D10" s="2"/>
      <c r="E10" s="2"/>
      <c r="F10" s="2"/>
      <c r="G10" s="2"/>
      <c r="H10" s="2"/>
      <c r="I10" s="2"/>
      <c r="J10" s="17"/>
      <c r="L10" s="23"/>
      <c r="M10" s="3" t="s">
        <v>4</v>
      </c>
      <c r="N10" s="2"/>
      <c r="O10" s="2" t="s">
        <v>6</v>
      </c>
      <c r="P10" s="17"/>
    </row>
    <row r="11" spans="1:17" x14ac:dyDescent="0.25">
      <c r="B11" s="16" t="s">
        <v>7</v>
      </c>
      <c r="C11" s="1" t="s">
        <v>303</v>
      </c>
      <c r="D11" s="2"/>
      <c r="E11" s="2"/>
      <c r="F11" s="2"/>
      <c r="G11" s="2"/>
      <c r="H11" s="2"/>
      <c r="I11" s="2"/>
      <c r="J11" s="17"/>
      <c r="L11" s="23"/>
      <c r="M11" s="4" t="s">
        <v>4</v>
      </c>
      <c r="N11" s="2"/>
      <c r="O11" s="2" t="s">
        <v>8</v>
      </c>
      <c r="P11" s="17"/>
    </row>
    <row r="12" spans="1:17" x14ac:dyDescent="0.25">
      <c r="B12" s="16"/>
      <c r="C12" s="1"/>
      <c r="D12" s="2"/>
      <c r="E12" s="2"/>
      <c r="F12" s="2"/>
      <c r="G12" s="2"/>
      <c r="H12" s="2"/>
      <c r="I12" s="2"/>
      <c r="J12" s="17"/>
      <c r="L12" s="23"/>
      <c r="M12" s="83"/>
      <c r="N12" s="2"/>
      <c r="O12" s="1" t="s">
        <v>9</v>
      </c>
      <c r="P12" s="17"/>
    </row>
    <row r="13" spans="1:17" ht="13.8" thickBot="1" x14ac:dyDescent="0.3">
      <c r="B13" s="18"/>
      <c r="C13" s="19"/>
      <c r="D13" s="20"/>
      <c r="E13" s="20"/>
      <c r="F13" s="20"/>
      <c r="G13" s="20"/>
      <c r="H13" s="20"/>
      <c r="I13" s="20"/>
      <c r="J13" s="21"/>
      <c r="L13" s="24"/>
      <c r="M13" s="84"/>
      <c r="N13" s="20"/>
      <c r="O13" s="19"/>
      <c r="P13" s="21"/>
    </row>
    <row r="14" spans="1:17" ht="4.8" customHeight="1" x14ac:dyDescent="0.25"/>
    <row r="15" spans="1:17" x14ac:dyDescent="0.25">
      <c r="K15"/>
    </row>
    <row r="16" spans="1:17" x14ac:dyDescent="0.25">
      <c r="K16"/>
    </row>
    <row r="17" spans="11:11" x14ac:dyDescent="0.25">
      <c r="K17"/>
    </row>
    <row r="18" spans="11:11" x14ac:dyDescent="0.25">
      <c r="K18"/>
    </row>
    <row r="19" spans="11:11" x14ac:dyDescent="0.25">
      <c r="K19"/>
    </row>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6CF51-687B-4ECC-BFE3-011C3F51C432}">
  <sheetPr>
    <tabColor theme="3"/>
  </sheetPr>
  <dimension ref="A1"/>
  <sheetViews>
    <sheetView showGridLines="0" topLeftCell="A23" workbookViewId="0">
      <selection activeCell="F72" sqref="F72"/>
    </sheetView>
  </sheetViews>
  <sheetFormatPr defaultRowHeight="13.2" x14ac:dyDescent="0.25"/>
  <cols>
    <col min="5" max="5" width="13.77734375" customWidth="1"/>
    <col min="6" max="6" width="24" customWidth="1"/>
  </cols>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0A8EF-9386-4DE3-9654-92BCD7AAD4FB}">
  <sheetPr>
    <tabColor theme="3" tint="0.79998168889431442"/>
  </sheetPr>
  <dimension ref="A1:AF184"/>
  <sheetViews>
    <sheetView showGridLines="0" zoomScale="79" zoomScaleNormal="85" workbookViewId="0">
      <pane ySplit="10" topLeftCell="A154" activePane="bottomLeft" state="frozen"/>
      <selection activeCell="Q40" sqref="Q40"/>
      <selection pane="bottomLeft" activeCell="K128" sqref="K128"/>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53.44140625" style="2" customWidth="1"/>
    <col min="5" max="5" width="20.21875" style="2" customWidth="1"/>
    <col min="6" max="6" width="35" style="2" customWidth="1"/>
    <col min="7" max="7" width="20.21875" style="2" customWidth="1"/>
    <col min="8" max="8" width="13.77734375" style="2" customWidth="1"/>
    <col min="9" max="13" width="20.21875" style="2" customWidth="1"/>
    <col min="14" max="14" width="9.21875" style="2" customWidth="1"/>
    <col min="15" max="15" width="32.44140625" style="2" customWidth="1"/>
    <col min="16" max="16" width="24.77734375" style="2" customWidth="1"/>
    <col min="17" max="17" width="34.5546875" style="2" customWidth="1"/>
    <col min="18" max="18" width="48.77734375" style="2" customWidth="1"/>
    <col min="19" max="19" width="35.77734375" style="2" customWidth="1"/>
    <col min="20" max="20" width="59.6640625" style="2" bestFit="1" customWidth="1"/>
    <col min="21" max="21" width="22.77734375" style="2" bestFit="1" customWidth="1"/>
    <col min="22" max="22" width="9.21875" style="2"/>
    <col min="23" max="23" width="0" style="2" hidden="1" customWidth="1"/>
    <col min="24" max="16384" width="9.21875" style="2"/>
  </cols>
  <sheetData>
    <row r="1" spans="1:32" s="7" customFormat="1" ht="13.5" customHeight="1" x14ac:dyDescent="0.25">
      <c r="A1" s="5"/>
      <c r="B1" s="5"/>
      <c r="C1" s="5"/>
      <c r="D1" s="6"/>
      <c r="E1" s="25"/>
    </row>
    <row r="2" spans="1:32" s="7" customFormat="1" ht="13.5" customHeight="1" x14ac:dyDescent="0.25">
      <c r="A2" s="5"/>
      <c r="B2" s="5"/>
      <c r="C2" s="5"/>
      <c r="D2" s="6"/>
      <c r="E2" s="26" t="str">
        <f>Title</f>
        <v>OCP Africa - Nigeria P205 projections + backing analyses</v>
      </c>
    </row>
    <row r="3" spans="1:32" s="7" customFormat="1" ht="13.5" customHeight="1" x14ac:dyDescent="0.25">
      <c r="A3" s="5"/>
      <c r="B3" s="5"/>
      <c r="C3" s="5"/>
      <c r="D3" s="6"/>
      <c r="E3" s="27" t="str">
        <f ca="1">MID(CELL("filename",E3),FIND("]",CELL("filename",E3))+1,256)</f>
        <v>ProjectedP205_Consumption</v>
      </c>
    </row>
    <row r="4" spans="1:32" s="7" customFormat="1" ht="13.5" customHeight="1" x14ac:dyDescent="0.25">
      <c r="A4" s="5"/>
      <c r="B4" s="5"/>
      <c r="C4" s="5"/>
      <c r="D4" s="6"/>
      <c r="E4" s="25"/>
    </row>
    <row r="5" spans="1:32" s="11" customFormat="1" ht="13.5" customHeight="1" x14ac:dyDescent="0.25">
      <c r="A5" s="8"/>
      <c r="B5" s="8"/>
      <c r="C5" s="8"/>
      <c r="D5" s="9"/>
      <c r="E5" s="10"/>
    </row>
    <row r="6" spans="1:32" ht="13.5" customHeight="1" thickBot="1" x14ac:dyDescent="0.3">
      <c r="F6" s="7"/>
      <c r="G6" s="7"/>
      <c r="H6" s="57"/>
      <c r="I6" s="57"/>
    </row>
    <row r="7" spans="1:32" ht="13.5" customHeight="1" x14ac:dyDescent="0.3">
      <c r="B7" s="29">
        <v>1</v>
      </c>
      <c r="D7" s="28" t="s">
        <v>10</v>
      </c>
      <c r="F7" s="160"/>
      <c r="G7" s="161"/>
      <c r="H7" s="291" t="s">
        <v>11</v>
      </c>
      <c r="I7" s="292"/>
      <c r="L7" s="170" t="s">
        <v>12</v>
      </c>
    </row>
    <row r="8" spans="1:32" ht="13.5" customHeight="1" x14ac:dyDescent="0.25">
      <c r="F8" s="162" t="s">
        <v>13</v>
      </c>
      <c r="G8" s="163" t="s">
        <v>14</v>
      </c>
      <c r="H8" s="164">
        <f>M33</f>
        <v>101.09471632710896</v>
      </c>
      <c r="I8" s="168">
        <f>M60</f>
        <v>229.23003612116236</v>
      </c>
      <c r="K8" s="173" t="s">
        <v>15</v>
      </c>
      <c r="L8" s="171">
        <f>P33</f>
        <v>6.0226876724750245E-2</v>
      </c>
    </row>
    <row r="9" spans="1:32" ht="13.5" customHeight="1" thickBot="1" x14ac:dyDescent="0.3">
      <c r="D9" s="32" t="s">
        <v>16</v>
      </c>
      <c r="E9" s="7"/>
      <c r="F9" s="165" t="s">
        <v>17</v>
      </c>
      <c r="G9" s="166" t="s">
        <v>14</v>
      </c>
      <c r="H9" s="167">
        <f>M34</f>
        <v>219.77112245023685</v>
      </c>
      <c r="I9" s="169">
        <f>M61</f>
        <v>498.32616548078772</v>
      </c>
      <c r="K9" s="174" t="s">
        <v>18</v>
      </c>
      <c r="L9" s="172">
        <f>P60</f>
        <v>0.30102180573676951</v>
      </c>
    </row>
    <row r="10" spans="1:32" ht="13.5" customHeight="1" x14ac:dyDescent="0.25">
      <c r="D10" s="33" t="s">
        <v>19</v>
      </c>
      <c r="E10" s="7"/>
      <c r="F10" s="7"/>
      <c r="G10" s="7"/>
      <c r="H10" s="7"/>
      <c r="I10" s="7"/>
    </row>
    <row r="11" spans="1:32" ht="13.5" customHeight="1" outlineLevel="1" x14ac:dyDescent="0.25">
      <c r="E11" s="7"/>
      <c r="F11" s="7"/>
      <c r="G11" s="7"/>
      <c r="H11" s="7"/>
      <c r="I11" s="7"/>
    </row>
    <row r="12" spans="1:32" ht="13.5" customHeight="1" outlineLevel="1" x14ac:dyDescent="0.25">
      <c r="D12" s="30"/>
      <c r="E12" s="34">
        <v>2017</v>
      </c>
      <c r="F12" s="34">
        <v>2018</v>
      </c>
      <c r="G12" s="34">
        <v>2019</v>
      </c>
      <c r="H12" s="34">
        <v>2020</v>
      </c>
      <c r="I12" s="34">
        <v>2021</v>
      </c>
      <c r="J12" s="34">
        <v>2022</v>
      </c>
      <c r="K12" s="34">
        <v>2023</v>
      </c>
      <c r="L12" s="34">
        <v>2024</v>
      </c>
      <c r="M12" s="34">
        <v>2025</v>
      </c>
      <c r="O12" s="30" t="s">
        <v>20</v>
      </c>
      <c r="P12" s="30" t="s">
        <v>12</v>
      </c>
      <c r="R12" s="1" t="s">
        <v>171</v>
      </c>
      <c r="S12" s="30" t="s">
        <v>172</v>
      </c>
      <c r="T12" s="30" t="s">
        <v>299</v>
      </c>
      <c r="U12" s="30" t="s">
        <v>300</v>
      </c>
      <c r="AE12" s="187"/>
    </row>
    <row r="13" spans="1:32" ht="13.5" customHeight="1" outlineLevel="1" x14ac:dyDescent="0.25">
      <c r="D13" s="85" t="str">
        <f t="shared" ref="D13:D32" si="0">D70</f>
        <v>Cassava, fresh</v>
      </c>
      <c r="E13" s="136">
        <f>(E70*E98)/1000000</f>
        <v>5.3003586175275741</v>
      </c>
      <c r="F13" s="136">
        <f t="shared" ref="F13:M13" si="1">(F70*F98)/1000000</f>
        <v>7.2654106494577517</v>
      </c>
      <c r="G13" s="136">
        <f t="shared" si="1"/>
        <v>7.7894741125380973</v>
      </c>
      <c r="H13" s="136">
        <f t="shared" si="1"/>
        <v>5.0177048165405438</v>
      </c>
      <c r="I13" s="136">
        <f>(I70*I98)/1000000</f>
        <v>6.4549708265642032</v>
      </c>
      <c r="J13" s="106">
        <f>(J70*J98)/1000000</f>
        <v>7.1703005184939625</v>
      </c>
      <c r="K13" s="106">
        <f>(K70*K98)/1000000</f>
        <v>7.9649019192981507</v>
      </c>
      <c r="L13" s="106">
        <f t="shared" si="1"/>
        <v>8.8475597947970126</v>
      </c>
      <c r="M13" s="106">
        <f t="shared" si="1"/>
        <v>9.8280324247114343</v>
      </c>
      <c r="O13" s="155">
        <f>IFERROR(_xlfn.RRI($H$12-$E$12,E13,H13),0)</f>
        <v>-1.8101451325992723E-2</v>
      </c>
      <c r="P13" s="155">
        <f>IFERROR(_xlfn.RRI($M$12-$I$12,I13,M13),0)</f>
        <v>0.1108184236845744</v>
      </c>
      <c r="R13" s="179">
        <f>J13/$J$33</f>
        <v>8.4658575155694846E-2</v>
      </c>
      <c r="S13" s="195">
        <f>M13/$M$33</f>
        <v>9.7216083904040865E-2</v>
      </c>
      <c r="T13" s="7">
        <f>M13-J13</f>
        <v>2.6577319062174718</v>
      </c>
      <c r="U13" s="195">
        <f>(M13-J13)/($M$33-$J$33)</f>
        <v>0.16207626137189898</v>
      </c>
      <c r="AE13" s="187"/>
      <c r="AF13" s="179"/>
    </row>
    <row r="14" spans="1:32" ht="13.5" customHeight="1" outlineLevel="1" x14ac:dyDescent="0.25">
      <c r="D14" s="85" t="str">
        <f t="shared" si="0"/>
        <v>Maize (corn)</v>
      </c>
      <c r="E14" s="136">
        <f t="shared" ref="E14:M14" si="2">(E71*E99)/1000000</f>
        <v>14.024354354958179</v>
      </c>
      <c r="F14" s="136">
        <f t="shared" si="2"/>
        <v>19.148166137955162</v>
      </c>
      <c r="G14" s="136">
        <f t="shared" si="2"/>
        <v>14.597483012042838</v>
      </c>
      <c r="H14" s="136">
        <f t="shared" si="2"/>
        <v>10.599261434309726</v>
      </c>
      <c r="I14" s="136">
        <f t="shared" si="2"/>
        <v>11.935577908743838</v>
      </c>
      <c r="J14" s="106">
        <f t="shared" si="2"/>
        <v>12.929869787539227</v>
      </c>
      <c r="K14" s="106">
        <f t="shared" si="2"/>
        <v>14.006991031430896</v>
      </c>
      <c r="L14" s="106">
        <f>(L71*L99)/1000000</f>
        <v>15.173841730692711</v>
      </c>
      <c r="M14" s="106">
        <f t="shared" si="2"/>
        <v>16.437896786786947</v>
      </c>
      <c r="O14" s="155">
        <f t="shared" ref="O14:O32" si="3">IFERROR(_xlfn.RRI($I$69-$E$69,E14,I14),0)</f>
        <v>-3.9515979704399462E-2</v>
      </c>
      <c r="P14" s="155">
        <f t="shared" ref="P14:P34" si="4">IFERROR(_xlfn.RRI($M$12-$I$12,I14,M14),0)</f>
        <v>8.3304879445090352E-2</v>
      </c>
      <c r="R14" s="179">
        <f t="shared" ref="R14:R33" si="5">J14/$J$33</f>
        <v>0.15266087527830016</v>
      </c>
      <c r="S14" s="195">
        <f t="shared" ref="S14:S32" si="6">M14/$M$33</f>
        <v>0.16259897039128501</v>
      </c>
      <c r="T14" s="7">
        <f t="shared" ref="T14:T32" si="7">M14-J14</f>
        <v>3.5080269992477202</v>
      </c>
      <c r="U14" s="195">
        <f t="shared" ref="U14:U33" si="8">(M14-J14)/($M$33-$J$33)</f>
        <v>0.21392974193508751</v>
      </c>
      <c r="AE14" s="187"/>
      <c r="AF14" s="179"/>
    </row>
    <row r="15" spans="1:32" ht="13.5" customHeight="1" outlineLevel="1" x14ac:dyDescent="0.25">
      <c r="D15" s="85" t="str">
        <f t="shared" si="0"/>
        <v>Yams</v>
      </c>
      <c r="E15" s="136">
        <f t="shared" ref="E15:M15" si="9">(E72*E100)/1000000</f>
        <v>4.1360396224452218</v>
      </c>
      <c r="F15" s="136">
        <f t="shared" si="9"/>
        <v>5.6747223067863528</v>
      </c>
      <c r="G15" s="136">
        <f t="shared" si="9"/>
        <v>5.4003854789434245</v>
      </c>
      <c r="H15" s="136">
        <f t="shared" si="9"/>
        <v>4.2675599833842401</v>
      </c>
      <c r="I15" s="136">
        <f>(I72*I100)/1000000</f>
        <v>4.193210072704149</v>
      </c>
      <c r="J15" s="106">
        <f t="shared" si="9"/>
        <v>4.4492101541947378</v>
      </c>
      <c r="K15" s="106">
        <f t="shared" si="9"/>
        <v>4.7208393218953875</v>
      </c>
      <c r="L15" s="106">
        <f t="shared" si="9"/>
        <v>5.0090517486889299</v>
      </c>
      <c r="M15" s="106">
        <f t="shared" si="9"/>
        <v>5.3148598607609268</v>
      </c>
      <c r="O15" s="155">
        <f t="shared" si="3"/>
        <v>3.4378585994219168E-3</v>
      </c>
      <c r="P15" s="155">
        <f t="shared" si="4"/>
        <v>6.1051098574104401E-2</v>
      </c>
      <c r="R15" s="179">
        <f t="shared" si="5"/>
        <v>5.253110260174837E-2</v>
      </c>
      <c r="S15" s="195">
        <f t="shared" si="6"/>
        <v>5.2573072598213776E-2</v>
      </c>
      <c r="T15" s="7">
        <f t="shared" si="7"/>
        <v>0.865649706566189</v>
      </c>
      <c r="U15" s="195">
        <f t="shared" si="8"/>
        <v>5.2789849784965107E-2</v>
      </c>
      <c r="AE15" s="187"/>
      <c r="AF15" s="179"/>
    </row>
    <row r="16" spans="1:32" ht="13.5" customHeight="1" outlineLevel="1" x14ac:dyDescent="0.25">
      <c r="D16" s="85" t="str">
        <f t="shared" si="0"/>
        <v>Sorghum</v>
      </c>
      <c r="E16" s="136">
        <f t="shared" ref="E16:M16" si="10">(E73*E101)/1000000</f>
        <v>12.774763032712306</v>
      </c>
      <c r="F16" s="136">
        <f t="shared" si="10"/>
        <v>16.365375229481916</v>
      </c>
      <c r="G16" s="136">
        <f t="shared" si="10"/>
        <v>12.040056358674056</v>
      </c>
      <c r="H16" s="136">
        <f t="shared" si="10"/>
        <v>10.791975278569904</v>
      </c>
      <c r="I16" s="136">
        <f t="shared" si="10"/>
        <v>11.338799013306648</v>
      </c>
      <c r="J16" s="106">
        <f t="shared" si="10"/>
        <v>11.637680374244397</v>
      </c>
      <c r="K16" s="106">
        <f t="shared" si="10"/>
        <v>11.944440000579672</v>
      </c>
      <c r="L16" s="106">
        <f t="shared" si="10"/>
        <v>12.259285556870335</v>
      </c>
      <c r="M16" s="106">
        <f t="shared" si="10"/>
        <v>12.582430181540193</v>
      </c>
      <c r="O16" s="155">
        <f t="shared" si="3"/>
        <v>-2.9370355724747998E-2</v>
      </c>
      <c r="P16" s="155">
        <f t="shared" si="4"/>
        <v>2.6359172659026653E-2</v>
      </c>
      <c r="R16" s="179">
        <f t="shared" si="5"/>
        <v>0.13740420447647572</v>
      </c>
      <c r="S16" s="195">
        <f t="shared" si="6"/>
        <v>0.12446179818960691</v>
      </c>
      <c r="T16" s="7">
        <f t="shared" si="7"/>
        <v>0.94474980729579627</v>
      </c>
      <c r="U16" s="195">
        <f t="shared" si="8"/>
        <v>5.7613605172182232E-2</v>
      </c>
      <c r="AE16" s="187"/>
      <c r="AF16" s="179"/>
    </row>
    <row r="17" spans="4:32" ht="13.2" customHeight="1" outlineLevel="1" x14ac:dyDescent="0.25">
      <c r="D17" s="85" t="str">
        <f t="shared" si="0"/>
        <v>Cow peas, dry</v>
      </c>
      <c r="E17" s="136">
        <f t="shared" ref="E17:L17" si="11">(E74*E102)/1000000</f>
        <v>9.4229210844709321</v>
      </c>
      <c r="F17" s="136">
        <f t="shared" si="11"/>
        <v>10.746117569838793</v>
      </c>
      <c r="G17" s="136">
        <f t="shared" si="11"/>
        <v>8.4333667911838486</v>
      </c>
      <c r="H17" s="136">
        <f t="shared" si="11"/>
        <v>7.7441744467691418</v>
      </c>
      <c r="I17" s="136">
        <f t="shared" si="11"/>
        <v>8.0172845488986084</v>
      </c>
      <c r="J17" s="106">
        <f t="shared" si="11"/>
        <v>8.1420459813289163</v>
      </c>
      <c r="K17" s="106">
        <f t="shared" si="11"/>
        <v>8.2687488959315392</v>
      </c>
      <c r="L17" s="106">
        <f t="shared" si="11"/>
        <v>8.3974235051924353</v>
      </c>
      <c r="M17" s="106">
        <f>(M74*M102)/1000000</f>
        <v>8.5281004917508909</v>
      </c>
      <c r="O17" s="155">
        <f t="shared" si="3"/>
        <v>-3.9581679295261907E-2</v>
      </c>
      <c r="P17" s="155">
        <f t="shared" si="4"/>
        <v>1.5561557241653201E-2</v>
      </c>
      <c r="R17" s="179">
        <f t="shared" si="5"/>
        <v>9.613181621238874E-2</v>
      </c>
      <c r="S17" s="195">
        <f t="shared" si="6"/>
        <v>8.4357529271428866E-2</v>
      </c>
      <c r="T17" s="7">
        <f t="shared" si="7"/>
        <v>0.38605451042197458</v>
      </c>
      <c r="U17" s="195">
        <f t="shared" si="8"/>
        <v>2.3542732654326864E-2</v>
      </c>
      <c r="AE17" s="187"/>
      <c r="AF17" s="179"/>
    </row>
    <row r="18" spans="4:32" ht="13.5" customHeight="1" outlineLevel="1" x14ac:dyDescent="0.25">
      <c r="D18" s="85" t="str">
        <f t="shared" si="0"/>
        <v>Rice</v>
      </c>
      <c r="E18" s="136">
        <f t="shared" ref="E18:M18" si="12">(E75*E103)/1000000</f>
        <v>6.9721546037323234</v>
      </c>
      <c r="F18" s="136">
        <f t="shared" si="12"/>
        <v>8.500762554890203</v>
      </c>
      <c r="G18" s="136">
        <f t="shared" si="12"/>
        <v>6.5757880533695268</v>
      </c>
      <c r="H18" s="136">
        <f t="shared" si="12"/>
        <v>5.7746703432561999</v>
      </c>
      <c r="I18" s="136">
        <f t="shared" si="12"/>
        <v>6.1384393004243165</v>
      </c>
      <c r="J18" s="106">
        <f t="shared" si="12"/>
        <v>6.6498012463271694</v>
      </c>
      <c r="K18" s="106">
        <f t="shared" si="12"/>
        <v>7.2037621374862661</v>
      </c>
      <c r="L18" s="106">
        <f t="shared" si="12"/>
        <v>7.8038706739006658</v>
      </c>
      <c r="M18" s="106">
        <f t="shared" si="12"/>
        <v>8.4539711795950367</v>
      </c>
      <c r="O18" s="155">
        <f t="shared" si="3"/>
        <v>-3.133693774239743E-2</v>
      </c>
      <c r="P18" s="155">
        <f t="shared" si="4"/>
        <v>8.3304879445090352E-2</v>
      </c>
      <c r="R18" s="179">
        <f t="shared" si="5"/>
        <v>7.8513124677355314E-2</v>
      </c>
      <c r="S18" s="195">
        <f t="shared" si="6"/>
        <v>8.3624263331832219E-2</v>
      </c>
      <c r="T18" s="7">
        <f t="shared" si="7"/>
        <v>1.8041699332678673</v>
      </c>
      <c r="U18" s="195">
        <f t="shared" si="8"/>
        <v>0.11002355692068717</v>
      </c>
      <c r="AE18" s="187"/>
      <c r="AF18" s="179"/>
    </row>
    <row r="19" spans="4:32" ht="13.5" customHeight="1" outlineLevel="1" x14ac:dyDescent="0.25">
      <c r="D19" s="85" t="str">
        <f t="shared" si="0"/>
        <v>Groundnuts, excluding shelled</v>
      </c>
      <c r="E19" s="136">
        <f t="shared" ref="E19:M19" si="13">(E76*E104)/1000000</f>
        <v>7.8950011020981528</v>
      </c>
      <c r="F19" s="136">
        <f t="shared" si="13"/>
        <v>11.000561045302385</v>
      </c>
      <c r="G19" s="136">
        <f t="shared" si="13"/>
        <v>8.7926990049700908</v>
      </c>
      <c r="H19" s="136">
        <f t="shared" si="13"/>
        <v>7.9380104362138955</v>
      </c>
      <c r="I19" s="136">
        <f t="shared" si="13"/>
        <v>8.4978509849447565</v>
      </c>
      <c r="J19" s="106">
        <f t="shared" si="13"/>
        <v>9.1525931410414962</v>
      </c>
      <c r="K19" s="106">
        <f t="shared" si="13"/>
        <v>9.8577818502408636</v>
      </c>
      <c r="L19" s="106">
        <f t="shared" si="13"/>
        <v>10.617303916983715</v>
      </c>
      <c r="M19" s="106">
        <f t="shared" si="13"/>
        <v>11.435345616097541</v>
      </c>
      <c r="O19" s="155">
        <f t="shared" si="3"/>
        <v>1.8566126270163963E-2</v>
      </c>
      <c r="P19" s="155">
        <f t="shared" si="4"/>
        <v>7.7047968628388253E-2</v>
      </c>
      <c r="R19" s="179">
        <f t="shared" si="5"/>
        <v>0.10806318261024657</v>
      </c>
      <c r="S19" s="195">
        <f t="shared" si="6"/>
        <v>0.11311516597065822</v>
      </c>
      <c r="T19" s="7">
        <f t="shared" si="7"/>
        <v>2.2827524750560446</v>
      </c>
      <c r="U19" s="195">
        <f t="shared" si="8"/>
        <v>0.13920891942825583</v>
      </c>
    </row>
    <row r="20" spans="4:32" ht="13.5" customHeight="1" outlineLevel="1" x14ac:dyDescent="0.25">
      <c r="D20" s="85" t="str">
        <f t="shared" si="0"/>
        <v>Oil palm fruit</v>
      </c>
      <c r="E20" s="136">
        <f t="shared" ref="E20:M20" si="14">(E77*E105)/1000000</f>
        <v>5.5584753072184787</v>
      </c>
      <c r="F20" s="136">
        <f t="shared" si="14"/>
        <v>7.8122516188454361</v>
      </c>
      <c r="G20" s="136">
        <f t="shared" si="14"/>
        <v>6.0310232280247718</v>
      </c>
      <c r="H20" s="136">
        <f t="shared" si="14"/>
        <v>5.3384253905318966</v>
      </c>
      <c r="I20" s="136">
        <f t="shared" si="14"/>
        <v>5.595320774001852</v>
      </c>
      <c r="J20" s="106">
        <f t="shared" si="14"/>
        <v>5.9263614173681276</v>
      </c>
      <c r="K20" s="106">
        <f t="shared" si="14"/>
        <v>6.2769876952291321</v>
      </c>
      <c r="L20" s="106">
        <f t="shared" si="14"/>
        <v>6.6483583688616052</v>
      </c>
      <c r="M20" s="106">
        <f t="shared" si="14"/>
        <v>7.0417007563049996</v>
      </c>
      <c r="O20" s="155">
        <f>IFERROR(_xlfn.RRI($I$69-$E$69,E20,I20),0)</f>
        <v>1.6530715805116447E-3</v>
      </c>
      <c r="P20" s="155">
        <f t="shared" si="4"/>
        <v>5.9163836487163612E-2</v>
      </c>
      <c r="R20" s="179">
        <f t="shared" si="5"/>
        <v>6.9971587963156903E-2</v>
      </c>
      <c r="S20" s="195">
        <f t="shared" si="6"/>
        <v>6.9654488504823461E-2</v>
      </c>
      <c r="T20" s="7">
        <f t="shared" si="7"/>
        <v>1.115339338936872</v>
      </c>
      <c r="U20" s="195">
        <f t="shared" si="8"/>
        <v>6.8016653520621043E-2</v>
      </c>
    </row>
    <row r="21" spans="4:32" ht="13.5" customHeight="1" outlineLevel="1" x14ac:dyDescent="0.25">
      <c r="D21" s="85" t="str">
        <f t="shared" si="0"/>
        <v>Millet</v>
      </c>
      <c r="E21" s="136">
        <f t="shared" ref="E21:M21" si="15">(E78*E106)/1000000</f>
        <v>3.6688870143336803</v>
      </c>
      <c r="F21" s="136">
        <f t="shared" si="15"/>
        <v>4.7143078674925265</v>
      </c>
      <c r="G21" s="136">
        <f t="shared" si="15"/>
        <v>3.6206217283143638</v>
      </c>
      <c r="H21" s="136">
        <f t="shared" si="15"/>
        <v>3.5789713934032847</v>
      </c>
      <c r="I21" s="136">
        <f t="shared" si="15"/>
        <v>3.6943455431826169</v>
      </c>
      <c r="J21" s="106">
        <f t="shared" si="15"/>
        <v>3.9132187416752111</v>
      </c>
      <c r="K21" s="106">
        <f t="shared" si="15"/>
        <v>4.1450591833394084</v>
      </c>
      <c r="L21" s="106">
        <f t="shared" si="15"/>
        <v>4.3906351184526748</v>
      </c>
      <c r="M21" s="106">
        <f t="shared" si="15"/>
        <v>4.6507603126330128</v>
      </c>
      <c r="O21" s="155">
        <f t="shared" si="3"/>
        <v>1.7302624090476115E-3</v>
      </c>
      <c r="P21" s="155">
        <f t="shared" si="4"/>
        <v>5.9245459292916802E-2</v>
      </c>
      <c r="R21" s="179">
        <f t="shared" si="5"/>
        <v>4.6202738935183091E-2</v>
      </c>
      <c r="S21" s="195">
        <f t="shared" si="6"/>
        <v>4.6003989937364244E-2</v>
      </c>
      <c r="T21" s="7">
        <f t="shared" si="7"/>
        <v>0.73754157095780171</v>
      </c>
      <c r="U21" s="195">
        <f t="shared" si="8"/>
        <v>4.4977441158587775E-2</v>
      </c>
    </row>
    <row r="22" spans="4:32" ht="13.5" customHeight="1" outlineLevel="1" x14ac:dyDescent="0.25">
      <c r="D22" s="85" t="str">
        <f t="shared" si="0"/>
        <v>Sweet potatoes</v>
      </c>
      <c r="E22" s="136">
        <f t="shared" ref="E22:M22" si="16">(E79*E107)/1000000</f>
        <v>1.1866552323854376</v>
      </c>
      <c r="F22" s="136">
        <f t="shared" si="16"/>
        <v>1.5850323332873417</v>
      </c>
      <c r="G22" s="136">
        <f>(G79*G107)/1000000</f>
        <v>1.1982141134825355</v>
      </c>
      <c r="H22" s="136">
        <f t="shared" si="16"/>
        <v>1.040133743361723</v>
      </c>
      <c r="I22" s="136">
        <f t="shared" si="16"/>
        <v>1.0730709736898789</v>
      </c>
      <c r="J22" s="106">
        <f t="shared" si="16"/>
        <v>1.1064969893577039</v>
      </c>
      <c r="K22" s="106">
        <f t="shared" si="16"/>
        <v>1.1409642208917856</v>
      </c>
      <c r="L22" s="106">
        <f t="shared" si="16"/>
        <v>1.1765051020255048</v>
      </c>
      <c r="M22" s="106">
        <f t="shared" si="16"/>
        <v>1.2131530767986498</v>
      </c>
      <c r="O22" s="155">
        <f t="shared" si="3"/>
        <v>-2.4839789956896285E-2</v>
      </c>
      <c r="P22" s="155">
        <f t="shared" si="4"/>
        <v>3.1149864722261222E-2</v>
      </c>
      <c r="R22" s="179">
        <f t="shared" si="5"/>
        <v>1.3064230472834419E-2</v>
      </c>
      <c r="S22" s="195">
        <f t="shared" si="6"/>
        <v>1.2000163024082178E-2</v>
      </c>
      <c r="T22" s="7">
        <f t="shared" si="7"/>
        <v>0.1066560874409459</v>
      </c>
      <c r="U22" s="195">
        <f t="shared" si="8"/>
        <v>6.5042000152623295E-3</v>
      </c>
    </row>
    <row r="23" spans="4:32" ht="13.5" customHeight="1" outlineLevel="1" x14ac:dyDescent="0.25">
      <c r="D23" s="85" t="str">
        <f t="shared" si="0"/>
        <v>Okra</v>
      </c>
      <c r="E23" s="136">
        <f t="shared" ref="E23:M23" si="17">(E80*E108)/1000000</f>
        <v>2.040700977341475</v>
      </c>
      <c r="F23" s="136">
        <f t="shared" si="17"/>
        <v>3.1921576037842758</v>
      </c>
      <c r="G23" s="136">
        <f t="shared" si="17"/>
        <v>3.0639073565769444</v>
      </c>
      <c r="H23" s="136">
        <f t="shared" si="17"/>
        <v>2.0101994860053636</v>
      </c>
      <c r="I23" s="136">
        <f t="shared" si="17"/>
        <v>2.1263814614301269</v>
      </c>
      <c r="J23" s="106">
        <f t="shared" si="17"/>
        <v>2.2717076754004983</v>
      </c>
      <c r="K23" s="106">
        <f t="shared" si="17"/>
        <v>2.4269661187709319</v>
      </c>
      <c r="L23" s="106">
        <f t="shared" si="17"/>
        <v>2.5928356035613676</v>
      </c>
      <c r="M23" s="106">
        <f t="shared" si="17"/>
        <v>2.7700413347756201</v>
      </c>
      <c r="O23" s="155">
        <f t="shared" si="3"/>
        <v>1.0335123605712537E-2</v>
      </c>
      <c r="P23" s="155">
        <f t="shared" si="4"/>
        <v>6.8344375929909829E-2</v>
      </c>
      <c r="R23" s="179">
        <f t="shared" si="5"/>
        <v>2.6821684038712563E-2</v>
      </c>
      <c r="S23" s="195">
        <f t="shared" si="6"/>
        <v>2.7400456081331546E-2</v>
      </c>
      <c r="T23" s="7">
        <f t="shared" si="7"/>
        <v>0.49833365937512175</v>
      </c>
      <c r="U23" s="195">
        <f t="shared" si="8"/>
        <v>3.0389843399309432E-2</v>
      </c>
    </row>
    <row r="24" spans="4:32" ht="13.2" customHeight="1" outlineLevel="1" x14ac:dyDescent="0.25">
      <c r="D24" s="85" t="str">
        <f t="shared" si="0"/>
        <v>Soya beans</v>
      </c>
      <c r="E24" s="136">
        <f t="shared" ref="E24:M24" si="18">(E81*E109)/1000000</f>
        <v>2.1065377286018645</v>
      </c>
      <c r="F24" s="136">
        <f t="shared" si="18"/>
        <v>1.7834733702533307</v>
      </c>
      <c r="G24" s="136">
        <f t="shared" si="18"/>
        <v>1.6208556582642719</v>
      </c>
      <c r="H24" s="136">
        <f t="shared" si="18"/>
        <v>1.6056691753254659</v>
      </c>
      <c r="I24" s="136">
        <f t="shared" si="18"/>
        <v>1.8037403403030952</v>
      </c>
      <c r="J24" s="106">
        <f t="shared" si="18"/>
        <v>1.8347252137988717</v>
      </c>
      <c r="K24" s="106">
        <f t="shared" si="18"/>
        <v>1.8662423492639004</v>
      </c>
      <c r="L24" s="106">
        <f t="shared" si="18"/>
        <v>1.8983008899597782</v>
      </c>
      <c r="M24" s="106">
        <f t="shared" si="18"/>
        <v>1.9309101362121739</v>
      </c>
      <c r="O24" s="155">
        <f t="shared" si="3"/>
        <v>-3.8052890225672709E-2</v>
      </c>
      <c r="P24" s="155">
        <f t="shared" si="4"/>
        <v>1.7178123038801729E-2</v>
      </c>
      <c r="R24" s="179">
        <f t="shared" si="5"/>
        <v>2.1662302995783547E-2</v>
      </c>
      <c r="S24" s="195">
        <f t="shared" si="6"/>
        <v>1.910001042947081E-2</v>
      </c>
      <c r="T24" s="7">
        <f t="shared" si="7"/>
        <v>9.6184922413302232E-2</v>
      </c>
      <c r="U24" s="195">
        <f t="shared" si="8"/>
        <v>5.8656377600106169E-3</v>
      </c>
    </row>
    <row r="25" spans="4:32" ht="13.2" customHeight="1" outlineLevel="1" x14ac:dyDescent="0.25">
      <c r="D25" s="85" t="str">
        <f t="shared" si="0"/>
        <v>Cocoa beans</v>
      </c>
      <c r="E25" s="136">
        <f t="shared" ref="E25:M25" si="19">(E82*E110)/1000000</f>
        <v>1.3986719288470397</v>
      </c>
      <c r="F25" s="136">
        <f t="shared" si="19"/>
        <v>2.0369433011811684</v>
      </c>
      <c r="G25" s="136">
        <f t="shared" si="19"/>
        <v>1.4550066625554152</v>
      </c>
      <c r="H25" s="136">
        <f t="shared" si="19"/>
        <v>1.4812715629390465</v>
      </c>
      <c r="I25" s="136">
        <f t="shared" si="19"/>
        <v>1.500235360728897</v>
      </c>
      <c r="J25" s="106">
        <f t="shared" si="19"/>
        <v>1.6144184020115677</v>
      </c>
      <c r="K25" s="106">
        <f t="shared" si="19"/>
        <v>1.7372919243066482</v>
      </c>
      <c r="L25" s="106">
        <f t="shared" si="19"/>
        <v>1.8695173608653346</v>
      </c>
      <c r="M25" s="106">
        <f t="shared" si="19"/>
        <v>2.011806486679995</v>
      </c>
      <c r="O25" s="155">
        <f t="shared" si="3"/>
        <v>1.7679168389539646E-2</v>
      </c>
      <c r="P25" s="155">
        <f t="shared" si="4"/>
        <v>7.6110085305011399E-2</v>
      </c>
      <c r="R25" s="179">
        <f t="shared" si="5"/>
        <v>1.9061176204109773E-2</v>
      </c>
      <c r="S25" s="195">
        <f t="shared" si="6"/>
        <v>1.990021397528291E-2</v>
      </c>
      <c r="T25" s="7">
        <f t="shared" si="7"/>
        <v>0.39738808466842723</v>
      </c>
      <c r="U25" s="195">
        <f t="shared" si="8"/>
        <v>2.423388714494672E-2</v>
      </c>
    </row>
    <row r="26" spans="4:32" ht="13.5" customHeight="1" outlineLevel="1" x14ac:dyDescent="0.25">
      <c r="D26" s="85" t="str">
        <f t="shared" si="0"/>
        <v>Melonseed</v>
      </c>
      <c r="E26" s="136">
        <f t="shared" ref="E26:M26" si="20">(E83*E111)/1000000</f>
        <v>1.4960159994379876</v>
      </c>
      <c r="F26" s="136">
        <f t="shared" si="20"/>
        <v>1.8840846815798766</v>
      </c>
      <c r="G26" s="136">
        <f t="shared" si="20"/>
        <v>1.4658073060344765</v>
      </c>
      <c r="H26" s="136">
        <f t="shared" si="20"/>
        <v>1.2733484667843646</v>
      </c>
      <c r="I26" s="136">
        <f t="shared" si="20"/>
        <v>1.3005929275753083</v>
      </c>
      <c r="J26" s="106">
        <f t="shared" si="20"/>
        <v>1.3279706982854413</v>
      </c>
      <c r="K26" s="106">
        <f t="shared" si="20"/>
        <v>1.3559247771648448</v>
      </c>
      <c r="L26" s="106">
        <f t="shared" si="20"/>
        <v>1.3844672956287998</v>
      </c>
      <c r="M26" s="106">
        <f t="shared" si="20"/>
        <v>1.4136106404615809</v>
      </c>
      <c r="O26" s="155">
        <f t="shared" si="3"/>
        <v>-3.4391038922494177E-2</v>
      </c>
      <c r="P26" s="155">
        <f t="shared" si="4"/>
        <v>2.105022265588774E-2</v>
      </c>
      <c r="R26" s="179">
        <f t="shared" si="5"/>
        <v>1.567913462976751E-2</v>
      </c>
      <c r="S26" s="195">
        <f t="shared" si="6"/>
        <v>1.3983031871691552E-2</v>
      </c>
      <c r="T26" s="7">
        <f t="shared" si="7"/>
        <v>8.5639942176139572E-2</v>
      </c>
      <c r="U26" s="195">
        <f t="shared" si="8"/>
        <v>5.2225740374877939E-3</v>
      </c>
    </row>
    <row r="27" spans="4:32" ht="13.5" customHeight="1" outlineLevel="1" x14ac:dyDescent="0.25">
      <c r="D27" s="85" t="str">
        <f t="shared" si="0"/>
        <v>Other citrus fruit, n.e.c.</v>
      </c>
      <c r="E27" s="136">
        <f t="shared" ref="E27:M27" si="21">(E84*E112)/1000000</f>
        <v>1.291880052409857</v>
      </c>
      <c r="F27" s="136">
        <f t="shared" si="21"/>
        <v>1.7425464445313705</v>
      </c>
      <c r="G27" s="136">
        <f t="shared" si="21"/>
        <v>1.3350618357693549</v>
      </c>
      <c r="H27" s="136">
        <f t="shared" si="21"/>
        <v>1.1612440705233016</v>
      </c>
      <c r="I27" s="136">
        <f t="shared" si="21"/>
        <v>1.2068062823530896</v>
      </c>
      <c r="J27" s="106">
        <f t="shared" si="21"/>
        <v>1.2545478246567647</v>
      </c>
      <c r="K27" s="106">
        <f t="shared" si="21"/>
        <v>1.3041780336792523</v>
      </c>
      <c r="L27" s="106">
        <f t="shared" si="21"/>
        <v>1.3557716255231873</v>
      </c>
      <c r="M27" s="106">
        <f t="shared" si="21"/>
        <v>1.409406272077919</v>
      </c>
      <c r="O27" s="155">
        <f t="shared" si="3"/>
        <v>-1.6886086538876133E-2</v>
      </c>
      <c r="P27" s="155">
        <f t="shared" si="4"/>
        <v>3.9560236801706505E-2</v>
      </c>
      <c r="R27" s="179">
        <f t="shared" si="5"/>
        <v>1.4812242670468434E-2</v>
      </c>
      <c r="S27" s="195">
        <f t="shared" si="6"/>
        <v>1.3941443462955552E-2</v>
      </c>
      <c r="T27" s="7">
        <f t="shared" si="7"/>
        <v>0.15485844742115429</v>
      </c>
      <c r="U27" s="195">
        <f t="shared" si="8"/>
        <v>9.4437208437620854E-3</v>
      </c>
    </row>
    <row r="28" spans="4:32" ht="13.5" customHeight="1" outlineLevel="1" x14ac:dyDescent="0.25">
      <c r="D28" s="85" t="str">
        <f t="shared" si="0"/>
        <v>Tomatoes</v>
      </c>
      <c r="E28" s="136">
        <f t="shared" ref="E28:M28" si="22">(E85*E113)/1000000</f>
        <v>1.0995264254836941</v>
      </c>
      <c r="F28" s="136">
        <f t="shared" si="22"/>
        <v>1.8175988662804814</v>
      </c>
      <c r="G28" s="136">
        <f t="shared" si="22"/>
        <v>1.3695066143830157</v>
      </c>
      <c r="H28" s="136">
        <f t="shared" si="22"/>
        <v>1.1692595899170661</v>
      </c>
      <c r="I28" s="136">
        <f t="shared" si="22"/>
        <v>1.200140830451909</v>
      </c>
      <c r="J28" s="106">
        <f t="shared" si="22"/>
        <v>1.297133462720218</v>
      </c>
      <c r="K28" s="106">
        <f t="shared" si="22"/>
        <v>1.4019648173081347</v>
      </c>
      <c r="L28" s="106">
        <f t="shared" si="22"/>
        <v>1.5152684017941922</v>
      </c>
      <c r="M28" s="106">
        <f t="shared" si="22"/>
        <v>1.6377289223879892</v>
      </c>
      <c r="O28" s="155">
        <f t="shared" si="3"/>
        <v>2.2131176158484367E-2</v>
      </c>
      <c r="P28" s="155">
        <f t="shared" si="4"/>
        <v>8.0817708894869389E-2</v>
      </c>
      <c r="R28" s="179">
        <f t="shared" si="5"/>
        <v>1.5315044391435257E-2</v>
      </c>
      <c r="S28" s="195">
        <f t="shared" si="6"/>
        <v>1.6199945772525259E-2</v>
      </c>
      <c r="T28" s="7">
        <f t="shared" si="7"/>
        <v>0.34059545966777116</v>
      </c>
      <c r="U28" s="195">
        <f t="shared" si="8"/>
        <v>2.0770506842340161E-2</v>
      </c>
    </row>
    <row r="29" spans="4:32" ht="13.5" customHeight="1" outlineLevel="1" x14ac:dyDescent="0.25">
      <c r="D29" s="85" t="str">
        <f t="shared" si="0"/>
        <v>Taro</v>
      </c>
      <c r="E29" s="136">
        <f t="shared" ref="E29:M29" si="23">(E86*E114)/1000000</f>
        <v>1.2172790736883894</v>
      </c>
      <c r="F29" s="136">
        <f t="shared" si="23"/>
        <v>1.7185068364395018</v>
      </c>
      <c r="G29" s="136">
        <f t="shared" si="23"/>
        <v>1.307038802983463</v>
      </c>
      <c r="H29" s="136">
        <f t="shared" si="23"/>
        <v>1.1097220242603436</v>
      </c>
      <c r="I29" s="136">
        <f t="shared" si="23"/>
        <v>1.1595953881154797</v>
      </c>
      <c r="J29" s="106">
        <f t="shared" si="23"/>
        <v>1.2113827280122387</v>
      </c>
      <c r="K29" s="106">
        <f t="shared" si="23"/>
        <v>1.2654828820173227</v>
      </c>
      <c r="L29" s="106">
        <f t="shared" si="23"/>
        <v>1.3219991400295827</v>
      </c>
      <c r="M29" s="106">
        <f t="shared" si="23"/>
        <v>1.381039404857815</v>
      </c>
      <c r="O29" s="155">
        <f t="shared" si="3"/>
        <v>-1.2063386728953684E-2</v>
      </c>
      <c r="P29" s="155">
        <f t="shared" si="4"/>
        <v>4.4659836032050038E-2</v>
      </c>
      <c r="R29" s="179">
        <f t="shared" si="5"/>
        <v>1.4302599376026574E-2</v>
      </c>
      <c r="S29" s="195">
        <f t="shared" si="6"/>
        <v>1.3660846531180024E-2</v>
      </c>
      <c r="T29" s="7">
        <f t="shared" si="7"/>
        <v>0.16965667684557628</v>
      </c>
      <c r="U29" s="195">
        <f t="shared" si="8"/>
        <v>1.034616013586038E-2</v>
      </c>
    </row>
    <row r="30" spans="4:32" ht="13.5" customHeight="1" outlineLevel="1" x14ac:dyDescent="0.25">
      <c r="D30" s="85" t="str">
        <f t="shared" si="0"/>
        <v>Other vegetables, fresh n.e.c.</v>
      </c>
      <c r="E30" s="136">
        <f t="shared" ref="E30:M30" si="24">(E87*E115)/1000000</f>
        <v>1.1718916638904038</v>
      </c>
      <c r="F30" s="136">
        <f t="shared" si="24"/>
        <v>1.5657590369851062</v>
      </c>
      <c r="G30" s="136">
        <f t="shared" si="24"/>
        <v>1.1942630666388747</v>
      </c>
      <c r="H30" s="136">
        <f t="shared" si="24"/>
        <v>1.0304450548415427</v>
      </c>
      <c r="I30" s="136">
        <f t="shared" si="24"/>
        <v>1.0641974398755807</v>
      </c>
      <c r="J30" s="106">
        <f t="shared" si="24"/>
        <v>1.0985041777286606</v>
      </c>
      <c r="K30" s="106">
        <f t="shared" si="24"/>
        <v>1.1339168684980132</v>
      </c>
      <c r="L30" s="106">
        <f t="shared" si="24"/>
        <v>1.1704711650008264</v>
      </c>
      <c r="M30" s="106">
        <f t="shared" si="24"/>
        <v>1.208203869401024</v>
      </c>
      <c r="O30" s="155">
        <f t="shared" si="3"/>
        <v>-2.3811502085579694E-2</v>
      </c>
      <c r="P30" s="155">
        <f t="shared" si="4"/>
        <v>3.2237192618214561E-2</v>
      </c>
      <c r="R30" s="179">
        <f t="shared" si="5"/>
        <v>1.2969860642412751E-2</v>
      </c>
      <c r="S30" s="195">
        <f t="shared" si="6"/>
        <v>1.1951206880997392E-2</v>
      </c>
      <c r="T30" s="7">
        <f t="shared" si="7"/>
        <v>0.10969969167236338</v>
      </c>
      <c r="U30" s="195">
        <f t="shared" si="8"/>
        <v>6.6898078991011111E-3</v>
      </c>
    </row>
    <row r="31" spans="4:32" ht="13.5" customHeight="1" outlineLevel="1" x14ac:dyDescent="0.25">
      <c r="D31" s="85" t="str">
        <f t="shared" si="0"/>
        <v>Onions and shallots, dry (excluding dehydrated)</v>
      </c>
      <c r="E31" s="136">
        <f t="shared" ref="E31:M31" si="25">(E88*E116)/1000000</f>
        <v>0.862937751404249</v>
      </c>
      <c r="F31" s="136">
        <f t="shared" si="25"/>
        <v>1.2069547655267645</v>
      </c>
      <c r="G31" s="136">
        <f t="shared" si="25"/>
        <v>0.98556907511892133</v>
      </c>
      <c r="H31" s="136">
        <f t="shared" si="25"/>
        <v>0.94441897129125874</v>
      </c>
      <c r="I31" s="136">
        <f t="shared" si="25"/>
        <v>1.001628014493255</v>
      </c>
      <c r="J31" s="106">
        <f t="shared" si="25"/>
        <v>1.0993450574922605</v>
      </c>
      <c r="K31" s="106">
        <f t="shared" si="25"/>
        <v>1.2065952009580103</v>
      </c>
      <c r="L31" s="106">
        <f t="shared" si="25"/>
        <v>1.3243084771726918</v>
      </c>
      <c r="M31" s="106">
        <f t="shared" si="25"/>
        <v>1.4535056507095179</v>
      </c>
      <c r="O31" s="155">
        <f t="shared" si="3"/>
        <v>3.7962703438272127E-2</v>
      </c>
      <c r="P31" s="155">
        <f t="shared" si="4"/>
        <v>9.7558216808105946E-2</v>
      </c>
      <c r="R31" s="179">
        <f t="shared" si="5"/>
        <v>1.2979788773385787E-2</v>
      </c>
      <c r="S31" s="195">
        <f t="shared" si="6"/>
        <v>1.4377661894875455E-2</v>
      </c>
      <c r="T31" s="7">
        <f t="shared" si="7"/>
        <v>0.35416059321725735</v>
      </c>
      <c r="U31" s="195">
        <f t="shared" si="8"/>
        <v>2.1597748343097963E-2</v>
      </c>
    </row>
    <row r="32" spans="4:32" ht="13.5" customHeight="1" outlineLevel="1" x14ac:dyDescent="0.25">
      <c r="D32" s="86" t="str">
        <f t="shared" si="0"/>
        <v>Sesame seed</v>
      </c>
      <c r="E32" s="137">
        <f>(E89*E117)/1000000</f>
        <v>1.587798940368033</v>
      </c>
      <c r="F32" s="137">
        <f>(F89*F117)/1000000</f>
        <v>1.3227137272717437</v>
      </c>
      <c r="G32" s="137">
        <f>(G89*G117)/1000000</f>
        <v>0.95959845142140809</v>
      </c>
      <c r="H32" s="137">
        <f>(H89*H117)/1000000</f>
        <v>0.69952510064272089</v>
      </c>
      <c r="I32" s="137">
        <f>(I89*I117)/1000000</f>
        <v>0.70577629798239916</v>
      </c>
      <c r="J32" s="107">
        <f t="shared" ref="J32:M32" si="26">(J89*J117)/1000000</f>
        <v>0.60936958905319838</v>
      </c>
      <c r="K32" s="107">
        <f t="shared" si="26"/>
        <v>0.52613171783238932</v>
      </c>
      <c r="L32" s="107">
        <f t="shared" si="26"/>
        <v>0.4542638646266523</v>
      </c>
      <c r="M32" s="107">
        <f t="shared" si="26"/>
        <v>0.39221292256567702</v>
      </c>
      <c r="O32" s="156">
        <f t="shared" si="3"/>
        <v>-0.18347800048786989</v>
      </c>
      <c r="P32" s="155">
        <f t="shared" si="4"/>
        <v>-0.13659669388841522</v>
      </c>
      <c r="R32" s="179">
        <f t="shared" si="5"/>
        <v>7.1947278945137727E-3</v>
      </c>
      <c r="S32" s="195">
        <f t="shared" si="6"/>
        <v>3.8796579763536419E-3</v>
      </c>
      <c r="T32" s="7">
        <f t="shared" si="7"/>
        <v>-0.21715666648752135</v>
      </c>
      <c r="U32" s="195">
        <f t="shared" si="8"/>
        <v>-1.3242848367792392E-2</v>
      </c>
    </row>
    <row r="33" spans="4:24" ht="13.5" customHeight="1" outlineLevel="1" thickBot="1" x14ac:dyDescent="0.3">
      <c r="D33" s="87" t="s">
        <v>13</v>
      </c>
      <c r="E33" s="108">
        <f t="shared" ref="E33:M33" si="27">SUM(E13:E32)</f>
        <v>85.212850513355235</v>
      </c>
      <c r="F33" s="108">
        <f t="shared" si="27"/>
        <v>111.0834459471715</v>
      </c>
      <c r="G33" s="108">
        <f>SUM(G13:G32)</f>
        <v>89.235726711289701</v>
      </c>
      <c r="H33" s="108">
        <f t="shared" si="27"/>
        <v>74.575990768871009</v>
      </c>
      <c r="I33" s="108">
        <f>SUM(I13:I32)</f>
        <v>80.007964289770001</v>
      </c>
      <c r="J33" s="109">
        <f>SUM(J13:J32)</f>
        <v>84.696683180730659</v>
      </c>
      <c r="K33" s="109">
        <f t="shared" si="27"/>
        <v>89.755170946122547</v>
      </c>
      <c r="L33" s="109">
        <f t="shared" si="27"/>
        <v>95.211039340628005</v>
      </c>
      <c r="M33" s="109">
        <f t="shared" si="27"/>
        <v>101.09471632710896</v>
      </c>
      <c r="O33" s="157">
        <f>IFERROR(_xlfn.RRI($H$12-$E$12,E33,H33),0)</f>
        <v>-4.3471356837198716E-2</v>
      </c>
      <c r="P33" s="186">
        <f>IFERROR(_xlfn.RRI($M$12-$I$12,I33,M33),0)</f>
        <v>6.0226876724750245E-2</v>
      </c>
      <c r="Q33" s="179"/>
      <c r="R33" s="179">
        <f t="shared" si="5"/>
        <v>1</v>
      </c>
      <c r="S33" s="195">
        <f>M33/$M$33</f>
        <v>1</v>
      </c>
      <c r="T33" s="7">
        <f>M33-J33</f>
        <v>16.398033146378296</v>
      </c>
      <c r="U33" s="195">
        <f t="shared" si="8"/>
        <v>1</v>
      </c>
    </row>
    <row r="34" spans="4:24" ht="13.5" customHeight="1" outlineLevel="1" thickTop="1" thickBot="1" x14ac:dyDescent="0.3">
      <c r="D34" s="138" t="s">
        <v>17</v>
      </c>
      <c r="E34" s="110">
        <f>E33/46%</f>
        <v>185.24532720294616</v>
      </c>
      <c r="F34" s="110">
        <f t="shared" ref="F34:M34" si="28">F33/46%</f>
        <v>241.48575205906846</v>
      </c>
      <c r="G34" s="110">
        <f t="shared" si="28"/>
        <v>193.99071024193412</v>
      </c>
      <c r="H34" s="110">
        <f t="shared" si="28"/>
        <v>162.12171906276305</v>
      </c>
      <c r="I34" s="110">
        <f>I33/46%</f>
        <v>173.93035715167392</v>
      </c>
      <c r="J34" s="111">
        <f t="shared" si="28"/>
        <v>184.12322430593622</v>
      </c>
      <c r="K34" s="111">
        <f t="shared" si="28"/>
        <v>195.11993683939684</v>
      </c>
      <c r="L34" s="111">
        <f t="shared" si="28"/>
        <v>206.98052030571304</v>
      </c>
      <c r="M34" s="111">
        <f t="shared" si="28"/>
        <v>219.77112245023685</v>
      </c>
      <c r="O34" s="157">
        <f>IFERROR(_xlfn.RRI($H$69-$E$69,E34,H34),0)</f>
        <v>-4.3471356837198827E-2</v>
      </c>
      <c r="P34" s="157">
        <f t="shared" si="4"/>
        <v>6.0226876724750245E-2</v>
      </c>
      <c r="Q34" s="1"/>
    </row>
    <row r="35" spans="4:24" ht="13.5" customHeight="1" thickTop="1" x14ac:dyDescent="0.25">
      <c r="E35" s="37"/>
      <c r="F35" s="37"/>
      <c r="G35" s="37"/>
      <c r="H35" s="37"/>
      <c r="I35" s="37"/>
      <c r="J35" s="37"/>
      <c r="K35" s="37"/>
      <c r="L35" s="37"/>
      <c r="M35" s="37"/>
    </row>
    <row r="36" spans="4:24" ht="13.5" customHeight="1" x14ac:dyDescent="0.25">
      <c r="D36" s="32" t="s">
        <v>278</v>
      </c>
      <c r="E36" s="7"/>
      <c r="F36" s="7"/>
      <c r="G36" s="7"/>
      <c r="H36" s="7"/>
      <c r="I36" s="7"/>
      <c r="J36" s="7"/>
      <c r="K36" s="7"/>
      <c r="L36" s="7"/>
      <c r="M36" s="195"/>
    </row>
    <row r="37" spans="4:24" ht="13.5" customHeight="1" x14ac:dyDescent="0.25">
      <c r="D37" s="33" t="s">
        <v>19</v>
      </c>
      <c r="F37" s="62"/>
      <c r="G37" s="7"/>
      <c r="H37" s="7"/>
      <c r="I37" s="7"/>
      <c r="S37" s="2">
        <f>10.3%*M33</f>
        <v>10.412755781692223</v>
      </c>
    </row>
    <row r="38" spans="4:24" ht="13.5" customHeight="1" outlineLevel="1" x14ac:dyDescent="0.25">
      <c r="E38" s="139" t="s">
        <v>12</v>
      </c>
      <c r="F38" s="148">
        <f>_xlfn.RRI(M39-I39,I60,M60)</f>
        <v>0.30102180573676951</v>
      </c>
      <c r="G38" s="7"/>
      <c r="H38" s="7"/>
      <c r="I38" s="7"/>
      <c r="R38" s="1"/>
    </row>
    <row r="39" spans="4:24" ht="13.5" customHeight="1" outlineLevel="1" x14ac:dyDescent="0.25">
      <c r="D39" s="30"/>
      <c r="E39" s="34">
        <v>2017</v>
      </c>
      <c r="F39" s="34">
        <v>2018</v>
      </c>
      <c r="G39" s="34">
        <v>2019</v>
      </c>
      <c r="H39" s="34">
        <v>2020</v>
      </c>
      <c r="I39" s="34">
        <v>2021</v>
      </c>
      <c r="J39" s="34">
        <v>2022</v>
      </c>
      <c r="K39" s="34">
        <v>2023</v>
      </c>
      <c r="L39" s="34">
        <v>2024</v>
      </c>
      <c r="M39" s="34">
        <v>2025</v>
      </c>
      <c r="O39" s="30" t="s">
        <v>20</v>
      </c>
      <c r="P39" s="30" t="s">
        <v>12</v>
      </c>
      <c r="R39" s="1" t="s">
        <v>171</v>
      </c>
      <c r="S39" s="30" t="s">
        <v>172</v>
      </c>
      <c r="T39" s="30" t="s">
        <v>299</v>
      </c>
      <c r="U39" s="30" t="s">
        <v>300</v>
      </c>
      <c r="V39" s="30" t="s">
        <v>301</v>
      </c>
    </row>
    <row r="40" spans="4:24" ht="13.5" customHeight="1" outlineLevel="1" x14ac:dyDescent="0.25">
      <c r="D40" s="85" t="str">
        <f t="shared" ref="D40:D59" si="29">D70</f>
        <v>Cassava, fresh</v>
      </c>
      <c r="E40" s="140">
        <f>(E70*E136)/1000000</f>
        <v>5.3003586175275741</v>
      </c>
      <c r="F40" s="140">
        <f t="shared" ref="F40:L40" si="30">(F70*F136)/1000000</f>
        <v>7.2654106494577517</v>
      </c>
      <c r="G40" s="140">
        <f t="shared" si="30"/>
        <v>7.7894741125380973</v>
      </c>
      <c r="H40" s="140">
        <f t="shared" si="30"/>
        <v>5.0177048165405438</v>
      </c>
      <c r="I40" s="140">
        <f>(I70*I136)/1000000</f>
        <v>6.4549708265642032</v>
      </c>
      <c r="J40" s="112">
        <f>(J70*J136)/1000000</f>
        <v>7.1703005184939625</v>
      </c>
      <c r="K40" s="112">
        <f t="shared" si="30"/>
        <v>7.9649019192981507</v>
      </c>
      <c r="L40" s="112">
        <f t="shared" si="30"/>
        <v>18.304823742773959</v>
      </c>
      <c r="M40" s="112">
        <f>(M70*M136)/1000000</f>
        <v>30.183403925098023</v>
      </c>
      <c r="O40" s="155">
        <f>IFERROR(_xlfn.RRI($H$12-$E$12,E40,H40),0)</f>
        <v>-1.8101451325992723E-2</v>
      </c>
      <c r="P40" s="155">
        <f>IFERROR(_xlfn.RRI($M$12-$I$12,I40,M40),0)</f>
        <v>0.47051169552073224</v>
      </c>
      <c r="R40" s="179">
        <f>J40/$J$33</f>
        <v>8.4658575155694846E-2</v>
      </c>
      <c r="S40" s="195">
        <f>M40/$M$60</f>
        <v>0.13167298856570531</v>
      </c>
      <c r="T40" s="7">
        <f>M40-J40</f>
        <v>23.01310340660406</v>
      </c>
      <c r="U40" s="195">
        <f>(M40-J40)/($T$60)</f>
        <v>0.15922347982952231</v>
      </c>
      <c r="V40" s="7">
        <f t="shared" ref="V40:V59" si="31">T40-T13</f>
        <v>20.355371500386589</v>
      </c>
      <c r="W40" s="7"/>
      <c r="X40" s="7"/>
    </row>
    <row r="41" spans="4:24" ht="13.5" customHeight="1" outlineLevel="1" x14ac:dyDescent="0.25">
      <c r="D41" s="85" t="str">
        <f t="shared" si="29"/>
        <v>Maize (corn)</v>
      </c>
      <c r="E41" s="140">
        <f t="shared" ref="E41:M41" si="32">(E71*E137)/1000000</f>
        <v>14.024354354958179</v>
      </c>
      <c r="F41" s="140">
        <f t="shared" si="32"/>
        <v>19.148166137955162</v>
      </c>
      <c r="G41" s="140">
        <f t="shared" si="32"/>
        <v>14.597483012042838</v>
      </c>
      <c r="H41" s="140">
        <f t="shared" si="32"/>
        <v>10.599261434309726</v>
      </c>
      <c r="I41" s="140">
        <f t="shared" si="32"/>
        <v>11.935577908743838</v>
      </c>
      <c r="J41" s="112">
        <f t="shared" si="32"/>
        <v>12.929869787539227</v>
      </c>
      <c r="K41" s="112">
        <f t="shared" si="32"/>
        <v>14.006991031430896</v>
      </c>
      <c r="L41" s="112">
        <f t="shared" si="32"/>
        <v>21.386255838376222</v>
      </c>
      <c r="M41" s="112">
        <f t="shared" si="32"/>
        <v>29.468429648437496</v>
      </c>
      <c r="O41" s="155">
        <f t="shared" ref="O41:O61" si="33">IFERROR(_xlfn.RRI($I$69-$E$69,E41,I41),0)</f>
        <v>-3.9515979704399462E-2</v>
      </c>
      <c r="P41" s="155">
        <f t="shared" ref="P41:P61" si="34">IFERROR(_xlfn.RRI($M$12-$I$12,I41,M41),0)</f>
        <v>0.25351168093714849</v>
      </c>
      <c r="R41" s="179">
        <f t="shared" ref="R41:R60" si="35">J41/$J$33</f>
        <v>0.15266087527830016</v>
      </c>
      <c r="S41" s="195">
        <f t="shared" ref="S41:S60" si="36">M41/$M$60</f>
        <v>0.12855396328979155</v>
      </c>
      <c r="T41" s="7">
        <f t="shared" ref="T41:T60" si="37">M41-J41</f>
        <v>16.538559860898268</v>
      </c>
      <c r="U41" s="195">
        <f t="shared" ref="U41:U59" si="38">(M41-J41)/($T$60)</f>
        <v>0.11442728978766932</v>
      </c>
      <c r="V41" s="7">
        <f t="shared" si="31"/>
        <v>13.030532861650547</v>
      </c>
      <c r="W41" s="7"/>
      <c r="X41" s="7"/>
    </row>
    <row r="42" spans="4:24" ht="13.5" customHeight="1" outlineLevel="1" x14ac:dyDescent="0.25">
      <c r="D42" s="85" t="str">
        <f t="shared" si="29"/>
        <v>Yams</v>
      </c>
      <c r="E42" s="140">
        <f t="shared" ref="E42:M42" si="39">(E72*E138)/1000000</f>
        <v>4.1360396224452218</v>
      </c>
      <c r="F42" s="140">
        <f t="shared" si="39"/>
        <v>5.6747223067863528</v>
      </c>
      <c r="G42" s="140">
        <f t="shared" si="39"/>
        <v>5.4003854789434245</v>
      </c>
      <c r="H42" s="140">
        <f t="shared" si="39"/>
        <v>4.2675599833842401</v>
      </c>
      <c r="I42" s="140">
        <f t="shared" si="39"/>
        <v>4.193210072704149</v>
      </c>
      <c r="J42" s="112">
        <f t="shared" si="39"/>
        <v>4.4492101541947378</v>
      </c>
      <c r="K42" s="112">
        <f t="shared" si="39"/>
        <v>4.7208393218953875</v>
      </c>
      <c r="L42" s="112">
        <f t="shared" si="39"/>
        <v>10.363287901383226</v>
      </c>
      <c r="M42" s="112">
        <f t="shared" si="39"/>
        <v>16.32275465222099</v>
      </c>
      <c r="O42" s="155">
        <f t="shared" si="33"/>
        <v>3.4378585994219168E-3</v>
      </c>
      <c r="P42" s="155">
        <f t="shared" si="34"/>
        <v>0.40462925058704102</v>
      </c>
      <c r="R42" s="179">
        <f t="shared" si="35"/>
        <v>5.253110260174837E-2</v>
      </c>
      <c r="S42" s="195">
        <f t="shared" si="36"/>
        <v>7.1206875540487186E-2</v>
      </c>
      <c r="T42" s="7">
        <f t="shared" si="37"/>
        <v>11.873544498026252</v>
      </c>
      <c r="U42" s="195">
        <f t="shared" si="38"/>
        <v>8.2150896360370471E-2</v>
      </c>
      <c r="V42" s="7">
        <f t="shared" si="31"/>
        <v>11.007894791460064</v>
      </c>
      <c r="W42" s="7"/>
      <c r="X42" s="7"/>
    </row>
    <row r="43" spans="4:24" ht="13.5" customHeight="1" outlineLevel="1" x14ac:dyDescent="0.25">
      <c r="D43" s="85" t="str">
        <f t="shared" si="29"/>
        <v>Sorghum</v>
      </c>
      <c r="E43" s="140">
        <f t="shared" ref="E43:M43" si="40">(E73*E139)/1000000</f>
        <v>12.774763032712306</v>
      </c>
      <c r="F43" s="140">
        <f t="shared" si="40"/>
        <v>16.365375229481916</v>
      </c>
      <c r="G43" s="140">
        <f t="shared" si="40"/>
        <v>12.040056358674056</v>
      </c>
      <c r="H43" s="140">
        <f t="shared" si="40"/>
        <v>10.791975278569904</v>
      </c>
      <c r="I43" s="140">
        <f t="shared" si="40"/>
        <v>11.338799013306648</v>
      </c>
      <c r="J43" s="112">
        <f t="shared" si="40"/>
        <v>11.637680374244397</v>
      </c>
      <c r="K43" s="112">
        <f t="shared" si="40"/>
        <v>11.944440000579672</v>
      </c>
      <c r="L43" s="112">
        <f t="shared" si="40"/>
        <v>11.882388862964877</v>
      </c>
      <c r="M43" s="112">
        <f t="shared" si="40"/>
        <v>11.820660079824561</v>
      </c>
      <c r="O43" s="155">
        <f t="shared" si="33"/>
        <v>-2.9370355724747998E-2</v>
      </c>
      <c r="P43" s="155">
        <f>IFERROR(_xlfn.RRI($M$12-$I$12,I43,M43),0)</f>
        <v>1.0458933537018655E-2</v>
      </c>
      <c r="R43" s="179">
        <f t="shared" si="35"/>
        <v>0.13740420447647572</v>
      </c>
      <c r="S43" s="195">
        <f t="shared" si="36"/>
        <v>5.1566802849416324E-2</v>
      </c>
      <c r="T43" s="7">
        <f t="shared" si="37"/>
        <v>0.18297970558016452</v>
      </c>
      <c r="U43" s="195">
        <f t="shared" si="38"/>
        <v>1.2660033262743042E-3</v>
      </c>
      <c r="V43" s="7">
        <f t="shared" si="31"/>
        <v>-0.76177010171563175</v>
      </c>
      <c r="W43" s="7"/>
      <c r="X43" s="7"/>
    </row>
    <row r="44" spans="4:24" ht="13.5" customHeight="1" outlineLevel="1" x14ac:dyDescent="0.25">
      <c r="D44" s="85" t="str">
        <f t="shared" si="29"/>
        <v>Cow peas, dry</v>
      </c>
      <c r="E44" s="140">
        <f t="shared" ref="E44:M44" si="41">(E74*E140)/1000000</f>
        <v>9.4229210844709321</v>
      </c>
      <c r="F44" s="140">
        <f t="shared" si="41"/>
        <v>10.746117569838793</v>
      </c>
      <c r="G44" s="140">
        <f t="shared" si="41"/>
        <v>8.4333667911838486</v>
      </c>
      <c r="H44" s="140">
        <f t="shared" si="41"/>
        <v>7.7441744467691418</v>
      </c>
      <c r="I44" s="140">
        <f t="shared" si="41"/>
        <v>8.0172845488986084</v>
      </c>
      <c r="J44" s="112">
        <f t="shared" si="41"/>
        <v>8.1420459813289163</v>
      </c>
      <c r="K44" s="112">
        <f t="shared" si="41"/>
        <v>8.2687488959315392</v>
      </c>
      <c r="L44" s="112">
        <f t="shared" si="41"/>
        <v>8.2469624938391259</v>
      </c>
      <c r="M44" s="112">
        <f t="shared" si="41"/>
        <v>8.2238305130745779</v>
      </c>
      <c r="O44" s="155">
        <f t="shared" si="33"/>
        <v>-3.9581679295261907E-2</v>
      </c>
      <c r="P44" s="155">
        <f t="shared" si="34"/>
        <v>6.3793418908759669E-3</v>
      </c>
      <c r="R44" s="179">
        <f t="shared" si="35"/>
        <v>9.613181621238874E-2</v>
      </c>
      <c r="S44" s="195">
        <f t="shared" si="36"/>
        <v>3.5875885430335888E-2</v>
      </c>
      <c r="T44" s="7">
        <f t="shared" si="37"/>
        <v>8.1784531745661582E-2</v>
      </c>
      <c r="U44" s="195">
        <f t="shared" si="38"/>
        <v>5.6585231077679648E-4</v>
      </c>
      <c r="V44" s="7">
        <f t="shared" si="31"/>
        <v>-0.304269978676313</v>
      </c>
      <c r="W44" s="7"/>
      <c r="X44" s="7"/>
    </row>
    <row r="45" spans="4:24" ht="13.5" customHeight="1" outlineLevel="1" x14ac:dyDescent="0.25">
      <c r="D45" s="85" t="str">
        <f t="shared" si="29"/>
        <v>Rice</v>
      </c>
      <c r="E45" s="140">
        <f t="shared" ref="E45:M45" si="42">(E75*E141)/1000000</f>
        <v>6.9721546037323234</v>
      </c>
      <c r="F45" s="140">
        <f t="shared" si="42"/>
        <v>8.500762554890203</v>
      </c>
      <c r="G45" s="140">
        <f t="shared" si="42"/>
        <v>6.5757880533695268</v>
      </c>
      <c r="H45" s="140">
        <f t="shared" si="42"/>
        <v>5.7746703432561999</v>
      </c>
      <c r="I45" s="140">
        <f t="shared" si="42"/>
        <v>6.1384393004243165</v>
      </c>
      <c r="J45" s="112">
        <f t="shared" si="42"/>
        <v>6.6498012463271694</v>
      </c>
      <c r="K45" s="112">
        <f t="shared" si="42"/>
        <v>7.2037621374862661</v>
      </c>
      <c r="L45" s="112">
        <f t="shared" si="42"/>
        <v>11.562189015555289</v>
      </c>
      <c r="M45" s="112">
        <f t="shared" si="42"/>
        <v>16.338449176087497</v>
      </c>
      <c r="O45" s="155">
        <f t="shared" si="33"/>
        <v>-3.133693774239743E-2</v>
      </c>
      <c r="P45" s="155">
        <f t="shared" si="34"/>
        <v>0.27728618950705441</v>
      </c>
      <c r="R45" s="179">
        <f t="shared" si="35"/>
        <v>7.8513124677355314E-2</v>
      </c>
      <c r="S45" s="195">
        <f t="shared" si="36"/>
        <v>7.1275341803164083E-2</v>
      </c>
      <c r="T45" s="7">
        <f t="shared" si="37"/>
        <v>9.6886479297603287</v>
      </c>
      <c r="U45" s="195">
        <f t="shared" si="38"/>
        <v>6.7033994110365855E-2</v>
      </c>
      <c r="V45" s="7">
        <f t="shared" si="31"/>
        <v>7.8844779964924614</v>
      </c>
      <c r="W45" s="7"/>
      <c r="X45" s="7"/>
    </row>
    <row r="46" spans="4:24" ht="13.5" customHeight="1" outlineLevel="1" x14ac:dyDescent="0.25">
      <c r="D46" s="85" t="str">
        <f t="shared" si="29"/>
        <v>Groundnuts, excluding shelled</v>
      </c>
      <c r="E46" s="140">
        <f t="shared" ref="E46:M46" si="43">(E76*E142)/1000000</f>
        <v>7.8950011020981528</v>
      </c>
      <c r="F46" s="140">
        <f t="shared" si="43"/>
        <v>11.000561045302385</v>
      </c>
      <c r="G46" s="140">
        <f t="shared" si="43"/>
        <v>8.7926990049700908</v>
      </c>
      <c r="H46" s="140">
        <f t="shared" si="43"/>
        <v>7.9380104362138955</v>
      </c>
      <c r="I46" s="140">
        <f t="shared" si="43"/>
        <v>8.4978509849447565</v>
      </c>
      <c r="J46" s="112">
        <f t="shared" si="43"/>
        <v>9.1525931410414962</v>
      </c>
      <c r="K46" s="112">
        <f t="shared" si="43"/>
        <v>9.8577818502408636</v>
      </c>
      <c r="L46" s="112">
        <f t="shared" si="43"/>
        <v>14.199656855374053</v>
      </c>
      <c r="M46" s="112">
        <f t="shared" si="43"/>
        <v>18.904027616100922</v>
      </c>
      <c r="O46" s="155">
        <f t="shared" si="33"/>
        <v>1.8566126270163963E-2</v>
      </c>
      <c r="P46" s="155">
        <f t="shared" si="34"/>
        <v>0.2212689286101337</v>
      </c>
      <c r="R46" s="179">
        <f t="shared" si="35"/>
        <v>0.10806318261024657</v>
      </c>
      <c r="S46" s="195">
        <f t="shared" si="36"/>
        <v>8.2467498308594109E-2</v>
      </c>
      <c r="T46" s="7">
        <f t="shared" si="37"/>
        <v>9.7514344750594262</v>
      </c>
      <c r="U46" s="195">
        <f t="shared" si="38"/>
        <v>6.7468402805810526E-2</v>
      </c>
      <c r="V46" s="7">
        <f t="shared" si="31"/>
        <v>7.4686820000033816</v>
      </c>
      <c r="W46" s="7"/>
      <c r="X46" s="7"/>
    </row>
    <row r="47" spans="4:24" ht="13.5" customHeight="1" outlineLevel="1" x14ac:dyDescent="0.25">
      <c r="D47" s="85" t="str">
        <f t="shared" si="29"/>
        <v>Oil palm fruit</v>
      </c>
      <c r="E47" s="140">
        <f t="shared" ref="E47:M47" si="44">(E77*E143)/1000000</f>
        <v>5.5584753072184787</v>
      </c>
      <c r="F47" s="140">
        <f t="shared" si="44"/>
        <v>7.8122516188454361</v>
      </c>
      <c r="G47" s="140">
        <f t="shared" si="44"/>
        <v>6.0310232280247718</v>
      </c>
      <c r="H47" s="140">
        <f t="shared" si="44"/>
        <v>5.3384253905318966</v>
      </c>
      <c r="I47" s="140">
        <f t="shared" si="44"/>
        <v>5.595320774001852</v>
      </c>
      <c r="J47" s="112">
        <f t="shared" si="44"/>
        <v>5.9263614173681276</v>
      </c>
      <c r="K47" s="112">
        <f t="shared" si="44"/>
        <v>6.2769876952291321</v>
      </c>
      <c r="L47" s="112">
        <f t="shared" si="44"/>
        <v>12.380840641987341</v>
      </c>
      <c r="M47" s="112">
        <f t="shared" si="44"/>
        <v>18.804990801189742</v>
      </c>
      <c r="O47" s="155">
        <f t="shared" si="33"/>
        <v>1.6530715805116447E-3</v>
      </c>
      <c r="P47" s="155">
        <f t="shared" si="34"/>
        <v>0.35397932877918459</v>
      </c>
      <c r="R47" s="179">
        <f t="shared" si="35"/>
        <v>6.9971587963156903E-2</v>
      </c>
      <c r="S47" s="195">
        <f t="shared" si="36"/>
        <v>8.2035457130278225E-2</v>
      </c>
      <c r="T47" s="7">
        <f t="shared" si="37"/>
        <v>12.878629383821615</v>
      </c>
      <c r="U47" s="195">
        <f t="shared" si="38"/>
        <v>8.9104896010607601E-2</v>
      </c>
      <c r="V47" s="7">
        <f t="shared" si="31"/>
        <v>11.763290044884743</v>
      </c>
      <c r="W47" s="7"/>
      <c r="X47" s="7"/>
    </row>
    <row r="48" spans="4:24" ht="13.5" customHeight="1" outlineLevel="1" x14ac:dyDescent="0.25">
      <c r="D48" s="85" t="str">
        <f t="shared" si="29"/>
        <v>Millet</v>
      </c>
      <c r="E48" s="140">
        <f t="shared" ref="E48:M48" si="45">(E78*E144)/1000000</f>
        <v>3.6688870143336803</v>
      </c>
      <c r="F48" s="140">
        <f t="shared" si="45"/>
        <v>4.7143078674925265</v>
      </c>
      <c r="G48" s="140">
        <f t="shared" si="45"/>
        <v>3.6206217283143638</v>
      </c>
      <c r="H48" s="140">
        <f t="shared" si="45"/>
        <v>3.5789713934032847</v>
      </c>
      <c r="I48" s="140">
        <f t="shared" si="45"/>
        <v>3.6943455431826169</v>
      </c>
      <c r="J48" s="112">
        <f t="shared" si="45"/>
        <v>3.9132187416752111</v>
      </c>
      <c r="K48" s="112">
        <f t="shared" si="45"/>
        <v>4.1450591833394084</v>
      </c>
      <c r="L48" s="112">
        <f t="shared" si="45"/>
        <v>4.2556504284710774</v>
      </c>
      <c r="M48" s="112">
        <f t="shared" si="45"/>
        <v>4.3691922764672197</v>
      </c>
      <c r="O48" s="155">
        <f t="shared" si="33"/>
        <v>1.7302624090476115E-3</v>
      </c>
      <c r="P48" s="155">
        <f t="shared" si="34"/>
        <v>4.2835749573048698E-2</v>
      </c>
      <c r="R48" s="179">
        <f t="shared" si="35"/>
        <v>4.6202738935183091E-2</v>
      </c>
      <c r="S48" s="195">
        <f t="shared" si="36"/>
        <v>1.9060295720399526E-2</v>
      </c>
      <c r="T48" s="7">
        <f t="shared" si="37"/>
        <v>0.45597353479200864</v>
      </c>
      <c r="U48" s="195">
        <f t="shared" si="38"/>
        <v>3.1547980138531386E-3</v>
      </c>
      <c r="V48" s="7">
        <f t="shared" si="31"/>
        <v>-0.28156803616579307</v>
      </c>
      <c r="W48" s="7"/>
      <c r="X48" s="7"/>
    </row>
    <row r="49" spans="2:24" ht="13.5" customHeight="1" outlineLevel="1" x14ac:dyDescent="0.25">
      <c r="D49" s="85" t="str">
        <f t="shared" si="29"/>
        <v>Sweet potatoes</v>
      </c>
      <c r="E49" s="140">
        <f t="shared" ref="E49:M49" si="46">(E79*E145)/1000000</f>
        <v>1.1866552323854376</v>
      </c>
      <c r="F49" s="140">
        <f t="shared" si="46"/>
        <v>1.5850323332873417</v>
      </c>
      <c r="G49" s="140">
        <f t="shared" si="46"/>
        <v>1.1982141134825355</v>
      </c>
      <c r="H49" s="140">
        <f t="shared" si="46"/>
        <v>1.040133743361723</v>
      </c>
      <c r="I49" s="140">
        <f t="shared" si="46"/>
        <v>1.0730709736898789</v>
      </c>
      <c r="J49" s="112">
        <f t="shared" si="46"/>
        <v>1.1064969893577039</v>
      </c>
      <c r="K49" s="112">
        <f t="shared" si="46"/>
        <v>1.1409642208917856</v>
      </c>
      <c r="L49" s="112">
        <f t="shared" si="46"/>
        <v>2.4340856715899988</v>
      </c>
      <c r="M49" s="112">
        <f t="shared" si="46"/>
        <v>3.725780273976278</v>
      </c>
      <c r="O49" s="155">
        <f t="shared" si="33"/>
        <v>-2.4839789956896285E-2</v>
      </c>
      <c r="P49" s="155">
        <f t="shared" si="34"/>
        <v>0.36504572086506615</v>
      </c>
      <c r="R49" s="179">
        <f t="shared" si="35"/>
        <v>1.3064230472834419E-2</v>
      </c>
      <c r="S49" s="195">
        <f t="shared" si="36"/>
        <v>1.6253455860413383E-2</v>
      </c>
      <c r="T49" s="7">
        <f t="shared" si="37"/>
        <v>2.6192832846185743</v>
      </c>
      <c r="U49" s="195">
        <f t="shared" si="38"/>
        <v>1.8122344990488745E-2</v>
      </c>
      <c r="V49" s="7">
        <f t="shared" si="31"/>
        <v>2.5126271971776282</v>
      </c>
      <c r="W49" s="7"/>
      <c r="X49" s="7"/>
    </row>
    <row r="50" spans="2:24" ht="13.2" customHeight="1" outlineLevel="1" x14ac:dyDescent="0.25">
      <c r="D50" s="85" t="str">
        <f t="shared" si="29"/>
        <v>Okra</v>
      </c>
      <c r="E50" s="140">
        <f t="shared" ref="E50:M50" si="47">(E80*E146)/1000000</f>
        <v>2.040700977341475</v>
      </c>
      <c r="F50" s="140">
        <f t="shared" si="47"/>
        <v>3.1921576037842758</v>
      </c>
      <c r="G50" s="140">
        <f t="shared" si="47"/>
        <v>3.0639073565769444</v>
      </c>
      <c r="H50" s="140">
        <f t="shared" si="47"/>
        <v>2.0101994860053636</v>
      </c>
      <c r="I50" s="140">
        <f t="shared" si="47"/>
        <v>2.1263814614301269</v>
      </c>
      <c r="J50" s="112">
        <f t="shared" si="47"/>
        <v>2.2717076754004983</v>
      </c>
      <c r="K50" s="112">
        <f t="shared" si="47"/>
        <v>2.4269661187709319</v>
      </c>
      <c r="L50" s="112">
        <f t="shared" si="47"/>
        <v>8.4004046892030537</v>
      </c>
      <c r="M50" s="112">
        <f t="shared" si="47"/>
        <v>14.794892206326718</v>
      </c>
      <c r="O50" s="155">
        <f t="shared" si="33"/>
        <v>1.0335123605712537E-2</v>
      </c>
      <c r="P50" s="155">
        <f t="shared" si="34"/>
        <v>0.62411828932226054</v>
      </c>
      <c r="R50" s="179">
        <f t="shared" si="35"/>
        <v>2.6821684038712563E-2</v>
      </c>
      <c r="S50" s="195">
        <f t="shared" si="36"/>
        <v>6.4541682480504847E-2</v>
      </c>
      <c r="T50" s="7">
        <f t="shared" si="37"/>
        <v>12.523184530926219</v>
      </c>
      <c r="U50" s="195">
        <f t="shared" si="38"/>
        <v>8.6645637675668893E-2</v>
      </c>
      <c r="V50" s="7">
        <f t="shared" si="31"/>
        <v>12.024850871551097</v>
      </c>
      <c r="W50" s="7"/>
      <c r="X50" s="7"/>
    </row>
    <row r="51" spans="2:24" ht="13.5" customHeight="1" outlineLevel="1" x14ac:dyDescent="0.25">
      <c r="D51" s="85" t="str">
        <f t="shared" si="29"/>
        <v>Soya beans</v>
      </c>
      <c r="E51" s="140">
        <f t="shared" ref="E51:M51" si="48">(E81*E147)/1000000</f>
        <v>2.1065377286018645</v>
      </c>
      <c r="F51" s="140">
        <f t="shared" si="48"/>
        <v>1.7834733702533307</v>
      </c>
      <c r="G51" s="140">
        <f t="shared" si="48"/>
        <v>1.6208556582642719</v>
      </c>
      <c r="H51" s="140">
        <f t="shared" si="48"/>
        <v>1.6056691753254659</v>
      </c>
      <c r="I51" s="140">
        <f t="shared" si="48"/>
        <v>1.8037403403030952</v>
      </c>
      <c r="J51" s="112">
        <f t="shared" si="48"/>
        <v>1.8347252137988717</v>
      </c>
      <c r="K51" s="112">
        <f t="shared" si="48"/>
        <v>1.8662423492639004</v>
      </c>
      <c r="L51" s="112">
        <f t="shared" si="48"/>
        <v>1.8642880440458349</v>
      </c>
      <c r="M51" s="112">
        <f t="shared" si="48"/>
        <v>1.862018126023099</v>
      </c>
      <c r="O51" s="155">
        <f t="shared" si="33"/>
        <v>-3.8052890225672709E-2</v>
      </c>
      <c r="P51" s="155">
        <f t="shared" si="34"/>
        <v>7.9812914836472348E-3</v>
      </c>
      <c r="R51" s="179">
        <f t="shared" si="35"/>
        <v>2.1662302995783547E-2</v>
      </c>
      <c r="S51" s="195">
        <f t="shared" si="36"/>
        <v>8.1229238433610258E-3</v>
      </c>
      <c r="T51" s="7">
        <f t="shared" si="37"/>
        <v>2.7292912224227361E-2</v>
      </c>
      <c r="U51" s="195">
        <f t="shared" si="38"/>
        <v>1.8883469918168938E-4</v>
      </c>
      <c r="V51" s="7">
        <f t="shared" si="31"/>
        <v>-6.889201018907487E-2</v>
      </c>
      <c r="W51" s="7"/>
      <c r="X51" s="7"/>
    </row>
    <row r="52" spans="2:24" ht="13.5" customHeight="1" outlineLevel="1" x14ac:dyDescent="0.25">
      <c r="D52" s="85" t="str">
        <f t="shared" si="29"/>
        <v>Cocoa beans</v>
      </c>
      <c r="E52" s="140">
        <f t="shared" ref="E52:M52" si="49">(E82*E148)/1000000</f>
        <v>1.3986719288470397</v>
      </c>
      <c r="F52" s="140">
        <f t="shared" si="49"/>
        <v>2.0369433011811684</v>
      </c>
      <c r="G52" s="140">
        <f t="shared" si="49"/>
        <v>1.4550066625554152</v>
      </c>
      <c r="H52" s="140">
        <f t="shared" si="49"/>
        <v>1.4812715629390465</v>
      </c>
      <c r="I52" s="140">
        <f t="shared" si="49"/>
        <v>1.500235360728897</v>
      </c>
      <c r="J52" s="112">
        <f t="shared" si="49"/>
        <v>1.6144184020115677</v>
      </c>
      <c r="K52" s="112">
        <f t="shared" si="49"/>
        <v>1.7372919243066482</v>
      </c>
      <c r="L52" s="112">
        <f t="shared" si="49"/>
        <v>7.5193509671439642</v>
      </c>
      <c r="M52" s="112">
        <f t="shared" si="49"/>
        <v>13.795756193227628</v>
      </c>
      <c r="O52" s="155">
        <f t="shared" si="33"/>
        <v>1.7679168389539646E-2</v>
      </c>
      <c r="P52" s="155">
        <f t="shared" si="34"/>
        <v>0.74139193299928641</v>
      </c>
      <c r="R52" s="179">
        <f t="shared" si="35"/>
        <v>1.9061176204109773E-2</v>
      </c>
      <c r="S52" s="195">
        <f t="shared" si="36"/>
        <v>6.018302150393464E-2</v>
      </c>
      <c r="T52" s="7">
        <f t="shared" si="37"/>
        <v>12.181337791216061</v>
      </c>
      <c r="U52" s="195">
        <f t="shared" si="38"/>
        <v>8.4280462214396307E-2</v>
      </c>
      <c r="V52" s="7">
        <f t="shared" si="31"/>
        <v>11.783949706547634</v>
      </c>
      <c r="W52" s="7"/>
      <c r="X52" s="7"/>
    </row>
    <row r="53" spans="2:24" ht="13.5" customHeight="1" outlineLevel="1" x14ac:dyDescent="0.25">
      <c r="D53" s="85" t="str">
        <f t="shared" si="29"/>
        <v>Melonseed</v>
      </c>
      <c r="E53" s="140">
        <f t="shared" ref="E53:M53" si="50">(E83*E149)/1000000</f>
        <v>1.4960159994379876</v>
      </c>
      <c r="F53" s="140">
        <f t="shared" si="50"/>
        <v>1.8840846815798766</v>
      </c>
      <c r="G53" s="140">
        <f t="shared" si="50"/>
        <v>1.4658073060344765</v>
      </c>
      <c r="H53" s="140">
        <f t="shared" si="50"/>
        <v>1.2733484667843646</v>
      </c>
      <c r="I53" s="140">
        <f t="shared" si="50"/>
        <v>1.3005929275753083</v>
      </c>
      <c r="J53" s="112">
        <f t="shared" si="50"/>
        <v>1.3279706982854413</v>
      </c>
      <c r="K53" s="112">
        <f t="shared" si="50"/>
        <v>1.3559247771648448</v>
      </c>
      <c r="L53" s="112">
        <f t="shared" si="50"/>
        <v>4.4854697097934153</v>
      </c>
      <c r="M53" s="112">
        <f t="shared" si="50"/>
        <v>7.5501461962984253</v>
      </c>
      <c r="O53" s="155">
        <f t="shared" si="33"/>
        <v>-3.4391038922494177E-2</v>
      </c>
      <c r="P53" s="155">
        <f t="shared" si="34"/>
        <v>0.55222078039074995</v>
      </c>
      <c r="R53" s="179">
        <f t="shared" si="35"/>
        <v>1.567913462976751E-2</v>
      </c>
      <c r="S53" s="195">
        <f t="shared" si="36"/>
        <v>3.2936984716556525E-2</v>
      </c>
      <c r="T53" s="7">
        <f t="shared" si="37"/>
        <v>6.2221754980129838</v>
      </c>
      <c r="U53" s="195">
        <f t="shared" si="38"/>
        <v>4.3050101387860314E-2</v>
      </c>
      <c r="V53" s="7">
        <f t="shared" si="31"/>
        <v>6.1365355558368444</v>
      </c>
      <c r="W53" s="7"/>
      <c r="X53" s="7"/>
    </row>
    <row r="54" spans="2:24" ht="13.5" customHeight="1" outlineLevel="1" x14ac:dyDescent="0.25">
      <c r="D54" s="85" t="str">
        <f t="shared" si="29"/>
        <v>Other citrus fruit, n.e.c.</v>
      </c>
      <c r="E54" s="140">
        <f t="shared" ref="E54:M54" si="51">(E84*E150)/1000000</f>
        <v>1.291880052409857</v>
      </c>
      <c r="F54" s="140">
        <f t="shared" si="51"/>
        <v>1.7425464445313705</v>
      </c>
      <c r="G54" s="140">
        <f t="shared" si="51"/>
        <v>1.3350618357693549</v>
      </c>
      <c r="H54" s="140">
        <f t="shared" si="51"/>
        <v>1.1612440705233016</v>
      </c>
      <c r="I54" s="140">
        <f t="shared" si="51"/>
        <v>1.2068062823530896</v>
      </c>
      <c r="J54" s="112">
        <f t="shared" si="51"/>
        <v>1.2545478246567647</v>
      </c>
      <c r="K54" s="112">
        <f t="shared" si="51"/>
        <v>1.3041780336792523</v>
      </c>
      <c r="L54" s="112">
        <f t="shared" si="51"/>
        <v>4.3924999737315096</v>
      </c>
      <c r="M54" s="112">
        <f t="shared" si="51"/>
        <v>7.5276905107997809</v>
      </c>
      <c r="O54" s="155">
        <f t="shared" si="33"/>
        <v>-1.6886086538876133E-2</v>
      </c>
      <c r="P54" s="155">
        <f t="shared" si="34"/>
        <v>0.58036007066751205</v>
      </c>
      <c r="R54" s="179">
        <f t="shared" si="35"/>
        <v>1.4812242670468434E-2</v>
      </c>
      <c r="S54" s="195">
        <f t="shared" si="36"/>
        <v>3.283902335914185E-2</v>
      </c>
      <c r="T54" s="7">
        <f t="shared" si="37"/>
        <v>6.2731426861430162</v>
      </c>
      <c r="U54" s="195">
        <f t="shared" si="38"/>
        <v>4.3402734099225133E-2</v>
      </c>
      <c r="V54" s="7">
        <f t="shared" si="31"/>
        <v>6.1182842387218619</v>
      </c>
      <c r="W54" s="7"/>
      <c r="X54" s="7"/>
    </row>
    <row r="55" spans="2:24" ht="13.5" customHeight="1" outlineLevel="1" x14ac:dyDescent="0.25">
      <c r="D55" s="85" t="str">
        <f t="shared" si="29"/>
        <v>Tomatoes</v>
      </c>
      <c r="E55" s="140">
        <f t="shared" ref="E55:M55" si="52">(E85*E151)/1000000</f>
        <v>1.0995264254836941</v>
      </c>
      <c r="F55" s="140">
        <f t="shared" si="52"/>
        <v>1.8175988662804814</v>
      </c>
      <c r="G55" s="140">
        <f t="shared" si="52"/>
        <v>1.3695066143830157</v>
      </c>
      <c r="H55" s="140">
        <f t="shared" si="52"/>
        <v>1.1692595899170661</v>
      </c>
      <c r="I55" s="140">
        <f t="shared" si="52"/>
        <v>1.200140830451909</v>
      </c>
      <c r="J55" s="112">
        <f t="shared" si="52"/>
        <v>1.297133462720218</v>
      </c>
      <c r="K55" s="112">
        <f t="shared" si="52"/>
        <v>1.4019648173081347</v>
      </c>
      <c r="L55" s="112">
        <f t="shared" si="52"/>
        <v>4.9092459893521676</v>
      </c>
      <c r="M55" s="112">
        <f t="shared" si="52"/>
        <v>8.7471701471474983</v>
      </c>
      <c r="O55" s="155">
        <f t="shared" si="33"/>
        <v>2.2131176158484367E-2</v>
      </c>
      <c r="P55" s="155">
        <f t="shared" si="34"/>
        <v>0.64308049725223038</v>
      </c>
      <c r="R55" s="179">
        <f t="shared" si="35"/>
        <v>1.5315044391435257E-2</v>
      </c>
      <c r="S55" s="195">
        <f t="shared" si="36"/>
        <v>3.8158917981080252E-2</v>
      </c>
      <c r="T55" s="7">
        <f t="shared" si="37"/>
        <v>7.4500366844272801</v>
      </c>
      <c r="U55" s="195">
        <f t="shared" si="38"/>
        <v>5.1545449772397896E-2</v>
      </c>
      <c r="V55" s="7">
        <f t="shared" si="31"/>
        <v>7.1094412247595091</v>
      </c>
      <c r="W55" s="7"/>
      <c r="X55" s="7"/>
    </row>
    <row r="56" spans="2:24" ht="13.5" customHeight="1" outlineLevel="1" x14ac:dyDescent="0.25">
      <c r="D56" s="85" t="str">
        <f t="shared" si="29"/>
        <v>Taro</v>
      </c>
      <c r="E56" s="140">
        <f t="shared" ref="E56:M56" si="53">(E86*E152)/1000000</f>
        <v>1.2172790736883894</v>
      </c>
      <c r="F56" s="140">
        <f t="shared" si="53"/>
        <v>1.7185068364395018</v>
      </c>
      <c r="G56" s="140">
        <f t="shared" si="53"/>
        <v>1.307038802983463</v>
      </c>
      <c r="H56" s="140">
        <f t="shared" si="53"/>
        <v>1.1097220242603436</v>
      </c>
      <c r="I56" s="140">
        <f t="shared" si="53"/>
        <v>1.1595953881154797</v>
      </c>
      <c r="J56" s="112">
        <f t="shared" si="53"/>
        <v>1.2113827280122387</v>
      </c>
      <c r="K56" s="112">
        <f t="shared" si="53"/>
        <v>1.2654828820173227</v>
      </c>
      <c r="L56" s="112">
        <f t="shared" si="53"/>
        <v>1.6878890001180176</v>
      </c>
      <c r="M56" s="112">
        <f t="shared" si="53"/>
        <v>2.1206925451573455</v>
      </c>
      <c r="O56" s="155">
        <f t="shared" si="33"/>
        <v>-1.2063386728953684E-2</v>
      </c>
      <c r="P56" s="155">
        <f t="shared" si="34"/>
        <v>0.16290117028245676</v>
      </c>
      <c r="R56" s="179">
        <f t="shared" si="35"/>
        <v>1.4302599376026574E-2</v>
      </c>
      <c r="S56" s="195">
        <f t="shared" si="36"/>
        <v>9.2513729048859343E-3</v>
      </c>
      <c r="T56" s="7">
        <f t="shared" si="37"/>
        <v>0.90930981714510684</v>
      </c>
      <c r="U56" s="195">
        <f t="shared" si="38"/>
        <v>6.2913493574031434E-3</v>
      </c>
      <c r="V56" s="7">
        <f t="shared" si="31"/>
        <v>0.73965314029953055</v>
      </c>
      <c r="W56" s="7"/>
      <c r="X56" s="7"/>
    </row>
    <row r="57" spans="2:24" ht="13.5" customHeight="1" outlineLevel="1" x14ac:dyDescent="0.25">
      <c r="D57" s="85" t="str">
        <f t="shared" si="29"/>
        <v>Other vegetables, fresh n.e.c.</v>
      </c>
      <c r="E57" s="140">
        <f t="shared" ref="E57:M57" si="54">(E87*E153)/1000000</f>
        <v>1.1718916638904038</v>
      </c>
      <c r="F57" s="140">
        <f t="shared" si="54"/>
        <v>1.5657590369851062</v>
      </c>
      <c r="G57" s="140">
        <f t="shared" si="54"/>
        <v>1.1942630666388747</v>
      </c>
      <c r="H57" s="140">
        <f t="shared" si="54"/>
        <v>1.0304450548415427</v>
      </c>
      <c r="I57" s="140">
        <f t="shared" si="54"/>
        <v>1.0641974398755807</v>
      </c>
      <c r="J57" s="112">
        <f t="shared" si="54"/>
        <v>1.0985041777286606</v>
      </c>
      <c r="K57" s="112">
        <f t="shared" si="54"/>
        <v>1.1339168684980132</v>
      </c>
      <c r="L57" s="112">
        <f t="shared" si="54"/>
        <v>3.792153829400001</v>
      </c>
      <c r="M57" s="112">
        <f t="shared" si="54"/>
        <v>6.4530611101884254</v>
      </c>
      <c r="O57" s="155">
        <f t="shared" si="33"/>
        <v>-2.3811502085579694E-2</v>
      </c>
      <c r="P57" s="155">
        <f t="shared" si="34"/>
        <v>0.569227433795088</v>
      </c>
      <c r="R57" s="179">
        <f t="shared" si="35"/>
        <v>1.2969860642412751E-2</v>
      </c>
      <c r="S57" s="195">
        <f t="shared" si="36"/>
        <v>2.8151027759632602E-2</v>
      </c>
      <c r="T57" s="7">
        <f t="shared" si="37"/>
        <v>5.3545569324597651</v>
      </c>
      <c r="U57" s="195">
        <f t="shared" si="38"/>
        <v>3.7047206222819748E-2</v>
      </c>
      <c r="V57" s="7">
        <f t="shared" si="31"/>
        <v>5.2448572407874021</v>
      </c>
      <c r="W57" s="7"/>
      <c r="X57" s="7"/>
    </row>
    <row r="58" spans="2:24" ht="13.5" customHeight="1" outlineLevel="1" x14ac:dyDescent="0.25">
      <c r="D58" s="85" t="str">
        <f t="shared" si="29"/>
        <v>Onions and shallots, dry (excluding dehydrated)</v>
      </c>
      <c r="E58" s="140">
        <f t="shared" ref="E58:M58" si="55">(E88*E154)/1000000</f>
        <v>0.862937751404249</v>
      </c>
      <c r="F58" s="140">
        <f t="shared" si="55"/>
        <v>1.2069547655267645</v>
      </c>
      <c r="G58" s="140">
        <f t="shared" si="55"/>
        <v>0.98556907511892133</v>
      </c>
      <c r="H58" s="140">
        <f t="shared" si="55"/>
        <v>0.94441897129125874</v>
      </c>
      <c r="I58" s="140">
        <f t="shared" si="55"/>
        <v>1.001628014493255</v>
      </c>
      <c r="J58" s="112">
        <f t="shared" si="55"/>
        <v>1.0993450574922605</v>
      </c>
      <c r="K58" s="112">
        <f t="shared" si="55"/>
        <v>1.2065952009580103</v>
      </c>
      <c r="L58" s="112">
        <f t="shared" si="55"/>
        <v>4.2905640165973349</v>
      </c>
      <c r="M58" s="112">
        <f t="shared" si="55"/>
        <v>7.7632269069645492</v>
      </c>
      <c r="O58" s="155">
        <f t="shared" si="33"/>
        <v>3.7962703438272127E-2</v>
      </c>
      <c r="P58" s="155">
        <f t="shared" si="34"/>
        <v>0.66852974909180296</v>
      </c>
      <c r="R58" s="179">
        <f t="shared" si="35"/>
        <v>1.2979788773385787E-2</v>
      </c>
      <c r="S58" s="195">
        <f t="shared" si="36"/>
        <v>3.3866534413758941E-2</v>
      </c>
      <c r="T58" s="7">
        <f t="shared" si="37"/>
        <v>6.6638818494722889</v>
      </c>
      <c r="U58" s="195">
        <f t="shared" si="38"/>
        <v>4.610618735330077E-2</v>
      </c>
      <c r="V58" s="7">
        <f t="shared" si="31"/>
        <v>6.3097212562550311</v>
      </c>
      <c r="W58" s="7"/>
      <c r="X58" s="7"/>
    </row>
    <row r="59" spans="2:24" ht="13.5" customHeight="1" outlineLevel="1" x14ac:dyDescent="0.25">
      <c r="D59" s="86" t="str">
        <f t="shared" si="29"/>
        <v>Sesame seed</v>
      </c>
      <c r="E59" s="141">
        <f>(E89*E155)/1000000</f>
        <v>1.587798940368033</v>
      </c>
      <c r="F59" s="141">
        <f>(F89*F155)/1000000</f>
        <v>1.3227137272717437</v>
      </c>
      <c r="G59" s="141">
        <f>(G89*G155)/1000000</f>
        <v>0.95959845142140809</v>
      </c>
      <c r="H59" s="141">
        <f>(H89*H155)/1000000</f>
        <v>0.69952510064272089</v>
      </c>
      <c r="I59" s="141">
        <f>(I89*I155)/1000000</f>
        <v>0.70577629798239916</v>
      </c>
      <c r="J59" s="113">
        <f t="shared" ref="J59:M59" si="56">(J89*J155)/1000000</f>
        <v>0.60936958905319838</v>
      </c>
      <c r="K59" s="113">
        <f t="shared" si="56"/>
        <v>0.52613171783238932</v>
      </c>
      <c r="L59" s="113">
        <f t="shared" si="56"/>
        <v>0.49131969085007982</v>
      </c>
      <c r="M59" s="113">
        <f t="shared" si="56"/>
        <v>0.45386321655159817</v>
      </c>
      <c r="O59" s="156">
        <f t="shared" si="33"/>
        <v>-0.18347800048786989</v>
      </c>
      <c r="P59" s="155">
        <f t="shared" si="34"/>
        <v>-0.10450229056482829</v>
      </c>
      <c r="R59" s="179">
        <f t="shared" si="35"/>
        <v>7.1947278945137727E-3</v>
      </c>
      <c r="S59" s="195">
        <f t="shared" si="36"/>
        <v>1.9799465385579016E-3</v>
      </c>
      <c r="T59" s="7">
        <f t="shared" si="37"/>
        <v>-0.15550637250160021</v>
      </c>
      <c r="U59" s="195">
        <f t="shared" si="38"/>
        <v>-1.0759203279930201E-3</v>
      </c>
      <c r="V59" s="7">
        <f t="shared" si="31"/>
        <v>6.1650293985921145E-2</v>
      </c>
      <c r="W59" s="7"/>
      <c r="X59" s="7"/>
    </row>
    <row r="60" spans="2:24" ht="13.5" customHeight="1" outlineLevel="1" thickBot="1" x14ac:dyDescent="0.3">
      <c r="D60" s="87" t="s">
        <v>13</v>
      </c>
      <c r="E60" s="142">
        <f t="shared" ref="E60:M60" si="57">SUM(E40:E59)</f>
        <v>85.212850513355235</v>
      </c>
      <c r="F60" s="142">
        <f t="shared" si="57"/>
        <v>111.0834459471715</v>
      </c>
      <c r="G60" s="142">
        <f t="shared" si="57"/>
        <v>89.235726711289701</v>
      </c>
      <c r="H60" s="142">
        <f t="shared" si="57"/>
        <v>74.575990768871009</v>
      </c>
      <c r="I60" s="142">
        <f t="shared" si="57"/>
        <v>80.007964289770001</v>
      </c>
      <c r="J60" s="109">
        <f t="shared" si="57"/>
        <v>84.696683180730659</v>
      </c>
      <c r="K60" s="109">
        <f t="shared" si="57"/>
        <v>89.755170946122547</v>
      </c>
      <c r="L60" s="109">
        <f t="shared" si="57"/>
        <v>156.84932736255055</v>
      </c>
      <c r="M60" s="109">
        <f t="shared" si="57"/>
        <v>229.23003612116236</v>
      </c>
      <c r="O60" s="157">
        <f t="shared" si="33"/>
        <v>-1.5633032189153129E-2</v>
      </c>
      <c r="P60" s="186">
        <f t="shared" si="34"/>
        <v>0.30102180573676951</v>
      </c>
      <c r="Q60" s="179"/>
      <c r="R60" s="179">
        <f t="shared" si="35"/>
        <v>1</v>
      </c>
      <c r="S60" s="195">
        <f t="shared" si="36"/>
        <v>1</v>
      </c>
      <c r="T60" s="7">
        <f t="shared" si="37"/>
        <v>144.53335294043171</v>
      </c>
      <c r="U60" s="195">
        <f>(M60-J60)/($T$60)</f>
        <v>1</v>
      </c>
      <c r="V60" s="7">
        <f>T60-T33</f>
        <v>128.13531979405343</v>
      </c>
      <c r="W60" s="7"/>
      <c r="X60" s="7"/>
    </row>
    <row r="61" spans="2:24" ht="13.5" customHeight="1" outlineLevel="1" thickTop="1" thickBot="1" x14ac:dyDescent="0.3">
      <c r="D61" s="138" t="s">
        <v>17</v>
      </c>
      <c r="E61" s="143">
        <f>E60/46%</f>
        <v>185.24532720294616</v>
      </c>
      <c r="F61" s="143">
        <f t="shared" ref="F61:M61" si="58">F60/46%</f>
        <v>241.48575205906846</v>
      </c>
      <c r="G61" s="143">
        <f t="shared" si="58"/>
        <v>193.99071024193412</v>
      </c>
      <c r="H61" s="143">
        <f t="shared" si="58"/>
        <v>162.12171906276305</v>
      </c>
      <c r="I61" s="143">
        <f t="shared" si="58"/>
        <v>173.93035715167392</v>
      </c>
      <c r="J61" s="114">
        <f t="shared" si="58"/>
        <v>184.12322430593622</v>
      </c>
      <c r="K61" s="114">
        <f t="shared" si="58"/>
        <v>195.11993683939684</v>
      </c>
      <c r="L61" s="114">
        <f t="shared" si="58"/>
        <v>340.97679861424029</v>
      </c>
      <c r="M61" s="114">
        <f t="shared" si="58"/>
        <v>498.32616548078772</v>
      </c>
      <c r="O61" s="157">
        <f t="shared" si="33"/>
        <v>-1.5633032189153129E-2</v>
      </c>
      <c r="P61" s="157">
        <f t="shared" si="34"/>
        <v>0.30102180573676951</v>
      </c>
      <c r="S61" s="7"/>
      <c r="T61" s="7"/>
      <c r="U61" s="7"/>
      <c r="V61" s="7"/>
      <c r="W61" s="7"/>
      <c r="X61" s="7"/>
    </row>
    <row r="62" spans="2:24" ht="13.5" customHeight="1" thickTop="1" x14ac:dyDescent="0.25">
      <c r="E62" s="79"/>
      <c r="F62" s="79"/>
      <c r="G62" s="79"/>
      <c r="H62" s="79"/>
      <c r="I62" s="79"/>
      <c r="J62" s="79"/>
      <c r="K62" s="79"/>
      <c r="L62" s="79"/>
      <c r="M62" s="79"/>
    </row>
    <row r="63" spans="2:24" ht="13.5" customHeight="1" x14ac:dyDescent="0.25">
      <c r="M63" s="179"/>
    </row>
    <row r="64" spans="2:24" ht="13.5" customHeight="1" x14ac:dyDescent="0.3">
      <c r="B64" s="29">
        <v>2</v>
      </c>
      <c r="D64" s="28" t="s">
        <v>21</v>
      </c>
    </row>
    <row r="65" spans="4:20" ht="13.5" customHeight="1" x14ac:dyDescent="0.25">
      <c r="E65" s="209"/>
    </row>
    <row r="66" spans="4:20" ht="13.5" customHeight="1" x14ac:dyDescent="0.25">
      <c r="D66" s="32" t="s">
        <v>22</v>
      </c>
      <c r="E66" s="209"/>
    </row>
    <row r="67" spans="4:20" ht="13.5" customHeight="1" x14ac:dyDescent="0.25">
      <c r="D67" s="33" t="s">
        <v>23</v>
      </c>
      <c r="O67" s="39" t="s">
        <v>24</v>
      </c>
    </row>
    <row r="68" spans="4:20" ht="13.5" customHeight="1" outlineLevel="1" x14ac:dyDescent="0.25">
      <c r="E68" s="288" t="s">
        <v>25</v>
      </c>
      <c r="F68" s="289"/>
      <c r="G68" s="289"/>
      <c r="H68" s="289"/>
      <c r="I68" s="290"/>
      <c r="J68" s="144" t="s">
        <v>9</v>
      </c>
      <c r="K68" s="145"/>
      <c r="L68" s="145"/>
      <c r="M68" s="146"/>
      <c r="Q68" s="7"/>
      <c r="R68" s="1"/>
    </row>
    <row r="69" spans="4:20" ht="13.5" customHeight="1" outlineLevel="1" x14ac:dyDescent="0.25">
      <c r="D69" s="44"/>
      <c r="E69" s="45">
        <v>2017</v>
      </c>
      <c r="F69" s="45">
        <v>2018</v>
      </c>
      <c r="G69" s="45">
        <v>2019</v>
      </c>
      <c r="H69" s="45">
        <v>2020</v>
      </c>
      <c r="I69" s="45">
        <v>2021</v>
      </c>
      <c r="J69" s="45">
        <v>2022</v>
      </c>
      <c r="K69" s="45">
        <v>2023</v>
      </c>
      <c r="L69" s="45">
        <v>2024</v>
      </c>
      <c r="M69" s="45">
        <v>2025</v>
      </c>
      <c r="O69" s="30" t="s">
        <v>26</v>
      </c>
      <c r="P69" s="30" t="s">
        <v>27</v>
      </c>
      <c r="Q69" s="30" t="s">
        <v>28</v>
      </c>
      <c r="R69" s="30" t="s">
        <v>29</v>
      </c>
      <c r="S69" s="30" t="s">
        <v>30</v>
      </c>
      <c r="T69" s="30" t="s">
        <v>31</v>
      </c>
    </row>
    <row r="70" spans="4:20" ht="13.5" customHeight="1" outlineLevel="1" x14ac:dyDescent="0.25">
      <c r="D70" s="85" t="str">
        <f>HarvestedAreas_TCD!E10</f>
        <v>Cassava, fresh</v>
      </c>
      <c r="E70" s="177">
        <f>HarvestedAreas_TCD!F10</f>
        <v>6761350</v>
      </c>
      <c r="F70" s="177">
        <f>HarvestedAreas_TCD!G10</f>
        <v>6949400</v>
      </c>
      <c r="G70" s="177">
        <f>HarvestedAreas_TCD!H10</f>
        <v>9776650</v>
      </c>
      <c r="H70" s="177">
        <f>HarvestedAreas_TCD!I10</f>
        <v>7290381</v>
      </c>
      <c r="I70" s="177">
        <f>HarvestedAreas_TCD!J10</f>
        <v>9085736</v>
      </c>
      <c r="J70" s="115">
        <f>I70*(1+$Q70)</f>
        <v>9782318.2464009598</v>
      </c>
      <c r="K70" s="115">
        <f t="shared" ref="K70:M70" si="59">J70*(1+$Q70)</f>
        <v>10532305.833437067</v>
      </c>
      <c r="L70" s="115">
        <f t="shared" si="59"/>
        <v>11339793.224358125</v>
      </c>
      <c r="M70" s="115">
        <f t="shared" si="59"/>
        <v>12209188.795387898</v>
      </c>
      <c r="O70" s="117">
        <f>IFERROR(_xlfn.RRI($I$69-$E$69,E70,I70),0)</f>
        <v>7.6667674077362635E-2</v>
      </c>
      <c r="P70" s="117">
        <f>IFERROR(_xlfn.RRI($I$69-$H$69,H70,I70),0)</f>
        <v>0.24626353547228885</v>
      </c>
      <c r="Q70" s="118">
        <f t="shared" ref="Q70:Q89" si="60">O70</f>
        <v>7.6667674077362635E-2</v>
      </c>
      <c r="R70" s="57" t="s">
        <v>286</v>
      </c>
      <c r="S70" s="180" t="s">
        <v>285</v>
      </c>
      <c r="T70" s="149"/>
    </row>
    <row r="71" spans="4:20" ht="13.5" customHeight="1" outlineLevel="1" x14ac:dyDescent="0.25">
      <c r="D71" s="85" t="str">
        <f>HarvestedAreas_TCD!E11</f>
        <v>Maize (corn)</v>
      </c>
      <c r="E71" s="177">
        <f>HarvestedAreas_TCD!F11</f>
        <v>6389296</v>
      </c>
      <c r="F71" s="177">
        <f>HarvestedAreas_TCD!G11</f>
        <v>6541183</v>
      </c>
      <c r="G71" s="177">
        <f>HarvestedAreas_TCD!H11</f>
        <v>6543376</v>
      </c>
      <c r="H71" s="177">
        <f>HarvestedAreas_TCD!I11</f>
        <v>5500000</v>
      </c>
      <c r="I71" s="177">
        <f>HarvestedAreas_TCD!J11</f>
        <v>6000000</v>
      </c>
      <c r="J71" s="115">
        <f t="shared" ref="J71:J89" si="61">I71*(1+$Q71)</f>
        <v>6300000</v>
      </c>
      <c r="K71" s="115">
        <f t="shared" ref="K71:M71" si="62">J71*(1+$Q71)</f>
        <v>6615000</v>
      </c>
      <c r="L71" s="115">
        <f t="shared" si="62"/>
        <v>6945750</v>
      </c>
      <c r="M71" s="115">
        <f t="shared" si="62"/>
        <v>7293037.5</v>
      </c>
      <c r="O71" s="117">
        <f t="shared" ref="O71:O90" si="63">IFERROR(_xlfn.RRI($I$69-$E$69,E71,I71),0)</f>
        <v>-1.5593300910534014E-2</v>
      </c>
      <c r="P71" s="117">
        <f t="shared" ref="P71:P90" si="64">IFERROR(_xlfn.RRI($I$69-$H$69,H71,I71),0)</f>
        <v>9.0909090909090828E-2</v>
      </c>
      <c r="Q71" s="118">
        <v>0.05</v>
      </c>
      <c r="R71" s="57" t="s">
        <v>288</v>
      </c>
      <c r="S71" s="180" t="s">
        <v>287</v>
      </c>
      <c r="T71" s="149"/>
    </row>
    <row r="72" spans="4:20" ht="13.5" customHeight="1" outlineLevel="1" x14ac:dyDescent="0.25">
      <c r="D72" s="85" t="str">
        <f>HarvestedAreas_TCD!E12</f>
        <v>Yams</v>
      </c>
      <c r="E72" s="177">
        <f>HarvestedAreas_TCD!F12</f>
        <v>5276098</v>
      </c>
      <c r="F72" s="177">
        <f>HarvestedAreas_TCD!G12</f>
        <v>5427899</v>
      </c>
      <c r="G72" s="177">
        <f>HarvestedAreas_TCD!H12</f>
        <v>6778080</v>
      </c>
      <c r="H72" s="177">
        <f>HarvestedAreas_TCD!I12</f>
        <v>6200472</v>
      </c>
      <c r="I72" s="177">
        <f>HarvestedAreas_TCD!J12</f>
        <v>5902180</v>
      </c>
      <c r="J72" s="115">
        <f t="shared" si="61"/>
        <v>6069981.2457223525</v>
      </c>
      <c r="K72" s="115">
        <f t="shared" ref="K72:M72" si="65">J72*(1+$Q72)</f>
        <v>6242553.1453498676</v>
      </c>
      <c r="L72" s="115">
        <f t="shared" si="65"/>
        <v>6420031.3304065242</v>
      </c>
      <c r="M72" s="115">
        <f t="shared" si="65"/>
        <v>6602555.2884726534</v>
      </c>
      <c r="O72" s="117">
        <f t="shared" si="63"/>
        <v>2.8430384319412916E-2</v>
      </c>
      <c r="P72" s="117">
        <f t="shared" si="64"/>
        <v>-4.8107950491510953E-2</v>
      </c>
      <c r="Q72" s="118">
        <f t="shared" si="60"/>
        <v>2.8430384319412916E-2</v>
      </c>
      <c r="R72" s="57" t="s">
        <v>290</v>
      </c>
      <c r="S72" s="180" t="s">
        <v>289</v>
      </c>
      <c r="T72" s="151"/>
    </row>
    <row r="73" spans="4:20" ht="13.5" customHeight="1" outlineLevel="1" x14ac:dyDescent="0.25">
      <c r="D73" s="85" t="str">
        <f>HarvestedAreas_TCD!E13</f>
        <v>Sorghum</v>
      </c>
      <c r="E73" s="177">
        <f>HarvestedAreas_TCD!F13</f>
        <v>5820000</v>
      </c>
      <c r="F73" s="177">
        <f>HarvestedAreas_TCD!G13</f>
        <v>5590557</v>
      </c>
      <c r="G73" s="177">
        <f>HarvestedAreas_TCD!H13</f>
        <v>5397000</v>
      </c>
      <c r="H73" s="177">
        <f>HarvestedAreas_TCD!I13</f>
        <v>5600000</v>
      </c>
      <c r="I73" s="177">
        <f>HarvestedAreas_TCD!J13</f>
        <v>5700000</v>
      </c>
      <c r="J73" s="115">
        <f t="shared" si="61"/>
        <v>5670388.6088935817</v>
      </c>
      <c r="K73" s="115">
        <f t="shared" ref="K73:M73" si="66">J73*(1+$Q73)</f>
        <v>5640931.048398261</v>
      </c>
      <c r="L73" s="115">
        <f t="shared" si="66"/>
        <v>5611626.5193669517</v>
      </c>
      <c r="M73" s="115">
        <f t="shared" si="66"/>
        <v>5582474.2268041223</v>
      </c>
      <c r="O73" s="117">
        <f>IFERROR(_xlfn.RRI($I$69-$E$69,E73,I73),0)</f>
        <v>-5.1949808958628996E-3</v>
      </c>
      <c r="P73" s="117">
        <f t="shared" si="64"/>
        <v>1.7857142857142794E-2</v>
      </c>
      <c r="Q73" s="118">
        <f t="shared" si="60"/>
        <v>-5.1949808958628996E-3</v>
      </c>
      <c r="R73" s="57"/>
      <c r="S73" s="180"/>
      <c r="T73" s="151"/>
    </row>
    <row r="74" spans="4:20" ht="13.5" customHeight="1" outlineLevel="1" x14ac:dyDescent="0.25">
      <c r="D74" s="85" t="str">
        <f>HarvestedAreas_TCD!E14</f>
        <v>Cow peas, dry</v>
      </c>
      <c r="E74" s="177">
        <f>HarvestedAreas_TCD!F14</f>
        <v>5008440</v>
      </c>
      <c r="F74" s="177">
        <f>HarvestedAreas_TCD!G14</f>
        <v>4282797</v>
      </c>
      <c r="G74" s="177">
        <f>HarvestedAreas_TCD!H14</f>
        <v>4410336</v>
      </c>
      <c r="H74" s="177">
        <f>HarvestedAreas_TCD!I14</f>
        <v>4688231</v>
      </c>
      <c r="I74" s="177">
        <f>HarvestedAreas_TCD!J14</f>
        <v>4701992</v>
      </c>
      <c r="J74" s="115">
        <f t="shared" si="61"/>
        <v>4628355.8107012352</v>
      </c>
      <c r="K74" s="115">
        <f t="shared" ref="K74:M74" si="67">J74*(1+$Q74)</f>
        <v>4555872.8110239003</v>
      </c>
      <c r="L74" s="115">
        <f t="shared" si="67"/>
        <v>4484524.9412840856</v>
      </c>
      <c r="M74" s="115">
        <f t="shared" si="67"/>
        <v>4414294.4246240351</v>
      </c>
      <c r="O74" s="117">
        <f t="shared" si="63"/>
        <v>-1.5660636874491596E-2</v>
      </c>
      <c r="P74" s="117">
        <f t="shared" si="64"/>
        <v>2.9352222618723722E-3</v>
      </c>
      <c r="Q74" s="118">
        <f t="shared" si="60"/>
        <v>-1.5660636874491596E-2</v>
      </c>
      <c r="R74" s="57"/>
      <c r="S74" s="152"/>
      <c r="T74" s="151"/>
    </row>
    <row r="75" spans="4:20" ht="13.5" customHeight="1" outlineLevel="1" x14ac:dyDescent="0.25">
      <c r="D75" s="85" t="str">
        <f>HarvestedAreas_TCD!E15</f>
        <v>Rice</v>
      </c>
      <c r="E75" s="177">
        <f>HarvestedAreas_TCD!F15</f>
        <v>4446980</v>
      </c>
      <c r="F75" s="177">
        <f>HarvestedAreas_TCD!G15</f>
        <v>4065510</v>
      </c>
      <c r="G75" s="177">
        <f>HarvestedAreas_TCD!H15</f>
        <v>4126670</v>
      </c>
      <c r="H75" s="177">
        <f>HarvestedAreas_TCD!I15</f>
        <v>4195100</v>
      </c>
      <c r="I75" s="177">
        <f>HarvestedAreas_TCD!J15</f>
        <v>4320100</v>
      </c>
      <c r="J75" s="115">
        <f t="shared" si="61"/>
        <v>4536105</v>
      </c>
      <c r="K75" s="115">
        <f t="shared" ref="K75:M75" si="68">J75*(1+$Q75)</f>
        <v>4762910.25</v>
      </c>
      <c r="L75" s="115">
        <f t="shared" si="68"/>
        <v>5001055.7625000002</v>
      </c>
      <c r="M75" s="115">
        <f t="shared" si="68"/>
        <v>5251108.5506250001</v>
      </c>
      <c r="O75" s="117">
        <f t="shared" si="63"/>
        <v>-7.2105443738342823E-3</v>
      </c>
      <c r="P75" s="117">
        <f t="shared" si="64"/>
        <v>2.9796667540702204E-2</v>
      </c>
      <c r="Q75" s="118">
        <f>5%</f>
        <v>0.05</v>
      </c>
      <c r="R75" s="57" t="s">
        <v>292</v>
      </c>
      <c r="S75" s="180" t="s">
        <v>291</v>
      </c>
      <c r="T75" s="151"/>
    </row>
    <row r="76" spans="4:20" ht="13.5" customHeight="1" outlineLevel="1" x14ac:dyDescent="0.25">
      <c r="D76" s="85" t="str">
        <f>HarvestedAreas_TCD!E16</f>
        <v>Groundnuts, excluding shelled</v>
      </c>
      <c r="E76" s="177">
        <f>HarvestedAreas_TCD!F16</f>
        <v>3596850</v>
      </c>
      <c r="F76" s="177">
        <f>HarvestedAreas_TCD!G16</f>
        <v>3757889</v>
      </c>
      <c r="G76" s="177">
        <f>HarvestedAreas_TCD!H16</f>
        <v>3941360</v>
      </c>
      <c r="H76" s="177">
        <f>HarvestedAreas_TCD!I16</f>
        <v>4119066</v>
      </c>
      <c r="I76" s="177">
        <f>HarvestedAreas_TCD!J16</f>
        <v>4271859</v>
      </c>
      <c r="J76" s="115">
        <f t="shared" si="61"/>
        <v>4459545.0484838458</v>
      </c>
      <c r="K76" s="115">
        <f t="shared" ref="K76:M76" si="69">J76*(1+$Q76)</f>
        <v>4655477.1680097096</v>
      </c>
      <c r="L76" s="115">
        <f t="shared" si="69"/>
        <v>4860017.6534214495</v>
      </c>
      <c r="M76" s="115">
        <f t="shared" si="69"/>
        <v>5073544.7171500055</v>
      </c>
      <c r="O76" s="117">
        <f t="shared" si="63"/>
        <v>4.3935450229945827E-2</v>
      </c>
      <c r="P76" s="117">
        <f t="shared" si="64"/>
        <v>3.7094088805569081E-2</v>
      </c>
      <c r="Q76" s="118">
        <f t="shared" si="60"/>
        <v>4.3935450229945827E-2</v>
      </c>
      <c r="R76" s="57"/>
      <c r="S76" s="152"/>
      <c r="T76" s="151"/>
    </row>
    <row r="77" spans="4:20" ht="13.5" customHeight="1" outlineLevel="1" x14ac:dyDescent="0.25">
      <c r="D77" s="85" t="str">
        <f>HarvestedAreas_TCD!E17</f>
        <v>Oil palm fruit</v>
      </c>
      <c r="E77" s="177">
        <f>HarvestedAreas_TCD!F17</f>
        <v>3545307</v>
      </c>
      <c r="F77" s="177">
        <f>HarvestedAreas_TCD!G17</f>
        <v>3736228</v>
      </c>
      <c r="G77" s="177">
        <f>HarvestedAreas_TCD!H17</f>
        <v>3784800</v>
      </c>
      <c r="H77" s="177">
        <f>HarvestedAreas_TCD!I17</f>
        <v>3878183</v>
      </c>
      <c r="I77" s="177">
        <f>HarvestedAreas_TCD!J17</f>
        <v>3937865</v>
      </c>
      <c r="J77" s="115">
        <f t="shared" si="61"/>
        <v>4042616.7130902596</v>
      </c>
      <c r="K77" s="115">
        <f t="shared" ref="K77:M77" si="70">J77*(1+$Q77)</f>
        <v>4150154.9415626726</v>
      </c>
      <c r="L77" s="115">
        <f t="shared" si="70"/>
        <v>4260553.8099135924</v>
      </c>
      <c r="M77" s="115">
        <f t="shared" si="70"/>
        <v>4373889.4144357592</v>
      </c>
      <c r="O77" s="117">
        <f t="shared" si="63"/>
        <v>2.6601143789911408E-2</v>
      </c>
      <c r="P77" s="117">
        <f t="shared" si="64"/>
        <v>1.538916549322189E-2</v>
      </c>
      <c r="Q77" s="118">
        <f t="shared" si="60"/>
        <v>2.6601143789911408E-2</v>
      </c>
      <c r="R77" s="57"/>
      <c r="S77" s="152"/>
      <c r="T77" s="151"/>
    </row>
    <row r="78" spans="4:20" ht="13.5" customHeight="1" outlineLevel="1" x14ac:dyDescent="0.25">
      <c r="D78" s="85" t="str">
        <f>HarvestedAreas_TCD!E18</f>
        <v>Millet</v>
      </c>
      <c r="E78" s="177">
        <f>HarvestedAreas_TCD!F18</f>
        <v>1800069</v>
      </c>
      <c r="F78" s="177">
        <f>HarvestedAreas_TCD!G18</f>
        <v>1734330</v>
      </c>
      <c r="G78" s="177">
        <f>HarvestedAreas_TCD!H18</f>
        <v>1747800</v>
      </c>
      <c r="H78" s="177">
        <f>HarvestedAreas_TCD!I18</f>
        <v>2000000</v>
      </c>
      <c r="I78" s="177">
        <f>HarvestedAreas_TCD!J18</f>
        <v>2000000</v>
      </c>
      <c r="J78" s="115">
        <f t="shared" si="61"/>
        <v>2053360.5144052843</v>
      </c>
      <c r="K78" s="115">
        <f t="shared" ref="K78:M78" si="71">J78*(1+$Q78)</f>
        <v>2108144.7010593666</v>
      </c>
      <c r="L78" s="115">
        <f t="shared" si="71"/>
        <v>2164390.5439040177</v>
      </c>
      <c r="M78" s="115">
        <f t="shared" si="71"/>
        <v>2222137.0403023432</v>
      </c>
      <c r="O78" s="117">
        <f t="shared" si="63"/>
        <v>2.668025720264211E-2</v>
      </c>
      <c r="P78" s="117">
        <f t="shared" si="64"/>
        <v>0</v>
      </c>
      <c r="Q78" s="118">
        <f t="shared" si="60"/>
        <v>2.668025720264211E-2</v>
      </c>
      <c r="R78" s="57"/>
      <c r="S78" s="152"/>
      <c r="T78" s="151"/>
    </row>
    <row r="79" spans="4:20" ht="13.5" customHeight="1" outlineLevel="1" x14ac:dyDescent="0.25">
      <c r="D79" s="85" t="str">
        <f>HarvestedAreas_TCD!E19</f>
        <v>Sweet potatoes</v>
      </c>
      <c r="E79" s="177">
        <f>HarvestedAreas_TCD!F19</f>
        <v>1513745</v>
      </c>
      <c r="F79" s="177">
        <f>HarvestedAreas_TCD!G19</f>
        <v>1516091</v>
      </c>
      <c r="G79" s="177">
        <f>HarvestedAreas_TCD!H19</f>
        <v>1503891</v>
      </c>
      <c r="H79" s="177">
        <f>HarvestedAreas_TCD!I19</f>
        <v>1511243</v>
      </c>
      <c r="I79" s="177">
        <f>HarvestedAreas_TCD!J19</f>
        <v>1510408</v>
      </c>
      <c r="J79" s="115">
        <f t="shared" si="61"/>
        <v>1509574.9000566397</v>
      </c>
      <c r="K79" s="115">
        <f t="shared" ref="K79:M79" si="72">J79*(1+$Q79)</f>
        <v>1508742.2596285332</v>
      </c>
      <c r="L79" s="115">
        <f t="shared" si="72"/>
        <v>1507910.0784622245</v>
      </c>
      <c r="M79" s="115">
        <f t="shared" si="72"/>
        <v>1507078.3563043973</v>
      </c>
      <c r="O79" s="117">
        <f t="shared" si="63"/>
        <v>-5.5157278255968389E-4</v>
      </c>
      <c r="P79" s="117">
        <f t="shared" si="64"/>
        <v>-5.5252530532812205E-4</v>
      </c>
      <c r="Q79" s="118">
        <f t="shared" si="60"/>
        <v>-5.5157278255968389E-4</v>
      </c>
      <c r="R79" s="57"/>
      <c r="S79" s="150"/>
      <c r="T79" s="150"/>
    </row>
    <row r="80" spans="4:20" ht="13.5" customHeight="1" outlineLevel="1" x14ac:dyDescent="0.25">
      <c r="D80" s="85" t="str">
        <f>HarvestedAreas_TCD!E20</f>
        <v>Okra</v>
      </c>
      <c r="E80" s="177">
        <f>HarvestedAreas_TCD!F20</f>
        <v>1301600</v>
      </c>
      <c r="F80" s="177">
        <f>HarvestedAreas_TCD!G20</f>
        <v>1526657</v>
      </c>
      <c r="G80" s="177">
        <f>HarvestedAreas_TCD!H20</f>
        <v>1922771</v>
      </c>
      <c r="H80" s="177">
        <f>HarvestedAreas_TCD!I20</f>
        <v>1460341</v>
      </c>
      <c r="I80" s="177">
        <f>HarvestedAreas_TCD!J20</f>
        <v>1496501</v>
      </c>
      <c r="J80" s="115">
        <f t="shared" si="61"/>
        <v>1549625.945679819</v>
      </c>
      <c r="K80" s="115">
        <f t="shared" ref="K80:M80" si="73">J80*(1+$Q80)</f>
        <v>1604636.7971181264</v>
      </c>
      <c r="L80" s="115">
        <f t="shared" si="73"/>
        <v>1661600.5029109989</v>
      </c>
      <c r="M80" s="115">
        <f t="shared" si="73"/>
        <v>1720586.3882921024</v>
      </c>
      <c r="O80" s="117">
        <f t="shared" si="63"/>
        <v>3.5499438810812078E-2</v>
      </c>
      <c r="P80" s="117">
        <f t="shared" si="64"/>
        <v>2.4761339988399911E-2</v>
      </c>
      <c r="Q80" s="118">
        <f t="shared" si="60"/>
        <v>3.5499438810812078E-2</v>
      </c>
      <c r="R80" s="57"/>
      <c r="S80" s="152"/>
      <c r="T80" s="151"/>
    </row>
    <row r="81" spans="2:20" ht="13.5" customHeight="1" outlineLevel="1" x14ac:dyDescent="0.25">
      <c r="D81" s="85" t="str">
        <f>HarvestedAreas_TCD!E21</f>
        <v>Soya beans</v>
      </c>
      <c r="E81" s="177">
        <f>HarvestedAreas_TCD!F21</f>
        <v>1119660</v>
      </c>
      <c r="F81" s="177">
        <f>HarvestedAreas_TCD!G21</f>
        <v>710792</v>
      </c>
      <c r="G81" s="177">
        <f>HarvestedAreas_TCD!H21</f>
        <v>847647</v>
      </c>
      <c r="H81" s="177">
        <f>HarvestedAreas_TCD!I21</f>
        <v>972053</v>
      </c>
      <c r="I81" s="177">
        <f>HarvestedAreas_TCD!J21</f>
        <v>1057861</v>
      </c>
      <c r="J81" s="115">
        <f t="shared" si="61"/>
        <v>1042951.7499408766</v>
      </c>
      <c r="K81" s="115">
        <f t="shared" ref="K81:M81" si="74">J81*(1+$Q81)</f>
        <v>1028252.6274290637</v>
      </c>
      <c r="L81" s="115">
        <f t="shared" si="74"/>
        <v>1013760.6709751528</v>
      </c>
      <c r="M81" s="115">
        <f t="shared" si="74"/>
        <v>999472.96082828718</v>
      </c>
      <c r="O81" s="117">
        <f t="shared" si="63"/>
        <v>-1.4093770409461581E-2</v>
      </c>
      <c r="P81" s="117">
        <f t="shared" si="64"/>
        <v>8.8275022040979145E-2</v>
      </c>
      <c r="Q81" s="118">
        <f t="shared" si="60"/>
        <v>-1.4093770409461581E-2</v>
      </c>
      <c r="R81" s="57"/>
      <c r="S81" s="150"/>
      <c r="T81" s="151"/>
    </row>
    <row r="82" spans="2:20" ht="13.5" customHeight="1" outlineLevel="1" x14ac:dyDescent="0.25">
      <c r="D82" s="85" t="str">
        <f>HarvestedAreas_TCD!E22</f>
        <v>Cocoa beans</v>
      </c>
      <c r="E82" s="177">
        <f>HarvestedAreas_TCD!F22</f>
        <v>892101</v>
      </c>
      <c r="F82" s="177">
        <f>HarvestedAreas_TCD!G22</f>
        <v>974173</v>
      </c>
      <c r="G82" s="177">
        <f>HarvestedAreas_TCD!H22</f>
        <v>913097</v>
      </c>
      <c r="H82" s="177">
        <f>HarvestedAreas_TCD!I22</f>
        <v>1076093</v>
      </c>
      <c r="I82" s="177">
        <f>HarvestedAreas_TCD!J22</f>
        <v>1055833</v>
      </c>
      <c r="J82" s="115">
        <f t="shared" si="61"/>
        <v>1101261.6940245291</v>
      </c>
      <c r="K82" s="115">
        <f t="shared" ref="K82:M82" si="75">J82*(1+$Q82)</f>
        <v>1148645.0212540955</v>
      </c>
      <c r="L82" s="115">
        <f t="shared" si="75"/>
        <v>1198067.0825207455</v>
      </c>
      <c r="M82" s="115">
        <f t="shared" si="75"/>
        <v>1249615.5972126476</v>
      </c>
      <c r="O82" s="117">
        <f t="shared" si="63"/>
        <v>4.3026400978686041E-2</v>
      </c>
      <c r="P82" s="117">
        <f t="shared" si="64"/>
        <v>-1.8827369009927541E-2</v>
      </c>
      <c r="Q82" s="118">
        <f t="shared" si="60"/>
        <v>4.3026400978686041E-2</v>
      </c>
      <c r="R82" s="57"/>
      <c r="S82" s="152"/>
      <c r="T82" s="150"/>
    </row>
    <row r="83" spans="2:20" ht="13.5" customHeight="1" outlineLevel="1" x14ac:dyDescent="0.25">
      <c r="D83" s="85" t="str">
        <f>HarvestedAreas_TCD!E23</f>
        <v>Melonseed</v>
      </c>
      <c r="E83" s="177">
        <f>HarvestedAreas_TCD!F23</f>
        <v>954189</v>
      </c>
      <c r="F83" s="177">
        <f>HarvestedAreas_TCD!G23</f>
        <v>901068</v>
      </c>
      <c r="G83" s="177">
        <f>HarvestedAreas_TCD!H23</f>
        <v>919875</v>
      </c>
      <c r="H83" s="177">
        <f>HarvestedAreas_TCD!I23</f>
        <v>925044</v>
      </c>
      <c r="I83" s="177">
        <f>HarvestedAreas_TCD!J23</f>
        <v>915329</v>
      </c>
      <c r="J83" s="115">
        <f t="shared" si="61"/>
        <v>905863.84482892137</v>
      </c>
      <c r="K83" s="115">
        <f t="shared" ref="K83:M83" si="76">J83*(1+$Q83)</f>
        <v>896496.56611801451</v>
      </c>
      <c r="L83" s="115">
        <f t="shared" si="76"/>
        <v>887226.15175482247</v>
      </c>
      <c r="M83" s="115">
        <f t="shared" si="76"/>
        <v>878051.60009285354</v>
      </c>
      <c r="O83" s="117">
        <f t="shared" si="63"/>
        <v>-1.0340713744542818E-2</v>
      </c>
      <c r="P83" s="117">
        <f t="shared" si="64"/>
        <v>-1.0502203138445299E-2</v>
      </c>
      <c r="Q83" s="118">
        <f t="shared" si="60"/>
        <v>-1.0340713744542818E-2</v>
      </c>
      <c r="R83" s="57"/>
      <c r="S83" s="152"/>
      <c r="T83" s="151"/>
    </row>
    <row r="84" spans="2:20" ht="13.5" customHeight="1" outlineLevel="1" x14ac:dyDescent="0.25">
      <c r="D84" s="85" t="str">
        <f>HarvestedAreas_TCD!E24</f>
        <v>Other citrus fruit, n.e.c.</v>
      </c>
      <c r="E84" s="177">
        <f>HarvestedAreas_TCD!F24</f>
        <v>823987</v>
      </c>
      <c r="F84" s="177">
        <f>HarvestedAreas_TCD!G24</f>
        <v>833377</v>
      </c>
      <c r="G84" s="177">
        <f>HarvestedAreas_TCD!H24</f>
        <v>837825</v>
      </c>
      <c r="H84" s="177">
        <f>HarvestedAreas_TCD!I24</f>
        <v>843604</v>
      </c>
      <c r="I84" s="177">
        <f>HarvestedAreas_TCD!J24</f>
        <v>849324</v>
      </c>
      <c r="J84" s="115">
        <f t="shared" si="61"/>
        <v>855779.06005954777</v>
      </c>
      <c r="K84" s="115">
        <f t="shared" ref="K84:M84" si="77">J84*(1+$Q84)</f>
        <v>862283.1800778067</v>
      </c>
      <c r="L84" s="115">
        <f t="shared" si="77"/>
        <v>868836.73292188044</v>
      </c>
      <c r="M84" s="115">
        <f t="shared" si="77"/>
        <v>875440.09429274953</v>
      </c>
      <c r="O84" s="117">
        <f t="shared" si="63"/>
        <v>7.6002327257298496E-3</v>
      </c>
      <c r="P84" s="117">
        <f t="shared" si="64"/>
        <v>6.7804325252132092E-3</v>
      </c>
      <c r="Q84" s="118">
        <f t="shared" si="60"/>
        <v>7.6002327257298496E-3</v>
      </c>
      <c r="R84" s="57"/>
      <c r="S84" s="152"/>
      <c r="T84" s="151"/>
    </row>
    <row r="85" spans="2:20" ht="13.5" customHeight="1" outlineLevel="1" x14ac:dyDescent="0.25">
      <c r="D85" s="85" t="str">
        <f>HarvestedAreas_TCD!E25</f>
        <v>Tomatoes</v>
      </c>
      <c r="E85" s="177">
        <f>HarvestedAreas_TCD!F25</f>
        <v>701300</v>
      </c>
      <c r="F85" s="177">
        <f>HarvestedAreas_TCD!G25</f>
        <v>869271</v>
      </c>
      <c r="G85" s="177">
        <f>HarvestedAreas_TCD!H25</f>
        <v>859441</v>
      </c>
      <c r="H85" s="177">
        <f>HarvestedAreas_TCD!I25</f>
        <v>849427</v>
      </c>
      <c r="I85" s="177">
        <f>HarvestedAreas_TCD!J25</f>
        <v>844633</v>
      </c>
      <c r="J85" s="115">
        <f t="shared" si="61"/>
        <v>884828.48854502535</v>
      </c>
      <c r="K85" s="115">
        <f t="shared" ref="K85:M85" si="78">J85*(1+$Q85)</f>
        <v>926936.85203025944</v>
      </c>
      <c r="L85" s="115">
        <f t="shared" si="78"/>
        <v>971049.122824491</v>
      </c>
      <c r="M85" s="115">
        <f t="shared" si="78"/>
        <v>1017260.6654627123</v>
      </c>
      <c r="O85" s="117">
        <f t="shared" si="63"/>
        <v>4.7589294456912512E-2</v>
      </c>
      <c r="P85" s="117">
        <f t="shared" si="64"/>
        <v>-5.6438045882695187E-3</v>
      </c>
      <c r="Q85" s="118">
        <f t="shared" si="60"/>
        <v>4.7589294456912512E-2</v>
      </c>
      <c r="R85" s="57"/>
      <c r="S85" s="152"/>
      <c r="T85" s="151"/>
    </row>
    <row r="86" spans="2:20" ht="13.5" customHeight="1" outlineLevel="1" x14ac:dyDescent="0.25">
      <c r="D86" s="85" t="str">
        <f>HarvestedAreas_TCD!E26</f>
        <v>Taro</v>
      </c>
      <c r="E86" s="177">
        <f>HarvestedAreas_TCD!F26</f>
        <v>776405</v>
      </c>
      <c r="F86" s="177">
        <f>HarvestedAreas_TCD!G26</f>
        <v>821880</v>
      </c>
      <c r="G86" s="177">
        <f>HarvestedAreas_TCD!H26</f>
        <v>820239</v>
      </c>
      <c r="H86" s="177">
        <f>HarvestedAreas_TCD!I26</f>
        <v>806175</v>
      </c>
      <c r="I86" s="177">
        <f>HarvestedAreas_TCD!J26</f>
        <v>816098</v>
      </c>
      <c r="J86" s="115">
        <f t="shared" si="61"/>
        <v>826334.35886297235</v>
      </c>
      <c r="K86" s="115">
        <f t="shared" ref="K86:M86" si="79">J86*(1+$Q86)</f>
        <v>836699.11289756815</v>
      </c>
      <c r="L86" s="115">
        <f t="shared" si="79"/>
        <v>847193.87257097755</v>
      </c>
      <c r="M86" s="115">
        <f t="shared" si="79"/>
        <v>857820.26855056302</v>
      </c>
      <c r="O86" s="117">
        <f t="shared" si="63"/>
        <v>1.2543051034278108E-2</v>
      </c>
      <c r="P86" s="117">
        <f t="shared" si="64"/>
        <v>1.2308741898471087E-2</v>
      </c>
      <c r="Q86" s="118">
        <f t="shared" si="60"/>
        <v>1.2543051034278108E-2</v>
      </c>
      <c r="R86" s="57"/>
      <c r="S86" s="152"/>
      <c r="T86" s="151"/>
    </row>
    <row r="87" spans="2:20" ht="13.5" customHeight="1" outlineLevel="1" x14ac:dyDescent="0.25">
      <c r="D87" s="85" t="str">
        <f>HarvestedAreas_TCD!E27</f>
        <v>Other vegetables, fresh n.e.c.</v>
      </c>
      <c r="E87" s="177">
        <f>HarvestedAreas_TCD!F27</f>
        <v>747456</v>
      </c>
      <c r="F87" s="177">
        <f>HarvestedAreas_TCD!G27</f>
        <v>748828</v>
      </c>
      <c r="G87" s="177">
        <f>HarvestedAreas_TCD!H27</f>
        <v>749466</v>
      </c>
      <c r="H87" s="177">
        <f>HarvestedAreas_TCD!I27</f>
        <v>748583</v>
      </c>
      <c r="I87" s="177">
        <f>HarvestedAreas_TCD!J27</f>
        <v>748959</v>
      </c>
      <c r="J87" s="115">
        <f t="shared" si="61"/>
        <v>749335.2219914915</v>
      </c>
      <c r="K87" s="115">
        <f t="shared" ref="K87:M87" si="80">J87*(1+$Q87)</f>
        <v>749711.63296927849</v>
      </c>
      <c r="L87" s="115">
        <f t="shared" si="80"/>
        <v>750088.23302829382</v>
      </c>
      <c r="M87" s="115">
        <f t="shared" si="80"/>
        <v>750465.02226351795</v>
      </c>
      <c r="O87" s="117">
        <f t="shared" si="63"/>
        <v>5.0232655124182735E-4</v>
      </c>
      <c r="P87" s="117">
        <f t="shared" si="64"/>
        <v>5.0228231204818563E-4</v>
      </c>
      <c r="Q87" s="118">
        <f t="shared" si="60"/>
        <v>5.0232655124182735E-4</v>
      </c>
      <c r="R87" s="57"/>
      <c r="S87" s="152"/>
      <c r="T87" s="151"/>
    </row>
    <row r="88" spans="2:20" ht="13.5" customHeight="1" outlineLevel="1" x14ac:dyDescent="0.25">
      <c r="D88" s="85" t="str">
        <f>HarvestedAreas_TCD!E28</f>
        <v>Onions and shallots, dry (excluding dehydrated)</v>
      </c>
      <c r="E88" s="177">
        <f>HarvestedAreas_TCD!F28</f>
        <v>550399</v>
      </c>
      <c r="F88" s="177">
        <f>HarvestedAreas_TCD!G28</f>
        <v>577229</v>
      </c>
      <c r="G88" s="177">
        <f>HarvestedAreas_TCD!H28</f>
        <v>618499</v>
      </c>
      <c r="H88" s="177">
        <f>HarvestedAreas_TCD!I28</f>
        <v>686088</v>
      </c>
      <c r="I88" s="177">
        <f>HarvestedAreas_TCD!J28</f>
        <v>704924</v>
      </c>
      <c r="J88" s="115">
        <f t="shared" si="61"/>
        <v>749908.82092456811</v>
      </c>
      <c r="K88" s="115">
        <f t="shared" ref="K88:M88" si="81">J88*(1+$Q88)</f>
        <v>797764.35431404796</v>
      </c>
      <c r="L88" s="115">
        <f t="shared" si="81"/>
        <v>848673.79507478408</v>
      </c>
      <c r="M88" s="115">
        <f t="shared" si="81"/>
        <v>902832.02872098249</v>
      </c>
      <c r="O88" s="117">
        <f t="shared" si="63"/>
        <v>6.3815135992770999E-2</v>
      </c>
      <c r="P88" s="117">
        <f t="shared" si="64"/>
        <v>2.7454204125418213E-2</v>
      </c>
      <c r="Q88" s="118">
        <f t="shared" si="60"/>
        <v>6.3815135992770999E-2</v>
      </c>
      <c r="R88" s="57"/>
      <c r="S88" s="152"/>
      <c r="T88" s="151"/>
    </row>
    <row r="89" spans="2:20" ht="13.5" customHeight="1" outlineLevel="1" x14ac:dyDescent="0.25">
      <c r="D89" s="86" t="str">
        <f>HarvestedAreas_TCD!E29</f>
        <v>Sesame seed</v>
      </c>
      <c r="E89" s="177">
        <f>HarvestedAreas_TCD!F29</f>
        <v>1012730</v>
      </c>
      <c r="F89" s="177">
        <f>HarvestedAreas_TCD!G29</f>
        <v>632591</v>
      </c>
      <c r="G89" s="177">
        <f>HarvestedAreas_TCD!H29</f>
        <v>602201</v>
      </c>
      <c r="H89" s="177">
        <f>HarvestedAreas_TCD!I29</f>
        <v>508181</v>
      </c>
      <c r="I89" s="177">
        <f>HarvestedAreas_TCD!J29</f>
        <v>496710</v>
      </c>
      <c r="J89" s="115">
        <f t="shared" si="61"/>
        <v>415676.24916291551</v>
      </c>
      <c r="K89" s="115">
        <f t="shared" ref="K89:L89" si="82">J89*(1+$Q89)</f>
        <v>347862.42297950562</v>
      </c>
      <c r="L89" s="115">
        <f t="shared" si="82"/>
        <v>291111.8101283334</v>
      </c>
      <c r="M89" s="115">
        <f>L89*(1+$Q89)</f>
        <v>243619.54726333771</v>
      </c>
      <c r="O89" s="119">
        <f>IFERROR(_xlfn.RRI($I$69-$E$69,E89,I89),0)</f>
        <v>-0.16314096925184607</v>
      </c>
      <c r="P89" s="119">
        <f>IFERROR(_xlfn.RRI($I$69-$H$69,H89,I89),0)</f>
        <v>-2.2572666038281675E-2</v>
      </c>
      <c r="Q89" s="118">
        <f t="shared" si="60"/>
        <v>-0.16314096925184607</v>
      </c>
      <c r="R89" s="57"/>
      <c r="S89" s="180"/>
      <c r="T89" s="180"/>
    </row>
    <row r="90" spans="2:20" ht="13.5" customHeight="1" outlineLevel="1" thickBot="1" x14ac:dyDescent="0.3">
      <c r="D90" s="87" t="s">
        <v>32</v>
      </c>
      <c r="E90" s="178">
        <f>SUM(E70:E89)</f>
        <v>53037962</v>
      </c>
      <c r="F90" s="178">
        <f>SUM(F70:F89)</f>
        <v>52197750</v>
      </c>
      <c r="G90" s="178">
        <f>SUM(G70:G89)</f>
        <v>57101024</v>
      </c>
      <c r="H90" s="178">
        <f>SUM(H70:H89)</f>
        <v>53858265</v>
      </c>
      <c r="I90" s="178">
        <f>SUM(I70:I89)</f>
        <v>56416312</v>
      </c>
      <c r="J90" s="116">
        <f t="shared" ref="J90:M90" si="83">SUM(J70:J89)</f>
        <v>58133811.521774821</v>
      </c>
      <c r="K90" s="116">
        <f t="shared" si="83"/>
        <v>59971380.725657143</v>
      </c>
      <c r="L90" s="116">
        <f t="shared" si="83"/>
        <v>61933261.838327453</v>
      </c>
      <c r="M90" s="116">
        <f t="shared" si="83"/>
        <v>64024472.487085968</v>
      </c>
      <c r="O90" s="120">
        <f t="shared" si="63"/>
        <v>1.5557379169609309E-2</v>
      </c>
      <c r="P90" s="120">
        <f t="shared" si="64"/>
        <v>4.7495904296211533E-2</v>
      </c>
      <c r="Q90" s="134">
        <f>IFERROR(_xlfn.RRI($M$69-$I$69,I90,M90),0)</f>
        <v>3.2132204596388769E-2</v>
      </c>
    </row>
    <row r="91" spans="2:20" ht="13.5" customHeight="1" thickTop="1" x14ac:dyDescent="0.25">
      <c r="E91" s="1"/>
      <c r="Q91" s="7"/>
    </row>
    <row r="92" spans="2:20" ht="13.5" customHeight="1" x14ac:dyDescent="0.3">
      <c r="B92" s="29">
        <v>3</v>
      </c>
      <c r="C92" s="29" t="s">
        <v>33</v>
      </c>
      <c r="D92" s="28" t="s">
        <v>34</v>
      </c>
    </row>
    <row r="94" spans="2:20" ht="13.5" customHeight="1" x14ac:dyDescent="0.25">
      <c r="D94" s="32" t="s">
        <v>22</v>
      </c>
      <c r="R94" s="88"/>
    </row>
    <row r="95" spans="2:20" ht="13.5" customHeight="1" x14ac:dyDescent="0.25">
      <c r="D95" s="33" t="s">
        <v>35</v>
      </c>
      <c r="O95" s="39" t="s">
        <v>24</v>
      </c>
    </row>
    <row r="96" spans="2:20" ht="13.5" customHeight="1" outlineLevel="1" x14ac:dyDescent="0.25">
      <c r="E96" s="144" t="s">
        <v>25</v>
      </c>
      <c r="F96" s="145"/>
      <c r="G96" s="145"/>
      <c r="H96" s="146"/>
      <c r="I96" s="147" t="s">
        <v>36</v>
      </c>
      <c r="J96" s="144" t="s">
        <v>37</v>
      </c>
      <c r="K96" s="145"/>
      <c r="L96" s="145"/>
      <c r="M96" s="146"/>
    </row>
    <row r="97" spans="4:20" ht="13.5" customHeight="1" outlineLevel="1" x14ac:dyDescent="0.25">
      <c r="D97" s="44"/>
      <c r="E97" s="34">
        <v>2017</v>
      </c>
      <c r="F97" s="34">
        <v>2018</v>
      </c>
      <c r="G97" s="34">
        <v>2019</v>
      </c>
      <c r="H97" s="34">
        <v>2020</v>
      </c>
      <c r="I97" s="34">
        <v>2021</v>
      </c>
      <c r="J97" s="34">
        <v>2022</v>
      </c>
      <c r="K97" s="34">
        <v>2023</v>
      </c>
      <c r="L97" s="34">
        <v>2024</v>
      </c>
      <c r="M97" s="34">
        <v>2025</v>
      </c>
      <c r="O97" s="30" t="s">
        <v>20</v>
      </c>
      <c r="P97" s="30" t="s">
        <v>27</v>
      </c>
      <c r="Q97" s="38" t="s">
        <v>28</v>
      </c>
      <c r="R97" s="38" t="s">
        <v>38</v>
      </c>
      <c r="S97" s="35"/>
      <c r="T97" s="35"/>
    </row>
    <row r="98" spans="4:20" ht="13.5" customHeight="1" outlineLevel="1" x14ac:dyDescent="0.25">
      <c r="D98" s="91" t="str">
        <f t="shared" ref="D98:D117" si="84">D70</f>
        <v>Cassava, fresh</v>
      </c>
      <c r="E98" s="154">
        <f t="shared" ref="E98:I107" si="85">E$126*$R98</f>
        <v>0.78392016646491813</v>
      </c>
      <c r="F98" s="154">
        <f t="shared" si="85"/>
        <v>1.0454730839292243</v>
      </c>
      <c r="G98" s="154">
        <f t="shared" si="85"/>
        <v>0.79674265853212478</v>
      </c>
      <c r="H98" s="154">
        <f t="shared" si="85"/>
        <v>0.68826372950063164</v>
      </c>
      <c r="I98" s="154">
        <f t="shared" si="85"/>
        <v>0.71045106599665708</v>
      </c>
      <c r="J98" s="121">
        <f t="shared" ref="J98:J117" si="86">I98*(1+$Q98)</f>
        <v>0.73298581562013765</v>
      </c>
      <c r="K98" s="121">
        <f>J98*(1+$Q98)</f>
        <v>0.75623534345269949</v>
      </c>
      <c r="L98" s="121">
        <f t="shared" ref="K98:M117" si="87">K98*(1+$Q98)</f>
        <v>0.78022232149632675</v>
      </c>
      <c r="M98" s="121">
        <f>L98*(1+$Q98)</f>
        <v>0.80497014088471119</v>
      </c>
      <c r="O98" s="122">
        <f>IFERROR(_xlfn.RRI($H$97-$E$97,E98,H98),0)</f>
        <v>-4.2450981336198512E-2</v>
      </c>
      <c r="P98" s="122">
        <f t="shared" ref="P98:P117" si="88">IFERROR(_xlfn.RRI($I$97-$H$97,H98,I98),0)</f>
        <v>3.2236678390888729E-2</v>
      </c>
      <c r="Q98" s="159">
        <f>_xlfn.RRI(4,I98,AVERAGE(E98:I98))</f>
        <v>3.1718932804847944E-2</v>
      </c>
      <c r="R98" s="7">
        <v>0.5</v>
      </c>
      <c r="T98" s="42"/>
    </row>
    <row r="99" spans="4:20" ht="13.5" customHeight="1" outlineLevel="1" x14ac:dyDescent="0.25">
      <c r="D99" s="91" t="str">
        <f t="shared" si="84"/>
        <v>Maize (corn)</v>
      </c>
      <c r="E99" s="154">
        <f t="shared" si="85"/>
        <v>2.1949764661017706</v>
      </c>
      <c r="F99" s="154">
        <f t="shared" si="85"/>
        <v>2.927324635001828</v>
      </c>
      <c r="G99" s="154">
        <f t="shared" si="85"/>
        <v>2.2308794438899491</v>
      </c>
      <c r="H99" s="154">
        <f t="shared" si="85"/>
        <v>1.9271384426017684</v>
      </c>
      <c r="I99" s="154">
        <f t="shared" si="85"/>
        <v>1.9892629847906398</v>
      </c>
      <c r="J99" s="121">
        <f t="shared" si="86"/>
        <v>2.0523602837363852</v>
      </c>
      <c r="K99" s="121">
        <f t="shared" si="87"/>
        <v>2.1174589616675581</v>
      </c>
      <c r="L99" s="121">
        <f t="shared" si="87"/>
        <v>2.1846225001897146</v>
      </c>
      <c r="M99" s="121">
        <f t="shared" si="87"/>
        <v>2.2539163944771912</v>
      </c>
      <c r="O99" s="122">
        <f t="shared" ref="O99:O117" si="89">IFERROR(_xlfn.RRI($H$97-$E$97,E99,H99),0)</f>
        <v>-4.2450981336198512E-2</v>
      </c>
      <c r="P99" s="122">
        <f t="shared" si="88"/>
        <v>3.2236678390888729E-2</v>
      </c>
      <c r="Q99" s="159">
        <f t="shared" ref="Q99:Q117" si="90">_xlfn.RRI(4,I99,AVERAGE(E99:I99))</f>
        <v>3.1718932804847944E-2</v>
      </c>
      <c r="R99" s="7">
        <v>1.4</v>
      </c>
      <c r="T99" s="42"/>
    </row>
    <row r="100" spans="4:20" ht="13.5" customHeight="1" outlineLevel="1" x14ac:dyDescent="0.25">
      <c r="D100" s="91" t="str">
        <f t="shared" si="84"/>
        <v>Yams</v>
      </c>
      <c r="E100" s="154">
        <f t="shared" si="85"/>
        <v>0.78392016646491813</v>
      </c>
      <c r="F100" s="154">
        <f t="shared" si="85"/>
        <v>1.0454730839292243</v>
      </c>
      <c r="G100" s="154">
        <f t="shared" si="85"/>
        <v>0.79674265853212478</v>
      </c>
      <c r="H100" s="154">
        <f t="shared" si="85"/>
        <v>0.68826372950063164</v>
      </c>
      <c r="I100" s="154">
        <f t="shared" si="85"/>
        <v>0.71045106599665708</v>
      </c>
      <c r="J100" s="121">
        <f t="shared" si="86"/>
        <v>0.73298581562013765</v>
      </c>
      <c r="K100" s="121">
        <f t="shared" si="87"/>
        <v>0.75623534345269949</v>
      </c>
      <c r="L100" s="121">
        <f t="shared" si="87"/>
        <v>0.78022232149632675</v>
      </c>
      <c r="M100" s="121">
        <f t="shared" si="87"/>
        <v>0.80497014088471119</v>
      </c>
      <c r="O100" s="122">
        <f t="shared" si="89"/>
        <v>-4.2450981336198512E-2</v>
      </c>
      <c r="P100" s="122">
        <f t="shared" si="88"/>
        <v>3.2236678390888729E-2</v>
      </c>
      <c r="Q100" s="159">
        <f t="shared" si="90"/>
        <v>3.1718932804847944E-2</v>
      </c>
      <c r="R100" s="7">
        <v>0.5</v>
      </c>
      <c r="S100" s="1"/>
      <c r="T100" s="42"/>
    </row>
    <row r="101" spans="4:20" ht="13.5" customHeight="1" outlineLevel="1" x14ac:dyDescent="0.25">
      <c r="D101" s="91" t="str">
        <f t="shared" si="84"/>
        <v>Sorghum</v>
      </c>
      <c r="E101" s="154">
        <f t="shared" si="85"/>
        <v>2.1949764661017706</v>
      </c>
      <c r="F101" s="154">
        <f t="shared" si="85"/>
        <v>2.927324635001828</v>
      </c>
      <c r="G101" s="154">
        <f t="shared" si="85"/>
        <v>2.2308794438899491</v>
      </c>
      <c r="H101" s="154">
        <f t="shared" si="85"/>
        <v>1.9271384426017684</v>
      </c>
      <c r="I101" s="154">
        <f t="shared" si="85"/>
        <v>1.9892629847906398</v>
      </c>
      <c r="J101" s="121">
        <f t="shared" si="86"/>
        <v>2.0523602837363852</v>
      </c>
      <c r="K101" s="121">
        <f t="shared" si="87"/>
        <v>2.1174589616675581</v>
      </c>
      <c r="L101" s="121">
        <f t="shared" si="87"/>
        <v>2.1846225001897146</v>
      </c>
      <c r="M101" s="121">
        <f t="shared" si="87"/>
        <v>2.2539163944771912</v>
      </c>
      <c r="O101" s="122">
        <f t="shared" si="89"/>
        <v>-4.2450981336198512E-2</v>
      </c>
      <c r="P101" s="122">
        <f t="shared" si="88"/>
        <v>3.2236678390888729E-2</v>
      </c>
      <c r="Q101" s="159">
        <f t="shared" si="90"/>
        <v>3.1718932804847944E-2</v>
      </c>
      <c r="R101" s="7">
        <v>1.4</v>
      </c>
      <c r="T101" s="42"/>
    </row>
    <row r="102" spans="4:20" ht="13.5" customHeight="1" outlineLevel="1" x14ac:dyDescent="0.25">
      <c r="D102" s="91" t="str">
        <f t="shared" si="84"/>
        <v>Cow peas, dry</v>
      </c>
      <c r="E102" s="154">
        <f t="shared" si="85"/>
        <v>1.8814083995158035</v>
      </c>
      <c r="F102" s="154">
        <f t="shared" si="85"/>
        <v>2.5091354014301381</v>
      </c>
      <c r="G102" s="154">
        <f t="shared" si="85"/>
        <v>1.9121823804770994</v>
      </c>
      <c r="H102" s="154">
        <f t="shared" si="85"/>
        <v>1.6518329508015159</v>
      </c>
      <c r="I102" s="154">
        <f t="shared" si="85"/>
        <v>1.7050825583919769</v>
      </c>
      <c r="J102" s="121">
        <f t="shared" si="86"/>
        <v>1.7591659574883303</v>
      </c>
      <c r="K102" s="121">
        <f t="shared" si="87"/>
        <v>1.8149648242864787</v>
      </c>
      <c r="L102" s="121">
        <f t="shared" si="87"/>
        <v>1.8725335715911842</v>
      </c>
      <c r="M102" s="121">
        <f t="shared" si="87"/>
        <v>1.9319283381233068</v>
      </c>
      <c r="O102" s="122">
        <f t="shared" si="89"/>
        <v>-4.2450981336198512E-2</v>
      </c>
      <c r="P102" s="122">
        <f t="shared" si="88"/>
        <v>3.2236678390888507E-2</v>
      </c>
      <c r="Q102" s="159">
        <f t="shared" si="90"/>
        <v>3.1718932804847944E-2</v>
      </c>
      <c r="R102" s="7">
        <v>1.2</v>
      </c>
      <c r="T102" s="42"/>
    </row>
    <row r="103" spans="4:20" ht="13.5" customHeight="1" outlineLevel="1" x14ac:dyDescent="0.25">
      <c r="D103" s="91" t="str">
        <f t="shared" si="84"/>
        <v>Rice</v>
      </c>
      <c r="E103" s="154">
        <f t="shared" si="85"/>
        <v>1.5678403329298363</v>
      </c>
      <c r="F103" s="154">
        <f t="shared" si="85"/>
        <v>2.0909461678584487</v>
      </c>
      <c r="G103" s="154">
        <f t="shared" si="85"/>
        <v>1.5934853170642496</v>
      </c>
      <c r="H103" s="154">
        <f t="shared" si="85"/>
        <v>1.3765274590012633</v>
      </c>
      <c r="I103" s="154">
        <f t="shared" si="85"/>
        <v>1.4209021319933142</v>
      </c>
      <c r="J103" s="121">
        <f t="shared" si="86"/>
        <v>1.4659716312402753</v>
      </c>
      <c r="K103" s="121">
        <f t="shared" si="87"/>
        <v>1.512470686905399</v>
      </c>
      <c r="L103" s="121">
        <f t="shared" si="87"/>
        <v>1.5604446429926535</v>
      </c>
      <c r="M103" s="121">
        <f t="shared" si="87"/>
        <v>1.6099402817694224</v>
      </c>
      <c r="O103" s="122">
        <f t="shared" si="89"/>
        <v>-4.2450981336198512E-2</v>
      </c>
      <c r="P103" s="122">
        <f t="shared" si="88"/>
        <v>3.2236678390888729E-2</v>
      </c>
      <c r="Q103" s="159">
        <f t="shared" si="90"/>
        <v>3.1718932804847944E-2</v>
      </c>
      <c r="R103" s="7">
        <v>1</v>
      </c>
      <c r="T103" s="42"/>
    </row>
    <row r="104" spans="4:20" ht="13.5" customHeight="1" outlineLevel="1" x14ac:dyDescent="0.25">
      <c r="D104" s="91" t="str">
        <f t="shared" si="84"/>
        <v>Groundnuts, excluding shelled</v>
      </c>
      <c r="E104" s="154">
        <f t="shared" si="85"/>
        <v>2.1949764661017706</v>
      </c>
      <c r="F104" s="154">
        <f t="shared" si="85"/>
        <v>2.927324635001828</v>
      </c>
      <c r="G104" s="154">
        <f t="shared" si="85"/>
        <v>2.2308794438899491</v>
      </c>
      <c r="H104" s="154">
        <f t="shared" si="85"/>
        <v>1.9271384426017684</v>
      </c>
      <c r="I104" s="154">
        <f t="shared" si="85"/>
        <v>1.9892629847906398</v>
      </c>
      <c r="J104" s="121">
        <f t="shared" si="86"/>
        <v>2.0523602837363852</v>
      </c>
      <c r="K104" s="121">
        <f t="shared" si="87"/>
        <v>2.1174589616675581</v>
      </c>
      <c r="L104" s="121">
        <f t="shared" si="87"/>
        <v>2.1846225001897146</v>
      </c>
      <c r="M104" s="121">
        <f t="shared" si="87"/>
        <v>2.2539163944771912</v>
      </c>
      <c r="O104" s="122">
        <f t="shared" si="89"/>
        <v>-4.2450981336198512E-2</v>
      </c>
      <c r="P104" s="122">
        <f t="shared" si="88"/>
        <v>3.2236678390888729E-2</v>
      </c>
      <c r="Q104" s="159">
        <f t="shared" si="90"/>
        <v>3.1718932804847944E-2</v>
      </c>
      <c r="R104" s="7">
        <v>1.4</v>
      </c>
      <c r="T104" s="42"/>
    </row>
    <row r="105" spans="4:20" ht="13.5" customHeight="1" outlineLevel="1" x14ac:dyDescent="0.25">
      <c r="D105" s="91" t="str">
        <f t="shared" si="84"/>
        <v>Oil palm fruit</v>
      </c>
      <c r="E105" s="154">
        <f t="shared" si="85"/>
        <v>1.5678403329298363</v>
      </c>
      <c r="F105" s="154">
        <f t="shared" si="85"/>
        <v>2.0909461678584487</v>
      </c>
      <c r="G105" s="154">
        <f t="shared" si="85"/>
        <v>1.5934853170642496</v>
      </c>
      <c r="H105" s="154">
        <f t="shared" si="85"/>
        <v>1.3765274590012633</v>
      </c>
      <c r="I105" s="154">
        <f t="shared" si="85"/>
        <v>1.4209021319933142</v>
      </c>
      <c r="J105" s="121">
        <f t="shared" si="86"/>
        <v>1.4659716312402753</v>
      </c>
      <c r="K105" s="121">
        <f t="shared" si="87"/>
        <v>1.512470686905399</v>
      </c>
      <c r="L105" s="121">
        <f t="shared" si="87"/>
        <v>1.5604446429926535</v>
      </c>
      <c r="M105" s="121">
        <f t="shared" si="87"/>
        <v>1.6099402817694224</v>
      </c>
      <c r="O105" s="122">
        <f t="shared" si="89"/>
        <v>-4.2450981336198512E-2</v>
      </c>
      <c r="P105" s="122">
        <f t="shared" si="88"/>
        <v>3.2236678390888729E-2</v>
      </c>
      <c r="Q105" s="159">
        <f t="shared" si="90"/>
        <v>3.1718932804847944E-2</v>
      </c>
      <c r="R105" s="7">
        <v>1</v>
      </c>
      <c r="T105" s="42"/>
    </row>
    <row r="106" spans="4:20" ht="13.5" customHeight="1" outlineLevel="1" x14ac:dyDescent="0.25">
      <c r="D106" s="91" t="str">
        <f t="shared" si="84"/>
        <v>Millet</v>
      </c>
      <c r="E106" s="154">
        <f t="shared" si="85"/>
        <v>2.038192432808787</v>
      </c>
      <c r="F106" s="154">
        <f t="shared" si="85"/>
        <v>2.7182300182159835</v>
      </c>
      <c r="G106" s="154">
        <f t="shared" si="85"/>
        <v>2.0715309121835244</v>
      </c>
      <c r="H106" s="154">
        <f t="shared" si="85"/>
        <v>1.7894856967016424</v>
      </c>
      <c r="I106" s="154">
        <f t="shared" si="85"/>
        <v>1.8471727715913084</v>
      </c>
      <c r="J106" s="121">
        <f>I106*(1+$Q106)</f>
        <v>1.905763120612358</v>
      </c>
      <c r="K106" s="121">
        <f t="shared" si="87"/>
        <v>1.9662118929770187</v>
      </c>
      <c r="L106" s="121">
        <f t="shared" si="87"/>
        <v>2.0285780358904497</v>
      </c>
      <c r="M106" s="121">
        <f t="shared" si="87"/>
        <v>2.0929223663002494</v>
      </c>
      <c r="O106" s="122">
        <f t="shared" si="89"/>
        <v>-4.2450981336198401E-2</v>
      </c>
      <c r="P106" s="122">
        <f t="shared" si="88"/>
        <v>3.2236678390888507E-2</v>
      </c>
      <c r="Q106" s="159">
        <f t="shared" si="90"/>
        <v>3.1718932804847944E-2</v>
      </c>
      <c r="R106" s="7">
        <v>1.3</v>
      </c>
      <c r="T106" s="42"/>
    </row>
    <row r="107" spans="4:20" ht="13.5" customHeight="1" outlineLevel="1" x14ac:dyDescent="0.25">
      <c r="D107" s="91" t="str">
        <f t="shared" si="84"/>
        <v>Sweet potatoes</v>
      </c>
      <c r="E107" s="154">
        <f t="shared" si="85"/>
        <v>0.78392016646491813</v>
      </c>
      <c r="F107" s="154">
        <f t="shared" si="85"/>
        <v>1.0454730839292243</v>
      </c>
      <c r="G107" s="154">
        <f t="shared" si="85"/>
        <v>0.79674265853212478</v>
      </c>
      <c r="H107" s="154">
        <f t="shared" si="85"/>
        <v>0.68826372950063164</v>
      </c>
      <c r="I107" s="154">
        <f t="shared" si="85"/>
        <v>0.71045106599665708</v>
      </c>
      <c r="J107" s="121">
        <f t="shared" si="86"/>
        <v>0.73298581562013765</v>
      </c>
      <c r="K107" s="121">
        <f t="shared" si="87"/>
        <v>0.75623534345269949</v>
      </c>
      <c r="L107" s="121">
        <f t="shared" si="87"/>
        <v>0.78022232149632675</v>
      </c>
      <c r="M107" s="121">
        <f t="shared" si="87"/>
        <v>0.80497014088471119</v>
      </c>
      <c r="O107" s="122">
        <f t="shared" si="89"/>
        <v>-4.2450981336198512E-2</v>
      </c>
      <c r="P107" s="122">
        <f t="shared" si="88"/>
        <v>3.2236678390888729E-2</v>
      </c>
      <c r="Q107" s="159">
        <f t="shared" si="90"/>
        <v>3.1718932804847944E-2</v>
      </c>
      <c r="R107" s="7">
        <v>0.5</v>
      </c>
      <c r="T107" s="42"/>
    </row>
    <row r="108" spans="4:20" ht="13.5" customHeight="1" outlineLevel="1" x14ac:dyDescent="0.25">
      <c r="D108" s="91" t="str">
        <f t="shared" si="84"/>
        <v>Okra</v>
      </c>
      <c r="E108" s="154">
        <f t="shared" ref="E108:I117" si="91">E$126*$R108</f>
        <v>1.5678403329298363</v>
      </c>
      <c r="F108" s="154">
        <f t="shared" si="91"/>
        <v>2.0909461678584487</v>
      </c>
      <c r="G108" s="154">
        <f t="shared" si="91"/>
        <v>1.5934853170642496</v>
      </c>
      <c r="H108" s="154">
        <f t="shared" si="91"/>
        <v>1.3765274590012633</v>
      </c>
      <c r="I108" s="154">
        <f t="shared" si="91"/>
        <v>1.4209021319933142</v>
      </c>
      <c r="J108" s="121">
        <f t="shared" si="86"/>
        <v>1.4659716312402753</v>
      </c>
      <c r="K108" s="121">
        <f t="shared" si="87"/>
        <v>1.512470686905399</v>
      </c>
      <c r="L108" s="121">
        <f t="shared" si="87"/>
        <v>1.5604446429926535</v>
      </c>
      <c r="M108" s="121">
        <f t="shared" si="87"/>
        <v>1.6099402817694224</v>
      </c>
      <c r="O108" s="122">
        <f t="shared" si="89"/>
        <v>-4.2450981336198512E-2</v>
      </c>
      <c r="P108" s="122">
        <f t="shared" si="88"/>
        <v>3.2236678390888729E-2</v>
      </c>
      <c r="Q108" s="159">
        <f t="shared" si="90"/>
        <v>3.1718932804847944E-2</v>
      </c>
      <c r="R108" s="7">
        <v>1</v>
      </c>
      <c r="S108" s="1"/>
      <c r="T108" s="42"/>
    </row>
    <row r="109" spans="4:20" ht="13.5" customHeight="1" outlineLevel="1" x14ac:dyDescent="0.25">
      <c r="D109" s="91" t="str">
        <f t="shared" si="84"/>
        <v>Soya beans</v>
      </c>
      <c r="E109" s="154">
        <f t="shared" si="91"/>
        <v>1.8814083995158035</v>
      </c>
      <c r="F109" s="154">
        <f t="shared" si="91"/>
        <v>2.5091354014301381</v>
      </c>
      <c r="G109" s="154">
        <f t="shared" si="91"/>
        <v>1.9121823804770994</v>
      </c>
      <c r="H109" s="154">
        <f t="shared" si="91"/>
        <v>1.6518329508015159</v>
      </c>
      <c r="I109" s="154">
        <f t="shared" si="91"/>
        <v>1.7050825583919769</v>
      </c>
      <c r="J109" s="121">
        <f t="shared" si="86"/>
        <v>1.7591659574883303</v>
      </c>
      <c r="K109" s="121">
        <f t="shared" si="87"/>
        <v>1.8149648242864787</v>
      </c>
      <c r="L109" s="121">
        <f t="shared" si="87"/>
        <v>1.8725335715911842</v>
      </c>
      <c r="M109" s="121">
        <f t="shared" si="87"/>
        <v>1.9319283381233068</v>
      </c>
      <c r="O109" s="122">
        <f t="shared" si="89"/>
        <v>-4.2450981336198512E-2</v>
      </c>
      <c r="P109" s="122">
        <f t="shared" si="88"/>
        <v>3.2236678390888507E-2</v>
      </c>
      <c r="Q109" s="159">
        <f t="shared" si="90"/>
        <v>3.1718932804847944E-2</v>
      </c>
      <c r="R109" s="7">
        <v>1.2</v>
      </c>
      <c r="T109" s="42"/>
    </row>
    <row r="110" spans="4:20" ht="13.5" customHeight="1" outlineLevel="1" x14ac:dyDescent="0.25">
      <c r="D110" s="91" t="str">
        <f t="shared" si="84"/>
        <v>Cocoa beans</v>
      </c>
      <c r="E110" s="154">
        <f t="shared" si="91"/>
        <v>1.5678403329298363</v>
      </c>
      <c r="F110" s="154">
        <f t="shared" si="91"/>
        <v>2.0909461678584487</v>
      </c>
      <c r="G110" s="154">
        <f t="shared" si="91"/>
        <v>1.5934853170642496</v>
      </c>
      <c r="H110" s="154">
        <f t="shared" si="91"/>
        <v>1.3765274590012633</v>
      </c>
      <c r="I110" s="154">
        <f t="shared" si="91"/>
        <v>1.4209021319933142</v>
      </c>
      <c r="J110" s="121">
        <f t="shared" si="86"/>
        <v>1.4659716312402753</v>
      </c>
      <c r="K110" s="121">
        <f t="shared" si="87"/>
        <v>1.512470686905399</v>
      </c>
      <c r="L110" s="121">
        <f t="shared" si="87"/>
        <v>1.5604446429926535</v>
      </c>
      <c r="M110" s="121">
        <f t="shared" si="87"/>
        <v>1.6099402817694224</v>
      </c>
      <c r="O110" s="122">
        <f t="shared" si="89"/>
        <v>-4.2450981336198512E-2</v>
      </c>
      <c r="P110" s="122">
        <f t="shared" si="88"/>
        <v>3.2236678390888729E-2</v>
      </c>
      <c r="Q110" s="159">
        <f t="shared" si="90"/>
        <v>3.1718932804847944E-2</v>
      </c>
      <c r="R110" s="7">
        <v>1</v>
      </c>
      <c r="S110" s="1"/>
      <c r="T110" s="42"/>
    </row>
    <row r="111" spans="4:20" ht="13.5" customHeight="1" outlineLevel="1" x14ac:dyDescent="0.25">
      <c r="D111" s="91" t="str">
        <f t="shared" si="84"/>
        <v>Melonseed</v>
      </c>
      <c r="E111" s="154">
        <f t="shared" si="91"/>
        <v>1.5678403329298363</v>
      </c>
      <c r="F111" s="154">
        <f t="shared" si="91"/>
        <v>2.0909461678584487</v>
      </c>
      <c r="G111" s="154">
        <f t="shared" si="91"/>
        <v>1.5934853170642496</v>
      </c>
      <c r="H111" s="154">
        <f t="shared" si="91"/>
        <v>1.3765274590012633</v>
      </c>
      <c r="I111" s="154">
        <f t="shared" si="91"/>
        <v>1.4209021319933142</v>
      </c>
      <c r="J111" s="121">
        <f t="shared" si="86"/>
        <v>1.4659716312402753</v>
      </c>
      <c r="K111" s="121">
        <f t="shared" si="87"/>
        <v>1.512470686905399</v>
      </c>
      <c r="L111" s="121">
        <f t="shared" si="87"/>
        <v>1.5604446429926535</v>
      </c>
      <c r="M111" s="121">
        <f t="shared" si="87"/>
        <v>1.6099402817694224</v>
      </c>
      <c r="O111" s="122">
        <f t="shared" si="89"/>
        <v>-4.2450981336198512E-2</v>
      </c>
      <c r="P111" s="122">
        <f t="shared" si="88"/>
        <v>3.2236678390888729E-2</v>
      </c>
      <c r="Q111" s="159">
        <f t="shared" si="90"/>
        <v>3.1718932804847944E-2</v>
      </c>
      <c r="R111" s="7">
        <v>1</v>
      </c>
      <c r="T111" s="42"/>
    </row>
    <row r="112" spans="4:20" ht="13.5" customHeight="1" outlineLevel="1" x14ac:dyDescent="0.25">
      <c r="D112" s="91" t="str">
        <f t="shared" si="84"/>
        <v>Other citrus fruit, n.e.c.</v>
      </c>
      <c r="E112" s="154">
        <f t="shared" si="91"/>
        <v>1.5678403329298363</v>
      </c>
      <c r="F112" s="154">
        <f t="shared" si="91"/>
        <v>2.0909461678584487</v>
      </c>
      <c r="G112" s="154">
        <f t="shared" si="91"/>
        <v>1.5934853170642496</v>
      </c>
      <c r="H112" s="154">
        <f t="shared" si="91"/>
        <v>1.3765274590012633</v>
      </c>
      <c r="I112" s="154">
        <f t="shared" si="91"/>
        <v>1.4209021319933142</v>
      </c>
      <c r="J112" s="121">
        <f t="shared" si="86"/>
        <v>1.4659716312402753</v>
      </c>
      <c r="K112" s="121">
        <f t="shared" si="87"/>
        <v>1.512470686905399</v>
      </c>
      <c r="L112" s="121">
        <f t="shared" si="87"/>
        <v>1.5604446429926535</v>
      </c>
      <c r="M112" s="121">
        <f t="shared" si="87"/>
        <v>1.6099402817694224</v>
      </c>
      <c r="O112" s="122">
        <f t="shared" si="89"/>
        <v>-4.2450981336198512E-2</v>
      </c>
      <c r="P112" s="122">
        <f t="shared" si="88"/>
        <v>3.2236678390888729E-2</v>
      </c>
      <c r="Q112" s="159">
        <f t="shared" si="90"/>
        <v>3.1718932804847944E-2</v>
      </c>
      <c r="R112" s="7">
        <v>1</v>
      </c>
      <c r="T112" s="42"/>
    </row>
    <row r="113" spans="4:20" ht="13.5" customHeight="1" outlineLevel="1" x14ac:dyDescent="0.25">
      <c r="D113" s="91" t="str">
        <f t="shared" si="84"/>
        <v>Tomatoes</v>
      </c>
      <c r="E113" s="154">
        <f t="shared" si="91"/>
        <v>1.5678403329298363</v>
      </c>
      <c r="F113" s="154">
        <f t="shared" si="91"/>
        <v>2.0909461678584487</v>
      </c>
      <c r="G113" s="154">
        <f t="shared" si="91"/>
        <v>1.5934853170642496</v>
      </c>
      <c r="H113" s="154">
        <f t="shared" si="91"/>
        <v>1.3765274590012633</v>
      </c>
      <c r="I113" s="154">
        <f t="shared" si="91"/>
        <v>1.4209021319933142</v>
      </c>
      <c r="J113" s="121">
        <f t="shared" si="86"/>
        <v>1.4659716312402753</v>
      </c>
      <c r="K113" s="121">
        <f t="shared" si="87"/>
        <v>1.512470686905399</v>
      </c>
      <c r="L113" s="121">
        <f t="shared" si="87"/>
        <v>1.5604446429926535</v>
      </c>
      <c r="M113" s="121">
        <f t="shared" si="87"/>
        <v>1.6099402817694224</v>
      </c>
      <c r="O113" s="122">
        <f t="shared" si="89"/>
        <v>-4.2450981336198512E-2</v>
      </c>
      <c r="P113" s="122">
        <f t="shared" si="88"/>
        <v>3.2236678390888729E-2</v>
      </c>
      <c r="Q113" s="159">
        <f t="shared" si="90"/>
        <v>3.1718932804847944E-2</v>
      </c>
      <c r="R113" s="7">
        <v>1</v>
      </c>
      <c r="T113" s="42"/>
    </row>
    <row r="114" spans="4:20" ht="13.5" customHeight="1" outlineLevel="1" x14ac:dyDescent="0.25">
      <c r="D114" s="91" t="str">
        <f t="shared" si="84"/>
        <v>Taro</v>
      </c>
      <c r="E114" s="154">
        <f t="shared" si="91"/>
        <v>1.5678403329298363</v>
      </c>
      <c r="F114" s="154">
        <f t="shared" si="91"/>
        <v>2.0909461678584487</v>
      </c>
      <c r="G114" s="154">
        <f t="shared" si="91"/>
        <v>1.5934853170642496</v>
      </c>
      <c r="H114" s="154">
        <f t="shared" si="91"/>
        <v>1.3765274590012633</v>
      </c>
      <c r="I114" s="154">
        <f t="shared" si="91"/>
        <v>1.4209021319933142</v>
      </c>
      <c r="J114" s="121">
        <f t="shared" si="86"/>
        <v>1.4659716312402753</v>
      </c>
      <c r="K114" s="121">
        <f t="shared" si="87"/>
        <v>1.512470686905399</v>
      </c>
      <c r="L114" s="121">
        <f t="shared" si="87"/>
        <v>1.5604446429926535</v>
      </c>
      <c r="M114" s="121">
        <f t="shared" si="87"/>
        <v>1.6099402817694224</v>
      </c>
      <c r="O114" s="122">
        <f t="shared" si="89"/>
        <v>-4.2450981336198512E-2</v>
      </c>
      <c r="P114" s="122">
        <f t="shared" si="88"/>
        <v>3.2236678390888729E-2</v>
      </c>
      <c r="Q114" s="159">
        <f t="shared" si="90"/>
        <v>3.1718932804847944E-2</v>
      </c>
      <c r="R114" s="7">
        <v>1</v>
      </c>
      <c r="T114" s="42"/>
    </row>
    <row r="115" spans="4:20" ht="13.5" customHeight="1" outlineLevel="1" x14ac:dyDescent="0.25">
      <c r="D115" s="91" t="str">
        <f t="shared" si="84"/>
        <v>Other vegetables, fresh n.e.c.</v>
      </c>
      <c r="E115" s="154">
        <f t="shared" si="91"/>
        <v>1.5678403329298363</v>
      </c>
      <c r="F115" s="154">
        <f t="shared" si="91"/>
        <v>2.0909461678584487</v>
      </c>
      <c r="G115" s="154">
        <f t="shared" si="91"/>
        <v>1.5934853170642496</v>
      </c>
      <c r="H115" s="154">
        <f t="shared" si="91"/>
        <v>1.3765274590012633</v>
      </c>
      <c r="I115" s="154">
        <f t="shared" si="91"/>
        <v>1.4209021319933142</v>
      </c>
      <c r="J115" s="121">
        <f t="shared" si="86"/>
        <v>1.4659716312402753</v>
      </c>
      <c r="K115" s="121">
        <f t="shared" si="87"/>
        <v>1.512470686905399</v>
      </c>
      <c r="L115" s="121">
        <f t="shared" si="87"/>
        <v>1.5604446429926535</v>
      </c>
      <c r="M115" s="121">
        <f t="shared" si="87"/>
        <v>1.6099402817694224</v>
      </c>
      <c r="O115" s="122">
        <f t="shared" si="89"/>
        <v>-4.2450981336198512E-2</v>
      </c>
      <c r="P115" s="122">
        <f t="shared" si="88"/>
        <v>3.2236678390888729E-2</v>
      </c>
      <c r="Q115" s="159">
        <f t="shared" si="90"/>
        <v>3.1718932804847944E-2</v>
      </c>
      <c r="R115" s="7">
        <v>1</v>
      </c>
      <c r="T115" s="42"/>
    </row>
    <row r="116" spans="4:20" ht="13.5" customHeight="1" outlineLevel="1" x14ac:dyDescent="0.25">
      <c r="D116" s="91" t="str">
        <f t="shared" si="84"/>
        <v>Onions and shallots, dry (excluding dehydrated)</v>
      </c>
      <c r="E116" s="154">
        <f t="shared" si="91"/>
        <v>1.5678403329298363</v>
      </c>
      <c r="F116" s="154">
        <f t="shared" si="91"/>
        <v>2.0909461678584487</v>
      </c>
      <c r="G116" s="154">
        <f t="shared" si="91"/>
        <v>1.5934853170642496</v>
      </c>
      <c r="H116" s="154">
        <f t="shared" si="91"/>
        <v>1.3765274590012633</v>
      </c>
      <c r="I116" s="154">
        <f t="shared" si="91"/>
        <v>1.4209021319933142</v>
      </c>
      <c r="J116" s="121">
        <f t="shared" si="86"/>
        <v>1.4659716312402753</v>
      </c>
      <c r="K116" s="121">
        <f t="shared" si="87"/>
        <v>1.512470686905399</v>
      </c>
      <c r="L116" s="121">
        <f t="shared" si="87"/>
        <v>1.5604446429926535</v>
      </c>
      <c r="M116" s="121">
        <f t="shared" si="87"/>
        <v>1.6099402817694224</v>
      </c>
      <c r="O116" s="122">
        <f t="shared" si="89"/>
        <v>-4.2450981336198512E-2</v>
      </c>
      <c r="P116" s="122">
        <f t="shared" si="88"/>
        <v>3.2236678390888729E-2</v>
      </c>
      <c r="Q116" s="159">
        <f t="shared" si="90"/>
        <v>3.1718932804847944E-2</v>
      </c>
      <c r="R116" s="7">
        <v>1</v>
      </c>
      <c r="T116" s="42"/>
    </row>
    <row r="117" spans="4:20" ht="13.5" customHeight="1" outlineLevel="1" x14ac:dyDescent="0.25">
      <c r="D117" s="91" t="str">
        <f t="shared" si="84"/>
        <v>Sesame seed</v>
      </c>
      <c r="E117" s="154">
        <f t="shared" si="91"/>
        <v>1.5678403329298363</v>
      </c>
      <c r="F117" s="154">
        <f t="shared" si="91"/>
        <v>2.0909461678584487</v>
      </c>
      <c r="G117" s="154">
        <f t="shared" si="91"/>
        <v>1.5934853170642496</v>
      </c>
      <c r="H117" s="154">
        <f t="shared" si="91"/>
        <v>1.3765274590012633</v>
      </c>
      <c r="I117" s="154">
        <f t="shared" si="91"/>
        <v>1.4209021319933142</v>
      </c>
      <c r="J117" s="121">
        <f t="shared" si="86"/>
        <v>1.4659716312402753</v>
      </c>
      <c r="K117" s="121">
        <f t="shared" si="87"/>
        <v>1.512470686905399</v>
      </c>
      <c r="L117" s="121">
        <f t="shared" si="87"/>
        <v>1.5604446429926535</v>
      </c>
      <c r="M117" s="121">
        <f t="shared" si="87"/>
        <v>1.6099402817694224</v>
      </c>
      <c r="O117" s="122">
        <f t="shared" si="89"/>
        <v>-4.2450981336198512E-2</v>
      </c>
      <c r="P117" s="122">
        <f t="shared" si="88"/>
        <v>3.2236678390888729E-2</v>
      </c>
      <c r="Q117" s="159">
        <f t="shared" si="90"/>
        <v>3.1718932804847944E-2</v>
      </c>
      <c r="R117" s="7">
        <v>1</v>
      </c>
      <c r="T117" s="42"/>
    </row>
    <row r="118" spans="4:20" ht="13.5" customHeight="1" x14ac:dyDescent="0.25">
      <c r="D118" s="1"/>
      <c r="E118" s="80"/>
      <c r="F118" s="80"/>
      <c r="G118" s="80"/>
      <c r="H118" s="80"/>
      <c r="I118" s="80"/>
      <c r="K118" s="58"/>
      <c r="L118" s="58"/>
      <c r="M118" s="58"/>
      <c r="O118" s="67"/>
      <c r="P118" s="68"/>
      <c r="Q118" s="82"/>
      <c r="R118" s="89">
        <f>AVERAGE(R98:R117)</f>
        <v>1.02</v>
      </c>
      <c r="S118" s="61"/>
      <c r="T118" s="42"/>
    </row>
    <row r="119" spans="4:20" ht="13.5" customHeight="1" x14ac:dyDescent="0.25">
      <c r="D119" s="1"/>
      <c r="E119" s="80"/>
      <c r="F119" s="80"/>
      <c r="G119" s="80"/>
      <c r="H119" s="80"/>
      <c r="I119" s="80"/>
      <c r="J119" s="58"/>
      <c r="K119" s="58"/>
      <c r="L119" s="58"/>
      <c r="M119" s="58"/>
      <c r="O119" s="67"/>
      <c r="P119" s="68"/>
      <c r="Q119" s="82"/>
      <c r="R119" s="89"/>
      <c r="S119" s="61"/>
      <c r="T119" s="42"/>
    </row>
    <row r="120" spans="4:20" ht="13.5" customHeight="1" x14ac:dyDescent="0.25">
      <c r="J120" s="43"/>
      <c r="K120" s="43"/>
      <c r="L120" s="43"/>
      <c r="M120" s="43"/>
      <c r="O120" s="54"/>
      <c r="P120" s="54"/>
      <c r="Q120" s="47"/>
      <c r="R120" s="90"/>
      <c r="S120" s="41"/>
    </row>
    <row r="121" spans="4:20" ht="13.5" customHeight="1" x14ac:dyDescent="0.25">
      <c r="D121" s="32" t="s">
        <v>39</v>
      </c>
      <c r="J121" s="43"/>
      <c r="K121" s="43"/>
      <c r="L121" s="43"/>
      <c r="M121" s="43"/>
      <c r="O121" s="54"/>
      <c r="P121" s="54"/>
      <c r="Q121" s="47"/>
      <c r="R121" s="43"/>
      <c r="S121" s="41"/>
    </row>
    <row r="122" spans="4:20" ht="13.5" customHeight="1" x14ac:dyDescent="0.25">
      <c r="D122" s="33" t="s">
        <v>40</v>
      </c>
      <c r="E122" s="216">
        <f t="shared" ref="E122:H122" si="92">E33/E90*1000000</f>
        <v>1.6066388545124572</v>
      </c>
      <c r="F122" s="216">
        <f t="shared" si="92"/>
        <v>2.1281270925886937</v>
      </c>
      <c r="G122" s="216">
        <f t="shared" si="92"/>
        <v>1.5627692895890921</v>
      </c>
      <c r="H122" s="216">
        <f t="shared" si="92"/>
        <v>1.3846712434734207</v>
      </c>
      <c r="I122" s="216">
        <f>I33/I90*1000000</f>
        <v>1.4181707639763834</v>
      </c>
      <c r="J122" s="191" t="s">
        <v>269</v>
      </c>
      <c r="K122" s="43"/>
      <c r="L122" s="43"/>
      <c r="M122" s="43"/>
      <c r="O122" s="54"/>
      <c r="P122" s="54"/>
      <c r="Q122" s="47"/>
      <c r="R122" s="43"/>
      <c r="S122" s="41"/>
    </row>
    <row r="123" spans="4:20" ht="13.5" customHeight="1" x14ac:dyDescent="0.25">
      <c r="E123" s="31"/>
      <c r="F123" s="31"/>
      <c r="G123" s="31"/>
      <c r="H123" s="31"/>
      <c r="I123" s="31"/>
      <c r="Q123" s="47"/>
    </row>
    <row r="124" spans="4:20" ht="13.5" customHeight="1" outlineLevel="1" x14ac:dyDescent="0.25">
      <c r="D124" s="44"/>
      <c r="E124" s="123">
        <v>2017</v>
      </c>
      <c r="F124" s="123">
        <v>2018</v>
      </c>
      <c r="G124" s="123">
        <v>2019</v>
      </c>
      <c r="H124" s="123">
        <v>2020</v>
      </c>
      <c r="I124" s="123">
        <v>2021</v>
      </c>
      <c r="K124" s="50"/>
      <c r="L124" s="50"/>
      <c r="M124" s="50"/>
      <c r="O124" s="35"/>
      <c r="P124" s="35"/>
      <c r="Q124" s="48"/>
      <c r="R124" s="48"/>
      <c r="S124" s="48"/>
      <c r="T124" s="7"/>
    </row>
    <row r="125" spans="4:20" ht="13.5" customHeight="1" outlineLevel="1" x14ac:dyDescent="0.25">
      <c r="D125" s="46" t="s">
        <v>268</v>
      </c>
      <c r="E125" s="213">
        <f>UNComtradeData_Imports!T23*1000</f>
        <v>83155056</v>
      </c>
      <c r="F125" s="213">
        <f>UNComtradeData_Imports!U23*1000</f>
        <v>109142685.33333333</v>
      </c>
      <c r="G125" s="213">
        <f>UNComtradeData_Imports!V23*1000</f>
        <v>90989643.333333328</v>
      </c>
      <c r="H125" s="213">
        <f>UNComtradeData_Imports!W23*1000</f>
        <v>74137380.666666672</v>
      </c>
      <c r="I125" s="213">
        <f>UNComtradeData_Imports!X23*1000</f>
        <v>80162058</v>
      </c>
      <c r="K125" s="49"/>
      <c r="L125" s="49"/>
      <c r="M125" s="49"/>
      <c r="O125" s="35"/>
      <c r="P125" s="35"/>
      <c r="Q125" s="35"/>
      <c r="R125" s="47"/>
      <c r="S125" s="47"/>
      <c r="T125" s="7"/>
    </row>
    <row r="126" spans="4:20" ht="13.5" customHeight="1" outlineLevel="1" x14ac:dyDescent="0.25">
      <c r="D126" s="46" t="s">
        <v>41</v>
      </c>
      <c r="E126" s="154">
        <f>(E125/E90)</f>
        <v>1.5678403329298363</v>
      </c>
      <c r="F126" s="154">
        <f t="shared" ref="F126:H126" si="93">(F125/F90)</f>
        <v>2.0909461678584487</v>
      </c>
      <c r="G126" s="154">
        <f t="shared" si="93"/>
        <v>1.5934853170642496</v>
      </c>
      <c r="H126" s="154">
        <f t="shared" si="93"/>
        <v>1.3765274590012633</v>
      </c>
      <c r="I126" s="154">
        <f>(I125/I90)</f>
        <v>1.4209021319933142</v>
      </c>
      <c r="K126" s="49"/>
      <c r="L126" s="49"/>
      <c r="M126" s="49"/>
      <c r="O126" s="35"/>
      <c r="P126" s="35"/>
      <c r="Q126" s="35"/>
      <c r="R126" s="47"/>
      <c r="S126" s="47"/>
      <c r="T126" s="7"/>
    </row>
    <row r="127" spans="4:20" ht="13.5" customHeight="1" outlineLevel="1" x14ac:dyDescent="0.25">
      <c r="D127" s="92" t="s">
        <v>42</v>
      </c>
      <c r="E127" s="124">
        <f>E126/46%</f>
        <v>3.4083485498474699</v>
      </c>
      <c r="F127" s="124">
        <f t="shared" ref="F127:I127" si="94">F126/46%</f>
        <v>4.5455351475183665</v>
      </c>
      <c r="G127" s="124">
        <f t="shared" si="94"/>
        <v>3.464098515357064</v>
      </c>
      <c r="H127" s="124">
        <f t="shared" si="94"/>
        <v>2.9924509978288332</v>
      </c>
      <c r="I127" s="124">
        <f t="shared" si="94"/>
        <v>3.088917678246335</v>
      </c>
      <c r="K127" s="49"/>
      <c r="L127" s="49"/>
      <c r="M127" s="49"/>
      <c r="O127" s="35"/>
      <c r="P127" s="35"/>
      <c r="Q127" s="35"/>
      <c r="R127" s="47"/>
      <c r="S127" s="47"/>
      <c r="T127" s="7"/>
    </row>
    <row r="128" spans="4:20" ht="13.5" customHeight="1" outlineLevel="1" x14ac:dyDescent="0.25">
      <c r="D128" s="98" t="s">
        <v>43</v>
      </c>
      <c r="E128" s="99" t="s">
        <v>44</v>
      </c>
      <c r="F128" s="99" t="s">
        <v>44</v>
      </c>
      <c r="G128" s="99" t="s">
        <v>44</v>
      </c>
      <c r="H128" s="99" t="s">
        <v>44</v>
      </c>
      <c r="I128" s="99" t="s">
        <v>36</v>
      </c>
      <c r="K128" s="47"/>
      <c r="L128" s="47"/>
      <c r="M128" s="47"/>
      <c r="O128" s="47"/>
      <c r="P128" s="47"/>
      <c r="Q128" s="47"/>
      <c r="R128" s="47"/>
      <c r="S128" s="47"/>
      <c r="T128" s="7"/>
    </row>
    <row r="129" spans="2:23" ht="13.5" customHeight="1" x14ac:dyDescent="0.25">
      <c r="O129" s="47"/>
      <c r="P129" s="47"/>
      <c r="Q129" s="47"/>
      <c r="R129" s="47"/>
      <c r="S129" s="47"/>
      <c r="T129" s="7"/>
    </row>
    <row r="130" spans="2:23" ht="13.5" customHeight="1" x14ac:dyDescent="0.3">
      <c r="B130" s="29">
        <v>3</v>
      </c>
      <c r="C130" s="29" t="s">
        <v>45</v>
      </c>
      <c r="D130" s="28" t="s">
        <v>277</v>
      </c>
      <c r="O130" s="7"/>
      <c r="P130" s="7"/>
      <c r="Q130" s="7"/>
      <c r="R130" s="7"/>
      <c r="S130" s="7"/>
      <c r="T130" s="7"/>
    </row>
    <row r="131" spans="2:23" ht="13.5" customHeight="1" x14ac:dyDescent="0.3">
      <c r="B131" s="28"/>
      <c r="C131" s="28"/>
      <c r="D131" s="28"/>
      <c r="O131" s="7"/>
      <c r="P131" s="7"/>
      <c r="Q131" s="7"/>
      <c r="R131" s="7"/>
      <c r="S131" s="7"/>
      <c r="T131" s="7"/>
    </row>
    <row r="132" spans="2:23" ht="13.5" customHeight="1" x14ac:dyDescent="0.3">
      <c r="B132" s="28"/>
      <c r="C132" s="28"/>
      <c r="D132" s="32" t="s">
        <v>22</v>
      </c>
      <c r="J132" s="293" t="s">
        <v>46</v>
      </c>
      <c r="K132" s="293"/>
      <c r="L132" s="293"/>
      <c r="M132" s="293"/>
      <c r="T132" s="7"/>
    </row>
    <row r="133" spans="2:23" ht="13.5" customHeight="1" x14ac:dyDescent="0.3">
      <c r="B133" s="28"/>
      <c r="C133" s="28"/>
      <c r="D133" s="33" t="s">
        <v>47</v>
      </c>
      <c r="J133" s="175">
        <v>0</v>
      </c>
      <c r="K133" s="175">
        <v>0</v>
      </c>
      <c r="L133" s="175">
        <v>0.5</v>
      </c>
      <c r="M133" s="175">
        <v>1</v>
      </c>
      <c r="O133" s="39" t="s">
        <v>24</v>
      </c>
      <c r="T133" s="7"/>
    </row>
    <row r="134" spans="2:23" ht="13.5" customHeight="1" outlineLevel="1" x14ac:dyDescent="0.3">
      <c r="B134" s="28"/>
      <c r="C134" s="28"/>
      <c r="E134" s="144" t="s">
        <v>25</v>
      </c>
      <c r="F134" s="145"/>
      <c r="G134" s="145"/>
      <c r="H134" s="146"/>
      <c r="I134" s="147" t="s">
        <v>36</v>
      </c>
      <c r="J134" s="144" t="s">
        <v>48</v>
      </c>
      <c r="K134" s="145"/>
      <c r="L134" s="145"/>
      <c r="M134" s="146"/>
      <c r="Q134" s="7"/>
      <c r="T134" s="7"/>
    </row>
    <row r="135" spans="2:23" ht="13.5" customHeight="1" outlineLevel="1" x14ac:dyDescent="0.3">
      <c r="B135" s="28"/>
      <c r="C135" s="28"/>
      <c r="D135" s="44" t="s">
        <v>49</v>
      </c>
      <c r="E135" s="45">
        <v>2017</v>
      </c>
      <c r="F135" s="45">
        <v>2018</v>
      </c>
      <c r="G135" s="45">
        <v>2019</v>
      </c>
      <c r="H135" s="45">
        <v>2020</v>
      </c>
      <c r="I135" s="45">
        <v>2021</v>
      </c>
      <c r="J135" s="45">
        <v>2022</v>
      </c>
      <c r="K135" s="45">
        <v>2023</v>
      </c>
      <c r="L135" s="45">
        <v>2024</v>
      </c>
      <c r="M135" s="45">
        <v>2025</v>
      </c>
      <c r="O135" s="30" t="s">
        <v>50</v>
      </c>
      <c r="P135" s="38" t="s">
        <v>51</v>
      </c>
      <c r="Q135" s="38" t="s">
        <v>52</v>
      </c>
      <c r="R135" s="38" t="s">
        <v>53</v>
      </c>
      <c r="S135" s="30" t="s">
        <v>54</v>
      </c>
      <c r="T135" s="38" t="s">
        <v>55</v>
      </c>
      <c r="W135" s="1" t="s">
        <v>56</v>
      </c>
    </row>
    <row r="136" spans="2:23" ht="13.2" customHeight="1" outlineLevel="1" x14ac:dyDescent="0.3">
      <c r="B136" s="28"/>
      <c r="C136" s="28"/>
      <c r="D136" s="2" t="str">
        <f t="shared" ref="D136:D155" si="95">D70</f>
        <v>Cassava, fresh</v>
      </c>
      <c r="E136" s="125">
        <f>E98</f>
        <v>0.78392016646491813</v>
      </c>
      <c r="F136" s="105">
        <f t="shared" ref="F136:H136" si="96">F98</f>
        <v>1.0454730839292243</v>
      </c>
      <c r="G136" s="105">
        <f t="shared" si="96"/>
        <v>0.79674265853212478</v>
      </c>
      <c r="H136" s="126">
        <f t="shared" si="96"/>
        <v>0.68826372950063164</v>
      </c>
      <c r="I136" s="126">
        <f>I98</f>
        <v>0.71045106599665708</v>
      </c>
      <c r="J136" s="112">
        <f>J98</f>
        <v>0.73298581562013765</v>
      </c>
      <c r="K136" s="112">
        <f>K98</f>
        <v>0.75623534345269949</v>
      </c>
      <c r="L136" s="127">
        <f t="shared" ref="L136" si="97">IF($P136&lt;K136,K136,K136+($P136-K136)*L$133)</f>
        <v>1.6142114217263499</v>
      </c>
      <c r="M136" s="128">
        <f>IF($P136&lt;L136,L136,L136+($P136-L136)*M$133)</f>
        <v>2.4721875000000004</v>
      </c>
      <c r="O136" s="1" t="s">
        <v>66</v>
      </c>
      <c r="P136" s="40">
        <f>S136*Q136</f>
        <v>2.4721875000000004</v>
      </c>
      <c r="Q136" s="89">
        <v>0.05</v>
      </c>
      <c r="R136" s="97" t="s">
        <v>58</v>
      </c>
      <c r="S136" s="2">
        <f>_xlfn.XLOOKUP(O136,$D$162:$D$173,$G$162:$G$173)</f>
        <v>49.443750000000001</v>
      </c>
      <c r="T136" s="1"/>
      <c r="W136" s="158">
        <f>80%</f>
        <v>0.8</v>
      </c>
    </row>
    <row r="137" spans="2:23" ht="13.2" customHeight="1" outlineLevel="1" x14ac:dyDescent="0.3">
      <c r="B137" s="28"/>
      <c r="C137" s="28"/>
      <c r="D137" s="2" t="str">
        <f t="shared" si="95"/>
        <v>Maize (corn)</v>
      </c>
      <c r="E137" s="125">
        <f t="shared" ref="E137:K137" si="98">E99</f>
        <v>2.1949764661017706</v>
      </c>
      <c r="F137" s="105">
        <f t="shared" si="98"/>
        <v>2.927324635001828</v>
      </c>
      <c r="G137" s="105">
        <f t="shared" si="98"/>
        <v>2.2308794438899491</v>
      </c>
      <c r="H137" s="126">
        <f t="shared" si="98"/>
        <v>1.9271384426017684</v>
      </c>
      <c r="I137" s="126">
        <f t="shared" si="98"/>
        <v>1.9892629847906398</v>
      </c>
      <c r="J137" s="112">
        <f t="shared" si="98"/>
        <v>2.0523602837363852</v>
      </c>
      <c r="K137" s="112">
        <f t="shared" si="98"/>
        <v>2.1174589616675581</v>
      </c>
      <c r="L137" s="127">
        <f t="shared" ref="L137" si="99">IF($P137&lt;K137,K137,K137+($P137-K137)*L$133)</f>
        <v>3.0790419808337788</v>
      </c>
      <c r="M137" s="128">
        <f>IF($P137&lt;L137,L137,L137+($P137-L137)*M$133)</f>
        <v>4.0406249999999995</v>
      </c>
      <c r="O137" s="1" t="s">
        <v>65</v>
      </c>
      <c r="P137" s="40">
        <f t="shared" ref="P137:P154" si="100">S137*Q137</f>
        <v>4.0406249999999995</v>
      </c>
      <c r="Q137" s="89">
        <v>0.15</v>
      </c>
      <c r="R137" s="97" t="s">
        <v>60</v>
      </c>
      <c r="S137" s="2">
        <f t="shared" ref="S137:S155" si="101">_xlfn.XLOOKUP(O137,$D$162:$D$173,$G$162:$G$173)</f>
        <v>26.9375</v>
      </c>
      <c r="T137" s="1"/>
      <c r="W137" s="158">
        <f>80%</f>
        <v>0.8</v>
      </c>
    </row>
    <row r="138" spans="2:23" ht="13.5" customHeight="1" outlineLevel="1" x14ac:dyDescent="0.3">
      <c r="B138" s="28"/>
      <c r="C138" s="28"/>
      <c r="D138" s="2" t="str">
        <f t="shared" si="95"/>
        <v>Yams</v>
      </c>
      <c r="E138" s="125">
        <f t="shared" ref="E138:K138" si="102">E100</f>
        <v>0.78392016646491813</v>
      </c>
      <c r="F138" s="105">
        <f t="shared" si="102"/>
        <v>1.0454730839292243</v>
      </c>
      <c r="G138" s="105">
        <f t="shared" si="102"/>
        <v>0.79674265853212478</v>
      </c>
      <c r="H138" s="126">
        <f t="shared" si="102"/>
        <v>0.68826372950063164</v>
      </c>
      <c r="I138" s="126">
        <f t="shared" si="102"/>
        <v>0.71045106599665708</v>
      </c>
      <c r="J138" s="112">
        <f t="shared" si="102"/>
        <v>0.73298581562013765</v>
      </c>
      <c r="K138" s="112">
        <f t="shared" si="102"/>
        <v>0.75623534345269949</v>
      </c>
      <c r="L138" s="127">
        <f t="shared" ref="L138:M138" si="103">IF($P138&lt;K138,K138,K138+($P138-K138)*L$133)</f>
        <v>1.6142114217263499</v>
      </c>
      <c r="M138" s="128">
        <f t="shared" si="103"/>
        <v>2.4721875000000004</v>
      </c>
      <c r="O138" s="1" t="s">
        <v>66</v>
      </c>
      <c r="P138" s="40">
        <f t="shared" si="100"/>
        <v>2.4721875000000004</v>
      </c>
      <c r="Q138" s="89">
        <v>0.05</v>
      </c>
      <c r="R138" s="97" t="s">
        <v>58</v>
      </c>
      <c r="S138" s="2">
        <f t="shared" si="101"/>
        <v>49.443750000000001</v>
      </c>
      <c r="T138" s="1"/>
      <c r="W138" s="158">
        <f>80%</f>
        <v>0.8</v>
      </c>
    </row>
    <row r="139" spans="2:23" ht="13.2" customHeight="1" outlineLevel="1" x14ac:dyDescent="0.3">
      <c r="B139" s="28"/>
      <c r="C139" s="28"/>
      <c r="D139" s="2" t="str">
        <f t="shared" si="95"/>
        <v>Sorghum</v>
      </c>
      <c r="E139" s="125">
        <f t="shared" ref="E139:K139" si="104">E101</f>
        <v>2.1949764661017706</v>
      </c>
      <c r="F139" s="105">
        <f t="shared" si="104"/>
        <v>2.927324635001828</v>
      </c>
      <c r="G139" s="105">
        <f t="shared" si="104"/>
        <v>2.2308794438899491</v>
      </c>
      <c r="H139" s="126">
        <f t="shared" si="104"/>
        <v>1.9271384426017684</v>
      </c>
      <c r="I139" s="126">
        <f t="shared" si="104"/>
        <v>1.9892629847906398</v>
      </c>
      <c r="J139" s="112">
        <f t="shared" si="104"/>
        <v>2.0523602837363852</v>
      </c>
      <c r="K139" s="112">
        <f t="shared" si="104"/>
        <v>2.1174589616675581</v>
      </c>
      <c r="L139" s="127">
        <f t="shared" ref="L139:M139" si="105">IF($P139&lt;K139,K139,K139+($P139-K139)*L$133)</f>
        <v>2.1174589616675581</v>
      </c>
      <c r="M139" s="128">
        <f t="shared" si="105"/>
        <v>2.1174589616675581</v>
      </c>
      <c r="O139" s="1" t="s">
        <v>61</v>
      </c>
      <c r="P139" s="40">
        <f t="shared" si="100"/>
        <v>2.0474999999999999</v>
      </c>
      <c r="Q139" s="89">
        <v>0.15</v>
      </c>
      <c r="R139" s="97" t="s">
        <v>58</v>
      </c>
      <c r="S139" s="2">
        <f t="shared" si="101"/>
        <v>13.65</v>
      </c>
      <c r="T139" s="1"/>
      <c r="W139" s="158">
        <f>80%</f>
        <v>0.8</v>
      </c>
    </row>
    <row r="140" spans="2:23" ht="13.5" customHeight="1" outlineLevel="1" x14ac:dyDescent="0.3">
      <c r="B140" s="28"/>
      <c r="C140" s="28"/>
      <c r="D140" s="2" t="str">
        <f t="shared" si="95"/>
        <v>Cow peas, dry</v>
      </c>
      <c r="E140" s="125">
        <f t="shared" ref="E140:K140" si="106">E102</f>
        <v>1.8814083995158035</v>
      </c>
      <c r="F140" s="105">
        <f t="shared" si="106"/>
        <v>2.5091354014301381</v>
      </c>
      <c r="G140" s="105">
        <f t="shared" si="106"/>
        <v>1.9121823804770994</v>
      </c>
      <c r="H140" s="126">
        <f t="shared" si="106"/>
        <v>1.6518329508015159</v>
      </c>
      <c r="I140" s="126">
        <f t="shared" si="106"/>
        <v>1.7050825583919769</v>
      </c>
      <c r="J140" s="112">
        <f t="shared" si="106"/>
        <v>1.7591659574883303</v>
      </c>
      <c r="K140" s="112">
        <f t="shared" si="106"/>
        <v>1.8149648242864787</v>
      </c>
      <c r="L140" s="127">
        <f t="shared" ref="L140:M140" si="107">IF($P140&lt;K140,K140,K140+($P140-K140)*L$133)</f>
        <v>1.8389824121432392</v>
      </c>
      <c r="M140" s="128">
        <f t="shared" si="107"/>
        <v>1.863</v>
      </c>
      <c r="O140" s="1" t="s">
        <v>59</v>
      </c>
      <c r="P140" s="40">
        <f t="shared" si="100"/>
        <v>1.863</v>
      </c>
      <c r="Q140" s="89">
        <v>0.1</v>
      </c>
      <c r="R140" s="97" t="s">
        <v>58</v>
      </c>
      <c r="S140" s="2">
        <f t="shared" si="101"/>
        <v>18.63</v>
      </c>
      <c r="T140" s="1"/>
      <c r="W140" s="158">
        <v>0.6</v>
      </c>
    </row>
    <row r="141" spans="2:23" ht="13.2" customHeight="1" outlineLevel="1" x14ac:dyDescent="0.3">
      <c r="B141" s="28"/>
      <c r="C141" s="28"/>
      <c r="D141" s="2" t="str">
        <f t="shared" si="95"/>
        <v>Rice</v>
      </c>
      <c r="E141" s="125">
        <f t="shared" ref="E141:K141" si="108">E103</f>
        <v>1.5678403329298363</v>
      </c>
      <c r="F141" s="105">
        <f t="shared" si="108"/>
        <v>2.0909461678584487</v>
      </c>
      <c r="G141" s="105">
        <f t="shared" si="108"/>
        <v>1.5934853170642496</v>
      </c>
      <c r="H141" s="126">
        <f t="shared" si="108"/>
        <v>1.3765274590012633</v>
      </c>
      <c r="I141" s="126">
        <f t="shared" si="108"/>
        <v>1.4209021319933142</v>
      </c>
      <c r="J141" s="112">
        <f t="shared" si="108"/>
        <v>1.4659716312402753</v>
      </c>
      <c r="K141" s="112">
        <f t="shared" si="108"/>
        <v>1.512470686905399</v>
      </c>
      <c r="L141" s="127">
        <f t="shared" ref="L141:M141" si="109">IF($P141&lt;K141,K141,K141+($P141-K141)*L$133)</f>
        <v>2.311949629166985</v>
      </c>
      <c r="M141" s="128">
        <f t="shared" si="109"/>
        <v>3.1114285714285712</v>
      </c>
      <c r="O141" s="1" t="s">
        <v>64</v>
      </c>
      <c r="P141" s="40">
        <f t="shared" si="100"/>
        <v>3.1114285714285712</v>
      </c>
      <c r="Q141" s="89">
        <v>0.1</v>
      </c>
      <c r="R141" s="97" t="s">
        <v>60</v>
      </c>
      <c r="S141" s="2">
        <f t="shared" si="101"/>
        <v>31.11428571428571</v>
      </c>
      <c r="T141" s="1"/>
      <c r="W141" s="158">
        <f>80%</f>
        <v>0.8</v>
      </c>
    </row>
    <row r="142" spans="2:23" ht="13.2" customHeight="1" outlineLevel="1" x14ac:dyDescent="0.3">
      <c r="B142" s="28"/>
      <c r="C142" s="28"/>
      <c r="D142" s="2" t="str">
        <f t="shared" si="95"/>
        <v>Groundnuts, excluding shelled</v>
      </c>
      <c r="E142" s="125">
        <f t="shared" ref="E142:K142" si="110">E104</f>
        <v>2.1949764661017706</v>
      </c>
      <c r="F142" s="105">
        <f t="shared" si="110"/>
        <v>2.927324635001828</v>
      </c>
      <c r="G142" s="105">
        <f t="shared" si="110"/>
        <v>2.2308794438899491</v>
      </c>
      <c r="H142" s="126">
        <f t="shared" si="110"/>
        <v>1.9271384426017684</v>
      </c>
      <c r="I142" s="126">
        <f t="shared" si="110"/>
        <v>1.9892629847906398</v>
      </c>
      <c r="J142" s="112">
        <f t="shared" si="110"/>
        <v>2.0523602837363852</v>
      </c>
      <c r="K142" s="112">
        <f t="shared" si="110"/>
        <v>2.1174589616675581</v>
      </c>
      <c r="L142" s="127">
        <f t="shared" ref="L142:M142" si="111">IF($P142&lt;K142,K142,K142+($P142-K142)*L$133)</f>
        <v>2.921729480833779</v>
      </c>
      <c r="M142" s="128">
        <f t="shared" si="111"/>
        <v>3.726</v>
      </c>
      <c r="O142" s="2" t="s">
        <v>59</v>
      </c>
      <c r="P142" s="40">
        <f t="shared" si="100"/>
        <v>3.726</v>
      </c>
      <c r="Q142" s="89">
        <v>0.2</v>
      </c>
      <c r="R142" s="97" t="s">
        <v>58</v>
      </c>
      <c r="S142" s="2">
        <f t="shared" si="101"/>
        <v>18.63</v>
      </c>
      <c r="T142" s="1"/>
      <c r="W142" s="158">
        <f>80%</f>
        <v>0.8</v>
      </c>
    </row>
    <row r="143" spans="2:23" ht="13.2" customHeight="1" outlineLevel="1" x14ac:dyDescent="0.3">
      <c r="B143" s="28"/>
      <c r="C143" s="28"/>
      <c r="D143" s="2" t="str">
        <f t="shared" si="95"/>
        <v>Oil palm fruit</v>
      </c>
      <c r="E143" s="125">
        <f t="shared" ref="E143:K143" si="112">E105</f>
        <v>1.5678403329298363</v>
      </c>
      <c r="F143" s="105">
        <f t="shared" si="112"/>
        <v>2.0909461678584487</v>
      </c>
      <c r="G143" s="105">
        <f t="shared" si="112"/>
        <v>1.5934853170642496</v>
      </c>
      <c r="H143" s="126">
        <f t="shared" si="112"/>
        <v>1.3765274590012633</v>
      </c>
      <c r="I143" s="126">
        <f t="shared" si="112"/>
        <v>1.4209021319933142</v>
      </c>
      <c r="J143" s="112">
        <f t="shared" si="112"/>
        <v>1.4659716312402753</v>
      </c>
      <c r="K143" s="112">
        <f t="shared" si="112"/>
        <v>1.512470686905399</v>
      </c>
      <c r="L143" s="127">
        <f t="shared" ref="L143:M143" si="113">IF($P143&lt;K143,K143,K143+($P143-K143)*L$133)</f>
        <v>2.9059228434527</v>
      </c>
      <c r="M143" s="128">
        <f t="shared" si="113"/>
        <v>4.2993750000000004</v>
      </c>
      <c r="O143" s="1" t="s">
        <v>63</v>
      </c>
      <c r="P143" s="40">
        <f t="shared" si="100"/>
        <v>4.2993750000000004</v>
      </c>
      <c r="Q143" s="89">
        <v>0.05</v>
      </c>
      <c r="R143" s="97" t="s">
        <v>58</v>
      </c>
      <c r="S143" s="2">
        <f t="shared" si="101"/>
        <v>85.987499999999997</v>
      </c>
      <c r="T143" s="1"/>
      <c r="W143" s="158">
        <f>80%</f>
        <v>0.8</v>
      </c>
    </row>
    <row r="144" spans="2:23" ht="13.5" customHeight="1" outlineLevel="1" x14ac:dyDescent="0.3">
      <c r="B144" s="28"/>
      <c r="C144" s="28"/>
      <c r="D144" s="2" t="str">
        <f t="shared" si="95"/>
        <v>Millet</v>
      </c>
      <c r="E144" s="125">
        <f t="shared" ref="E144:K144" si="114">E106</f>
        <v>2.038192432808787</v>
      </c>
      <c r="F144" s="105">
        <f t="shared" si="114"/>
        <v>2.7182300182159835</v>
      </c>
      <c r="G144" s="105">
        <f t="shared" si="114"/>
        <v>2.0715309121835244</v>
      </c>
      <c r="H144" s="126">
        <f t="shared" si="114"/>
        <v>1.7894856967016424</v>
      </c>
      <c r="I144" s="126">
        <f t="shared" si="114"/>
        <v>1.8471727715913084</v>
      </c>
      <c r="J144" s="112">
        <f t="shared" si="114"/>
        <v>1.905763120612358</v>
      </c>
      <c r="K144" s="112">
        <f t="shared" si="114"/>
        <v>1.9662118929770187</v>
      </c>
      <c r="L144" s="127">
        <f t="shared" ref="L144:M144" si="115">IF($P144&lt;K144,K144,K144+($P144-K144)*L$133)</f>
        <v>1.9662118929770187</v>
      </c>
      <c r="M144" s="128">
        <f t="shared" si="115"/>
        <v>1.9662118929770187</v>
      </c>
      <c r="O144" s="1" t="s">
        <v>57</v>
      </c>
      <c r="P144" s="40">
        <f t="shared" si="100"/>
        <v>1.8674999999999997</v>
      </c>
      <c r="Q144" s="89">
        <v>0.15</v>
      </c>
      <c r="R144" s="97" t="s">
        <v>58</v>
      </c>
      <c r="S144" s="2">
        <f t="shared" si="101"/>
        <v>12.45</v>
      </c>
      <c r="T144" s="1"/>
      <c r="W144" s="158">
        <f>80%</f>
        <v>0.8</v>
      </c>
    </row>
    <row r="145" spans="2:23" ht="13.2" customHeight="1" outlineLevel="1" x14ac:dyDescent="0.3">
      <c r="B145" s="28"/>
      <c r="C145" s="28"/>
      <c r="D145" s="2" t="str">
        <f t="shared" si="95"/>
        <v>Sweet potatoes</v>
      </c>
      <c r="E145" s="125">
        <f t="shared" ref="E145:K145" si="116">E107</f>
        <v>0.78392016646491813</v>
      </c>
      <c r="F145" s="105">
        <f t="shared" si="116"/>
        <v>1.0454730839292243</v>
      </c>
      <c r="G145" s="105">
        <f t="shared" si="116"/>
        <v>0.79674265853212478</v>
      </c>
      <c r="H145" s="126">
        <f t="shared" si="116"/>
        <v>0.68826372950063164</v>
      </c>
      <c r="I145" s="126">
        <f t="shared" si="116"/>
        <v>0.71045106599665708</v>
      </c>
      <c r="J145" s="112">
        <f t="shared" si="116"/>
        <v>0.73298581562013765</v>
      </c>
      <c r="K145" s="112">
        <f t="shared" si="116"/>
        <v>0.75623534345269949</v>
      </c>
      <c r="L145" s="127">
        <f t="shared" ref="L145:M145" si="117">IF($P145&lt;K145,K145,K145+($P145-K145)*L$133)</f>
        <v>1.6142114217263499</v>
      </c>
      <c r="M145" s="128">
        <f t="shared" si="117"/>
        <v>2.4721875000000004</v>
      </c>
      <c r="O145" s="1" t="s">
        <v>66</v>
      </c>
      <c r="P145" s="40">
        <f t="shared" si="100"/>
        <v>2.4721875000000004</v>
      </c>
      <c r="Q145" s="89">
        <v>0.05</v>
      </c>
      <c r="R145" s="97" t="s">
        <v>60</v>
      </c>
      <c r="S145" s="2">
        <f t="shared" si="101"/>
        <v>49.443750000000001</v>
      </c>
      <c r="T145" s="1"/>
      <c r="W145" s="158">
        <f>80%</f>
        <v>0.8</v>
      </c>
    </row>
    <row r="146" spans="2:23" ht="13.2" customHeight="1" outlineLevel="1" x14ac:dyDescent="0.3">
      <c r="B146" s="28"/>
      <c r="C146" s="28"/>
      <c r="D146" s="2" t="str">
        <f t="shared" si="95"/>
        <v>Okra</v>
      </c>
      <c r="E146" s="125">
        <f t="shared" ref="E146:K146" si="118">E108</f>
        <v>1.5678403329298363</v>
      </c>
      <c r="F146" s="105">
        <f t="shared" si="118"/>
        <v>2.0909461678584487</v>
      </c>
      <c r="G146" s="105">
        <f t="shared" si="118"/>
        <v>1.5934853170642496</v>
      </c>
      <c r="H146" s="126">
        <f t="shared" si="118"/>
        <v>1.3765274590012633</v>
      </c>
      <c r="I146" s="126">
        <f t="shared" si="118"/>
        <v>1.4209021319933142</v>
      </c>
      <c r="J146" s="112">
        <f t="shared" si="118"/>
        <v>1.4659716312402753</v>
      </c>
      <c r="K146" s="112">
        <f t="shared" si="118"/>
        <v>1.512470686905399</v>
      </c>
      <c r="L146" s="127">
        <f t="shared" ref="L146:M146" si="119">IF($P146&lt;K146,K146,K146+($P146-K146)*L$133)</f>
        <v>5.0556103434526998</v>
      </c>
      <c r="M146" s="128">
        <f t="shared" si="119"/>
        <v>8.5987500000000008</v>
      </c>
      <c r="O146" s="1" t="s">
        <v>63</v>
      </c>
      <c r="P146" s="40">
        <f t="shared" si="100"/>
        <v>8.5987500000000008</v>
      </c>
      <c r="Q146" s="89">
        <v>0.1</v>
      </c>
      <c r="R146" s="97" t="s">
        <v>58</v>
      </c>
      <c r="S146" s="2">
        <f t="shared" si="101"/>
        <v>85.987499999999997</v>
      </c>
      <c r="T146" s="1"/>
      <c r="W146" s="158">
        <v>0.6</v>
      </c>
    </row>
    <row r="147" spans="2:23" ht="13.5" customHeight="1" outlineLevel="1" x14ac:dyDescent="0.3">
      <c r="B147" s="28"/>
      <c r="C147" s="28"/>
      <c r="D147" s="2" t="str">
        <f t="shared" si="95"/>
        <v>Soya beans</v>
      </c>
      <c r="E147" s="125">
        <f t="shared" ref="E147:K147" si="120">E109</f>
        <v>1.8814083995158035</v>
      </c>
      <c r="F147" s="105">
        <f t="shared" si="120"/>
        <v>2.5091354014301381</v>
      </c>
      <c r="G147" s="105">
        <f t="shared" si="120"/>
        <v>1.9121823804770994</v>
      </c>
      <c r="H147" s="126">
        <f t="shared" si="120"/>
        <v>1.6518329508015159</v>
      </c>
      <c r="I147" s="126">
        <f t="shared" si="120"/>
        <v>1.7050825583919769</v>
      </c>
      <c r="J147" s="112">
        <f t="shared" si="120"/>
        <v>1.7591659574883303</v>
      </c>
      <c r="K147" s="112">
        <f t="shared" si="120"/>
        <v>1.8149648242864787</v>
      </c>
      <c r="L147" s="127">
        <f t="shared" ref="L147:M147" si="121">IF($P147&lt;K147,K147,K147+($P147-K147)*L$133)</f>
        <v>1.8389824121432392</v>
      </c>
      <c r="M147" s="128">
        <f t="shared" si="121"/>
        <v>1.863</v>
      </c>
      <c r="O147" s="2" t="s">
        <v>59</v>
      </c>
      <c r="P147" s="40">
        <f t="shared" si="100"/>
        <v>1.863</v>
      </c>
      <c r="Q147" s="89">
        <v>0.1</v>
      </c>
      <c r="R147" s="97" t="s">
        <v>58</v>
      </c>
      <c r="S147" s="2">
        <f t="shared" si="101"/>
        <v>18.63</v>
      </c>
      <c r="T147" s="1"/>
      <c r="W147" s="158">
        <f>80%</f>
        <v>0.8</v>
      </c>
    </row>
    <row r="148" spans="2:23" ht="13.5" customHeight="1" outlineLevel="1" x14ac:dyDescent="0.3">
      <c r="B148" s="28"/>
      <c r="C148" s="28"/>
      <c r="D148" s="2" t="str">
        <f t="shared" si="95"/>
        <v>Cocoa beans</v>
      </c>
      <c r="E148" s="125">
        <f t="shared" ref="E148:K148" si="122">E110</f>
        <v>1.5678403329298363</v>
      </c>
      <c r="F148" s="105">
        <f t="shared" si="122"/>
        <v>2.0909461678584487</v>
      </c>
      <c r="G148" s="105">
        <f t="shared" si="122"/>
        <v>1.5934853170642496</v>
      </c>
      <c r="H148" s="126">
        <f t="shared" si="122"/>
        <v>1.3765274590012633</v>
      </c>
      <c r="I148" s="126">
        <f t="shared" si="122"/>
        <v>1.4209021319933142</v>
      </c>
      <c r="J148" s="112">
        <f t="shared" si="122"/>
        <v>1.4659716312402753</v>
      </c>
      <c r="K148" s="112">
        <f t="shared" si="122"/>
        <v>1.512470686905399</v>
      </c>
      <c r="L148" s="127">
        <f t="shared" ref="L148:M148" si="123">IF($P148&lt;K148,K148,K148+($P148-K148)*L$133)</f>
        <v>6.276235343452699</v>
      </c>
      <c r="M148" s="128">
        <f t="shared" si="123"/>
        <v>11.04</v>
      </c>
      <c r="O148" s="1" t="s">
        <v>270</v>
      </c>
      <c r="P148" s="40">
        <f t="shared" si="100"/>
        <v>11.04</v>
      </c>
      <c r="Q148" s="89">
        <v>0.1</v>
      </c>
      <c r="R148" s="97" t="s">
        <v>58</v>
      </c>
      <c r="S148" s="2">
        <f t="shared" si="101"/>
        <v>110.39999999999999</v>
      </c>
      <c r="T148" s="1"/>
      <c r="W148" s="158">
        <f>80%</f>
        <v>0.8</v>
      </c>
    </row>
    <row r="149" spans="2:23" ht="13.5" customHeight="1" outlineLevel="1" x14ac:dyDescent="0.3">
      <c r="B149" s="28"/>
      <c r="C149" s="28"/>
      <c r="D149" s="2" t="str">
        <f t="shared" si="95"/>
        <v>Melonseed</v>
      </c>
      <c r="E149" s="125">
        <f t="shared" ref="E149:K149" si="124">E111</f>
        <v>1.5678403329298363</v>
      </c>
      <c r="F149" s="105">
        <f t="shared" si="124"/>
        <v>2.0909461678584487</v>
      </c>
      <c r="G149" s="105">
        <f t="shared" si="124"/>
        <v>1.5934853170642496</v>
      </c>
      <c r="H149" s="126">
        <f t="shared" si="124"/>
        <v>1.3765274590012633</v>
      </c>
      <c r="I149" s="126">
        <f t="shared" si="124"/>
        <v>1.4209021319933142</v>
      </c>
      <c r="J149" s="112">
        <f t="shared" si="124"/>
        <v>1.4659716312402753</v>
      </c>
      <c r="K149" s="112">
        <f t="shared" si="124"/>
        <v>1.512470686905399</v>
      </c>
      <c r="L149" s="127">
        <f t="shared" ref="L149:M149" si="125">IF($P149&lt;K149,K149,K149+($P149-K149)*L$133)</f>
        <v>5.0556103434526998</v>
      </c>
      <c r="M149" s="128">
        <f t="shared" si="125"/>
        <v>8.5987500000000008</v>
      </c>
      <c r="O149" s="2" t="s">
        <v>63</v>
      </c>
      <c r="P149" s="40">
        <f t="shared" si="100"/>
        <v>8.5987500000000008</v>
      </c>
      <c r="Q149" s="89">
        <v>0.1</v>
      </c>
      <c r="R149" s="97" t="s">
        <v>58</v>
      </c>
      <c r="S149" s="2">
        <f t="shared" si="101"/>
        <v>85.987499999999997</v>
      </c>
      <c r="T149" s="1"/>
      <c r="W149" s="158">
        <v>0.6</v>
      </c>
    </row>
    <row r="150" spans="2:23" ht="13.5" customHeight="1" outlineLevel="1" x14ac:dyDescent="0.3">
      <c r="B150" s="28"/>
      <c r="C150" s="28"/>
      <c r="D150" s="2" t="str">
        <f t="shared" si="95"/>
        <v>Other citrus fruit, n.e.c.</v>
      </c>
      <c r="E150" s="125">
        <f t="shared" ref="E150:K150" si="126">E112</f>
        <v>1.5678403329298363</v>
      </c>
      <c r="F150" s="105">
        <f t="shared" si="126"/>
        <v>2.0909461678584487</v>
      </c>
      <c r="G150" s="105">
        <f t="shared" si="126"/>
        <v>1.5934853170642496</v>
      </c>
      <c r="H150" s="126">
        <f t="shared" si="126"/>
        <v>1.3765274590012633</v>
      </c>
      <c r="I150" s="126">
        <f t="shared" si="126"/>
        <v>1.4209021319933142</v>
      </c>
      <c r="J150" s="112">
        <f t="shared" si="126"/>
        <v>1.4659716312402753</v>
      </c>
      <c r="K150" s="112">
        <f t="shared" si="126"/>
        <v>1.512470686905399</v>
      </c>
      <c r="L150" s="127">
        <f t="shared" ref="L150:M150" si="127">IF($P150&lt;K150,K150,K150+($P150-K150)*L$133)</f>
        <v>5.0556103434526998</v>
      </c>
      <c r="M150" s="128">
        <f t="shared" si="127"/>
        <v>8.5987500000000008</v>
      </c>
      <c r="O150" s="2" t="s">
        <v>63</v>
      </c>
      <c r="P150" s="40">
        <f t="shared" si="100"/>
        <v>8.5987500000000008</v>
      </c>
      <c r="Q150" s="89">
        <v>0.1</v>
      </c>
      <c r="R150" s="97" t="s">
        <v>58</v>
      </c>
      <c r="S150" s="2">
        <f t="shared" si="101"/>
        <v>85.987499999999997</v>
      </c>
      <c r="T150" s="1"/>
      <c r="W150" s="158">
        <v>0.6</v>
      </c>
    </row>
    <row r="151" spans="2:23" ht="13.5" customHeight="1" outlineLevel="1" x14ac:dyDescent="0.3">
      <c r="B151" s="28"/>
      <c r="C151" s="28"/>
      <c r="D151" s="2" t="str">
        <f t="shared" si="95"/>
        <v>Tomatoes</v>
      </c>
      <c r="E151" s="125">
        <f t="shared" ref="E151:K151" si="128">E113</f>
        <v>1.5678403329298363</v>
      </c>
      <c r="F151" s="105">
        <f t="shared" si="128"/>
        <v>2.0909461678584487</v>
      </c>
      <c r="G151" s="105">
        <f t="shared" si="128"/>
        <v>1.5934853170642496</v>
      </c>
      <c r="H151" s="126">
        <f t="shared" si="128"/>
        <v>1.3765274590012633</v>
      </c>
      <c r="I151" s="126">
        <f t="shared" si="128"/>
        <v>1.4209021319933142</v>
      </c>
      <c r="J151" s="112">
        <f t="shared" si="128"/>
        <v>1.4659716312402753</v>
      </c>
      <c r="K151" s="112">
        <f t="shared" si="128"/>
        <v>1.512470686905399</v>
      </c>
      <c r="L151" s="127">
        <f t="shared" ref="L151:M151" si="129">IF($P151&lt;K151,K151,K151+($P151-K151)*L$133)</f>
        <v>5.0556103434526998</v>
      </c>
      <c r="M151" s="128">
        <f t="shared" si="129"/>
        <v>8.5987500000000008</v>
      </c>
      <c r="O151" s="2" t="s">
        <v>63</v>
      </c>
      <c r="P151" s="40">
        <f t="shared" si="100"/>
        <v>8.5987500000000008</v>
      </c>
      <c r="Q151" s="89">
        <v>0.1</v>
      </c>
      <c r="R151" s="97" t="s">
        <v>58</v>
      </c>
      <c r="S151" s="2">
        <f t="shared" si="101"/>
        <v>85.987499999999997</v>
      </c>
      <c r="T151" s="1"/>
      <c r="W151" s="158">
        <v>0.6</v>
      </c>
    </row>
    <row r="152" spans="2:23" ht="13.5" customHeight="1" outlineLevel="1" x14ac:dyDescent="0.3">
      <c r="B152" s="28"/>
      <c r="C152" s="28"/>
      <c r="D152" s="2" t="str">
        <f t="shared" si="95"/>
        <v>Taro</v>
      </c>
      <c r="E152" s="125">
        <f t="shared" ref="E152:K152" si="130">E114</f>
        <v>1.5678403329298363</v>
      </c>
      <c r="F152" s="105">
        <f t="shared" si="130"/>
        <v>2.0909461678584487</v>
      </c>
      <c r="G152" s="105">
        <f t="shared" si="130"/>
        <v>1.5934853170642496</v>
      </c>
      <c r="H152" s="126">
        <f t="shared" si="130"/>
        <v>1.3765274590012633</v>
      </c>
      <c r="I152" s="126">
        <f t="shared" si="130"/>
        <v>1.4209021319933142</v>
      </c>
      <c r="J152" s="112">
        <f t="shared" si="130"/>
        <v>1.4659716312402753</v>
      </c>
      <c r="K152" s="112">
        <f t="shared" si="130"/>
        <v>1.512470686905399</v>
      </c>
      <c r="L152" s="127">
        <f t="shared" ref="L152:M152" si="131">IF($P152&lt;K152,K152,K152+($P152-K152)*L$133)</f>
        <v>1.9923290934526996</v>
      </c>
      <c r="M152" s="128">
        <f t="shared" si="131"/>
        <v>2.4721875000000004</v>
      </c>
      <c r="O152" s="2" t="s">
        <v>66</v>
      </c>
      <c r="P152" s="40">
        <f t="shared" si="100"/>
        <v>2.4721875000000004</v>
      </c>
      <c r="Q152" s="89">
        <v>0.05</v>
      </c>
      <c r="R152" s="97" t="s">
        <v>58</v>
      </c>
      <c r="S152" s="2">
        <f t="shared" si="101"/>
        <v>49.443750000000001</v>
      </c>
      <c r="T152" s="1"/>
      <c r="W152" s="158">
        <f>80%</f>
        <v>0.8</v>
      </c>
    </row>
    <row r="153" spans="2:23" ht="13.5" customHeight="1" outlineLevel="1" x14ac:dyDescent="0.3">
      <c r="B153" s="28"/>
      <c r="C153" s="28"/>
      <c r="D153" s="2" t="str">
        <f t="shared" si="95"/>
        <v>Other vegetables, fresh n.e.c.</v>
      </c>
      <c r="E153" s="125">
        <f t="shared" ref="E153:H153" si="132">E115</f>
        <v>1.5678403329298363</v>
      </c>
      <c r="F153" s="105">
        <f t="shared" si="132"/>
        <v>2.0909461678584487</v>
      </c>
      <c r="G153" s="105">
        <f t="shared" si="132"/>
        <v>1.5934853170642496</v>
      </c>
      <c r="H153" s="126">
        <f t="shared" si="132"/>
        <v>1.3765274590012633</v>
      </c>
      <c r="I153" s="126">
        <f>I115</f>
        <v>1.4209021319933142</v>
      </c>
      <c r="J153" s="112">
        <f t="shared" ref="J153:K153" si="133">J115</f>
        <v>1.4659716312402753</v>
      </c>
      <c r="K153" s="112">
        <f t="shared" si="133"/>
        <v>1.512470686905399</v>
      </c>
      <c r="L153" s="127">
        <f t="shared" ref="L153:M153" si="134">IF($P153&lt;K153,K153,K153+($P153-K153)*L$133)</f>
        <v>5.0556103434526998</v>
      </c>
      <c r="M153" s="128">
        <f t="shared" si="134"/>
        <v>8.5987500000000008</v>
      </c>
      <c r="O153" s="1" t="s">
        <v>63</v>
      </c>
      <c r="P153" s="40">
        <f t="shared" si="100"/>
        <v>8.5987500000000008</v>
      </c>
      <c r="Q153" s="89">
        <v>0.1</v>
      </c>
      <c r="R153" s="97" t="s">
        <v>58</v>
      </c>
      <c r="S153" s="2">
        <f t="shared" si="101"/>
        <v>85.987499999999997</v>
      </c>
      <c r="T153" s="1"/>
      <c r="W153" s="158">
        <v>0.6</v>
      </c>
    </row>
    <row r="154" spans="2:23" ht="13.5" customHeight="1" outlineLevel="1" x14ac:dyDescent="0.3">
      <c r="B154" s="28"/>
      <c r="C154" s="28"/>
      <c r="D154" s="2" t="str">
        <f t="shared" si="95"/>
        <v>Onions and shallots, dry (excluding dehydrated)</v>
      </c>
      <c r="E154" s="125">
        <f t="shared" ref="E154:K154" si="135">E116</f>
        <v>1.5678403329298363</v>
      </c>
      <c r="F154" s="105">
        <f t="shared" si="135"/>
        <v>2.0909461678584487</v>
      </c>
      <c r="G154" s="105">
        <f t="shared" si="135"/>
        <v>1.5934853170642496</v>
      </c>
      <c r="H154" s="126">
        <f t="shared" si="135"/>
        <v>1.3765274590012633</v>
      </c>
      <c r="I154" s="126">
        <f t="shared" si="135"/>
        <v>1.4209021319933142</v>
      </c>
      <c r="J154" s="112">
        <f t="shared" si="135"/>
        <v>1.4659716312402753</v>
      </c>
      <c r="K154" s="112">
        <f t="shared" si="135"/>
        <v>1.512470686905399</v>
      </c>
      <c r="L154" s="127">
        <f t="shared" ref="L154:M154" si="136">IF($P154&lt;K154,K154,K154+($P154-K154)*L$133)</f>
        <v>5.0556103434526998</v>
      </c>
      <c r="M154" s="128">
        <f t="shared" si="136"/>
        <v>8.5987500000000008</v>
      </c>
      <c r="O154" s="2" t="s">
        <v>63</v>
      </c>
      <c r="P154" s="40">
        <f t="shared" si="100"/>
        <v>8.5987500000000008</v>
      </c>
      <c r="Q154" s="89">
        <v>0.1</v>
      </c>
      <c r="R154" s="97" t="s">
        <v>58</v>
      </c>
      <c r="S154" s="2">
        <f t="shared" si="101"/>
        <v>85.987499999999997</v>
      </c>
      <c r="T154" s="1"/>
      <c r="W154" s="158">
        <f>80%</f>
        <v>0.8</v>
      </c>
    </row>
    <row r="155" spans="2:23" ht="13.5" customHeight="1" outlineLevel="1" x14ac:dyDescent="0.3">
      <c r="B155" s="28"/>
      <c r="C155" s="28"/>
      <c r="D155" s="2" t="str">
        <f t="shared" si="95"/>
        <v>Sesame seed</v>
      </c>
      <c r="E155" s="125">
        <f t="shared" ref="E155:K155" si="137">E117</f>
        <v>1.5678403329298363</v>
      </c>
      <c r="F155" s="105">
        <f t="shared" si="137"/>
        <v>2.0909461678584487</v>
      </c>
      <c r="G155" s="105">
        <f t="shared" si="137"/>
        <v>1.5934853170642496</v>
      </c>
      <c r="H155" s="126">
        <f t="shared" si="137"/>
        <v>1.3765274590012633</v>
      </c>
      <c r="I155" s="126">
        <f t="shared" si="137"/>
        <v>1.4209021319933142</v>
      </c>
      <c r="J155" s="112">
        <f t="shared" si="137"/>
        <v>1.4659716312402753</v>
      </c>
      <c r="K155" s="112">
        <f t="shared" si="137"/>
        <v>1.512470686905399</v>
      </c>
      <c r="L155" s="127">
        <f t="shared" ref="L155:M155" si="138">IF($P155&lt;K155,K155,K155+($P155-K155)*L$133)</f>
        <v>1.6877353434526996</v>
      </c>
      <c r="M155" s="128">
        <f t="shared" si="138"/>
        <v>1.863</v>
      </c>
      <c r="O155" s="1" t="s">
        <v>59</v>
      </c>
      <c r="P155" s="40">
        <f>S155*Q155</f>
        <v>1.863</v>
      </c>
      <c r="Q155" s="89">
        <v>0.1</v>
      </c>
      <c r="R155" s="97" t="s">
        <v>58</v>
      </c>
      <c r="S155" s="2">
        <f t="shared" si="101"/>
        <v>18.63</v>
      </c>
      <c r="T155" s="1"/>
      <c r="W155" s="158">
        <v>0.6</v>
      </c>
    </row>
    <row r="156" spans="2:23" ht="13.5" customHeight="1" x14ac:dyDescent="0.3">
      <c r="B156" s="28"/>
      <c r="C156" s="28"/>
      <c r="E156" s="78"/>
      <c r="F156" s="79"/>
      <c r="G156" s="79"/>
      <c r="H156" s="66"/>
      <c r="I156" s="66"/>
      <c r="K156" s="94"/>
      <c r="L156" s="192" t="s">
        <v>166</v>
      </c>
      <c r="M156" s="95"/>
      <c r="N156" s="47"/>
      <c r="O156" s="96"/>
      <c r="P156" s="93"/>
      <c r="Q156" s="35"/>
      <c r="R156" s="1"/>
      <c r="T156" s="7"/>
    </row>
    <row r="157" spans="2:23" ht="13.5" customHeight="1" x14ac:dyDescent="0.3">
      <c r="B157" s="28"/>
      <c r="C157" s="28"/>
      <c r="E157" s="78"/>
      <c r="F157" s="79"/>
      <c r="G157" s="79"/>
      <c r="H157" s="66"/>
      <c r="I157" s="66"/>
      <c r="J157" s="94"/>
      <c r="K157" s="94"/>
      <c r="L157" s="94"/>
      <c r="M157" s="95"/>
      <c r="N157" s="47"/>
      <c r="O157" s="96"/>
      <c r="P157" s="93"/>
      <c r="Q157" s="35"/>
      <c r="R157" s="1"/>
      <c r="T157" s="7"/>
    </row>
    <row r="158" spans="2:23" ht="13.5" customHeight="1" x14ac:dyDescent="0.25">
      <c r="D158" s="32" t="s">
        <v>276</v>
      </c>
      <c r="J158" s="31"/>
      <c r="K158" s="31"/>
      <c r="L158" s="31"/>
      <c r="M158" s="31"/>
      <c r="O158" s="40"/>
      <c r="R158" s="31"/>
    </row>
    <row r="159" spans="2:23" ht="13.5" customHeight="1" x14ac:dyDescent="0.25">
      <c r="D159" s="33" t="s">
        <v>47</v>
      </c>
      <c r="J159" s="31"/>
      <c r="K159" s="31"/>
      <c r="L159" s="31"/>
      <c r="M159" s="31"/>
      <c r="O159" s="40"/>
      <c r="R159" s="31"/>
    </row>
    <row r="160" spans="2:23" ht="13.5" customHeight="1" x14ac:dyDescent="0.25">
      <c r="F160" s="287"/>
      <c r="J160" s="31"/>
      <c r="K160" s="31"/>
      <c r="L160" s="31"/>
      <c r="M160" s="31"/>
      <c r="O160" s="40"/>
      <c r="P160" s="40"/>
      <c r="Q160" s="40"/>
      <c r="R160" s="31"/>
    </row>
    <row r="161" spans="4:18" ht="13.5" customHeight="1" outlineLevel="1" x14ac:dyDescent="0.25">
      <c r="D161" s="44"/>
      <c r="E161" s="45" t="s">
        <v>18</v>
      </c>
      <c r="F161" s="101" t="s">
        <v>67</v>
      </c>
      <c r="G161" s="45" t="s">
        <v>54</v>
      </c>
      <c r="H161" s="50"/>
      <c r="J161" s="31"/>
      <c r="K161" s="31"/>
      <c r="L161" s="31"/>
      <c r="M161" s="31"/>
      <c r="O161" s="40"/>
      <c r="P161" s="40"/>
      <c r="Q161" s="40"/>
      <c r="R161" s="31"/>
    </row>
    <row r="162" spans="4:18" ht="13.5" customHeight="1" outlineLevel="1" x14ac:dyDescent="0.25">
      <c r="D162" s="1" t="s">
        <v>59</v>
      </c>
      <c r="E162" s="129">
        <f>RAR_OCP!G8</f>
        <v>31.05</v>
      </c>
      <c r="F162" s="130">
        <v>0.6</v>
      </c>
      <c r="G162" s="131">
        <f>F162*E162</f>
        <v>18.63</v>
      </c>
      <c r="M162" s="31"/>
      <c r="Q162" s="40"/>
    </row>
    <row r="163" spans="4:18" ht="13.5" customHeight="1" outlineLevel="1" x14ac:dyDescent="0.25">
      <c r="D163" s="1" t="str">
        <f>RAR_OCP!E9</f>
        <v>Cacao, Coffee</v>
      </c>
      <c r="E163" s="129">
        <f>RAR_OCP!G9</f>
        <v>184</v>
      </c>
      <c r="F163" s="130">
        <v>0.6</v>
      </c>
      <c r="G163" s="131">
        <f t="shared" ref="G163:G173" si="139">F163*E163</f>
        <v>110.39999999999999</v>
      </c>
      <c r="M163" s="31"/>
    </row>
    <row r="164" spans="4:18" ht="13.5" customHeight="1" outlineLevel="1" x14ac:dyDescent="0.25">
      <c r="D164" s="1" t="str">
        <f>RAR_OCP!E10</f>
        <v>Maize</v>
      </c>
      <c r="E164" s="129">
        <f>RAR_OCP!G10</f>
        <v>44.895833333333336</v>
      </c>
      <c r="F164" s="130">
        <v>0.6</v>
      </c>
      <c r="G164" s="131">
        <f t="shared" si="139"/>
        <v>26.9375</v>
      </c>
      <c r="M164" s="31"/>
    </row>
    <row r="165" spans="4:18" ht="13.5" customHeight="1" outlineLevel="1" x14ac:dyDescent="0.25">
      <c r="D165" s="1" t="str">
        <f>RAR_OCP!E11</f>
        <v>Rice</v>
      </c>
      <c r="E165" s="129">
        <f>RAR_OCP!G11</f>
        <v>51.857142857142854</v>
      </c>
      <c r="F165" s="130">
        <v>0.6</v>
      </c>
      <c r="G165" s="131">
        <f t="shared" si="139"/>
        <v>31.11428571428571</v>
      </c>
      <c r="M165" s="31"/>
    </row>
    <row r="166" spans="4:18" ht="13.5" customHeight="1" outlineLevel="1" x14ac:dyDescent="0.25">
      <c r="D166" s="1" t="str">
        <f>RAR_OCP!E12</f>
        <v>Wheat</v>
      </c>
      <c r="E166" s="129">
        <f>RAR_OCP!G12</f>
        <v>53.5</v>
      </c>
      <c r="F166" s="130">
        <v>0.6</v>
      </c>
      <c r="G166" s="131">
        <f t="shared" si="139"/>
        <v>32.1</v>
      </c>
      <c r="M166" s="31"/>
    </row>
    <row r="167" spans="4:18" ht="13.5" customHeight="1" outlineLevel="1" x14ac:dyDescent="0.25">
      <c r="D167" s="1" t="str">
        <f>RAR_OCP!E13</f>
        <v>Sorghum</v>
      </c>
      <c r="E167" s="129">
        <f>RAR_OCP!G13</f>
        <v>22.75</v>
      </c>
      <c r="F167" s="130">
        <v>0.6</v>
      </c>
      <c r="G167" s="131">
        <f t="shared" si="139"/>
        <v>13.65</v>
      </c>
      <c r="M167" s="31"/>
    </row>
    <row r="168" spans="4:18" ht="13.5" customHeight="1" outlineLevel="1" x14ac:dyDescent="0.25">
      <c r="D168" s="1" t="str">
        <f>RAR_OCP!E14</f>
        <v xml:space="preserve">Fonio </v>
      </c>
      <c r="E168" s="129">
        <f>RAR_OCP!G14</f>
        <v>22.5</v>
      </c>
      <c r="F168" s="130">
        <v>0.6</v>
      </c>
      <c r="G168" s="131">
        <f t="shared" si="139"/>
        <v>13.5</v>
      </c>
      <c r="M168" s="31"/>
    </row>
    <row r="169" spans="4:18" ht="13.5" customHeight="1" outlineLevel="1" x14ac:dyDescent="0.25">
      <c r="D169" s="1" t="s">
        <v>57</v>
      </c>
      <c r="E169" s="129">
        <f>RAR_OCP!G15</f>
        <v>20.75</v>
      </c>
      <c r="F169" s="130">
        <v>0.6</v>
      </c>
      <c r="G169" s="131">
        <f t="shared" si="139"/>
        <v>12.45</v>
      </c>
      <c r="M169" s="31"/>
    </row>
    <row r="170" spans="4:18" ht="13.5" customHeight="1" outlineLevel="1" x14ac:dyDescent="0.25">
      <c r="D170" s="1" t="s">
        <v>68</v>
      </c>
      <c r="E170" s="129">
        <f>RAR_OCP!G16</f>
        <v>39.125</v>
      </c>
      <c r="F170" s="130">
        <v>0.6</v>
      </c>
      <c r="G170" s="131">
        <f t="shared" si="139"/>
        <v>23.474999999999998</v>
      </c>
      <c r="M170" s="31"/>
    </row>
    <row r="171" spans="4:18" ht="13.5" customHeight="1" outlineLevel="1" x14ac:dyDescent="0.25">
      <c r="D171" s="1" t="str">
        <f>RAR_OCP!E17</f>
        <v>Tubercules</v>
      </c>
      <c r="E171" s="129">
        <f>RAR_OCP!G17</f>
        <v>82.40625</v>
      </c>
      <c r="F171" s="130">
        <v>0.6</v>
      </c>
      <c r="G171" s="131">
        <f t="shared" si="139"/>
        <v>49.443750000000001</v>
      </c>
      <c r="M171" s="31"/>
    </row>
    <row r="172" spans="4:18" ht="13.5" customHeight="1" outlineLevel="1" x14ac:dyDescent="0.25">
      <c r="D172" s="1" t="s">
        <v>63</v>
      </c>
      <c r="E172" s="129">
        <f>RAR_OCP!G18</f>
        <v>143.3125</v>
      </c>
      <c r="F172" s="130">
        <v>0.6</v>
      </c>
      <c r="G172" s="131">
        <f t="shared" si="139"/>
        <v>85.987499999999997</v>
      </c>
      <c r="M172" s="31"/>
    </row>
    <row r="173" spans="4:18" ht="13.5" customHeight="1" outlineLevel="1" x14ac:dyDescent="0.25">
      <c r="D173" s="1" t="str">
        <f>RAR_OCP!E19</f>
        <v>Others</v>
      </c>
      <c r="E173" s="129">
        <f>RAR_OCP!G19</f>
        <v>60.765625</v>
      </c>
      <c r="F173" s="130">
        <v>0.6</v>
      </c>
      <c r="G173" s="131">
        <f t="shared" si="139"/>
        <v>36.459375000000001</v>
      </c>
      <c r="M173" s="31"/>
    </row>
    <row r="174" spans="4:18" ht="13.5" customHeight="1" outlineLevel="1" x14ac:dyDescent="0.25">
      <c r="D174" s="100" t="s">
        <v>43</v>
      </c>
      <c r="E174" s="100" t="s">
        <v>69</v>
      </c>
      <c r="F174" s="100" t="s">
        <v>70</v>
      </c>
      <c r="G174" s="100"/>
      <c r="M174" s="31"/>
    </row>
    <row r="175" spans="4:18" ht="13.5" customHeight="1" x14ac:dyDescent="0.25">
      <c r="D175" s="1"/>
      <c r="M175" s="31"/>
    </row>
    <row r="176" spans="4:18" ht="13.5" customHeight="1" x14ac:dyDescent="0.25">
      <c r="D176" s="35"/>
      <c r="M176" s="31"/>
    </row>
    <row r="177" spans="4:13" ht="13.5" customHeight="1" x14ac:dyDescent="0.25">
      <c r="D177" s="35"/>
      <c r="M177" s="31"/>
    </row>
    <row r="178" spans="4:13" ht="13.5" customHeight="1" x14ac:dyDescent="0.25">
      <c r="D178" s="7"/>
      <c r="M178" s="31"/>
    </row>
    <row r="179" spans="4:13" ht="13.5" customHeight="1" x14ac:dyDescent="0.25">
      <c r="M179" s="31"/>
    </row>
    <row r="180" spans="4:13" ht="13.5" customHeight="1" x14ac:dyDescent="0.25">
      <c r="M180" s="31"/>
    </row>
    <row r="181" spans="4:13" ht="13.5" customHeight="1" x14ac:dyDescent="0.25">
      <c r="M181" s="31"/>
    </row>
    <row r="182" spans="4:13" ht="13.5" customHeight="1" x14ac:dyDescent="0.25">
      <c r="M182" s="31"/>
    </row>
    <row r="183" spans="4:13" ht="13.5" customHeight="1" x14ac:dyDescent="0.25">
      <c r="M183" s="31"/>
    </row>
    <row r="184" spans="4:13" ht="13.5" customHeight="1" x14ac:dyDescent="0.25">
      <c r="M184" s="31"/>
    </row>
  </sheetData>
  <dataConsolidate/>
  <mergeCells count="3">
    <mergeCell ref="E68:I68"/>
    <mergeCell ref="H7:I7"/>
    <mergeCell ref="J132:M132"/>
  </mergeCells>
  <phoneticPr fontId="46" type="noConversion"/>
  <dataValidations disablePrompts="1" count="1">
    <dataValidation type="list" allowBlank="1" showInputMessage="1" showErrorMessage="1" sqref="F37" xr:uid="{E4FC6BAF-3C57-4A68-A176-11D423EA78C7}">
      <formula1>$E$12:$M$12</formula1>
    </dataValidation>
  </dataValidations>
  <hyperlinks>
    <hyperlink ref="S71" r:id="rId1" display="https://leadership.ng/nigeria-targets-6m-mt-wheat-production-by-2032-2/" xr:uid="{CBBB75CB-9FC5-42AC-93A7-4BFCD37C4D34}"/>
    <hyperlink ref="S72" r:id="rId2" display="https://sahelconsult.com/yiifswa-ii/" xr:uid="{5027D83A-1445-46BD-9499-A70C41B2C75F}"/>
    <hyperlink ref="S75" r:id="rId3" display="https://dailytrust.com/fg-ifad-review-cassava-rice-value-chain-development-project/" xr:uid="{E80FCDB6-8D77-4DF0-90FA-7CECA845D99E}"/>
  </hyperlinks>
  <pageMargins left="0.75" right="0.75" top="1" bottom="1" header="0.5" footer="0.5"/>
  <pageSetup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4A21B-CFFE-4761-B911-984A979CE85F}">
  <sheetPr>
    <tabColor theme="3" tint="0.79998168889431442"/>
  </sheetPr>
  <dimension ref="A1:N106"/>
  <sheetViews>
    <sheetView showGridLines="0" zoomScale="130" zoomScaleNormal="130" workbookViewId="0">
      <selection activeCell="P15" sqref="P15"/>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53.77734375" style="2" bestFit="1" customWidth="1"/>
    <col min="5" max="5" width="19.21875" style="2" hidden="1" customWidth="1"/>
    <col min="6" max="6" width="26.21875" style="2" hidden="1" customWidth="1"/>
    <col min="7" max="9" width="14.21875" style="2" hidden="1" customWidth="1"/>
    <col min="10" max="13" width="14.21875" style="2" customWidth="1"/>
    <col min="14" max="14" width="9.21875" style="2"/>
    <col min="15" max="15" width="22.5546875" style="2" bestFit="1" customWidth="1"/>
    <col min="16" max="16" width="22.21875" style="2" bestFit="1" customWidth="1"/>
    <col min="17" max="17" width="42" style="2" bestFit="1" customWidth="1"/>
    <col min="18" max="18" width="29.44140625" style="2" bestFit="1" customWidth="1"/>
    <col min="19" max="19" width="11.77734375" style="2" customWidth="1"/>
    <col min="20" max="16384" width="9.21875" style="2"/>
  </cols>
  <sheetData>
    <row r="1" spans="1:14" s="7" customFormat="1" ht="13.5" customHeight="1" x14ac:dyDescent="0.25">
      <c r="A1" s="5"/>
      <c r="B1" s="5"/>
      <c r="C1" s="5"/>
      <c r="D1" s="6" t="s">
        <v>71</v>
      </c>
      <c r="E1" s="25"/>
    </row>
    <row r="2" spans="1:14" s="7" customFormat="1" ht="13.5" customHeight="1" x14ac:dyDescent="0.25">
      <c r="A2" s="5"/>
      <c r="B2" s="5"/>
      <c r="C2" s="5"/>
      <c r="D2" s="6"/>
      <c r="E2" s="26" t="str">
        <f>Title</f>
        <v>OCP Africa - Nigeria P205 projections + backing analyses</v>
      </c>
    </row>
    <row r="3" spans="1:14" s="7" customFormat="1" ht="13.5" customHeight="1" x14ac:dyDescent="0.25">
      <c r="A3" s="5"/>
      <c r="B3" s="5"/>
      <c r="C3" s="5"/>
      <c r="D3" s="6"/>
      <c r="E3" s="27" t="str">
        <f ca="1">MID(CELL("filename",E3),FIND("]",CELL("filename",E3))+1,256)</f>
        <v>OCPMarketShares</v>
      </c>
    </row>
    <row r="4" spans="1:14" s="7" customFormat="1" ht="13.5" customHeight="1" x14ac:dyDescent="0.25">
      <c r="A4" s="5"/>
      <c r="B4" s="5"/>
      <c r="C4" s="5"/>
      <c r="D4" s="6"/>
      <c r="E4" s="25"/>
    </row>
    <row r="5" spans="1:14" s="11" customFormat="1" ht="13.2" customHeight="1" x14ac:dyDescent="0.25">
      <c r="A5" s="8"/>
      <c r="B5" s="8"/>
      <c r="C5" s="8"/>
      <c r="D5" s="9"/>
      <c r="E5" s="10"/>
    </row>
    <row r="6" spans="1:14" s="185" customFormat="1" ht="13.2" customHeight="1" x14ac:dyDescent="0.25">
      <c r="A6" s="182"/>
      <c r="B6" s="182"/>
      <c r="C6" s="182"/>
      <c r="D6" s="183"/>
      <c r="E6" s="184"/>
    </row>
    <row r="7" spans="1:14" ht="13.5" customHeight="1" x14ac:dyDescent="0.3">
      <c r="B7" s="29">
        <v>0</v>
      </c>
      <c r="D7" s="28" t="s">
        <v>163</v>
      </c>
    </row>
    <row r="9" spans="1:14" ht="13.5" customHeight="1" x14ac:dyDescent="0.25">
      <c r="D9" s="32" t="s">
        <v>72</v>
      </c>
    </row>
    <row r="10" spans="1:14" ht="13.5" customHeight="1" x14ac:dyDescent="0.25">
      <c r="D10" s="33" t="s">
        <v>73</v>
      </c>
      <c r="J10" s="193" t="s">
        <v>275</v>
      </c>
    </row>
    <row r="11" spans="1:14" s="189" customFormat="1" ht="13.5" customHeight="1" thickBot="1" x14ac:dyDescent="0.3">
      <c r="A11" s="188"/>
      <c r="B11" s="188"/>
      <c r="C11" s="188"/>
      <c r="D11" s="30" t="s">
        <v>15</v>
      </c>
      <c r="E11" s="123">
        <v>2017</v>
      </c>
      <c r="F11" s="123">
        <v>2018</v>
      </c>
      <c r="G11" s="123">
        <v>2019</v>
      </c>
      <c r="H11" s="123">
        <v>2020</v>
      </c>
      <c r="I11" s="123">
        <v>2021</v>
      </c>
      <c r="J11" s="123">
        <v>2022</v>
      </c>
      <c r="K11" s="123">
        <v>2023</v>
      </c>
      <c r="L11" s="123">
        <v>2024</v>
      </c>
      <c r="M11" s="123">
        <v>2025</v>
      </c>
    </row>
    <row r="12" spans="1:14" s="189" customFormat="1" ht="13.5" customHeight="1" thickTop="1" thickBot="1" x14ac:dyDescent="0.3">
      <c r="A12" s="188"/>
      <c r="B12" s="188"/>
      <c r="C12" s="188"/>
      <c r="D12" s="104" t="s">
        <v>162</v>
      </c>
      <c r="E12" s="132"/>
      <c r="F12" s="132"/>
      <c r="G12" s="132"/>
      <c r="H12" s="132"/>
      <c r="I12" s="132"/>
      <c r="J12" s="133">
        <f>ProjectedP205_Consumption!J33</f>
        <v>84.696683180730659</v>
      </c>
      <c r="K12" s="133">
        <f>ProjectedP205_Consumption!K33</f>
        <v>89.755170946122547</v>
      </c>
      <c r="L12" s="133">
        <f>ProjectedP205_Consumption!L33</f>
        <v>95.211039340628005</v>
      </c>
      <c r="M12" s="133">
        <f>ProjectedP205_Consumption!M33</f>
        <v>101.09471632710896</v>
      </c>
    </row>
    <row r="13" spans="1:14" s="189" customFormat="1" ht="13.5" customHeight="1" thickTop="1" thickBot="1" x14ac:dyDescent="0.3">
      <c r="A13" s="188"/>
      <c r="B13" s="188"/>
      <c r="C13" s="188"/>
      <c r="D13" s="103" t="s">
        <v>17</v>
      </c>
      <c r="E13" s="132"/>
      <c r="F13" s="132"/>
      <c r="G13" s="132"/>
      <c r="H13" s="132"/>
      <c r="I13" s="132"/>
      <c r="J13" s="133">
        <f>J12/46%</f>
        <v>184.12322430593622</v>
      </c>
      <c r="K13" s="133">
        <f>K12/46%</f>
        <v>195.11993683939684</v>
      </c>
      <c r="L13" s="133">
        <f t="shared" ref="L13:M13" si="0">L12/46%</f>
        <v>206.98052030571304</v>
      </c>
      <c r="M13" s="133">
        <f t="shared" si="0"/>
        <v>219.77112245023685</v>
      </c>
    </row>
    <row r="14" spans="1:14" s="189" customFormat="1" ht="13.5" customHeight="1" thickTop="1" x14ac:dyDescent="0.25">
      <c r="A14" s="188"/>
      <c r="B14" s="188"/>
      <c r="C14" s="188"/>
      <c r="D14" s="187" t="s">
        <v>164</v>
      </c>
      <c r="E14" s="1"/>
      <c r="F14" s="1"/>
      <c r="G14" s="1"/>
      <c r="H14" s="1"/>
      <c r="I14" s="1"/>
      <c r="J14" s="190">
        <f>J12/ProjectedP205_Consumption!J33</f>
        <v>1</v>
      </c>
      <c r="K14" s="190">
        <f>K12/ProjectedP205_Consumption!K33</f>
        <v>1</v>
      </c>
      <c r="L14" s="190">
        <f>L12/ProjectedP205_Consumption!L33</f>
        <v>1</v>
      </c>
      <c r="M14" s="190">
        <f>M12/ProjectedP205_Consumption!M33</f>
        <v>1</v>
      </c>
      <c r="N14" s="1"/>
    </row>
    <row r="15" spans="1:14" s="189" customFormat="1" ht="13.5" customHeight="1" x14ac:dyDescent="0.25">
      <c r="A15" s="188"/>
      <c r="B15" s="188"/>
      <c r="C15" s="188"/>
      <c r="D15" s="2"/>
      <c r="E15" s="2"/>
      <c r="F15" s="2"/>
      <c r="G15" s="2"/>
      <c r="H15" s="2"/>
      <c r="I15" s="2"/>
      <c r="J15" s="2"/>
      <c r="K15" s="2"/>
      <c r="L15" s="2"/>
      <c r="M15" s="2"/>
      <c r="N15" s="2"/>
    </row>
    <row r="16" spans="1:14" s="189" customFormat="1" ht="13.5" customHeight="1" x14ac:dyDescent="0.25">
      <c r="A16" s="188"/>
      <c r="B16" s="188"/>
      <c r="C16" s="188"/>
      <c r="D16" s="32" t="s">
        <v>72</v>
      </c>
      <c r="E16" s="2"/>
      <c r="F16" s="2"/>
      <c r="G16" s="2"/>
      <c r="H16" s="2"/>
      <c r="I16" s="2"/>
      <c r="J16" s="2"/>
      <c r="K16" s="2"/>
      <c r="L16" s="2"/>
      <c r="M16" s="2"/>
      <c r="N16" s="2"/>
    </row>
    <row r="17" spans="1:14" s="1" customFormat="1" ht="13.5" customHeight="1" x14ac:dyDescent="0.25">
      <c r="D17" s="33" t="s">
        <v>73</v>
      </c>
      <c r="E17" s="2"/>
      <c r="F17" s="2"/>
      <c r="G17" s="2"/>
      <c r="H17" s="2"/>
      <c r="I17" s="2"/>
      <c r="J17" s="193" t="s">
        <v>275</v>
      </c>
      <c r="K17" s="2"/>
      <c r="L17" s="2"/>
      <c r="M17" s="2"/>
      <c r="N17" s="2"/>
    </row>
    <row r="18" spans="1:14" ht="13.5" customHeight="1" thickBot="1" x14ac:dyDescent="0.3">
      <c r="D18" s="30" t="s">
        <v>276</v>
      </c>
      <c r="E18" s="123">
        <v>2017</v>
      </c>
      <c r="F18" s="123">
        <v>2018</v>
      </c>
      <c r="G18" s="123">
        <v>2019</v>
      </c>
      <c r="H18" s="123">
        <v>2020</v>
      </c>
      <c r="I18" s="123">
        <v>2021</v>
      </c>
      <c r="J18" s="123">
        <v>2022</v>
      </c>
      <c r="K18" s="123">
        <v>2023</v>
      </c>
      <c r="L18" s="123">
        <v>2024</v>
      </c>
      <c r="M18" s="123">
        <v>2025</v>
      </c>
      <c r="N18" s="189"/>
    </row>
    <row r="19" spans="1:14" s="189" customFormat="1" ht="13.5" customHeight="1" thickTop="1" thickBot="1" x14ac:dyDescent="0.3">
      <c r="A19" s="188"/>
      <c r="B19" s="188"/>
      <c r="C19" s="188"/>
      <c r="D19" s="104" t="s">
        <v>162</v>
      </c>
      <c r="E19" s="132"/>
      <c r="F19" s="132"/>
      <c r="G19" s="132"/>
      <c r="H19" s="132"/>
      <c r="I19" s="132"/>
      <c r="J19" s="133">
        <f>ProjectedP205_Consumption!J60</f>
        <v>84.696683180730659</v>
      </c>
      <c r="K19" s="133">
        <f>ProjectedP205_Consumption!K60</f>
        <v>89.755170946122547</v>
      </c>
      <c r="L19" s="133">
        <f>ProjectedP205_Consumption!L60</f>
        <v>156.84932736255055</v>
      </c>
      <c r="M19" s="133">
        <f>ProjectedP205_Consumption!M60</f>
        <v>229.23003612116236</v>
      </c>
    </row>
    <row r="20" spans="1:14" s="189" customFormat="1" ht="13.5" customHeight="1" thickTop="1" thickBot="1" x14ac:dyDescent="0.3">
      <c r="A20" s="188"/>
      <c r="B20" s="188"/>
      <c r="C20" s="188"/>
      <c r="D20" s="103" t="s">
        <v>17</v>
      </c>
      <c r="E20" s="132"/>
      <c r="F20" s="132"/>
      <c r="G20" s="132"/>
      <c r="H20" s="132"/>
      <c r="I20" s="132"/>
      <c r="J20" s="133">
        <f>J19/46%</f>
        <v>184.12322430593622</v>
      </c>
      <c r="K20" s="133">
        <f>K19/46%</f>
        <v>195.11993683939684</v>
      </c>
      <c r="L20" s="133">
        <f t="shared" ref="L20:M20" si="1">L19/46%</f>
        <v>340.97679861424029</v>
      </c>
      <c r="M20" s="133">
        <f t="shared" si="1"/>
        <v>498.32616548078772</v>
      </c>
    </row>
    <row r="21" spans="1:14" s="189" customFormat="1" ht="13.5" customHeight="1" thickTop="1" x14ac:dyDescent="0.25">
      <c r="A21" s="188"/>
      <c r="B21" s="188"/>
      <c r="C21" s="188"/>
      <c r="D21" s="187" t="s">
        <v>164</v>
      </c>
      <c r="E21" s="1"/>
      <c r="F21" s="1"/>
      <c r="G21" s="1"/>
      <c r="H21" s="1"/>
      <c r="I21" s="1"/>
      <c r="J21" s="190">
        <f>J19/ProjectedP205_Consumption!J60</f>
        <v>1</v>
      </c>
      <c r="K21" s="190">
        <f>K19/ProjectedP205_Consumption!K60</f>
        <v>1</v>
      </c>
      <c r="L21" s="190">
        <f>L19/ProjectedP205_Consumption!L60</f>
        <v>1</v>
      </c>
      <c r="M21" s="190">
        <f>M19/ProjectedP205_Consumption!M60</f>
        <v>1</v>
      </c>
      <c r="N21" s="1"/>
    </row>
    <row r="22" spans="1:14" s="189" customFormat="1" ht="13.5" customHeight="1" x14ac:dyDescent="0.25">
      <c r="A22" s="188"/>
      <c r="B22" s="188"/>
      <c r="C22" s="188"/>
    </row>
    <row r="23" spans="1:14" s="189" customFormat="1" ht="13.5" customHeight="1" x14ac:dyDescent="0.25">
      <c r="A23" s="188"/>
      <c r="B23" s="188"/>
      <c r="C23" s="188"/>
      <c r="D23" s="2"/>
      <c r="E23" s="2"/>
      <c r="F23" s="2"/>
      <c r="G23" s="2"/>
      <c r="H23" s="2"/>
      <c r="I23" s="2"/>
      <c r="J23" s="2"/>
      <c r="K23" s="2"/>
      <c r="L23" s="2"/>
      <c r="M23" s="2"/>
      <c r="N23" s="2"/>
    </row>
    <row r="24" spans="1:14" s="1" customFormat="1" ht="13.5" customHeight="1" x14ac:dyDescent="0.25">
      <c r="D24" s="2"/>
      <c r="E24" s="2"/>
      <c r="F24" s="2"/>
      <c r="G24" s="2"/>
      <c r="H24" s="2"/>
      <c r="I24" s="2"/>
      <c r="J24" s="2"/>
      <c r="K24" s="2"/>
      <c r="L24" s="2"/>
      <c r="M24" s="2"/>
      <c r="N24" s="2"/>
    </row>
    <row r="25" spans="1:14" s="189" customFormat="1" ht="13.5" customHeight="1" x14ac:dyDescent="0.25">
      <c r="D25" s="2"/>
      <c r="E25" s="2"/>
      <c r="F25" s="2"/>
      <c r="G25" s="2"/>
      <c r="H25" s="2"/>
      <c r="I25" s="2"/>
      <c r="J25" s="2"/>
      <c r="K25" s="2"/>
      <c r="L25" s="2"/>
      <c r="M25" s="2"/>
      <c r="N25" s="2"/>
    </row>
    <row r="31" spans="1:14" ht="13.5" customHeight="1" outlineLevel="1" x14ac:dyDescent="0.25"/>
    <row r="32" spans="1:14" ht="13.5" customHeight="1" outlineLevel="1" x14ac:dyDescent="0.25"/>
    <row r="33" ht="13.5" customHeight="1" outlineLevel="1" x14ac:dyDescent="0.25"/>
    <row r="34" ht="13.5" customHeight="1" outlineLevel="1" x14ac:dyDescent="0.25"/>
    <row r="35" ht="13.5" customHeight="1" outlineLevel="1" x14ac:dyDescent="0.25"/>
    <row r="36" ht="13.5" customHeight="1" outlineLevel="1" x14ac:dyDescent="0.25"/>
    <row r="37" ht="13.5" customHeight="1" outlineLevel="1" x14ac:dyDescent="0.25"/>
    <row r="42" ht="13.5" customHeight="1" outlineLevel="1" x14ac:dyDescent="0.25"/>
    <row r="43" ht="13.5" customHeight="1" outlineLevel="1" x14ac:dyDescent="0.25"/>
    <row r="44" ht="13.5" customHeight="1" outlineLevel="1" x14ac:dyDescent="0.25"/>
    <row r="45" ht="13.5" customHeight="1" outlineLevel="1" x14ac:dyDescent="0.25"/>
    <row r="46" ht="13.5" customHeight="1" outlineLevel="1" x14ac:dyDescent="0.25"/>
    <row r="47" ht="13.5" customHeight="1" outlineLevel="1" x14ac:dyDescent="0.25"/>
    <row r="48" ht="13.5" customHeight="1" outlineLevel="1" x14ac:dyDescent="0.25"/>
    <row r="51" ht="13.2" customHeight="1" x14ac:dyDescent="0.25"/>
    <row r="56" ht="13.5" customHeight="1" outlineLevel="1" x14ac:dyDescent="0.25"/>
    <row r="57" ht="13.5" customHeight="1" outlineLevel="1" x14ac:dyDescent="0.25"/>
    <row r="58" ht="13.5" customHeight="1" outlineLevel="1" x14ac:dyDescent="0.25"/>
    <row r="59" ht="13.5" customHeight="1" outlineLevel="1" x14ac:dyDescent="0.25"/>
    <row r="60" ht="13.5" customHeight="1" outlineLevel="1" x14ac:dyDescent="0.25"/>
    <row r="61" ht="13.5" customHeight="1" outlineLevel="1" x14ac:dyDescent="0.25"/>
    <row r="62" ht="13.5" customHeight="1" outlineLevel="1" x14ac:dyDescent="0.25"/>
    <row r="67" ht="13.5" customHeight="1" outlineLevel="1" x14ac:dyDescent="0.25"/>
    <row r="68" ht="13.5" customHeight="1" outlineLevel="1" x14ac:dyDescent="0.25"/>
    <row r="69" ht="13.5" customHeight="1" outlineLevel="1" x14ac:dyDescent="0.25"/>
    <row r="70" ht="13.5" customHeight="1" outlineLevel="1" x14ac:dyDescent="0.25"/>
    <row r="71" ht="13.5" customHeight="1" outlineLevel="1" x14ac:dyDescent="0.25"/>
    <row r="72" ht="13.5" customHeight="1" outlineLevel="1" x14ac:dyDescent="0.25"/>
    <row r="73" ht="13.5" customHeight="1" outlineLevel="1" x14ac:dyDescent="0.25"/>
    <row r="75" ht="13.2" customHeight="1" x14ac:dyDescent="0.25"/>
    <row r="81" spans="1:2" ht="13.2" customHeight="1" x14ac:dyDescent="0.25"/>
    <row r="86" spans="1:2" ht="13.5" customHeight="1" outlineLevel="1" x14ac:dyDescent="0.25"/>
    <row r="87" spans="1:2" ht="13.5" customHeight="1" outlineLevel="1" x14ac:dyDescent="0.25"/>
    <row r="88" spans="1:2" ht="13.5" customHeight="1" outlineLevel="1" x14ac:dyDescent="0.25"/>
    <row r="89" spans="1:2" ht="13.5" customHeight="1" outlineLevel="1" x14ac:dyDescent="0.25"/>
    <row r="90" spans="1:2" ht="13.5" customHeight="1" outlineLevel="1" x14ac:dyDescent="0.25"/>
    <row r="91" spans="1:2" ht="13.5" customHeight="1" outlineLevel="1" x14ac:dyDescent="0.25"/>
    <row r="92" spans="1:2" ht="13.5" customHeight="1" outlineLevel="1" x14ac:dyDescent="0.25"/>
    <row r="93" spans="1:2" ht="13.5" customHeight="1" outlineLevel="1" x14ac:dyDescent="0.25"/>
    <row r="94" spans="1:2" ht="13.5" hidden="1" customHeight="1" outlineLevel="1" x14ac:dyDescent="0.25">
      <c r="A94" s="2" t="s">
        <v>74</v>
      </c>
      <c r="B94" s="2">
        <f>ProjectedP205_Consumption!T153</f>
        <v>0</v>
      </c>
    </row>
    <row r="95" spans="1:2" ht="13.5" hidden="1" customHeight="1" outlineLevel="1" x14ac:dyDescent="0.25">
      <c r="A95" s="2" t="s">
        <v>74</v>
      </c>
      <c r="B95" s="2">
        <f>ProjectedP205_Consumption!T154</f>
        <v>0</v>
      </c>
    </row>
    <row r="96" spans="1:2" ht="13.5" hidden="1" customHeight="1" outlineLevel="1" x14ac:dyDescent="0.25">
      <c r="A96" s="2" t="s">
        <v>74</v>
      </c>
      <c r="B96" s="2">
        <f>ProjectedP205_Consumption!T155</f>
        <v>0</v>
      </c>
    </row>
    <row r="100" ht="13.5" customHeight="1" outlineLevel="1" x14ac:dyDescent="0.25"/>
    <row r="101" ht="13.5" customHeight="1" outlineLevel="1" x14ac:dyDescent="0.25"/>
    <row r="102" ht="13.5" customHeight="1" outlineLevel="1" x14ac:dyDescent="0.25"/>
    <row r="103" ht="13.5" customHeight="1" outlineLevel="1" x14ac:dyDescent="0.25"/>
    <row r="104" ht="13.5" customHeight="1" outlineLevel="1" x14ac:dyDescent="0.25"/>
    <row r="105" ht="13.5" customHeight="1" outlineLevel="1" x14ac:dyDescent="0.25"/>
    <row r="106" ht="13.5" customHeight="1" outlineLevel="1" x14ac:dyDescent="0.25"/>
  </sheetData>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E7B50-3279-45BC-A1B5-6BFD510849E8}">
  <sheetPr>
    <tabColor theme="3" tint="0.79998168889431442"/>
  </sheetPr>
  <dimension ref="A1:AQ104"/>
  <sheetViews>
    <sheetView showGridLines="0" topLeftCell="J1" zoomScale="55" zoomScaleNormal="55" workbookViewId="0">
      <selection activeCell="AQ34" sqref="AQ34:AQ53"/>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53.77734375" style="2" bestFit="1" customWidth="1"/>
    <col min="5" max="5" width="53.77734375" style="2" customWidth="1"/>
    <col min="6" max="6" width="19.21875" style="2" customWidth="1"/>
    <col min="7" max="7" width="26.21875" style="2" customWidth="1"/>
    <col min="8" max="14" width="14.21875" style="2" customWidth="1"/>
    <col min="15" max="16384" width="9.21875" style="2"/>
  </cols>
  <sheetData>
    <row r="1" spans="1:24" s="7" customFormat="1" ht="13.5" customHeight="1" x14ac:dyDescent="0.25">
      <c r="A1" s="5"/>
      <c r="B1" s="5"/>
      <c r="C1" s="5"/>
      <c r="D1" s="6" t="s">
        <v>71</v>
      </c>
      <c r="E1" s="25"/>
    </row>
    <row r="2" spans="1:24" s="7" customFormat="1" ht="13.5" customHeight="1" x14ac:dyDescent="0.25">
      <c r="A2" s="5"/>
      <c r="B2" s="5"/>
      <c r="C2" s="5"/>
      <c r="D2" s="6"/>
      <c r="E2" s="26" t="str">
        <f>Title</f>
        <v>OCP Africa - Nigeria P205 projections + backing analyses</v>
      </c>
    </row>
    <row r="3" spans="1:24" s="7" customFormat="1" ht="13.5" customHeight="1" x14ac:dyDescent="0.25">
      <c r="A3" s="5"/>
      <c r="B3" s="5"/>
      <c r="C3" s="5"/>
      <c r="D3" s="6"/>
      <c r="E3" s="27" t="str">
        <f ca="1">MID(CELL("filename",E3),FIND("]",CELL("filename",E3))+1,256)</f>
        <v>OCPSalesProduct</v>
      </c>
    </row>
    <row r="4" spans="1:24" s="7" customFormat="1" ht="13.5" customHeight="1" x14ac:dyDescent="0.25">
      <c r="A4" s="5"/>
      <c r="B4" s="5"/>
      <c r="C4" s="5"/>
      <c r="D4" s="6"/>
      <c r="E4" s="25"/>
    </row>
    <row r="5" spans="1:24" s="11" customFormat="1" ht="13.2" customHeight="1" x14ac:dyDescent="0.25">
      <c r="A5" s="8"/>
      <c r="B5" s="8"/>
      <c r="C5" s="8"/>
      <c r="D5" s="9"/>
      <c r="E5" s="10"/>
    </row>
    <row r="6" spans="1:24" s="185" customFormat="1" ht="13.2" customHeight="1" x14ac:dyDescent="0.25">
      <c r="A6" s="182"/>
      <c r="B6" s="182"/>
      <c r="C6" s="182"/>
      <c r="D6" s="183"/>
      <c r="E6" s="184"/>
    </row>
    <row r="7" spans="1:24" ht="13.2" customHeight="1" x14ac:dyDescent="0.3">
      <c r="B7" s="29">
        <v>0</v>
      </c>
      <c r="D7" s="28" t="s">
        <v>163</v>
      </c>
    </row>
    <row r="8" spans="1:24" ht="13.2" customHeight="1" x14ac:dyDescent="0.3">
      <c r="B8" s="28"/>
      <c r="D8" s="28"/>
    </row>
    <row r="9" spans="1:24" s="1" customFormat="1" ht="13.5" customHeight="1" x14ac:dyDescent="0.25">
      <c r="D9" s="32" t="s">
        <v>296</v>
      </c>
      <c r="E9" s="32"/>
      <c r="F9" s="32"/>
      <c r="G9" s="32"/>
      <c r="H9" s="190"/>
      <c r="I9" s="190"/>
      <c r="J9" s="190"/>
      <c r="K9" s="190"/>
      <c r="L9" s="190"/>
      <c r="M9" s="190"/>
      <c r="N9" s="190"/>
      <c r="O9" s="190"/>
      <c r="P9" s="190"/>
      <c r="R9" s="187"/>
      <c r="S9" s="190"/>
      <c r="T9" s="190"/>
      <c r="U9" s="187"/>
      <c r="V9" s="190"/>
      <c r="W9" s="190"/>
      <c r="X9" s="190"/>
    </row>
    <row r="10" spans="1:24" s="1" customFormat="1" ht="13.5" customHeight="1" x14ac:dyDescent="0.25">
      <c r="D10" s="33" t="s">
        <v>294</v>
      </c>
      <c r="E10" s="33"/>
      <c r="F10" s="33"/>
      <c r="G10" s="33"/>
      <c r="H10" s="190"/>
      <c r="I10" s="190"/>
      <c r="J10" s="190"/>
      <c r="K10" s="190"/>
      <c r="L10" s="190"/>
      <c r="M10" s="190"/>
      <c r="N10" s="190"/>
      <c r="O10" s="190"/>
      <c r="P10" s="190"/>
      <c r="R10" s="187"/>
      <c r="S10" s="190"/>
      <c r="T10" s="190"/>
      <c r="U10" s="187"/>
      <c r="V10" s="190"/>
      <c r="W10" s="190"/>
      <c r="X10" s="190"/>
    </row>
    <row r="11" spans="1:24" s="1" customFormat="1" ht="13.5" customHeight="1" x14ac:dyDescent="0.25">
      <c r="D11" s="30" t="s">
        <v>295</v>
      </c>
      <c r="E11" s="34">
        <v>2023</v>
      </c>
      <c r="F11" s="34">
        <v>2024</v>
      </c>
      <c r="G11" s="34">
        <v>2025</v>
      </c>
      <c r="H11" s="190"/>
      <c r="I11" s="190"/>
      <c r="J11" s="190"/>
      <c r="K11" s="190"/>
      <c r="L11" s="190"/>
      <c r="M11" s="190"/>
      <c r="N11" s="190"/>
      <c r="O11" s="190"/>
      <c r="P11" s="190"/>
      <c r="R11" s="187"/>
      <c r="S11" s="190"/>
      <c r="T11" s="190"/>
      <c r="U11" s="187"/>
      <c r="V11" s="190"/>
      <c r="W11" s="190"/>
      <c r="X11" s="190"/>
    </row>
    <row r="12" spans="1:24" s="189" customFormat="1" ht="13.5" customHeight="1" x14ac:dyDescent="0.25">
      <c r="D12" s="1" t="s">
        <v>169</v>
      </c>
      <c r="E12" s="1">
        <f>Y54</f>
        <v>195.11993683939684</v>
      </c>
      <c r="F12" s="1">
        <f t="shared" ref="F12:G12" si="0">Z54</f>
        <v>144.88636421399914</v>
      </c>
      <c r="G12" s="1">
        <f t="shared" si="0"/>
        <v>65.931336735071028</v>
      </c>
      <c r="I12" s="218">
        <f>G12/$G$16</f>
        <v>0.3</v>
      </c>
    </row>
    <row r="13" spans="1:24" s="1" customFormat="1" ht="13.5" customHeight="1" x14ac:dyDescent="0.25">
      <c r="D13" s="1" t="s">
        <v>167</v>
      </c>
      <c r="E13" s="1">
        <f>AB54</f>
        <v>0</v>
      </c>
      <c r="F13" s="1">
        <f t="shared" ref="F13:G13" si="1">AC54</f>
        <v>56.264026070827647</v>
      </c>
      <c r="G13" s="1">
        <f t="shared" si="1"/>
        <v>141.48438689453815</v>
      </c>
      <c r="H13" s="190"/>
      <c r="I13" s="218">
        <f t="shared" ref="I13:I15" si="2">G13/$G$16</f>
        <v>0.64378060828521622</v>
      </c>
      <c r="J13" s="219"/>
      <c r="K13" s="219"/>
      <c r="L13" s="190"/>
      <c r="M13" s="190"/>
      <c r="N13" s="190"/>
      <c r="O13" s="190"/>
      <c r="P13" s="190"/>
      <c r="R13" s="187"/>
      <c r="S13" s="190"/>
      <c r="T13" s="190"/>
      <c r="U13" s="187"/>
      <c r="V13" s="190"/>
      <c r="W13" s="190"/>
      <c r="X13" s="190"/>
    </row>
    <row r="14" spans="1:24" s="1" customFormat="1" ht="13.5" customHeight="1" x14ac:dyDescent="0.25">
      <c r="D14" s="1" t="s">
        <v>168</v>
      </c>
      <c r="E14" s="1">
        <f>AE54</f>
        <v>0</v>
      </c>
      <c r="F14" s="1">
        <f t="shared" ref="F14:G14" si="3">AF54</f>
        <v>5.8301300208862648</v>
      </c>
      <c r="G14" s="1">
        <f t="shared" si="3"/>
        <v>12.355398820627595</v>
      </c>
      <c r="H14" s="190"/>
      <c r="I14" s="218">
        <f t="shared" si="2"/>
        <v>5.6219391714783885E-2</v>
      </c>
      <c r="J14" s="190"/>
      <c r="K14" s="190"/>
      <c r="L14" s="190"/>
      <c r="M14" s="190"/>
      <c r="N14" s="190"/>
      <c r="O14" s="190"/>
      <c r="P14" s="190"/>
      <c r="R14" s="187"/>
      <c r="S14" s="190"/>
      <c r="T14" s="190"/>
      <c r="U14" s="187"/>
      <c r="V14" s="190"/>
      <c r="W14" s="190"/>
      <c r="X14" s="190"/>
    </row>
    <row r="15" spans="1:24" s="1" customFormat="1" ht="13.5" customHeight="1" thickBot="1" x14ac:dyDescent="0.3">
      <c r="D15" s="1" t="s">
        <v>170</v>
      </c>
      <c r="E15" s="1">
        <f>AK54</f>
        <v>0</v>
      </c>
      <c r="F15" s="1">
        <f t="shared" ref="F15:G15" si="4">AL54</f>
        <v>0</v>
      </c>
      <c r="G15" s="1">
        <f t="shared" si="4"/>
        <v>0</v>
      </c>
      <c r="H15" s="190"/>
      <c r="I15" s="218">
        <f t="shared" si="2"/>
        <v>0</v>
      </c>
      <c r="J15" s="190"/>
      <c r="K15" s="190"/>
      <c r="L15" s="190"/>
      <c r="M15" s="190"/>
      <c r="N15" s="190"/>
      <c r="O15" s="190"/>
      <c r="P15" s="190"/>
      <c r="R15" s="187"/>
      <c r="S15" s="190"/>
      <c r="T15" s="190"/>
      <c r="U15" s="187"/>
      <c r="V15" s="190"/>
      <c r="W15" s="190"/>
      <c r="X15" s="190"/>
    </row>
    <row r="16" spans="1:24" s="1" customFormat="1" ht="13.5" customHeight="1" thickTop="1" thickBot="1" x14ac:dyDescent="0.3">
      <c r="D16" s="104" t="s">
        <v>162</v>
      </c>
      <c r="E16" s="217">
        <f>SUM(E12:E15)</f>
        <v>195.11993683939684</v>
      </c>
      <c r="F16" s="217">
        <f>SUM(F12:F15)</f>
        <v>206.98052030571304</v>
      </c>
      <c r="G16" s="217">
        <f>SUM(G12:G15)</f>
        <v>219.77112245023676</v>
      </c>
      <c r="H16" s="190"/>
      <c r="I16" s="190"/>
      <c r="J16" s="190"/>
      <c r="K16" s="190"/>
      <c r="L16" s="190"/>
      <c r="M16" s="190"/>
      <c r="N16" s="190"/>
      <c r="O16" s="190"/>
      <c r="P16" s="190"/>
      <c r="R16" s="187"/>
      <c r="S16" s="190"/>
      <c r="T16" s="190"/>
      <c r="U16" s="187"/>
      <c r="V16" s="190"/>
      <c r="W16" s="190"/>
      <c r="X16" s="190"/>
    </row>
    <row r="17" spans="2:39" s="189" customFormat="1" ht="13.5" customHeight="1" thickTop="1" x14ac:dyDescent="0.25">
      <c r="D17" s="1"/>
      <c r="E17" s="1"/>
      <c r="F17" s="1"/>
      <c r="G17" s="1"/>
    </row>
    <row r="18" spans="2:39" s="1" customFormat="1" ht="13.5" customHeight="1" x14ac:dyDescent="0.25">
      <c r="D18" s="2"/>
      <c r="E18" s="2"/>
      <c r="F18" s="2"/>
      <c r="G18" s="2"/>
      <c r="H18" s="190"/>
      <c r="I18" s="190"/>
      <c r="J18" s="190"/>
      <c r="K18" s="190"/>
      <c r="L18" s="190"/>
      <c r="M18" s="190"/>
      <c r="N18" s="190"/>
      <c r="O18" s="190"/>
      <c r="P18" s="190"/>
      <c r="R18" s="187"/>
      <c r="S18" s="190"/>
      <c r="T18" s="190"/>
      <c r="U18" s="187"/>
      <c r="V18" s="190"/>
      <c r="W18" s="190"/>
      <c r="X18" s="190"/>
    </row>
    <row r="19" spans="2:39" s="1" customFormat="1" ht="13.5" customHeight="1" x14ac:dyDescent="0.25">
      <c r="D19" s="32" t="s">
        <v>296</v>
      </c>
      <c r="E19" s="32"/>
      <c r="F19" s="32"/>
      <c r="G19" s="32"/>
      <c r="H19" s="190"/>
      <c r="I19" s="190"/>
      <c r="J19" s="190"/>
      <c r="K19" s="190"/>
      <c r="L19" s="190"/>
      <c r="M19" s="190"/>
      <c r="N19" s="190"/>
      <c r="O19" s="190"/>
      <c r="P19" s="190"/>
      <c r="R19" s="187"/>
      <c r="S19" s="190"/>
      <c r="T19" s="190"/>
      <c r="U19" s="187"/>
      <c r="V19" s="190"/>
      <c r="W19" s="190"/>
      <c r="X19" s="190"/>
    </row>
    <row r="20" spans="2:39" s="1" customFormat="1" ht="13.5" customHeight="1" x14ac:dyDescent="0.25">
      <c r="D20" s="33" t="s">
        <v>294</v>
      </c>
      <c r="E20" s="33"/>
      <c r="F20" s="33"/>
      <c r="G20" s="33"/>
      <c r="H20" s="190"/>
      <c r="I20" s="190"/>
      <c r="J20" s="190"/>
      <c r="K20" s="190"/>
      <c r="L20" s="190"/>
      <c r="M20" s="190"/>
      <c r="N20" s="190"/>
      <c r="O20" s="190"/>
      <c r="P20" s="190"/>
      <c r="R20" s="187"/>
      <c r="S20" s="190"/>
      <c r="T20" s="190"/>
      <c r="U20" s="187"/>
      <c r="V20" s="190"/>
      <c r="W20" s="190"/>
      <c r="X20" s="190"/>
    </row>
    <row r="21" spans="2:39" s="1" customFormat="1" ht="13.5" customHeight="1" x14ac:dyDescent="0.25">
      <c r="D21" s="30" t="s">
        <v>165</v>
      </c>
      <c r="E21" s="34">
        <v>2023</v>
      </c>
      <c r="F21" s="34">
        <v>2024</v>
      </c>
      <c r="G21" s="34">
        <v>2025</v>
      </c>
      <c r="H21" s="190"/>
      <c r="I21" s="190"/>
      <c r="J21" s="190"/>
      <c r="K21" s="190"/>
      <c r="L21" s="190"/>
      <c r="M21" s="190"/>
      <c r="N21" s="190"/>
      <c r="O21" s="190"/>
      <c r="P21" s="190"/>
      <c r="R21" s="187"/>
      <c r="S21" s="190"/>
      <c r="T21" s="190"/>
      <c r="U21" s="187"/>
      <c r="V21" s="190"/>
      <c r="W21" s="190"/>
      <c r="X21" s="190"/>
    </row>
    <row r="22" spans="2:39" s="189" customFormat="1" ht="13.5" customHeight="1" x14ac:dyDescent="0.25">
      <c r="D22" s="1" t="s">
        <v>169</v>
      </c>
      <c r="E22" s="1">
        <f>Y81</f>
        <v>195.11993683939684</v>
      </c>
      <c r="F22" s="1">
        <f t="shared" ref="F22:G22" si="5">Z81</f>
        <v>238.68375902996826</v>
      </c>
      <c r="G22" s="1">
        <f t="shared" si="5"/>
        <v>149.49784964423628</v>
      </c>
      <c r="I22" s="218">
        <f>G22/$G$26</f>
        <v>0.29999999999999993</v>
      </c>
      <c r="U22" s="189">
        <v>27712</v>
      </c>
      <c r="V22" s="189" t="s">
        <v>297</v>
      </c>
    </row>
    <row r="23" spans="2:39" s="1" customFormat="1" ht="13.5" customHeight="1" x14ac:dyDescent="0.25">
      <c r="D23" s="1" t="s">
        <v>167</v>
      </c>
      <c r="E23" s="1">
        <f>AB81</f>
        <v>0</v>
      </c>
      <c r="F23" s="1">
        <f t="shared" ref="F23:G23" si="6">AC81</f>
        <v>94.899820374539786</v>
      </c>
      <c r="G23" s="1">
        <f t="shared" si="6"/>
        <v>329.9299213560023</v>
      </c>
      <c r="H23" s="190"/>
      <c r="I23" s="218">
        <f t="shared" ref="I23:I25" si="7">G23/$G$26</f>
        <v>0.66207625489158117</v>
      </c>
      <c r="J23" s="219"/>
      <c r="K23" s="219"/>
      <c r="L23" s="219"/>
      <c r="M23" s="190"/>
      <c r="N23" s="190"/>
      <c r="O23" s="190"/>
      <c r="P23" s="190"/>
      <c r="R23" s="187"/>
      <c r="S23" s="190"/>
      <c r="T23" s="190"/>
      <c r="U23" s="187" t="s">
        <v>298</v>
      </c>
      <c r="V23" s="190"/>
      <c r="W23" s="190"/>
      <c r="X23" s="190"/>
    </row>
    <row r="24" spans="2:39" s="1" customFormat="1" ht="13.5" customHeight="1" x14ac:dyDescent="0.25">
      <c r="D24" s="1" t="s">
        <v>168</v>
      </c>
      <c r="E24" s="1">
        <f>AE81</f>
        <v>0</v>
      </c>
      <c r="F24" s="1">
        <f t="shared" ref="F24:G24" si="8">AF81</f>
        <v>7.3932192097322762</v>
      </c>
      <c r="G24" s="1">
        <f t="shared" si="8"/>
        <v>18.898394480549129</v>
      </c>
      <c r="H24" s="190"/>
      <c r="I24" s="218">
        <f t="shared" si="7"/>
        <v>3.7923745108418817E-2</v>
      </c>
      <c r="J24" s="190"/>
      <c r="K24" s="190"/>
      <c r="L24" s="190"/>
      <c r="M24" s="190"/>
      <c r="N24" s="190"/>
      <c r="O24" s="190"/>
      <c r="P24" s="190"/>
      <c r="R24" s="187"/>
      <c r="S24" s="190"/>
      <c r="T24" s="190"/>
      <c r="U24" s="187"/>
      <c r="V24" s="190"/>
      <c r="W24" s="190"/>
      <c r="X24" s="190"/>
    </row>
    <row r="25" spans="2:39" s="1" customFormat="1" ht="13.5" customHeight="1" thickBot="1" x14ac:dyDescent="0.3">
      <c r="D25" s="1" t="s">
        <v>170</v>
      </c>
      <c r="E25" s="1">
        <f>AH81</f>
        <v>0</v>
      </c>
      <c r="F25" s="1">
        <f t="shared" ref="F25:G25" si="9">AI81</f>
        <v>0</v>
      </c>
      <c r="G25" s="1">
        <f t="shared" si="9"/>
        <v>0</v>
      </c>
      <c r="H25" s="190"/>
      <c r="I25" s="218">
        <f t="shared" si="7"/>
        <v>0</v>
      </c>
      <c r="J25" s="190"/>
      <c r="K25" s="190"/>
      <c r="L25" s="190"/>
      <c r="M25" s="190"/>
      <c r="N25" s="190"/>
      <c r="O25" s="190"/>
      <c r="P25" s="190"/>
      <c r="R25" s="187"/>
      <c r="S25" s="190"/>
      <c r="T25" s="190"/>
      <c r="U25" s="187">
        <v>100</v>
      </c>
      <c r="V25" s="190"/>
      <c r="W25" s="190"/>
      <c r="X25" s="190"/>
    </row>
    <row r="26" spans="2:39" s="1" customFormat="1" ht="13.2" customHeight="1" thickTop="1" thickBot="1" x14ac:dyDescent="0.3">
      <c r="D26" s="104" t="s">
        <v>162</v>
      </c>
      <c r="E26" s="217">
        <f>SUM(E22:E25)</f>
        <v>195.11993683939684</v>
      </c>
      <c r="F26" s="217">
        <f>SUM(F22:F25)</f>
        <v>340.97679861424029</v>
      </c>
      <c r="G26" s="217">
        <f>SUM(G22:G25)</f>
        <v>498.32616548078772</v>
      </c>
      <c r="H26" s="190"/>
      <c r="I26" s="190"/>
      <c r="J26" s="190"/>
      <c r="K26" s="190"/>
      <c r="L26" s="190"/>
      <c r="M26" s="190"/>
      <c r="N26" s="190"/>
      <c r="O26" s="190"/>
      <c r="P26" s="190"/>
      <c r="R26" s="187"/>
      <c r="S26" s="190"/>
      <c r="T26" s="190"/>
      <c r="U26" s="187">
        <f>U25*U22</f>
        <v>2771200</v>
      </c>
      <c r="V26" s="190"/>
      <c r="W26" s="190"/>
      <c r="X26" s="190"/>
    </row>
    <row r="27" spans="2:39" ht="13.2" customHeight="1" thickTop="1" x14ac:dyDescent="0.3">
      <c r="B27" s="28"/>
      <c r="D27" s="28"/>
    </row>
    <row r="28" spans="2:39" ht="13.5" customHeight="1" x14ac:dyDescent="0.3">
      <c r="B28" s="29">
        <v>0</v>
      </c>
      <c r="D28" s="28" t="s">
        <v>293</v>
      </c>
    </row>
    <row r="30" spans="2:39" ht="13.5" customHeight="1" x14ac:dyDescent="0.25">
      <c r="D30" s="32" t="s">
        <v>279</v>
      </c>
      <c r="I30" s="32" t="s">
        <v>280</v>
      </c>
      <c r="J30" s="32"/>
      <c r="Y30" s="32" t="s">
        <v>281</v>
      </c>
      <c r="Z30" s="32"/>
    </row>
    <row r="31" spans="2:39" ht="13.5" customHeight="1" x14ac:dyDescent="0.25">
      <c r="D31" s="33" t="s">
        <v>19</v>
      </c>
      <c r="I31" s="33" t="s">
        <v>282</v>
      </c>
      <c r="J31" s="33"/>
      <c r="Y31" s="33" t="s">
        <v>283</v>
      </c>
      <c r="Z31" s="33"/>
    </row>
    <row r="32" spans="2:39" ht="13.5" customHeight="1" x14ac:dyDescent="0.25">
      <c r="E32" s="7"/>
      <c r="F32" s="7"/>
      <c r="G32" s="7"/>
      <c r="H32" s="7"/>
      <c r="I32" s="214" t="s">
        <v>169</v>
      </c>
      <c r="L32" s="214" t="s">
        <v>167</v>
      </c>
      <c r="O32" s="214" t="s">
        <v>168</v>
      </c>
      <c r="R32" s="214" t="s">
        <v>170</v>
      </c>
      <c r="U32" s="214" t="s">
        <v>192</v>
      </c>
      <c r="Y32" s="214" t="s">
        <v>169</v>
      </c>
      <c r="AA32" s="215">
        <v>0.46</v>
      </c>
      <c r="AB32" s="214" t="s">
        <v>167</v>
      </c>
      <c r="AD32" s="215">
        <v>0.46</v>
      </c>
      <c r="AE32" s="214" t="s">
        <v>168</v>
      </c>
      <c r="AG32" s="215">
        <v>0.46</v>
      </c>
      <c r="AH32" s="214" t="s">
        <v>170</v>
      </c>
      <c r="AJ32" s="215">
        <v>0.377</v>
      </c>
      <c r="AK32" s="214" t="s">
        <v>192</v>
      </c>
      <c r="AM32" s="215">
        <v>0.2</v>
      </c>
    </row>
    <row r="33" spans="4:43" ht="13.5" customHeight="1" outlineLevel="1" x14ac:dyDescent="0.25">
      <c r="D33" s="30"/>
      <c r="E33" s="34">
        <v>2023</v>
      </c>
      <c r="F33" s="34">
        <v>2024</v>
      </c>
      <c r="G33" s="34">
        <v>2025</v>
      </c>
      <c r="I33" s="34">
        <v>2023</v>
      </c>
      <c r="J33" s="34">
        <v>2024</v>
      </c>
      <c r="K33" s="34">
        <v>2025</v>
      </c>
      <c r="L33" s="34">
        <v>2023</v>
      </c>
      <c r="M33" s="34">
        <v>2024</v>
      </c>
      <c r="N33" s="34">
        <v>2025</v>
      </c>
      <c r="O33" s="34">
        <v>2023</v>
      </c>
      <c r="P33" s="34">
        <v>2024</v>
      </c>
      <c r="Q33" s="34">
        <v>2025</v>
      </c>
      <c r="R33" s="34">
        <v>2023</v>
      </c>
      <c r="S33" s="34">
        <v>2024</v>
      </c>
      <c r="T33" s="34">
        <v>2025</v>
      </c>
      <c r="U33" s="34">
        <v>2023</v>
      </c>
      <c r="V33" s="34">
        <v>2024</v>
      </c>
      <c r="W33" s="34">
        <v>2025</v>
      </c>
      <c r="Y33" s="34">
        <v>2023</v>
      </c>
      <c r="Z33" s="34">
        <v>2024</v>
      </c>
      <c r="AA33" s="34">
        <v>2025</v>
      </c>
      <c r="AB33" s="34">
        <v>2023</v>
      </c>
      <c r="AC33" s="34">
        <v>2024</v>
      </c>
      <c r="AD33" s="34">
        <v>2025</v>
      </c>
      <c r="AE33" s="34">
        <v>2023</v>
      </c>
      <c r="AF33" s="34">
        <v>2024</v>
      </c>
      <c r="AG33" s="34">
        <v>2025</v>
      </c>
      <c r="AH33" s="34">
        <v>2023</v>
      </c>
      <c r="AI33" s="34">
        <v>2024</v>
      </c>
      <c r="AJ33" s="34">
        <v>2025</v>
      </c>
      <c r="AK33" s="34">
        <v>2023</v>
      </c>
      <c r="AL33" s="34">
        <v>2024</v>
      </c>
      <c r="AM33" s="34">
        <v>2025</v>
      </c>
      <c r="AO33" s="187" t="s">
        <v>302</v>
      </c>
    </row>
    <row r="34" spans="4:43" ht="13.5" customHeight="1" outlineLevel="1" x14ac:dyDescent="0.25">
      <c r="D34" s="85" t="str">
        <f>ProjectedP205_Consumption!D13</f>
        <v>Cassava, fresh</v>
      </c>
      <c r="E34" s="106">
        <f>ProjectedP205_Consumption!K13</f>
        <v>7.9649019192981507</v>
      </c>
      <c r="F34" s="106">
        <f>ProjectedP205_Consumption!L13</f>
        <v>8.8475597947970126</v>
      </c>
      <c r="G34" s="106">
        <f>ProjectedP205_Consumption!M13</f>
        <v>9.8280324247114343</v>
      </c>
      <c r="I34" s="81">
        <v>1</v>
      </c>
      <c r="J34" s="81">
        <v>0.7</v>
      </c>
      <c r="K34" s="81">
        <v>0.3</v>
      </c>
      <c r="L34" s="81">
        <v>0</v>
      </c>
      <c r="M34" s="81">
        <f>30%</f>
        <v>0.3</v>
      </c>
      <c r="N34" s="81">
        <v>0.7</v>
      </c>
      <c r="O34" s="81">
        <v>0</v>
      </c>
      <c r="P34" s="81">
        <v>0</v>
      </c>
      <c r="Q34" s="81">
        <v>0</v>
      </c>
      <c r="R34" s="81">
        <v>0</v>
      </c>
      <c r="S34" s="81">
        <v>0</v>
      </c>
      <c r="T34" s="81">
        <v>0</v>
      </c>
      <c r="U34" s="81">
        <v>0</v>
      </c>
      <c r="V34" s="81">
        <v>0</v>
      </c>
      <c r="W34" s="81">
        <v>0</v>
      </c>
      <c r="Y34" s="66">
        <f>(I34*E34)/$AA$32</f>
        <v>17.315004172387283</v>
      </c>
      <c r="Z34" s="66">
        <f t="shared" ref="Z34:AA34" si="10">(J34*F34)/$AA$32</f>
        <v>13.463677948604149</v>
      </c>
      <c r="AA34" s="66">
        <f t="shared" si="10"/>
        <v>6.409586363942239</v>
      </c>
      <c r="AB34" s="66">
        <f>(L34*E34)/$AD$32</f>
        <v>0</v>
      </c>
      <c r="AC34" s="66">
        <f t="shared" ref="AC34:AD34" si="11">(M34*F34)/$AD$32</f>
        <v>5.770147692258921</v>
      </c>
      <c r="AD34" s="66">
        <f t="shared" si="11"/>
        <v>14.955701515865226</v>
      </c>
      <c r="AE34" s="66">
        <f>(O34*E34)/$AG$32</f>
        <v>0</v>
      </c>
      <c r="AF34" s="66">
        <f t="shared" ref="AF34:AG34" si="12">(P34*F34)/$AG$32</f>
        <v>0</v>
      </c>
      <c r="AG34" s="66">
        <f t="shared" si="12"/>
        <v>0</v>
      </c>
      <c r="AH34" s="66">
        <f>(R34*E34)/$AJ$32</f>
        <v>0</v>
      </c>
      <c r="AI34" s="66">
        <f t="shared" ref="AI34:AJ34" si="13">(S34*F34)/$AJ$32</f>
        <v>0</v>
      </c>
      <c r="AJ34" s="66">
        <f t="shared" si="13"/>
        <v>0</v>
      </c>
      <c r="AK34" s="66">
        <f>(U34*E34)/$AJ$32</f>
        <v>0</v>
      </c>
      <c r="AL34" s="66">
        <f t="shared" ref="AL34:AM34" si="14">(V34*F34)/$AJ$32</f>
        <v>0</v>
      </c>
      <c r="AM34" s="66">
        <f t="shared" si="14"/>
        <v>0</v>
      </c>
      <c r="AO34" s="2" t="b">
        <f>SUM(I34,L34,O34,R34,U34)=100%</f>
        <v>1</v>
      </c>
      <c r="AQ34" s="2">
        <f>AM34+AJ34+AG34+AD34+AA34</f>
        <v>21.365287879807465</v>
      </c>
    </row>
    <row r="35" spans="4:43" ht="13.5" customHeight="1" outlineLevel="1" x14ac:dyDescent="0.25">
      <c r="D35" s="85" t="str">
        <f>ProjectedP205_Consumption!D14</f>
        <v>Maize (corn)</v>
      </c>
      <c r="E35" s="106">
        <f>ProjectedP205_Consumption!K14</f>
        <v>14.006991031430896</v>
      </c>
      <c r="F35" s="106">
        <f>ProjectedP205_Consumption!L14</f>
        <v>15.173841730692711</v>
      </c>
      <c r="G35" s="106">
        <f>ProjectedP205_Consumption!M14</f>
        <v>16.437896786786947</v>
      </c>
      <c r="I35" s="81">
        <v>1</v>
      </c>
      <c r="J35" s="81">
        <v>0.7</v>
      </c>
      <c r="K35" s="81">
        <v>0.3</v>
      </c>
      <c r="L35" s="81">
        <v>0</v>
      </c>
      <c r="M35" s="81">
        <f>30%</f>
        <v>0.3</v>
      </c>
      <c r="N35" s="81">
        <v>0.7</v>
      </c>
      <c r="O35" s="81">
        <v>0</v>
      </c>
      <c r="P35" s="81">
        <v>0</v>
      </c>
      <c r="Q35" s="81">
        <v>0</v>
      </c>
      <c r="R35" s="81">
        <v>0</v>
      </c>
      <c r="S35" s="81">
        <v>0</v>
      </c>
      <c r="T35" s="81">
        <v>0</v>
      </c>
      <c r="U35" s="81">
        <v>0</v>
      </c>
      <c r="V35" s="81">
        <v>0</v>
      </c>
      <c r="W35" s="81">
        <v>0</v>
      </c>
      <c r="Y35" s="66">
        <f t="shared" ref="Y35:Y53" si="15">(I35*E35)/$AA$32</f>
        <v>30.449980503110641</v>
      </c>
      <c r="Z35" s="66">
        <f t="shared" ref="Z35:Z53" si="16">(J35*F35)/$AA$32</f>
        <v>23.090628720619339</v>
      </c>
      <c r="AA35" s="66">
        <f t="shared" ref="AA35:AA53" si="17">(K35*G35)/$AA$32</f>
        <v>10.720367469643659</v>
      </c>
      <c r="AB35" s="66">
        <f t="shared" ref="AB35:AB53" si="18">(L35*E35)/$AD$32</f>
        <v>0</v>
      </c>
      <c r="AC35" s="66">
        <f t="shared" ref="AC35:AC53" si="19">(M35*F35)/$AD$32</f>
        <v>9.8959837374082884</v>
      </c>
      <c r="AD35" s="66">
        <f t="shared" ref="AD35:AD53" si="20">(N35*G35)/$AD$32</f>
        <v>25.014190762501872</v>
      </c>
      <c r="AE35" s="66">
        <f t="shared" ref="AE35:AE53" si="21">(O35*E35)/$AG$32</f>
        <v>0</v>
      </c>
      <c r="AF35" s="66">
        <f t="shared" ref="AF35:AF53" si="22">(P35*F35)/$AG$32</f>
        <v>0</v>
      </c>
      <c r="AG35" s="66">
        <f t="shared" ref="AG35:AG53" si="23">(Q35*G35)/$AG$32</f>
        <v>0</v>
      </c>
      <c r="AH35" s="66">
        <f t="shared" ref="AH35:AH53" si="24">(R35*E35)/$AJ$32</f>
        <v>0</v>
      </c>
      <c r="AI35" s="66">
        <f t="shared" ref="AI35:AI53" si="25">(S35*F35)/$AJ$32</f>
        <v>0</v>
      </c>
      <c r="AJ35" s="66">
        <f t="shared" ref="AJ35:AJ53" si="26">(T35*G35)/$AJ$32</f>
        <v>0</v>
      </c>
      <c r="AK35" s="66">
        <f t="shared" ref="AK35:AK53" si="27">(U35*E35)/$AJ$32</f>
        <v>0</v>
      </c>
      <c r="AL35" s="66">
        <f t="shared" ref="AL35:AL53" si="28">(V35*F35)/$AJ$32</f>
        <v>0</v>
      </c>
      <c r="AM35" s="66">
        <f t="shared" ref="AM35:AM53" si="29">(W35*G35)/$AJ$32</f>
        <v>0</v>
      </c>
      <c r="AO35" s="2" t="b">
        <f t="shared" ref="AO35:AO53" si="30">SUM(I35,L35,O35,R35,U35)=100%</f>
        <v>1</v>
      </c>
      <c r="AQ35" s="2">
        <f t="shared" ref="AQ35:AQ54" si="31">AM35+AJ35+AG35+AD35+AA35</f>
        <v>35.734558232145531</v>
      </c>
    </row>
    <row r="36" spans="4:43" ht="13.5" customHeight="1" outlineLevel="1" x14ac:dyDescent="0.25">
      <c r="D36" s="85" t="str">
        <f>ProjectedP205_Consumption!D15</f>
        <v>Yams</v>
      </c>
      <c r="E36" s="106">
        <f>ProjectedP205_Consumption!K15</f>
        <v>4.7208393218953875</v>
      </c>
      <c r="F36" s="106">
        <f>ProjectedP205_Consumption!L15</f>
        <v>5.0090517486889299</v>
      </c>
      <c r="G36" s="106">
        <f>ProjectedP205_Consumption!M15</f>
        <v>5.3148598607609268</v>
      </c>
      <c r="I36" s="81">
        <v>1</v>
      </c>
      <c r="J36" s="81">
        <v>0.7</v>
      </c>
      <c r="K36" s="81">
        <v>0.3</v>
      </c>
      <c r="L36" s="81">
        <v>0</v>
      </c>
      <c r="M36" s="81">
        <f>30%</f>
        <v>0.3</v>
      </c>
      <c r="N36" s="81">
        <v>0.7</v>
      </c>
      <c r="O36" s="81">
        <v>0</v>
      </c>
      <c r="P36" s="81">
        <v>0</v>
      </c>
      <c r="Q36" s="81">
        <v>0</v>
      </c>
      <c r="R36" s="81">
        <v>0</v>
      </c>
      <c r="S36" s="81">
        <v>0</v>
      </c>
      <c r="T36" s="81">
        <v>0</v>
      </c>
      <c r="U36" s="81">
        <v>0</v>
      </c>
      <c r="V36" s="81">
        <v>0</v>
      </c>
      <c r="W36" s="81">
        <v>0</v>
      </c>
      <c r="Y36" s="66">
        <f t="shared" si="15"/>
        <v>10.262694178033451</v>
      </c>
      <c r="Z36" s="66">
        <f t="shared" si="16"/>
        <v>7.6224700523527185</v>
      </c>
      <c r="AA36" s="66">
        <f t="shared" si="17"/>
        <v>3.4662129526701695</v>
      </c>
      <c r="AB36" s="66">
        <f t="shared" si="18"/>
        <v>0</v>
      </c>
      <c r="AC36" s="66">
        <f t="shared" si="19"/>
        <v>3.2667728795797371</v>
      </c>
      <c r="AD36" s="66">
        <f t="shared" si="20"/>
        <v>8.0878302228970611</v>
      </c>
      <c r="AE36" s="66">
        <f t="shared" si="21"/>
        <v>0</v>
      </c>
      <c r="AF36" s="66">
        <f t="shared" si="22"/>
        <v>0</v>
      </c>
      <c r="AG36" s="66">
        <f t="shared" si="23"/>
        <v>0</v>
      </c>
      <c r="AH36" s="66">
        <f t="shared" si="24"/>
        <v>0</v>
      </c>
      <c r="AI36" s="66">
        <f t="shared" si="25"/>
        <v>0</v>
      </c>
      <c r="AJ36" s="66">
        <f t="shared" si="26"/>
        <v>0</v>
      </c>
      <c r="AK36" s="66">
        <f t="shared" si="27"/>
        <v>0</v>
      </c>
      <c r="AL36" s="66">
        <f t="shared" si="28"/>
        <v>0</v>
      </c>
      <c r="AM36" s="66">
        <f t="shared" si="29"/>
        <v>0</v>
      </c>
      <c r="AO36" s="2" t="b">
        <f t="shared" si="30"/>
        <v>1</v>
      </c>
      <c r="AQ36" s="2">
        <f t="shared" si="31"/>
        <v>11.55404317556723</v>
      </c>
    </row>
    <row r="37" spans="4:43" ht="13.5" customHeight="1" outlineLevel="1" x14ac:dyDescent="0.25">
      <c r="D37" s="85" t="str">
        <f>ProjectedP205_Consumption!D16</f>
        <v>Sorghum</v>
      </c>
      <c r="E37" s="106">
        <f>ProjectedP205_Consumption!K16</f>
        <v>11.944440000579672</v>
      </c>
      <c r="F37" s="106">
        <f>ProjectedP205_Consumption!L16</f>
        <v>12.259285556870335</v>
      </c>
      <c r="G37" s="106">
        <f>ProjectedP205_Consumption!M16</f>
        <v>12.582430181540193</v>
      </c>
      <c r="I37" s="81">
        <v>1</v>
      </c>
      <c r="J37" s="81">
        <v>0.7</v>
      </c>
      <c r="K37" s="81">
        <v>0.3</v>
      </c>
      <c r="L37" s="81">
        <v>0</v>
      </c>
      <c r="M37" s="81">
        <f>30%</f>
        <v>0.3</v>
      </c>
      <c r="N37" s="81">
        <v>0.7</v>
      </c>
      <c r="O37" s="81">
        <v>0</v>
      </c>
      <c r="P37" s="81">
        <v>0</v>
      </c>
      <c r="Q37" s="81">
        <v>0</v>
      </c>
      <c r="R37" s="81">
        <v>0</v>
      </c>
      <c r="S37" s="81">
        <v>0</v>
      </c>
      <c r="T37" s="81">
        <v>0</v>
      </c>
      <c r="U37" s="81">
        <v>0</v>
      </c>
      <c r="V37" s="81">
        <v>0</v>
      </c>
      <c r="W37" s="81">
        <v>0</v>
      </c>
      <c r="Y37" s="66">
        <f t="shared" si="15"/>
        <v>25.966173914303631</v>
      </c>
      <c r="Z37" s="66">
        <f t="shared" si="16"/>
        <v>18.655434543063549</v>
      </c>
      <c r="AA37" s="66">
        <f t="shared" si="17"/>
        <v>8.2059327270914295</v>
      </c>
      <c r="AB37" s="66">
        <f t="shared" si="18"/>
        <v>0</v>
      </c>
      <c r="AC37" s="66">
        <f t="shared" si="19"/>
        <v>7.9951862327415215</v>
      </c>
      <c r="AD37" s="66">
        <f t="shared" si="20"/>
        <v>19.147176363213337</v>
      </c>
      <c r="AE37" s="66">
        <f t="shared" si="21"/>
        <v>0</v>
      </c>
      <c r="AF37" s="66">
        <f t="shared" si="22"/>
        <v>0</v>
      </c>
      <c r="AG37" s="66">
        <f t="shared" si="23"/>
        <v>0</v>
      </c>
      <c r="AH37" s="66">
        <f t="shared" si="24"/>
        <v>0</v>
      </c>
      <c r="AI37" s="66">
        <f t="shared" si="25"/>
        <v>0</v>
      </c>
      <c r="AJ37" s="66">
        <f t="shared" si="26"/>
        <v>0</v>
      </c>
      <c r="AK37" s="66">
        <f t="shared" si="27"/>
        <v>0</v>
      </c>
      <c r="AL37" s="66">
        <f t="shared" si="28"/>
        <v>0</v>
      </c>
      <c r="AM37" s="66">
        <f t="shared" si="29"/>
        <v>0</v>
      </c>
      <c r="AO37" s="2" t="b">
        <f t="shared" si="30"/>
        <v>1</v>
      </c>
      <c r="AQ37" s="2">
        <f t="shared" si="31"/>
        <v>27.353109090304766</v>
      </c>
    </row>
    <row r="38" spans="4:43" ht="13.5" customHeight="1" outlineLevel="1" x14ac:dyDescent="0.25">
      <c r="D38" s="85" t="str">
        <f>ProjectedP205_Consumption!D17</f>
        <v>Cow peas, dry</v>
      </c>
      <c r="E38" s="106">
        <f>ProjectedP205_Consumption!K17</f>
        <v>8.2687488959315392</v>
      </c>
      <c r="F38" s="106">
        <f>ProjectedP205_Consumption!L17</f>
        <v>8.3974235051924353</v>
      </c>
      <c r="G38" s="106">
        <f>ProjectedP205_Consumption!M17</f>
        <v>8.5281004917508909</v>
      </c>
      <c r="I38" s="81">
        <v>1</v>
      </c>
      <c r="J38" s="81">
        <v>0.7</v>
      </c>
      <c r="K38" s="81">
        <v>0.3</v>
      </c>
      <c r="L38" s="81">
        <v>0</v>
      </c>
      <c r="M38" s="81">
        <v>0.2</v>
      </c>
      <c r="N38" s="81">
        <v>0.5</v>
      </c>
      <c r="O38" s="81">
        <v>0</v>
      </c>
      <c r="P38" s="81">
        <v>0.1</v>
      </c>
      <c r="Q38" s="81">
        <v>0.2</v>
      </c>
      <c r="R38" s="81">
        <v>0</v>
      </c>
      <c r="S38" s="81">
        <v>0</v>
      </c>
      <c r="T38" s="81">
        <v>0</v>
      </c>
      <c r="U38" s="81">
        <v>0</v>
      </c>
      <c r="V38" s="81">
        <v>0</v>
      </c>
      <c r="W38" s="81">
        <v>0</v>
      </c>
      <c r="Y38" s="66">
        <f t="shared" si="15"/>
        <v>17.975541078112041</v>
      </c>
      <c r="Z38" s="66">
        <f t="shared" si="16"/>
        <v>12.778687942684138</v>
      </c>
      <c r="AA38" s="66">
        <f t="shared" si="17"/>
        <v>5.5618046685331892</v>
      </c>
      <c r="AB38" s="66">
        <f t="shared" si="18"/>
        <v>0</v>
      </c>
      <c r="AC38" s="66">
        <f t="shared" si="19"/>
        <v>3.6510536979097545</v>
      </c>
      <c r="AD38" s="66">
        <f t="shared" si="20"/>
        <v>9.2696744475553157</v>
      </c>
      <c r="AE38" s="66">
        <f t="shared" si="21"/>
        <v>0</v>
      </c>
      <c r="AF38" s="66">
        <f t="shared" si="22"/>
        <v>1.8255268489548773</v>
      </c>
      <c r="AG38" s="66">
        <f t="shared" si="23"/>
        <v>3.7078697790221269</v>
      </c>
      <c r="AH38" s="66">
        <f t="shared" si="24"/>
        <v>0</v>
      </c>
      <c r="AI38" s="66">
        <f t="shared" si="25"/>
        <v>0</v>
      </c>
      <c r="AJ38" s="66">
        <f t="shared" si="26"/>
        <v>0</v>
      </c>
      <c r="AK38" s="66">
        <f t="shared" si="27"/>
        <v>0</v>
      </c>
      <c r="AL38" s="66">
        <f t="shared" si="28"/>
        <v>0</v>
      </c>
      <c r="AM38" s="66">
        <f t="shared" si="29"/>
        <v>0</v>
      </c>
      <c r="AO38" s="2" t="b">
        <f t="shared" si="30"/>
        <v>1</v>
      </c>
      <c r="AQ38" s="2">
        <f t="shared" si="31"/>
        <v>18.539348895110631</v>
      </c>
    </row>
    <row r="39" spans="4:43" ht="13.5" customHeight="1" outlineLevel="1" x14ac:dyDescent="0.25">
      <c r="D39" s="85" t="str">
        <f>ProjectedP205_Consumption!D18</f>
        <v>Rice</v>
      </c>
      <c r="E39" s="106">
        <f>ProjectedP205_Consumption!K18</f>
        <v>7.2037621374862661</v>
      </c>
      <c r="F39" s="106">
        <f>ProjectedP205_Consumption!L18</f>
        <v>7.8038706739006658</v>
      </c>
      <c r="G39" s="106">
        <f>ProjectedP205_Consumption!M18</f>
        <v>8.4539711795950367</v>
      </c>
      <c r="I39" s="81">
        <v>1</v>
      </c>
      <c r="J39" s="81">
        <v>0.7</v>
      </c>
      <c r="K39" s="81">
        <v>0.3</v>
      </c>
      <c r="L39" s="81">
        <v>0</v>
      </c>
      <c r="M39" s="81">
        <v>0.2</v>
      </c>
      <c r="N39" s="81">
        <v>0.5</v>
      </c>
      <c r="O39" s="81">
        <v>0</v>
      </c>
      <c r="P39" s="81">
        <v>0.1</v>
      </c>
      <c r="Q39" s="81">
        <v>0.2</v>
      </c>
      <c r="R39" s="81">
        <v>0</v>
      </c>
      <c r="S39" s="81">
        <v>0</v>
      </c>
      <c r="T39" s="81">
        <v>0</v>
      </c>
      <c r="U39" s="81">
        <v>0</v>
      </c>
      <c r="V39" s="81">
        <v>0</v>
      </c>
      <c r="W39" s="81">
        <v>0</v>
      </c>
      <c r="Y39" s="66">
        <f t="shared" si="15"/>
        <v>15.66035247279623</v>
      </c>
      <c r="Z39" s="66">
        <f t="shared" si="16"/>
        <v>11.875455373327098</v>
      </c>
      <c r="AA39" s="66">
        <f t="shared" si="17"/>
        <v>5.5134594649532849</v>
      </c>
      <c r="AB39" s="66">
        <f t="shared" si="18"/>
        <v>0</v>
      </c>
      <c r="AC39" s="66">
        <f t="shared" si="19"/>
        <v>3.3929872495220286</v>
      </c>
      <c r="AD39" s="66">
        <f t="shared" si="20"/>
        <v>9.1890991082554745</v>
      </c>
      <c r="AE39" s="66">
        <f t="shared" si="21"/>
        <v>0</v>
      </c>
      <c r="AF39" s="66">
        <f t="shared" si="22"/>
        <v>1.6964936247610143</v>
      </c>
      <c r="AG39" s="66">
        <f t="shared" si="23"/>
        <v>3.6756396433021896</v>
      </c>
      <c r="AH39" s="66">
        <f t="shared" si="24"/>
        <v>0</v>
      </c>
      <c r="AI39" s="66">
        <f t="shared" si="25"/>
        <v>0</v>
      </c>
      <c r="AJ39" s="66">
        <f t="shared" si="26"/>
        <v>0</v>
      </c>
      <c r="AK39" s="66">
        <f t="shared" si="27"/>
        <v>0</v>
      </c>
      <c r="AL39" s="66">
        <f t="shared" si="28"/>
        <v>0</v>
      </c>
      <c r="AM39" s="66">
        <f t="shared" si="29"/>
        <v>0</v>
      </c>
      <c r="AO39" s="2" t="b">
        <f t="shared" si="30"/>
        <v>1</v>
      </c>
      <c r="AQ39" s="2">
        <f t="shared" si="31"/>
        <v>18.378198216510949</v>
      </c>
    </row>
    <row r="40" spans="4:43" ht="13.5" customHeight="1" x14ac:dyDescent="0.25">
      <c r="D40" s="85" t="str">
        <f>ProjectedP205_Consumption!D19</f>
        <v>Groundnuts, excluding shelled</v>
      </c>
      <c r="E40" s="106">
        <f>ProjectedP205_Consumption!K19</f>
        <v>9.8577818502408636</v>
      </c>
      <c r="F40" s="106">
        <f>ProjectedP205_Consumption!L19</f>
        <v>10.617303916983715</v>
      </c>
      <c r="G40" s="106">
        <f>ProjectedP205_Consumption!M19</f>
        <v>11.435345616097541</v>
      </c>
      <c r="I40" s="81">
        <v>1</v>
      </c>
      <c r="J40" s="81">
        <v>0.7</v>
      </c>
      <c r="K40" s="81">
        <v>0.3</v>
      </c>
      <c r="L40" s="81">
        <v>0</v>
      </c>
      <c r="M40" s="81">
        <v>0.2</v>
      </c>
      <c r="N40" s="81">
        <v>0.5</v>
      </c>
      <c r="O40" s="81">
        <v>0</v>
      </c>
      <c r="P40" s="81">
        <v>0.1</v>
      </c>
      <c r="Q40" s="81">
        <v>0.2</v>
      </c>
      <c r="R40" s="81">
        <v>0</v>
      </c>
      <c r="S40" s="81">
        <v>0</v>
      </c>
      <c r="T40" s="81">
        <v>0</v>
      </c>
      <c r="U40" s="81">
        <v>0</v>
      </c>
      <c r="V40" s="81">
        <v>0</v>
      </c>
      <c r="W40" s="81">
        <v>0</v>
      </c>
      <c r="Y40" s="66">
        <f t="shared" si="15"/>
        <v>21.429960544001876</v>
      </c>
      <c r="Z40" s="66">
        <f t="shared" si="16"/>
        <v>16.156766830192609</v>
      </c>
      <c r="AA40" s="66">
        <f t="shared" si="17"/>
        <v>7.457834097454918</v>
      </c>
      <c r="AB40" s="66">
        <f t="shared" si="18"/>
        <v>0</v>
      </c>
      <c r="AC40" s="66">
        <f t="shared" si="19"/>
        <v>4.616219094340746</v>
      </c>
      <c r="AD40" s="66">
        <f t="shared" si="20"/>
        <v>12.429723495758196</v>
      </c>
      <c r="AE40" s="66">
        <f t="shared" si="21"/>
        <v>0</v>
      </c>
      <c r="AF40" s="66">
        <f t="shared" si="22"/>
        <v>2.308109547170373</v>
      </c>
      <c r="AG40" s="66">
        <f t="shared" si="23"/>
        <v>4.9718893983032784</v>
      </c>
      <c r="AH40" s="66">
        <f t="shared" si="24"/>
        <v>0</v>
      </c>
      <c r="AI40" s="66">
        <f t="shared" si="25"/>
        <v>0</v>
      </c>
      <c r="AJ40" s="66">
        <f t="shared" si="26"/>
        <v>0</v>
      </c>
      <c r="AK40" s="66">
        <f t="shared" si="27"/>
        <v>0</v>
      </c>
      <c r="AL40" s="66">
        <f t="shared" si="28"/>
        <v>0</v>
      </c>
      <c r="AM40" s="66">
        <f t="shared" si="29"/>
        <v>0</v>
      </c>
      <c r="AO40" s="2" t="b">
        <f t="shared" si="30"/>
        <v>1</v>
      </c>
      <c r="AQ40" s="2">
        <f t="shared" si="31"/>
        <v>24.859446991516393</v>
      </c>
    </row>
    <row r="41" spans="4:43" ht="13.5" customHeight="1" x14ac:dyDescent="0.25">
      <c r="D41" s="85" t="str">
        <f>ProjectedP205_Consumption!D20</f>
        <v>Oil palm fruit</v>
      </c>
      <c r="E41" s="106">
        <f>ProjectedP205_Consumption!K20</f>
        <v>6.2769876952291321</v>
      </c>
      <c r="F41" s="106">
        <f>ProjectedP205_Consumption!L20</f>
        <v>6.6483583688616052</v>
      </c>
      <c r="G41" s="106">
        <f>ProjectedP205_Consumption!M20</f>
        <v>7.0417007563049996</v>
      </c>
      <c r="I41" s="81">
        <v>1</v>
      </c>
      <c r="J41" s="81">
        <v>0.7</v>
      </c>
      <c r="K41" s="81">
        <v>0.3</v>
      </c>
      <c r="L41" s="81">
        <v>0</v>
      </c>
      <c r="M41" s="81">
        <f>30%</f>
        <v>0.3</v>
      </c>
      <c r="N41" s="81">
        <v>0.7</v>
      </c>
      <c r="O41" s="81">
        <v>0</v>
      </c>
      <c r="P41" s="81">
        <v>0</v>
      </c>
      <c r="Q41" s="81">
        <v>0</v>
      </c>
      <c r="R41" s="81">
        <v>0</v>
      </c>
      <c r="S41" s="81">
        <v>0</v>
      </c>
      <c r="T41" s="81">
        <v>0</v>
      </c>
      <c r="U41" s="81">
        <v>0</v>
      </c>
      <c r="V41" s="81">
        <v>0</v>
      </c>
      <c r="W41" s="81">
        <v>0</v>
      </c>
      <c r="Y41" s="66">
        <f t="shared" si="15"/>
        <v>13.645625424411156</v>
      </c>
      <c r="Z41" s="66">
        <f t="shared" si="16"/>
        <v>10.117067083050268</v>
      </c>
      <c r="AA41" s="66">
        <f t="shared" si="17"/>
        <v>4.5924135367206516</v>
      </c>
      <c r="AB41" s="66">
        <f t="shared" si="18"/>
        <v>0</v>
      </c>
      <c r="AC41" s="66">
        <f t="shared" si="19"/>
        <v>4.3358858927358295</v>
      </c>
      <c r="AD41" s="66">
        <f t="shared" si="20"/>
        <v>10.715631585681519</v>
      </c>
      <c r="AE41" s="66">
        <f t="shared" si="21"/>
        <v>0</v>
      </c>
      <c r="AF41" s="66">
        <f t="shared" si="22"/>
        <v>0</v>
      </c>
      <c r="AG41" s="66">
        <f t="shared" si="23"/>
        <v>0</v>
      </c>
      <c r="AH41" s="66">
        <f t="shared" si="24"/>
        <v>0</v>
      </c>
      <c r="AI41" s="66">
        <f t="shared" si="25"/>
        <v>0</v>
      </c>
      <c r="AJ41" s="66">
        <f t="shared" si="26"/>
        <v>0</v>
      </c>
      <c r="AK41" s="66">
        <f t="shared" si="27"/>
        <v>0</v>
      </c>
      <c r="AL41" s="66">
        <f t="shared" si="28"/>
        <v>0</v>
      </c>
      <c r="AM41" s="66">
        <f t="shared" si="29"/>
        <v>0</v>
      </c>
      <c r="AO41" s="2" t="b">
        <f t="shared" si="30"/>
        <v>1</v>
      </c>
      <c r="AQ41" s="2">
        <f t="shared" si="31"/>
        <v>15.30804512240217</v>
      </c>
    </row>
    <row r="42" spans="4:43" ht="13.5" customHeight="1" x14ac:dyDescent="0.25">
      <c r="D42" s="85" t="str">
        <f>ProjectedP205_Consumption!D21</f>
        <v>Millet</v>
      </c>
      <c r="E42" s="106">
        <f>ProjectedP205_Consumption!K21</f>
        <v>4.1450591833394084</v>
      </c>
      <c r="F42" s="106">
        <f>ProjectedP205_Consumption!L21</f>
        <v>4.3906351184526748</v>
      </c>
      <c r="G42" s="106">
        <f>ProjectedP205_Consumption!M21</f>
        <v>4.6507603126330128</v>
      </c>
      <c r="I42" s="81">
        <v>1</v>
      </c>
      <c r="J42" s="81">
        <v>0.7</v>
      </c>
      <c r="K42" s="81">
        <v>0.3</v>
      </c>
      <c r="L42" s="81">
        <v>0</v>
      </c>
      <c r="M42" s="81">
        <f>30%</f>
        <v>0.3</v>
      </c>
      <c r="N42" s="81">
        <v>0.7</v>
      </c>
      <c r="O42" s="81">
        <v>0</v>
      </c>
      <c r="P42" s="81">
        <v>0</v>
      </c>
      <c r="Q42" s="81">
        <v>0</v>
      </c>
      <c r="R42" s="81">
        <v>0</v>
      </c>
      <c r="S42" s="81">
        <v>0</v>
      </c>
      <c r="T42" s="81">
        <v>0</v>
      </c>
      <c r="U42" s="81">
        <v>0</v>
      </c>
      <c r="V42" s="81">
        <v>0</v>
      </c>
      <c r="W42" s="81">
        <v>0</v>
      </c>
      <c r="Y42" s="66">
        <f t="shared" si="15"/>
        <v>9.0109982246508871</v>
      </c>
      <c r="Z42" s="66">
        <f t="shared" si="16"/>
        <v>6.6814012672105916</v>
      </c>
      <c r="AA42" s="66">
        <f t="shared" si="17"/>
        <v>3.033104551717182</v>
      </c>
      <c r="AB42" s="66">
        <f t="shared" si="18"/>
        <v>0</v>
      </c>
      <c r="AC42" s="66">
        <f t="shared" si="19"/>
        <v>2.8634576859473966</v>
      </c>
      <c r="AD42" s="66">
        <f t="shared" si="20"/>
        <v>7.0772439540067573</v>
      </c>
      <c r="AE42" s="66">
        <f t="shared" si="21"/>
        <v>0</v>
      </c>
      <c r="AF42" s="66">
        <f t="shared" si="22"/>
        <v>0</v>
      </c>
      <c r="AG42" s="66">
        <f t="shared" si="23"/>
        <v>0</v>
      </c>
      <c r="AH42" s="66">
        <f t="shared" si="24"/>
        <v>0</v>
      </c>
      <c r="AI42" s="66">
        <f t="shared" si="25"/>
        <v>0</v>
      </c>
      <c r="AJ42" s="66">
        <f t="shared" si="26"/>
        <v>0</v>
      </c>
      <c r="AK42" s="66">
        <f t="shared" si="27"/>
        <v>0</v>
      </c>
      <c r="AL42" s="66">
        <f t="shared" si="28"/>
        <v>0</v>
      </c>
      <c r="AM42" s="66">
        <f t="shared" si="29"/>
        <v>0</v>
      </c>
      <c r="AO42" s="2" t="b">
        <f t="shared" si="30"/>
        <v>1</v>
      </c>
      <c r="AQ42" s="2">
        <f t="shared" si="31"/>
        <v>10.110348505723939</v>
      </c>
    </row>
    <row r="43" spans="4:43" ht="13.5" customHeight="1" x14ac:dyDescent="0.25">
      <c r="D43" s="85" t="str">
        <f>ProjectedP205_Consumption!D22</f>
        <v>Sweet potatoes</v>
      </c>
      <c r="E43" s="106">
        <f>ProjectedP205_Consumption!K22</f>
        <v>1.1409642208917856</v>
      </c>
      <c r="F43" s="106">
        <f>ProjectedP205_Consumption!L22</f>
        <v>1.1765051020255048</v>
      </c>
      <c r="G43" s="106">
        <f>ProjectedP205_Consumption!M22</f>
        <v>1.2131530767986498</v>
      </c>
      <c r="I43" s="81">
        <v>1</v>
      </c>
      <c r="J43" s="81">
        <v>0.7</v>
      </c>
      <c r="K43" s="81">
        <v>0.3</v>
      </c>
      <c r="L43" s="81">
        <v>0</v>
      </c>
      <c r="M43" s="81">
        <f>30%</f>
        <v>0.3</v>
      </c>
      <c r="N43" s="81">
        <v>0.7</v>
      </c>
      <c r="O43" s="81">
        <v>0</v>
      </c>
      <c r="P43" s="81">
        <v>0</v>
      </c>
      <c r="Q43" s="81">
        <v>0</v>
      </c>
      <c r="R43" s="81">
        <v>0</v>
      </c>
      <c r="S43" s="81">
        <v>0</v>
      </c>
      <c r="T43" s="81">
        <v>0</v>
      </c>
      <c r="U43" s="81">
        <v>0</v>
      </c>
      <c r="V43" s="81">
        <v>0</v>
      </c>
      <c r="W43" s="81">
        <v>0</v>
      </c>
      <c r="Y43" s="66">
        <f t="shared" si="15"/>
        <v>2.4803570019386645</v>
      </c>
      <c r="Z43" s="66">
        <f t="shared" si="16"/>
        <v>1.7903338509083768</v>
      </c>
      <c r="AA43" s="66">
        <f t="shared" si="17"/>
        <v>0.79118678921651076</v>
      </c>
      <c r="AB43" s="66">
        <f t="shared" si="18"/>
        <v>0</v>
      </c>
      <c r="AC43" s="66">
        <f t="shared" si="19"/>
        <v>0.76728593610359008</v>
      </c>
      <c r="AD43" s="66">
        <f t="shared" si="20"/>
        <v>1.8461025081718583</v>
      </c>
      <c r="AE43" s="66">
        <f t="shared" si="21"/>
        <v>0</v>
      </c>
      <c r="AF43" s="66">
        <f t="shared" si="22"/>
        <v>0</v>
      </c>
      <c r="AG43" s="66">
        <f t="shared" si="23"/>
        <v>0</v>
      </c>
      <c r="AH43" s="66">
        <f t="shared" si="24"/>
        <v>0</v>
      </c>
      <c r="AI43" s="66">
        <f t="shared" si="25"/>
        <v>0</v>
      </c>
      <c r="AJ43" s="66">
        <f t="shared" si="26"/>
        <v>0</v>
      </c>
      <c r="AK43" s="66">
        <f t="shared" si="27"/>
        <v>0</v>
      </c>
      <c r="AL43" s="66">
        <f t="shared" si="28"/>
        <v>0</v>
      </c>
      <c r="AM43" s="66">
        <f t="shared" si="29"/>
        <v>0</v>
      </c>
      <c r="AO43" s="2" t="b">
        <f t="shared" si="30"/>
        <v>1</v>
      </c>
      <c r="AQ43" s="2">
        <f t="shared" si="31"/>
        <v>2.637289297388369</v>
      </c>
    </row>
    <row r="44" spans="4:43" ht="13.5" customHeight="1" outlineLevel="1" x14ac:dyDescent="0.25">
      <c r="D44" s="85" t="str">
        <f>ProjectedP205_Consumption!D23</f>
        <v>Okra</v>
      </c>
      <c r="E44" s="106">
        <f>ProjectedP205_Consumption!K23</f>
        <v>2.4269661187709319</v>
      </c>
      <c r="F44" s="106">
        <f>ProjectedP205_Consumption!L23</f>
        <v>2.5928356035613676</v>
      </c>
      <c r="G44" s="106">
        <f>ProjectedP205_Consumption!M23</f>
        <v>2.7700413347756201</v>
      </c>
      <c r="I44" s="81">
        <v>1</v>
      </c>
      <c r="J44" s="81">
        <v>0.7</v>
      </c>
      <c r="K44" s="81">
        <v>0.3</v>
      </c>
      <c r="L44" s="81">
        <v>0</v>
      </c>
      <c r="M44" s="81">
        <f>30%</f>
        <v>0.3</v>
      </c>
      <c r="N44" s="81">
        <v>0.7</v>
      </c>
      <c r="O44" s="81">
        <v>0</v>
      </c>
      <c r="P44" s="81">
        <v>0</v>
      </c>
      <c r="Q44" s="81">
        <v>0</v>
      </c>
      <c r="R44" s="81">
        <v>0</v>
      </c>
      <c r="S44" s="81">
        <v>0</v>
      </c>
      <c r="T44" s="81">
        <v>0</v>
      </c>
      <c r="U44" s="81">
        <v>0</v>
      </c>
      <c r="V44" s="81">
        <v>0</v>
      </c>
      <c r="W44" s="81">
        <v>0</v>
      </c>
      <c r="Y44" s="66">
        <f t="shared" si="15"/>
        <v>5.2760133016759392</v>
      </c>
      <c r="Z44" s="66">
        <f t="shared" si="16"/>
        <v>3.9456193967238193</v>
      </c>
      <c r="AA44" s="66">
        <f t="shared" si="17"/>
        <v>1.8065486965927955</v>
      </c>
      <c r="AB44" s="66">
        <f t="shared" si="18"/>
        <v>0</v>
      </c>
      <c r="AC44" s="66">
        <f t="shared" si="19"/>
        <v>1.6909797414530656</v>
      </c>
      <c r="AD44" s="66">
        <f t="shared" si="20"/>
        <v>4.2152802920498562</v>
      </c>
      <c r="AE44" s="66">
        <f t="shared" si="21"/>
        <v>0</v>
      </c>
      <c r="AF44" s="66">
        <f t="shared" si="22"/>
        <v>0</v>
      </c>
      <c r="AG44" s="66">
        <f t="shared" si="23"/>
        <v>0</v>
      </c>
      <c r="AH44" s="66">
        <f t="shared" si="24"/>
        <v>0</v>
      </c>
      <c r="AI44" s="66">
        <f t="shared" si="25"/>
        <v>0</v>
      </c>
      <c r="AJ44" s="66">
        <f t="shared" si="26"/>
        <v>0</v>
      </c>
      <c r="AK44" s="66">
        <f t="shared" si="27"/>
        <v>0</v>
      </c>
      <c r="AL44" s="66">
        <f t="shared" si="28"/>
        <v>0</v>
      </c>
      <c r="AM44" s="66">
        <f t="shared" si="29"/>
        <v>0</v>
      </c>
      <c r="AO44" s="2" t="b">
        <f t="shared" si="30"/>
        <v>1</v>
      </c>
      <c r="AQ44" s="2">
        <f t="shared" si="31"/>
        <v>6.0218289886426515</v>
      </c>
    </row>
    <row r="45" spans="4:43" ht="13.5" customHeight="1" outlineLevel="1" x14ac:dyDescent="0.25">
      <c r="D45" s="85" t="str">
        <f>ProjectedP205_Consumption!D24</f>
        <v>Soya beans</v>
      </c>
      <c r="E45" s="106">
        <f>ProjectedP205_Consumption!K24</f>
        <v>1.8662423492639004</v>
      </c>
      <c r="F45" s="106">
        <f>ProjectedP205_Consumption!L24</f>
        <v>1.8983008899597782</v>
      </c>
      <c r="G45" s="106">
        <f>ProjectedP205_Consumption!M24</f>
        <v>1.9309101362121739</v>
      </c>
      <c r="I45" s="81">
        <v>1</v>
      </c>
      <c r="J45" s="81">
        <v>0.7</v>
      </c>
      <c r="K45" s="81">
        <v>0.3</v>
      </c>
      <c r="L45" s="81">
        <v>0</v>
      </c>
      <c r="M45" s="81">
        <f>30%</f>
        <v>0.3</v>
      </c>
      <c r="N45" s="81">
        <v>0.7</v>
      </c>
      <c r="O45" s="81">
        <v>0</v>
      </c>
      <c r="P45" s="81">
        <v>0</v>
      </c>
      <c r="Q45" s="81">
        <v>0</v>
      </c>
      <c r="R45" s="81">
        <v>0</v>
      </c>
      <c r="S45" s="81">
        <v>0</v>
      </c>
      <c r="T45" s="81">
        <v>0</v>
      </c>
      <c r="U45" s="81">
        <v>0</v>
      </c>
      <c r="V45" s="81">
        <v>0</v>
      </c>
      <c r="W45" s="81">
        <v>0</v>
      </c>
      <c r="Y45" s="66">
        <f t="shared" si="15"/>
        <v>4.0570485853563047</v>
      </c>
      <c r="Z45" s="66">
        <f t="shared" si="16"/>
        <v>2.8887187455909662</v>
      </c>
      <c r="AA45" s="66">
        <f t="shared" si="17"/>
        <v>1.259289219268809</v>
      </c>
      <c r="AB45" s="66">
        <f t="shared" si="18"/>
        <v>0</v>
      </c>
      <c r="AC45" s="66">
        <f t="shared" si="19"/>
        <v>1.2380223195389857</v>
      </c>
      <c r="AD45" s="66">
        <f t="shared" si="20"/>
        <v>2.9383415116272209</v>
      </c>
      <c r="AE45" s="66">
        <f t="shared" si="21"/>
        <v>0</v>
      </c>
      <c r="AF45" s="66">
        <f t="shared" si="22"/>
        <v>0</v>
      </c>
      <c r="AG45" s="66">
        <f t="shared" si="23"/>
        <v>0</v>
      </c>
      <c r="AH45" s="66">
        <f t="shared" si="24"/>
        <v>0</v>
      </c>
      <c r="AI45" s="66">
        <f t="shared" si="25"/>
        <v>0</v>
      </c>
      <c r="AJ45" s="66">
        <f t="shared" si="26"/>
        <v>0</v>
      </c>
      <c r="AK45" s="66">
        <f t="shared" si="27"/>
        <v>0</v>
      </c>
      <c r="AL45" s="66">
        <f t="shared" si="28"/>
        <v>0</v>
      </c>
      <c r="AM45" s="66">
        <f t="shared" si="29"/>
        <v>0</v>
      </c>
      <c r="AO45" s="2" t="b">
        <f t="shared" si="30"/>
        <v>1</v>
      </c>
      <c r="AQ45" s="2">
        <f t="shared" si="31"/>
        <v>4.1976307308960301</v>
      </c>
    </row>
    <row r="46" spans="4:43" ht="13.5" customHeight="1" outlineLevel="1" x14ac:dyDescent="0.25">
      <c r="D46" s="85" t="str">
        <f>ProjectedP205_Consumption!D25</f>
        <v>Cocoa beans</v>
      </c>
      <c r="E46" s="106">
        <f>ProjectedP205_Consumption!K25</f>
        <v>1.7372919243066482</v>
      </c>
      <c r="F46" s="106">
        <f>ProjectedP205_Consumption!L25</f>
        <v>1.8695173608653346</v>
      </c>
      <c r="G46" s="106">
        <f>ProjectedP205_Consumption!M25</f>
        <v>2.011806486679995</v>
      </c>
      <c r="I46" s="81">
        <v>1</v>
      </c>
      <c r="J46" s="81">
        <v>0.7</v>
      </c>
      <c r="K46" s="81">
        <v>0.3</v>
      </c>
      <c r="L46" s="81">
        <v>0</v>
      </c>
      <c r="M46" s="81">
        <f>30%</f>
        <v>0.3</v>
      </c>
      <c r="N46" s="81">
        <v>0.7</v>
      </c>
      <c r="O46" s="81">
        <v>0</v>
      </c>
      <c r="P46" s="81">
        <v>0</v>
      </c>
      <c r="Q46" s="81">
        <v>0</v>
      </c>
      <c r="R46" s="81">
        <v>0</v>
      </c>
      <c r="S46" s="81">
        <v>0</v>
      </c>
      <c r="T46" s="81">
        <v>0</v>
      </c>
      <c r="U46" s="81">
        <v>0</v>
      </c>
      <c r="V46" s="81">
        <v>0</v>
      </c>
      <c r="W46" s="81">
        <v>0</v>
      </c>
      <c r="Y46" s="66">
        <f t="shared" si="15"/>
        <v>3.7767215745796698</v>
      </c>
      <c r="Z46" s="66">
        <f t="shared" si="16"/>
        <v>2.8449177230559433</v>
      </c>
      <c r="AA46" s="66">
        <f t="shared" si="17"/>
        <v>1.3120477087043445</v>
      </c>
      <c r="AB46" s="66">
        <f t="shared" si="18"/>
        <v>0</v>
      </c>
      <c r="AC46" s="66">
        <f t="shared" si="19"/>
        <v>1.2192504527382615</v>
      </c>
      <c r="AD46" s="66">
        <f t="shared" si="20"/>
        <v>3.0614446536434703</v>
      </c>
      <c r="AE46" s="66">
        <f t="shared" si="21"/>
        <v>0</v>
      </c>
      <c r="AF46" s="66">
        <f t="shared" si="22"/>
        <v>0</v>
      </c>
      <c r="AG46" s="66">
        <f t="shared" si="23"/>
        <v>0</v>
      </c>
      <c r="AH46" s="66">
        <f t="shared" si="24"/>
        <v>0</v>
      </c>
      <c r="AI46" s="66">
        <f t="shared" si="25"/>
        <v>0</v>
      </c>
      <c r="AJ46" s="66">
        <f t="shared" si="26"/>
        <v>0</v>
      </c>
      <c r="AK46" s="66">
        <f t="shared" si="27"/>
        <v>0</v>
      </c>
      <c r="AL46" s="66">
        <f t="shared" si="28"/>
        <v>0</v>
      </c>
      <c r="AM46" s="66">
        <f t="shared" si="29"/>
        <v>0</v>
      </c>
      <c r="AO46" s="2" t="b">
        <f t="shared" si="30"/>
        <v>1</v>
      </c>
      <c r="AQ46" s="2">
        <f t="shared" si="31"/>
        <v>4.3734923623478146</v>
      </c>
    </row>
    <row r="47" spans="4:43" ht="13.5" customHeight="1" outlineLevel="1" x14ac:dyDescent="0.25">
      <c r="D47" s="85" t="str">
        <f>ProjectedP205_Consumption!D26</f>
        <v>Melonseed</v>
      </c>
      <c r="E47" s="106">
        <f>ProjectedP205_Consumption!K26</f>
        <v>1.3559247771648448</v>
      </c>
      <c r="F47" s="106">
        <f>ProjectedP205_Consumption!L26</f>
        <v>1.3844672956287998</v>
      </c>
      <c r="G47" s="106">
        <f>ProjectedP205_Consumption!M26</f>
        <v>1.4136106404615809</v>
      </c>
      <c r="I47" s="81">
        <v>1</v>
      </c>
      <c r="J47" s="81">
        <v>0.7</v>
      </c>
      <c r="K47" s="81">
        <v>0.3</v>
      </c>
      <c r="L47" s="81">
        <v>0</v>
      </c>
      <c r="M47" s="81">
        <f>30%</f>
        <v>0.3</v>
      </c>
      <c r="N47" s="81">
        <v>0.7</v>
      </c>
      <c r="O47" s="81">
        <v>0</v>
      </c>
      <c r="P47" s="81">
        <v>0</v>
      </c>
      <c r="Q47" s="81">
        <v>0</v>
      </c>
      <c r="R47" s="81">
        <v>0</v>
      </c>
      <c r="S47" s="81">
        <v>0</v>
      </c>
      <c r="T47" s="81">
        <v>0</v>
      </c>
      <c r="U47" s="81">
        <v>0</v>
      </c>
      <c r="V47" s="81">
        <v>0</v>
      </c>
      <c r="W47" s="81">
        <v>0</v>
      </c>
      <c r="Y47" s="66">
        <f t="shared" si="15"/>
        <v>2.9476625590540104</v>
      </c>
      <c r="Z47" s="66">
        <f t="shared" si="16"/>
        <v>2.1067980585655648</v>
      </c>
      <c r="AA47" s="66">
        <f t="shared" si="17"/>
        <v>0.92191998290972665</v>
      </c>
      <c r="AB47" s="66">
        <f t="shared" si="18"/>
        <v>0</v>
      </c>
      <c r="AC47" s="66">
        <f t="shared" si="19"/>
        <v>0.90291345367095632</v>
      </c>
      <c r="AD47" s="66">
        <f t="shared" si="20"/>
        <v>2.151146626789362</v>
      </c>
      <c r="AE47" s="66">
        <f t="shared" si="21"/>
        <v>0</v>
      </c>
      <c r="AF47" s="66">
        <f t="shared" si="22"/>
        <v>0</v>
      </c>
      <c r="AG47" s="66">
        <f t="shared" si="23"/>
        <v>0</v>
      </c>
      <c r="AH47" s="66">
        <f t="shared" si="24"/>
        <v>0</v>
      </c>
      <c r="AI47" s="66">
        <f t="shared" si="25"/>
        <v>0</v>
      </c>
      <c r="AJ47" s="66">
        <f t="shared" si="26"/>
        <v>0</v>
      </c>
      <c r="AK47" s="66">
        <f t="shared" si="27"/>
        <v>0</v>
      </c>
      <c r="AL47" s="66">
        <f t="shared" si="28"/>
        <v>0</v>
      </c>
      <c r="AM47" s="66">
        <f t="shared" si="29"/>
        <v>0</v>
      </c>
      <c r="AO47" s="2" t="b">
        <f t="shared" si="30"/>
        <v>1</v>
      </c>
      <c r="AQ47" s="2">
        <f t="shared" si="31"/>
        <v>3.0730666096990884</v>
      </c>
    </row>
    <row r="48" spans="4:43" ht="13.5" customHeight="1" outlineLevel="1" x14ac:dyDescent="0.25">
      <c r="D48" s="85" t="str">
        <f>ProjectedP205_Consumption!D27</f>
        <v>Other citrus fruit, n.e.c.</v>
      </c>
      <c r="E48" s="106">
        <f>ProjectedP205_Consumption!K27</f>
        <v>1.3041780336792523</v>
      </c>
      <c r="F48" s="106">
        <f>ProjectedP205_Consumption!L27</f>
        <v>1.3557716255231873</v>
      </c>
      <c r="G48" s="106">
        <f>ProjectedP205_Consumption!M27</f>
        <v>1.409406272077919</v>
      </c>
      <c r="I48" s="81">
        <v>1</v>
      </c>
      <c r="J48" s="81">
        <v>0.7</v>
      </c>
      <c r="K48" s="81">
        <v>0.3</v>
      </c>
      <c r="L48" s="81">
        <v>0</v>
      </c>
      <c r="M48" s="81">
        <f>30%</f>
        <v>0.3</v>
      </c>
      <c r="N48" s="81">
        <v>0.7</v>
      </c>
      <c r="O48" s="81">
        <v>0</v>
      </c>
      <c r="P48" s="81">
        <v>0</v>
      </c>
      <c r="Q48" s="81">
        <v>0</v>
      </c>
      <c r="R48" s="81">
        <v>0</v>
      </c>
      <c r="S48" s="81">
        <v>0</v>
      </c>
      <c r="T48" s="81">
        <v>0</v>
      </c>
      <c r="U48" s="81">
        <v>0</v>
      </c>
      <c r="V48" s="81">
        <v>0</v>
      </c>
      <c r="W48" s="81">
        <v>0</v>
      </c>
      <c r="Y48" s="66">
        <f t="shared" si="15"/>
        <v>2.8351696384331571</v>
      </c>
      <c r="Z48" s="66">
        <f t="shared" si="16"/>
        <v>2.0631307344918066</v>
      </c>
      <c r="AA48" s="66">
        <f t="shared" si="17"/>
        <v>0.91917800352907753</v>
      </c>
      <c r="AB48" s="66">
        <f t="shared" si="18"/>
        <v>0</v>
      </c>
      <c r="AC48" s="66">
        <f t="shared" si="19"/>
        <v>0.88419888621077425</v>
      </c>
      <c r="AD48" s="66">
        <f t="shared" si="20"/>
        <v>2.144748674901181</v>
      </c>
      <c r="AE48" s="66">
        <f t="shared" si="21"/>
        <v>0</v>
      </c>
      <c r="AF48" s="66">
        <f t="shared" si="22"/>
        <v>0</v>
      </c>
      <c r="AG48" s="66">
        <f t="shared" si="23"/>
        <v>0</v>
      </c>
      <c r="AH48" s="66">
        <f t="shared" si="24"/>
        <v>0</v>
      </c>
      <c r="AI48" s="66">
        <f t="shared" si="25"/>
        <v>0</v>
      </c>
      <c r="AJ48" s="66">
        <f t="shared" si="26"/>
        <v>0</v>
      </c>
      <c r="AK48" s="66">
        <f t="shared" si="27"/>
        <v>0</v>
      </c>
      <c r="AL48" s="66">
        <f t="shared" si="28"/>
        <v>0</v>
      </c>
      <c r="AM48" s="66">
        <f t="shared" si="29"/>
        <v>0</v>
      </c>
      <c r="AO48" s="2" t="b">
        <f t="shared" si="30"/>
        <v>1</v>
      </c>
      <c r="AQ48" s="2">
        <f t="shared" si="31"/>
        <v>3.0639266784302586</v>
      </c>
    </row>
    <row r="49" spans="4:43" ht="13.5" customHeight="1" outlineLevel="1" x14ac:dyDescent="0.25">
      <c r="D49" s="85" t="str">
        <f>ProjectedP205_Consumption!D28</f>
        <v>Tomatoes</v>
      </c>
      <c r="E49" s="106">
        <f>ProjectedP205_Consumption!K28</f>
        <v>1.4019648173081347</v>
      </c>
      <c r="F49" s="106">
        <f>ProjectedP205_Consumption!L28</f>
        <v>1.5152684017941922</v>
      </c>
      <c r="G49" s="106">
        <f>ProjectedP205_Consumption!M28</f>
        <v>1.6377289223879892</v>
      </c>
      <c r="I49" s="81">
        <v>1</v>
      </c>
      <c r="J49" s="81">
        <v>0.7</v>
      </c>
      <c r="K49" s="81">
        <v>0.3</v>
      </c>
      <c r="L49" s="81">
        <v>0</v>
      </c>
      <c r="M49" s="81">
        <f>30%</f>
        <v>0.3</v>
      </c>
      <c r="N49" s="81">
        <v>0.7</v>
      </c>
      <c r="O49" s="81">
        <v>0</v>
      </c>
      <c r="P49" s="81">
        <v>0</v>
      </c>
      <c r="Q49" s="81">
        <v>0</v>
      </c>
      <c r="R49" s="81">
        <v>0</v>
      </c>
      <c r="S49" s="81">
        <v>0</v>
      </c>
      <c r="T49" s="81">
        <v>0</v>
      </c>
      <c r="U49" s="81">
        <v>0</v>
      </c>
      <c r="V49" s="81">
        <v>0</v>
      </c>
      <c r="W49" s="81">
        <v>0</v>
      </c>
      <c r="Y49" s="66">
        <f t="shared" si="15"/>
        <v>3.0477496028437709</v>
      </c>
      <c r="Z49" s="66">
        <f t="shared" si="16"/>
        <v>2.3058432201215964</v>
      </c>
      <c r="AA49" s="66">
        <f t="shared" si="17"/>
        <v>1.0680840798182538</v>
      </c>
      <c r="AB49" s="66">
        <f t="shared" si="18"/>
        <v>0</v>
      </c>
      <c r="AC49" s="66">
        <f t="shared" si="19"/>
        <v>0.98821852290925571</v>
      </c>
      <c r="AD49" s="66">
        <f t="shared" si="20"/>
        <v>2.4921961862425919</v>
      </c>
      <c r="AE49" s="66">
        <f t="shared" si="21"/>
        <v>0</v>
      </c>
      <c r="AF49" s="66">
        <f t="shared" si="22"/>
        <v>0</v>
      </c>
      <c r="AG49" s="66">
        <f t="shared" si="23"/>
        <v>0</v>
      </c>
      <c r="AH49" s="66">
        <f t="shared" si="24"/>
        <v>0</v>
      </c>
      <c r="AI49" s="66">
        <f t="shared" si="25"/>
        <v>0</v>
      </c>
      <c r="AJ49" s="66">
        <f t="shared" si="26"/>
        <v>0</v>
      </c>
      <c r="AK49" s="66">
        <f t="shared" si="27"/>
        <v>0</v>
      </c>
      <c r="AL49" s="66">
        <f t="shared" si="28"/>
        <v>0</v>
      </c>
      <c r="AM49" s="66">
        <f t="shared" si="29"/>
        <v>0</v>
      </c>
      <c r="AO49" s="2" t="b">
        <f t="shared" si="30"/>
        <v>1</v>
      </c>
      <c r="AQ49" s="2">
        <f t="shared" si="31"/>
        <v>3.5602802660608459</v>
      </c>
    </row>
    <row r="50" spans="4:43" ht="13.5" customHeight="1" outlineLevel="1" x14ac:dyDescent="0.25">
      <c r="D50" s="85" t="str">
        <f>ProjectedP205_Consumption!D29</f>
        <v>Taro</v>
      </c>
      <c r="E50" s="106">
        <f>ProjectedP205_Consumption!K29</f>
        <v>1.2654828820173227</v>
      </c>
      <c r="F50" s="106">
        <f>ProjectedP205_Consumption!L29</f>
        <v>1.3219991400295827</v>
      </c>
      <c r="G50" s="106">
        <f>ProjectedP205_Consumption!M29</f>
        <v>1.381039404857815</v>
      </c>
      <c r="I50" s="81">
        <v>1</v>
      </c>
      <c r="J50" s="81">
        <v>0.7</v>
      </c>
      <c r="K50" s="81">
        <v>0.3</v>
      </c>
      <c r="L50" s="81">
        <v>0</v>
      </c>
      <c r="M50" s="81">
        <f>30%</f>
        <v>0.3</v>
      </c>
      <c r="N50" s="81">
        <v>0.7</v>
      </c>
      <c r="O50" s="81">
        <v>0</v>
      </c>
      <c r="P50" s="81">
        <v>0</v>
      </c>
      <c r="Q50" s="81">
        <v>0</v>
      </c>
      <c r="R50" s="81">
        <v>0</v>
      </c>
      <c r="S50" s="81">
        <v>0</v>
      </c>
      <c r="T50" s="81">
        <v>0</v>
      </c>
      <c r="U50" s="81">
        <v>0</v>
      </c>
      <c r="V50" s="81">
        <v>0</v>
      </c>
      <c r="W50" s="81">
        <v>0</v>
      </c>
      <c r="Y50" s="66">
        <f t="shared" si="15"/>
        <v>2.7510497435159187</v>
      </c>
      <c r="Z50" s="66">
        <f t="shared" si="16"/>
        <v>2.0117378217841475</v>
      </c>
      <c r="AA50" s="66">
        <f t="shared" si="17"/>
        <v>0.90067787273335753</v>
      </c>
      <c r="AB50" s="66">
        <f t="shared" si="18"/>
        <v>0</v>
      </c>
      <c r="AC50" s="66">
        <f t="shared" si="19"/>
        <v>0.86217335219320612</v>
      </c>
      <c r="AD50" s="66">
        <f t="shared" si="20"/>
        <v>2.1015817030445008</v>
      </c>
      <c r="AE50" s="66">
        <f t="shared" si="21"/>
        <v>0</v>
      </c>
      <c r="AF50" s="66">
        <f t="shared" si="22"/>
        <v>0</v>
      </c>
      <c r="AG50" s="66">
        <f t="shared" si="23"/>
        <v>0</v>
      </c>
      <c r="AH50" s="66">
        <f t="shared" si="24"/>
        <v>0</v>
      </c>
      <c r="AI50" s="66">
        <f t="shared" si="25"/>
        <v>0</v>
      </c>
      <c r="AJ50" s="66">
        <f t="shared" si="26"/>
        <v>0</v>
      </c>
      <c r="AK50" s="66">
        <f t="shared" si="27"/>
        <v>0</v>
      </c>
      <c r="AL50" s="66">
        <f t="shared" si="28"/>
        <v>0</v>
      </c>
      <c r="AM50" s="66">
        <f t="shared" si="29"/>
        <v>0</v>
      </c>
      <c r="AO50" s="2" t="b">
        <f t="shared" si="30"/>
        <v>1</v>
      </c>
      <c r="AQ50" s="2">
        <f t="shared" si="31"/>
        <v>3.0022595757778583</v>
      </c>
    </row>
    <row r="51" spans="4:43" ht="13.5" customHeight="1" x14ac:dyDescent="0.25">
      <c r="D51" s="85" t="str">
        <f>ProjectedP205_Consumption!D30</f>
        <v>Other vegetables, fresh n.e.c.</v>
      </c>
      <c r="E51" s="106">
        <f>ProjectedP205_Consumption!K30</f>
        <v>1.1339168684980132</v>
      </c>
      <c r="F51" s="106">
        <f>ProjectedP205_Consumption!L30</f>
        <v>1.1704711650008264</v>
      </c>
      <c r="G51" s="106">
        <f>ProjectedP205_Consumption!M30</f>
        <v>1.208203869401024</v>
      </c>
      <c r="I51" s="81">
        <v>1</v>
      </c>
      <c r="J51" s="81">
        <v>0.7</v>
      </c>
      <c r="K51" s="81">
        <v>0.3</v>
      </c>
      <c r="L51" s="81">
        <v>0</v>
      </c>
      <c r="M51" s="81">
        <f>30%</f>
        <v>0.3</v>
      </c>
      <c r="N51" s="81">
        <v>0.7</v>
      </c>
      <c r="O51" s="81">
        <v>0</v>
      </c>
      <c r="P51" s="81">
        <v>0</v>
      </c>
      <c r="Q51" s="81">
        <v>0</v>
      </c>
      <c r="R51" s="81">
        <v>0</v>
      </c>
      <c r="S51" s="81">
        <v>0</v>
      </c>
      <c r="T51" s="81">
        <v>0</v>
      </c>
      <c r="U51" s="81">
        <v>0</v>
      </c>
      <c r="V51" s="81">
        <v>0</v>
      </c>
      <c r="W51" s="81">
        <v>0</v>
      </c>
      <c r="Y51" s="66">
        <f t="shared" si="15"/>
        <v>2.4650366706478546</v>
      </c>
      <c r="Z51" s="66">
        <f t="shared" si="16"/>
        <v>1.7811517728273443</v>
      </c>
      <c r="AA51" s="66">
        <f t="shared" si="17"/>
        <v>0.78795904526153726</v>
      </c>
      <c r="AB51" s="66">
        <f t="shared" si="18"/>
        <v>0</v>
      </c>
      <c r="AC51" s="66">
        <f t="shared" si="19"/>
        <v>0.76335075978314759</v>
      </c>
      <c r="AD51" s="66">
        <f t="shared" si="20"/>
        <v>1.8385711056102538</v>
      </c>
      <c r="AE51" s="66">
        <f t="shared" si="21"/>
        <v>0</v>
      </c>
      <c r="AF51" s="66">
        <f t="shared" si="22"/>
        <v>0</v>
      </c>
      <c r="AG51" s="66">
        <f t="shared" si="23"/>
        <v>0</v>
      </c>
      <c r="AH51" s="66">
        <f t="shared" si="24"/>
        <v>0</v>
      </c>
      <c r="AI51" s="66">
        <f t="shared" si="25"/>
        <v>0</v>
      </c>
      <c r="AJ51" s="66">
        <f t="shared" si="26"/>
        <v>0</v>
      </c>
      <c r="AK51" s="66">
        <f t="shared" si="27"/>
        <v>0</v>
      </c>
      <c r="AL51" s="66">
        <f t="shared" si="28"/>
        <v>0</v>
      </c>
      <c r="AM51" s="66">
        <f t="shared" si="29"/>
        <v>0</v>
      </c>
      <c r="AO51" s="2" t="b">
        <f t="shared" si="30"/>
        <v>1</v>
      </c>
      <c r="AQ51" s="2">
        <f t="shared" si="31"/>
        <v>2.6265301508717913</v>
      </c>
    </row>
    <row r="52" spans="4:43" ht="13.5" customHeight="1" x14ac:dyDescent="0.25">
      <c r="D52" s="85" t="str">
        <f>ProjectedP205_Consumption!D31</f>
        <v>Onions and shallots, dry (excluding dehydrated)</v>
      </c>
      <c r="E52" s="106">
        <f>ProjectedP205_Consumption!K31</f>
        <v>1.2065952009580103</v>
      </c>
      <c r="F52" s="106">
        <f>ProjectedP205_Consumption!L31</f>
        <v>1.3243084771726918</v>
      </c>
      <c r="G52" s="106">
        <f>ProjectedP205_Consumption!M31</f>
        <v>1.4535056507095179</v>
      </c>
      <c r="I52" s="81">
        <v>1</v>
      </c>
      <c r="J52" s="81">
        <v>0.7</v>
      </c>
      <c r="K52" s="81">
        <v>0.3</v>
      </c>
      <c r="L52" s="81">
        <v>0</v>
      </c>
      <c r="M52" s="81">
        <f>30%</f>
        <v>0.3</v>
      </c>
      <c r="N52" s="81">
        <v>0.7</v>
      </c>
      <c r="O52" s="81">
        <v>0</v>
      </c>
      <c r="P52" s="81">
        <v>0</v>
      </c>
      <c r="Q52" s="81">
        <v>0</v>
      </c>
      <c r="R52" s="81">
        <v>0</v>
      </c>
      <c r="S52" s="81">
        <v>0</v>
      </c>
      <c r="T52" s="81">
        <v>0</v>
      </c>
      <c r="U52" s="81">
        <v>0</v>
      </c>
      <c r="V52" s="81">
        <v>0</v>
      </c>
      <c r="W52" s="81">
        <v>0</v>
      </c>
      <c r="Y52" s="66">
        <f t="shared" si="15"/>
        <v>2.6230330455608919</v>
      </c>
      <c r="Z52" s="66">
        <f t="shared" si="16"/>
        <v>2.0152520304801831</v>
      </c>
      <c r="AA52" s="66">
        <f t="shared" si="17"/>
        <v>0.94793846785403335</v>
      </c>
      <c r="AB52" s="66">
        <f t="shared" si="18"/>
        <v>0</v>
      </c>
      <c r="AC52" s="66">
        <f t="shared" si="19"/>
        <v>0.86367944163436428</v>
      </c>
      <c r="AD52" s="66">
        <f t="shared" si="20"/>
        <v>2.2118564249927442</v>
      </c>
      <c r="AE52" s="66">
        <f t="shared" si="21"/>
        <v>0</v>
      </c>
      <c r="AF52" s="66">
        <f t="shared" si="22"/>
        <v>0</v>
      </c>
      <c r="AG52" s="66">
        <f t="shared" si="23"/>
        <v>0</v>
      </c>
      <c r="AH52" s="66">
        <f t="shared" si="24"/>
        <v>0</v>
      </c>
      <c r="AI52" s="66">
        <f t="shared" si="25"/>
        <v>0</v>
      </c>
      <c r="AJ52" s="66">
        <f t="shared" si="26"/>
        <v>0</v>
      </c>
      <c r="AK52" s="66">
        <f t="shared" si="27"/>
        <v>0</v>
      </c>
      <c r="AL52" s="66">
        <f t="shared" si="28"/>
        <v>0</v>
      </c>
      <c r="AM52" s="66">
        <f t="shared" si="29"/>
        <v>0</v>
      </c>
      <c r="AO52" s="2" t="b">
        <f t="shared" si="30"/>
        <v>1</v>
      </c>
      <c r="AQ52" s="2">
        <f t="shared" si="31"/>
        <v>3.1597948928467776</v>
      </c>
    </row>
    <row r="53" spans="4:43" ht="13.2" customHeight="1" x14ac:dyDescent="0.25">
      <c r="D53" s="85" t="str">
        <f>ProjectedP205_Consumption!D32</f>
        <v>Sesame seed</v>
      </c>
      <c r="E53" s="106">
        <f>ProjectedP205_Consumption!K32</f>
        <v>0.52613171783238932</v>
      </c>
      <c r="F53" s="106">
        <f>ProjectedP205_Consumption!L32</f>
        <v>0.4542638646266523</v>
      </c>
      <c r="G53" s="106">
        <f>ProjectedP205_Consumption!M32</f>
        <v>0.39221292256567702</v>
      </c>
      <c r="I53" s="81">
        <v>1</v>
      </c>
      <c r="J53" s="81">
        <v>0.7</v>
      </c>
      <c r="K53" s="81">
        <v>0.3</v>
      </c>
      <c r="L53" s="81">
        <v>0</v>
      </c>
      <c r="M53" s="81">
        <f>30%</f>
        <v>0.3</v>
      </c>
      <c r="N53" s="81">
        <v>0.7</v>
      </c>
      <c r="O53" s="81">
        <v>0</v>
      </c>
      <c r="P53" s="81">
        <v>0</v>
      </c>
      <c r="Q53" s="81">
        <v>0</v>
      </c>
      <c r="R53" s="81">
        <v>0</v>
      </c>
      <c r="S53" s="81">
        <v>0</v>
      </c>
      <c r="T53" s="81">
        <v>0</v>
      </c>
      <c r="U53" s="81">
        <v>0</v>
      </c>
      <c r="V53" s="81">
        <v>0</v>
      </c>
      <c r="W53" s="81">
        <v>0</v>
      </c>
      <c r="Y53" s="66">
        <f t="shared" si="15"/>
        <v>1.143764603983455</v>
      </c>
      <c r="Z53" s="66">
        <f t="shared" si="16"/>
        <v>0.69127109834490552</v>
      </c>
      <c r="AA53" s="66">
        <f t="shared" si="17"/>
        <v>0.25579103645587631</v>
      </c>
      <c r="AB53" s="66">
        <f t="shared" si="18"/>
        <v>0</v>
      </c>
      <c r="AC53" s="66">
        <f t="shared" si="19"/>
        <v>0.29625904214781668</v>
      </c>
      <c r="AD53" s="66">
        <f t="shared" si="20"/>
        <v>0.59684575173037802</v>
      </c>
      <c r="AE53" s="66">
        <f t="shared" si="21"/>
        <v>0</v>
      </c>
      <c r="AF53" s="66">
        <f t="shared" si="22"/>
        <v>0</v>
      </c>
      <c r="AG53" s="66">
        <f t="shared" si="23"/>
        <v>0</v>
      </c>
      <c r="AH53" s="66">
        <f t="shared" si="24"/>
        <v>0</v>
      </c>
      <c r="AI53" s="66">
        <f t="shared" si="25"/>
        <v>0</v>
      </c>
      <c r="AJ53" s="66">
        <f t="shared" si="26"/>
        <v>0</v>
      </c>
      <c r="AK53" s="66">
        <f t="shared" si="27"/>
        <v>0</v>
      </c>
      <c r="AL53" s="66">
        <f t="shared" si="28"/>
        <v>0</v>
      </c>
      <c r="AM53" s="66">
        <f t="shared" si="29"/>
        <v>0</v>
      </c>
      <c r="AO53" s="2" t="b">
        <f t="shared" si="30"/>
        <v>1</v>
      </c>
      <c r="AQ53" s="2">
        <f t="shared" si="31"/>
        <v>0.85263678818625432</v>
      </c>
    </row>
    <row r="54" spans="4:43" ht="13.5" customHeight="1" thickBot="1" x14ac:dyDescent="0.3">
      <c r="D54" s="85" t="str">
        <f>ProjectedP205_Consumption!D33</f>
        <v>TOTAL P205</v>
      </c>
      <c r="E54" s="109">
        <f>SUM(E34:E53)</f>
        <v>89.755170946122547</v>
      </c>
      <c r="F54" s="109">
        <f>SUM(F34:F53)</f>
        <v>95.211039340628005</v>
      </c>
      <c r="G54" s="109">
        <f>SUM(G34:G53)</f>
        <v>101.09471632710896</v>
      </c>
      <c r="M54" s="81"/>
      <c r="N54" s="81"/>
      <c r="Y54" s="142">
        <f t="shared" ref="Y54:AM54" si="32">SUM(Y34:Y53)</f>
        <v>195.11993683939684</v>
      </c>
      <c r="Z54" s="142">
        <f t="shared" si="32"/>
        <v>144.88636421399914</v>
      </c>
      <c r="AA54" s="142">
        <f t="shared" si="32"/>
        <v>65.931336735071028</v>
      </c>
      <c r="AB54" s="142">
        <f t="shared" si="32"/>
        <v>0</v>
      </c>
      <c r="AC54" s="142">
        <f t="shared" si="32"/>
        <v>56.264026070827647</v>
      </c>
      <c r="AD54" s="142">
        <f t="shared" si="32"/>
        <v>141.48438689453815</v>
      </c>
      <c r="AE54" s="142">
        <f t="shared" si="32"/>
        <v>0</v>
      </c>
      <c r="AF54" s="142">
        <f t="shared" si="32"/>
        <v>5.8301300208862648</v>
      </c>
      <c r="AG54" s="142">
        <f t="shared" si="32"/>
        <v>12.355398820627595</v>
      </c>
      <c r="AH54" s="142">
        <f t="shared" si="32"/>
        <v>0</v>
      </c>
      <c r="AI54" s="142">
        <f t="shared" si="32"/>
        <v>0</v>
      </c>
      <c r="AJ54" s="142">
        <f t="shared" si="32"/>
        <v>0</v>
      </c>
      <c r="AK54" s="142">
        <f t="shared" si="32"/>
        <v>0</v>
      </c>
      <c r="AL54" s="142">
        <f t="shared" si="32"/>
        <v>0</v>
      </c>
      <c r="AM54" s="142">
        <f t="shared" si="32"/>
        <v>0</v>
      </c>
      <c r="AQ54" s="2">
        <f t="shared" si="31"/>
        <v>219.77112245023676</v>
      </c>
    </row>
    <row r="55" spans="4:43" ht="13.5" customHeight="1" thickTop="1" thickBot="1" x14ac:dyDescent="0.3">
      <c r="D55" s="138" t="s">
        <v>17</v>
      </c>
      <c r="E55" s="114">
        <f t="shared" ref="E55:G55" si="33">E54/46%</f>
        <v>195.11993683939684</v>
      </c>
      <c r="F55" s="114">
        <f t="shared" si="33"/>
        <v>206.98052030571304</v>
      </c>
      <c r="G55" s="114">
        <f t="shared" si="33"/>
        <v>219.77112245023685</v>
      </c>
    </row>
    <row r="56" spans="4:43" ht="13.5" customHeight="1" thickTop="1" x14ac:dyDescent="0.25">
      <c r="E56" s="37"/>
      <c r="F56" s="37"/>
      <c r="G56" s="37"/>
    </row>
    <row r="57" spans="4:43" ht="13.5" customHeight="1" x14ac:dyDescent="0.25">
      <c r="D57" s="32" t="s">
        <v>284</v>
      </c>
      <c r="E57" s="7"/>
      <c r="F57" s="7"/>
      <c r="G57" s="195"/>
      <c r="I57" s="32" t="s">
        <v>280</v>
      </c>
      <c r="J57" s="32"/>
      <c r="Y57" s="32" t="s">
        <v>281</v>
      </c>
      <c r="Z57" s="32"/>
    </row>
    <row r="58" spans="4:43" ht="13.5" customHeight="1" outlineLevel="1" x14ac:dyDescent="0.25">
      <c r="D58" s="33" t="s">
        <v>19</v>
      </c>
      <c r="I58" s="33" t="s">
        <v>282</v>
      </c>
      <c r="J58" s="33"/>
      <c r="Y58" s="33" t="s">
        <v>283</v>
      </c>
      <c r="Z58" s="33"/>
    </row>
    <row r="59" spans="4:43" ht="13.5" customHeight="1" outlineLevel="1" x14ac:dyDescent="0.25">
      <c r="I59" s="214" t="s">
        <v>169</v>
      </c>
      <c r="L59" s="214" t="s">
        <v>167</v>
      </c>
      <c r="O59" s="214" t="s">
        <v>168</v>
      </c>
      <c r="R59" s="214" t="s">
        <v>170</v>
      </c>
      <c r="U59" s="214" t="s">
        <v>192</v>
      </c>
      <c r="Y59" s="214" t="s">
        <v>169</v>
      </c>
      <c r="AA59" s="215">
        <v>0.46</v>
      </c>
      <c r="AB59" s="214" t="s">
        <v>167</v>
      </c>
      <c r="AD59" s="215">
        <v>0.46</v>
      </c>
      <c r="AE59" s="214" t="s">
        <v>168</v>
      </c>
      <c r="AG59" s="215">
        <v>0.46</v>
      </c>
      <c r="AH59" s="214" t="s">
        <v>170</v>
      </c>
      <c r="AJ59" s="215">
        <v>0.377</v>
      </c>
      <c r="AK59" s="214" t="s">
        <v>192</v>
      </c>
      <c r="AM59" s="215">
        <v>0.2</v>
      </c>
    </row>
    <row r="60" spans="4:43" ht="13.5" customHeight="1" outlineLevel="1" x14ac:dyDescent="0.25">
      <c r="D60" s="30"/>
      <c r="E60" s="34">
        <v>2023</v>
      </c>
      <c r="F60" s="34">
        <v>2024</v>
      </c>
      <c r="G60" s="34">
        <v>2025</v>
      </c>
      <c r="I60" s="34">
        <v>2023</v>
      </c>
      <c r="J60" s="34">
        <v>2024</v>
      </c>
      <c r="K60" s="34">
        <v>2025</v>
      </c>
      <c r="L60" s="34">
        <v>2023</v>
      </c>
      <c r="M60" s="34">
        <v>2024</v>
      </c>
      <c r="N60" s="34">
        <v>2025</v>
      </c>
      <c r="O60" s="34">
        <v>2023</v>
      </c>
      <c r="P60" s="34">
        <v>2024</v>
      </c>
      <c r="Q60" s="34">
        <v>2025</v>
      </c>
      <c r="R60" s="34">
        <v>2023</v>
      </c>
      <c r="S60" s="34">
        <v>2024</v>
      </c>
      <c r="T60" s="34">
        <v>2025</v>
      </c>
      <c r="U60" s="34">
        <v>2023</v>
      </c>
      <c r="V60" s="34">
        <v>2024</v>
      </c>
      <c r="W60" s="34">
        <v>2025</v>
      </c>
      <c r="Y60" s="34">
        <v>2023</v>
      </c>
      <c r="Z60" s="34">
        <v>2024</v>
      </c>
      <c r="AA60" s="34">
        <v>2025</v>
      </c>
      <c r="AB60" s="34">
        <v>2023</v>
      </c>
      <c r="AC60" s="34">
        <v>2024</v>
      </c>
      <c r="AD60" s="34">
        <v>2025</v>
      </c>
      <c r="AE60" s="34">
        <v>2023</v>
      </c>
      <c r="AF60" s="34">
        <v>2024</v>
      </c>
      <c r="AG60" s="34">
        <v>2025</v>
      </c>
      <c r="AH60" s="34">
        <v>2023</v>
      </c>
      <c r="AI60" s="34">
        <v>2024</v>
      </c>
      <c r="AJ60" s="34">
        <v>2025</v>
      </c>
      <c r="AK60" s="34">
        <v>2023</v>
      </c>
      <c r="AL60" s="34">
        <v>2024</v>
      </c>
      <c r="AM60" s="34">
        <v>2025</v>
      </c>
      <c r="AO60" s="187" t="s">
        <v>302</v>
      </c>
    </row>
    <row r="61" spans="4:43" ht="13.5" customHeight="1" outlineLevel="1" x14ac:dyDescent="0.25">
      <c r="D61" s="85" t="str">
        <f>ProjectedP205_Consumption!D40</f>
        <v>Cassava, fresh</v>
      </c>
      <c r="E61" s="106">
        <f>ProjectedP205_Consumption!K40</f>
        <v>7.9649019192981507</v>
      </c>
      <c r="F61" s="106">
        <f>ProjectedP205_Consumption!L40</f>
        <v>18.304823742773959</v>
      </c>
      <c r="G61" s="106">
        <f>ProjectedP205_Consumption!M40</f>
        <v>30.183403925098023</v>
      </c>
      <c r="I61" s="81">
        <v>1</v>
      </c>
      <c r="J61" s="81">
        <v>0.7</v>
      </c>
      <c r="K61" s="81">
        <v>0.3</v>
      </c>
      <c r="L61" s="81">
        <v>0</v>
      </c>
      <c r="M61" s="81">
        <f>30%</f>
        <v>0.3</v>
      </c>
      <c r="N61" s="81">
        <v>0.7</v>
      </c>
      <c r="O61" s="81">
        <v>0</v>
      </c>
      <c r="P61" s="81">
        <v>0</v>
      </c>
      <c r="Q61" s="81">
        <v>0</v>
      </c>
      <c r="R61" s="81">
        <v>0</v>
      </c>
      <c r="S61" s="81">
        <v>0</v>
      </c>
      <c r="T61" s="81">
        <v>0</v>
      </c>
      <c r="U61" s="81">
        <v>0</v>
      </c>
      <c r="V61" s="81">
        <v>0</v>
      </c>
      <c r="W61" s="81">
        <v>0</v>
      </c>
      <c r="Y61" s="66">
        <f>(I61*E61)/$AA$32</f>
        <v>17.315004172387283</v>
      </c>
      <c r="Z61" s="66">
        <f t="shared" ref="Z61:Z80" si="34">(J61*F61)/$AA$32</f>
        <v>27.855166565090805</v>
      </c>
      <c r="AA61" s="66">
        <f t="shared" ref="AA61:AA80" si="35">(K61*G61)/$AA$32</f>
        <v>19.684828646803055</v>
      </c>
      <c r="AB61" s="66">
        <f>(L61*E61)/$AD$32</f>
        <v>0</v>
      </c>
      <c r="AC61" s="66">
        <f t="shared" ref="AC61:AC80" si="36">(M61*F61)/$AD$32</f>
        <v>11.937928527896059</v>
      </c>
      <c r="AD61" s="66">
        <f t="shared" ref="AD61:AD80" si="37">(N61*G61)/$AD$32</f>
        <v>45.931266842540467</v>
      </c>
      <c r="AE61" s="66">
        <f>(O61*E61)/$AG$32</f>
        <v>0</v>
      </c>
      <c r="AF61" s="66">
        <f t="shared" ref="AF61:AF80" si="38">(P61*F61)/$AG$32</f>
        <v>0</v>
      </c>
      <c r="AG61" s="66">
        <f t="shared" ref="AG61:AG80" si="39">(Q61*G61)/$AG$32</f>
        <v>0</v>
      </c>
      <c r="AH61" s="66">
        <f>(R61*E61)/$AJ$32</f>
        <v>0</v>
      </c>
      <c r="AI61" s="66">
        <f t="shared" ref="AI61:AI80" si="40">(S61*F61)/$AJ$32</f>
        <v>0</v>
      </c>
      <c r="AJ61" s="66">
        <f t="shared" ref="AJ61:AJ80" si="41">(T61*G61)/$AJ$32</f>
        <v>0</v>
      </c>
      <c r="AK61" s="66">
        <f>(U61*E61)/$AJ$32</f>
        <v>0</v>
      </c>
      <c r="AL61" s="66">
        <f t="shared" ref="AL61:AL80" si="42">(V61*F61)/$AJ$32</f>
        <v>0</v>
      </c>
      <c r="AM61" s="66">
        <f t="shared" ref="AM61:AM80" si="43">(W61*G61)/$AJ$32</f>
        <v>0</v>
      </c>
      <c r="AO61" s="2" t="b">
        <f>SUM(I61,L61,O61,R61,U61)=100%</f>
        <v>1</v>
      </c>
      <c r="AQ61" s="2">
        <f>AM61+AJ61+AG61+AD61+AA61</f>
        <v>65.616095489343522</v>
      </c>
    </row>
    <row r="62" spans="4:43" ht="13.5" customHeight="1" outlineLevel="1" x14ac:dyDescent="0.25">
      <c r="D62" s="85" t="str">
        <f>ProjectedP205_Consumption!D41</f>
        <v>Maize (corn)</v>
      </c>
      <c r="E62" s="106">
        <f>ProjectedP205_Consumption!K41</f>
        <v>14.006991031430896</v>
      </c>
      <c r="F62" s="106">
        <f>ProjectedP205_Consumption!L41</f>
        <v>21.386255838376222</v>
      </c>
      <c r="G62" s="106">
        <f>ProjectedP205_Consumption!M41</f>
        <v>29.468429648437496</v>
      </c>
      <c r="I62" s="81">
        <v>1</v>
      </c>
      <c r="J62" s="81">
        <v>0.7</v>
      </c>
      <c r="K62" s="81">
        <v>0.3</v>
      </c>
      <c r="L62" s="81">
        <v>0</v>
      </c>
      <c r="M62" s="81">
        <f>30%</f>
        <v>0.3</v>
      </c>
      <c r="N62" s="81">
        <v>0.7</v>
      </c>
      <c r="O62" s="81">
        <v>0</v>
      </c>
      <c r="P62" s="81">
        <v>0</v>
      </c>
      <c r="Q62" s="81">
        <v>0</v>
      </c>
      <c r="R62" s="81">
        <v>0</v>
      </c>
      <c r="S62" s="81">
        <v>0</v>
      </c>
      <c r="T62" s="81">
        <v>0</v>
      </c>
      <c r="U62" s="81">
        <v>0</v>
      </c>
      <c r="V62" s="81">
        <v>0</v>
      </c>
      <c r="W62" s="81">
        <v>0</v>
      </c>
      <c r="Y62" s="66">
        <f t="shared" ref="Y62:Y80" si="44">(I62*E62)/$AA$32</f>
        <v>30.449980503110641</v>
      </c>
      <c r="Z62" s="66">
        <f t="shared" si="34"/>
        <v>32.544302362746421</v>
      </c>
      <c r="AA62" s="66">
        <f t="shared" si="35"/>
        <v>19.218541075067929</v>
      </c>
      <c r="AB62" s="66">
        <f t="shared" ref="AB62:AB80" si="45">(L62*E62)/$AD$32</f>
        <v>0</v>
      </c>
      <c r="AC62" s="66">
        <f t="shared" si="36"/>
        <v>13.947558155462751</v>
      </c>
      <c r="AD62" s="66">
        <f t="shared" si="37"/>
        <v>44.84326250849184</v>
      </c>
      <c r="AE62" s="66">
        <f t="shared" ref="AE62:AE80" si="46">(O62*E62)/$AG$32</f>
        <v>0</v>
      </c>
      <c r="AF62" s="66">
        <f t="shared" si="38"/>
        <v>0</v>
      </c>
      <c r="AG62" s="66">
        <f t="shared" si="39"/>
        <v>0</v>
      </c>
      <c r="AH62" s="66">
        <f t="shared" ref="AH62:AH80" si="47">(R62*E62)/$AJ$32</f>
        <v>0</v>
      </c>
      <c r="AI62" s="66">
        <f t="shared" si="40"/>
        <v>0</v>
      </c>
      <c r="AJ62" s="66">
        <f t="shared" si="41"/>
        <v>0</v>
      </c>
      <c r="AK62" s="66">
        <f t="shared" ref="AK62:AK80" si="48">(U62*E62)/$AJ$32</f>
        <v>0</v>
      </c>
      <c r="AL62" s="66">
        <f t="shared" si="42"/>
        <v>0</v>
      </c>
      <c r="AM62" s="66">
        <f t="shared" si="43"/>
        <v>0</v>
      </c>
      <c r="AO62" s="2" t="b">
        <f t="shared" ref="AO62:AO80" si="49">SUM(I62,L62,O62,R62,U62)=100%</f>
        <v>1</v>
      </c>
      <c r="AQ62" s="2">
        <f t="shared" ref="AQ62:AQ81" si="50">AM62+AJ62+AG62+AD62+AA62</f>
        <v>64.061803583559765</v>
      </c>
    </row>
    <row r="63" spans="4:43" ht="13.5" customHeight="1" outlineLevel="1" x14ac:dyDescent="0.25">
      <c r="D63" s="85" t="str">
        <f>ProjectedP205_Consumption!D42</f>
        <v>Yams</v>
      </c>
      <c r="E63" s="106">
        <f>ProjectedP205_Consumption!K42</f>
        <v>4.7208393218953875</v>
      </c>
      <c r="F63" s="106">
        <f>ProjectedP205_Consumption!L42</f>
        <v>10.363287901383226</v>
      </c>
      <c r="G63" s="106">
        <f>ProjectedP205_Consumption!M42</f>
        <v>16.32275465222099</v>
      </c>
      <c r="I63" s="81">
        <v>1</v>
      </c>
      <c r="J63" s="81">
        <v>0.7</v>
      </c>
      <c r="K63" s="81">
        <v>0.3</v>
      </c>
      <c r="L63" s="81">
        <v>0</v>
      </c>
      <c r="M63" s="81">
        <f>30%</f>
        <v>0.3</v>
      </c>
      <c r="N63" s="81">
        <v>0.7</v>
      </c>
      <c r="O63" s="81">
        <v>0</v>
      </c>
      <c r="P63" s="81">
        <v>0</v>
      </c>
      <c r="Q63" s="81">
        <v>0</v>
      </c>
      <c r="R63" s="81">
        <v>0</v>
      </c>
      <c r="S63" s="81">
        <v>0</v>
      </c>
      <c r="T63" s="81">
        <v>0</v>
      </c>
      <c r="U63" s="81">
        <v>0</v>
      </c>
      <c r="V63" s="81">
        <v>0</v>
      </c>
      <c r="W63" s="81">
        <v>0</v>
      </c>
      <c r="Y63" s="66">
        <f t="shared" si="44"/>
        <v>10.262694178033451</v>
      </c>
      <c r="Z63" s="66">
        <f t="shared" si="34"/>
        <v>15.770220719496212</v>
      </c>
      <c r="AA63" s="66">
        <f t="shared" si="35"/>
        <v>10.645274773187602</v>
      </c>
      <c r="AB63" s="66">
        <f t="shared" si="45"/>
        <v>0</v>
      </c>
      <c r="AC63" s="66">
        <f t="shared" si="36"/>
        <v>6.7586660226412327</v>
      </c>
      <c r="AD63" s="66">
        <f t="shared" si="37"/>
        <v>24.83897447077107</v>
      </c>
      <c r="AE63" s="66">
        <f t="shared" si="46"/>
        <v>0</v>
      </c>
      <c r="AF63" s="66">
        <f t="shared" si="38"/>
        <v>0</v>
      </c>
      <c r="AG63" s="66">
        <f t="shared" si="39"/>
        <v>0</v>
      </c>
      <c r="AH63" s="66">
        <f t="shared" si="47"/>
        <v>0</v>
      </c>
      <c r="AI63" s="66">
        <f t="shared" si="40"/>
        <v>0</v>
      </c>
      <c r="AJ63" s="66">
        <f t="shared" si="41"/>
        <v>0</v>
      </c>
      <c r="AK63" s="66">
        <f t="shared" si="48"/>
        <v>0</v>
      </c>
      <c r="AL63" s="66">
        <f t="shared" si="42"/>
        <v>0</v>
      </c>
      <c r="AM63" s="66">
        <f t="shared" si="43"/>
        <v>0</v>
      </c>
      <c r="AO63" s="2" t="b">
        <f t="shared" si="49"/>
        <v>1</v>
      </c>
      <c r="AQ63" s="2">
        <f t="shared" si="50"/>
        <v>35.484249243958672</v>
      </c>
    </row>
    <row r="64" spans="4:43" ht="13.5" customHeight="1" outlineLevel="1" x14ac:dyDescent="0.25">
      <c r="D64" s="85" t="str">
        <f>ProjectedP205_Consumption!D43</f>
        <v>Sorghum</v>
      </c>
      <c r="E64" s="106">
        <f>ProjectedP205_Consumption!K43</f>
        <v>11.944440000579672</v>
      </c>
      <c r="F64" s="106">
        <f>ProjectedP205_Consumption!L43</f>
        <v>11.882388862964877</v>
      </c>
      <c r="G64" s="106">
        <f>ProjectedP205_Consumption!M43</f>
        <v>11.820660079824561</v>
      </c>
      <c r="I64" s="81">
        <v>1</v>
      </c>
      <c r="J64" s="81">
        <v>0.7</v>
      </c>
      <c r="K64" s="81">
        <v>0.3</v>
      </c>
      <c r="L64" s="81">
        <v>0</v>
      </c>
      <c r="M64" s="81">
        <f>30%</f>
        <v>0.3</v>
      </c>
      <c r="N64" s="81">
        <v>0.7</v>
      </c>
      <c r="O64" s="81">
        <v>0</v>
      </c>
      <c r="P64" s="81">
        <v>0</v>
      </c>
      <c r="Q64" s="81">
        <v>0</v>
      </c>
      <c r="R64" s="81">
        <v>0</v>
      </c>
      <c r="S64" s="81">
        <v>0</v>
      </c>
      <c r="T64" s="81">
        <v>0</v>
      </c>
      <c r="U64" s="81">
        <v>0</v>
      </c>
      <c r="V64" s="81">
        <v>0</v>
      </c>
      <c r="W64" s="81">
        <v>0</v>
      </c>
      <c r="Y64" s="66">
        <f t="shared" si="44"/>
        <v>25.966173914303631</v>
      </c>
      <c r="Z64" s="66">
        <f t="shared" si="34"/>
        <v>18.081896095816116</v>
      </c>
      <c r="AA64" s="66">
        <f t="shared" si="35"/>
        <v>7.7091261390160177</v>
      </c>
      <c r="AB64" s="66">
        <f t="shared" si="45"/>
        <v>0</v>
      </c>
      <c r="AC64" s="66">
        <f t="shared" si="36"/>
        <v>7.74938404106405</v>
      </c>
      <c r="AD64" s="66">
        <f t="shared" si="37"/>
        <v>17.987960991037372</v>
      </c>
      <c r="AE64" s="66">
        <f t="shared" si="46"/>
        <v>0</v>
      </c>
      <c r="AF64" s="66">
        <f t="shared" si="38"/>
        <v>0</v>
      </c>
      <c r="AG64" s="66">
        <f t="shared" si="39"/>
        <v>0</v>
      </c>
      <c r="AH64" s="66">
        <f t="shared" si="47"/>
        <v>0</v>
      </c>
      <c r="AI64" s="66">
        <f t="shared" si="40"/>
        <v>0</v>
      </c>
      <c r="AJ64" s="66">
        <f t="shared" si="41"/>
        <v>0</v>
      </c>
      <c r="AK64" s="66">
        <f t="shared" si="48"/>
        <v>0</v>
      </c>
      <c r="AL64" s="66">
        <f t="shared" si="42"/>
        <v>0</v>
      </c>
      <c r="AM64" s="66">
        <f t="shared" si="43"/>
        <v>0</v>
      </c>
      <c r="AO64" s="2" t="b">
        <f t="shared" si="49"/>
        <v>1</v>
      </c>
      <c r="AQ64" s="2">
        <f t="shared" si="50"/>
        <v>25.69708713005339</v>
      </c>
    </row>
    <row r="65" spans="1:43" ht="13.5" customHeight="1" x14ac:dyDescent="0.25">
      <c r="D65" s="85" t="str">
        <f>ProjectedP205_Consumption!D44</f>
        <v>Cow peas, dry</v>
      </c>
      <c r="E65" s="106">
        <f>ProjectedP205_Consumption!K44</f>
        <v>8.2687488959315392</v>
      </c>
      <c r="F65" s="106">
        <f>ProjectedP205_Consumption!L44</f>
        <v>8.2469624938391259</v>
      </c>
      <c r="G65" s="106">
        <f>ProjectedP205_Consumption!M44</f>
        <v>8.2238305130745779</v>
      </c>
      <c r="I65" s="81">
        <v>1</v>
      </c>
      <c r="J65" s="81">
        <v>0.7</v>
      </c>
      <c r="K65" s="81">
        <v>0.3</v>
      </c>
      <c r="L65" s="81">
        <v>0</v>
      </c>
      <c r="M65" s="81">
        <v>0.2</v>
      </c>
      <c r="N65" s="81">
        <v>0.5</v>
      </c>
      <c r="O65" s="81">
        <v>0</v>
      </c>
      <c r="P65" s="81">
        <v>0.1</v>
      </c>
      <c r="Q65" s="81">
        <v>0.2</v>
      </c>
      <c r="R65" s="81">
        <v>0</v>
      </c>
      <c r="S65" s="81">
        <v>0</v>
      </c>
      <c r="T65" s="81">
        <v>0</v>
      </c>
      <c r="U65" s="81">
        <v>0</v>
      </c>
      <c r="V65" s="81">
        <v>0</v>
      </c>
      <c r="W65" s="81">
        <v>0</v>
      </c>
      <c r="Y65" s="66">
        <f t="shared" si="44"/>
        <v>17.975541078112041</v>
      </c>
      <c r="Z65" s="66">
        <f t="shared" si="34"/>
        <v>12.549725534103016</v>
      </c>
      <c r="AA65" s="66">
        <f t="shared" si="35"/>
        <v>5.3633677259182022</v>
      </c>
      <c r="AB65" s="66">
        <f t="shared" si="45"/>
        <v>0</v>
      </c>
      <c r="AC65" s="66">
        <f t="shared" si="36"/>
        <v>3.5856358668865767</v>
      </c>
      <c r="AD65" s="66">
        <f t="shared" si="37"/>
        <v>8.9389462098636709</v>
      </c>
      <c r="AE65" s="66">
        <f t="shared" si="46"/>
        <v>0</v>
      </c>
      <c r="AF65" s="66">
        <f t="shared" si="38"/>
        <v>1.7928179334432883</v>
      </c>
      <c r="AG65" s="66">
        <f t="shared" si="39"/>
        <v>3.5755784839454687</v>
      </c>
      <c r="AH65" s="66">
        <f t="shared" si="47"/>
        <v>0</v>
      </c>
      <c r="AI65" s="66">
        <f t="shared" si="40"/>
        <v>0</v>
      </c>
      <c r="AJ65" s="66">
        <f t="shared" si="41"/>
        <v>0</v>
      </c>
      <c r="AK65" s="66">
        <f t="shared" si="48"/>
        <v>0</v>
      </c>
      <c r="AL65" s="66">
        <f t="shared" si="42"/>
        <v>0</v>
      </c>
      <c r="AM65" s="66">
        <f t="shared" si="43"/>
        <v>0</v>
      </c>
      <c r="AO65" s="2" t="b">
        <f t="shared" si="49"/>
        <v>1</v>
      </c>
      <c r="AQ65" s="2">
        <f t="shared" si="50"/>
        <v>17.877892419727342</v>
      </c>
    </row>
    <row r="66" spans="1:43" ht="13.5" customHeight="1" x14ac:dyDescent="0.25">
      <c r="D66" s="85" t="str">
        <f>ProjectedP205_Consumption!D45</f>
        <v>Rice</v>
      </c>
      <c r="E66" s="106">
        <f>ProjectedP205_Consumption!K45</f>
        <v>7.2037621374862661</v>
      </c>
      <c r="F66" s="106">
        <f>ProjectedP205_Consumption!L45</f>
        <v>11.562189015555289</v>
      </c>
      <c r="G66" s="106">
        <f>ProjectedP205_Consumption!M45</f>
        <v>16.338449176087497</v>
      </c>
      <c r="I66" s="81">
        <v>1</v>
      </c>
      <c r="J66" s="81">
        <v>0.7</v>
      </c>
      <c r="K66" s="81">
        <v>0.3</v>
      </c>
      <c r="L66" s="81">
        <v>0</v>
      </c>
      <c r="M66" s="81">
        <v>0.2</v>
      </c>
      <c r="N66" s="81">
        <v>0.5</v>
      </c>
      <c r="O66" s="81">
        <v>0</v>
      </c>
      <c r="P66" s="81">
        <v>0.1</v>
      </c>
      <c r="Q66" s="81">
        <v>0.2</v>
      </c>
      <c r="R66" s="81">
        <v>0</v>
      </c>
      <c r="S66" s="81">
        <v>0</v>
      </c>
      <c r="T66" s="81">
        <v>0</v>
      </c>
      <c r="U66" s="81">
        <v>0</v>
      </c>
      <c r="V66" s="81">
        <v>0</v>
      </c>
      <c r="W66" s="81">
        <v>0</v>
      </c>
      <c r="Y66" s="66">
        <f t="shared" si="44"/>
        <v>15.66035247279623</v>
      </c>
      <c r="Z66" s="66">
        <f t="shared" si="34"/>
        <v>17.594635458453698</v>
      </c>
      <c r="AA66" s="66">
        <f t="shared" si="35"/>
        <v>10.655510332230977</v>
      </c>
      <c r="AB66" s="66">
        <f t="shared" si="45"/>
        <v>0</v>
      </c>
      <c r="AC66" s="66">
        <f t="shared" si="36"/>
        <v>5.0270387024153429</v>
      </c>
      <c r="AD66" s="66">
        <f t="shared" si="37"/>
        <v>17.759183887051627</v>
      </c>
      <c r="AE66" s="66">
        <f t="shared" si="46"/>
        <v>0</v>
      </c>
      <c r="AF66" s="66">
        <f t="shared" si="38"/>
        <v>2.5135193512076714</v>
      </c>
      <c r="AG66" s="66">
        <f t="shared" si="39"/>
        <v>7.1036735548206504</v>
      </c>
      <c r="AH66" s="66">
        <f t="shared" si="47"/>
        <v>0</v>
      </c>
      <c r="AI66" s="66">
        <f t="shared" si="40"/>
        <v>0</v>
      </c>
      <c r="AJ66" s="66">
        <f t="shared" si="41"/>
        <v>0</v>
      </c>
      <c r="AK66" s="66">
        <f t="shared" si="48"/>
        <v>0</v>
      </c>
      <c r="AL66" s="66">
        <f t="shared" si="42"/>
        <v>0</v>
      </c>
      <c r="AM66" s="66">
        <f t="shared" si="43"/>
        <v>0</v>
      </c>
      <c r="AO66" s="2" t="b">
        <f t="shared" si="49"/>
        <v>1</v>
      </c>
      <c r="AQ66" s="2">
        <f t="shared" si="50"/>
        <v>35.518367774103254</v>
      </c>
    </row>
    <row r="67" spans="1:43" ht="13.5" customHeight="1" x14ac:dyDescent="0.25">
      <c r="D67" s="85" t="str">
        <f>ProjectedP205_Consumption!D46</f>
        <v>Groundnuts, excluding shelled</v>
      </c>
      <c r="E67" s="106">
        <f>ProjectedP205_Consumption!K46</f>
        <v>9.8577818502408636</v>
      </c>
      <c r="F67" s="106">
        <f>ProjectedP205_Consumption!L46</f>
        <v>14.199656855374053</v>
      </c>
      <c r="G67" s="106">
        <f>ProjectedP205_Consumption!M46</f>
        <v>18.904027616100922</v>
      </c>
      <c r="I67" s="81">
        <v>1</v>
      </c>
      <c r="J67" s="81">
        <v>0.7</v>
      </c>
      <c r="K67" s="81">
        <v>0.3</v>
      </c>
      <c r="L67" s="81">
        <v>0</v>
      </c>
      <c r="M67" s="81">
        <v>0.2</v>
      </c>
      <c r="N67" s="81">
        <v>0.5</v>
      </c>
      <c r="O67" s="81">
        <v>0</v>
      </c>
      <c r="P67" s="81">
        <v>0.1</v>
      </c>
      <c r="Q67" s="81">
        <v>0.2</v>
      </c>
      <c r="R67" s="81">
        <v>0</v>
      </c>
      <c r="S67" s="81">
        <v>0</v>
      </c>
      <c r="T67" s="81">
        <v>0</v>
      </c>
      <c r="U67" s="81">
        <v>0</v>
      </c>
      <c r="V67" s="81">
        <v>0</v>
      </c>
      <c r="W67" s="81">
        <v>0</v>
      </c>
      <c r="Y67" s="66">
        <f t="shared" si="44"/>
        <v>21.429960544001876</v>
      </c>
      <c r="Z67" s="66">
        <f t="shared" si="34"/>
        <v>21.60817347556921</v>
      </c>
      <c r="AA67" s="66">
        <f t="shared" si="35"/>
        <v>12.328713662674515</v>
      </c>
      <c r="AB67" s="66">
        <f t="shared" si="45"/>
        <v>0</v>
      </c>
      <c r="AC67" s="66">
        <f t="shared" si="36"/>
        <v>6.173763850162632</v>
      </c>
      <c r="AD67" s="66">
        <f t="shared" si="37"/>
        <v>20.547856104457523</v>
      </c>
      <c r="AE67" s="66">
        <f t="shared" si="46"/>
        <v>0</v>
      </c>
      <c r="AF67" s="66">
        <f t="shared" si="38"/>
        <v>3.086881925081316</v>
      </c>
      <c r="AG67" s="66">
        <f t="shared" si="39"/>
        <v>8.2191424417830099</v>
      </c>
      <c r="AH67" s="66">
        <f t="shared" si="47"/>
        <v>0</v>
      </c>
      <c r="AI67" s="66">
        <f t="shared" si="40"/>
        <v>0</v>
      </c>
      <c r="AJ67" s="66">
        <f t="shared" si="41"/>
        <v>0</v>
      </c>
      <c r="AK67" s="66">
        <f t="shared" si="48"/>
        <v>0</v>
      </c>
      <c r="AL67" s="66">
        <f t="shared" si="42"/>
        <v>0</v>
      </c>
      <c r="AM67" s="66">
        <f t="shared" si="43"/>
        <v>0</v>
      </c>
      <c r="AO67" s="2" t="b">
        <f t="shared" si="49"/>
        <v>1</v>
      </c>
      <c r="AQ67" s="2">
        <f t="shared" si="50"/>
        <v>41.095712208915046</v>
      </c>
    </row>
    <row r="68" spans="1:43" ht="13.5" customHeight="1" x14ac:dyDescent="0.25">
      <c r="D68" s="85" t="str">
        <f>ProjectedP205_Consumption!D47</f>
        <v>Oil palm fruit</v>
      </c>
      <c r="E68" s="106">
        <f>ProjectedP205_Consumption!K47</f>
        <v>6.2769876952291321</v>
      </c>
      <c r="F68" s="106">
        <f>ProjectedP205_Consumption!L47</f>
        <v>12.380840641987341</v>
      </c>
      <c r="G68" s="106">
        <f>ProjectedP205_Consumption!M47</f>
        <v>18.804990801189742</v>
      </c>
      <c r="I68" s="81">
        <v>1</v>
      </c>
      <c r="J68" s="81">
        <v>0.7</v>
      </c>
      <c r="K68" s="81">
        <v>0.3</v>
      </c>
      <c r="L68" s="81">
        <v>0</v>
      </c>
      <c r="M68" s="81">
        <f>30%</f>
        <v>0.3</v>
      </c>
      <c r="N68" s="81">
        <v>0.7</v>
      </c>
      <c r="O68" s="81">
        <v>0</v>
      </c>
      <c r="P68" s="81">
        <v>0</v>
      </c>
      <c r="Q68" s="81">
        <v>0</v>
      </c>
      <c r="R68" s="81">
        <v>0</v>
      </c>
      <c r="S68" s="81">
        <v>0</v>
      </c>
      <c r="T68" s="81">
        <v>0</v>
      </c>
      <c r="U68" s="81">
        <v>0</v>
      </c>
      <c r="V68" s="81">
        <v>0</v>
      </c>
      <c r="W68" s="81">
        <v>0</v>
      </c>
      <c r="Y68" s="66">
        <f t="shared" si="44"/>
        <v>13.645625424411156</v>
      </c>
      <c r="Z68" s="66">
        <f t="shared" si="34"/>
        <v>18.840409672589431</v>
      </c>
      <c r="AA68" s="66">
        <f t="shared" si="35"/>
        <v>12.264124435558525</v>
      </c>
      <c r="AB68" s="66">
        <f t="shared" si="45"/>
        <v>0</v>
      </c>
      <c r="AC68" s="66">
        <f t="shared" si="36"/>
        <v>8.0744612882526123</v>
      </c>
      <c r="AD68" s="66">
        <f t="shared" si="37"/>
        <v>28.616290349636561</v>
      </c>
      <c r="AE68" s="66">
        <f t="shared" si="46"/>
        <v>0</v>
      </c>
      <c r="AF68" s="66">
        <f t="shared" si="38"/>
        <v>0</v>
      </c>
      <c r="AG68" s="66">
        <f t="shared" si="39"/>
        <v>0</v>
      </c>
      <c r="AH68" s="66">
        <f t="shared" si="47"/>
        <v>0</v>
      </c>
      <c r="AI68" s="66">
        <f t="shared" si="40"/>
        <v>0</v>
      </c>
      <c r="AJ68" s="66">
        <f t="shared" si="41"/>
        <v>0</v>
      </c>
      <c r="AK68" s="66">
        <f t="shared" si="48"/>
        <v>0</v>
      </c>
      <c r="AL68" s="66">
        <f t="shared" si="42"/>
        <v>0</v>
      </c>
      <c r="AM68" s="66">
        <f t="shared" si="43"/>
        <v>0</v>
      </c>
      <c r="AO68" s="2" t="b">
        <f t="shared" si="49"/>
        <v>1</v>
      </c>
      <c r="AQ68" s="2">
        <f t="shared" si="50"/>
        <v>40.880414785195086</v>
      </c>
    </row>
    <row r="69" spans="1:43" ht="13.5" customHeight="1" outlineLevel="1" x14ac:dyDescent="0.25">
      <c r="D69" s="85" t="str">
        <f>ProjectedP205_Consumption!D48</f>
        <v>Millet</v>
      </c>
      <c r="E69" s="106">
        <f>ProjectedP205_Consumption!K48</f>
        <v>4.1450591833394084</v>
      </c>
      <c r="F69" s="106">
        <f>ProjectedP205_Consumption!L48</f>
        <v>4.2556504284710774</v>
      </c>
      <c r="G69" s="106">
        <f>ProjectedP205_Consumption!M48</f>
        <v>4.3691922764672197</v>
      </c>
      <c r="I69" s="81">
        <v>1</v>
      </c>
      <c r="J69" s="81">
        <v>0.7</v>
      </c>
      <c r="K69" s="81">
        <v>0.3</v>
      </c>
      <c r="L69" s="81">
        <v>0</v>
      </c>
      <c r="M69" s="81">
        <f>30%</f>
        <v>0.3</v>
      </c>
      <c r="N69" s="81">
        <v>0.7</v>
      </c>
      <c r="O69" s="81">
        <v>0</v>
      </c>
      <c r="P69" s="81">
        <v>0</v>
      </c>
      <c r="Q69" s="81">
        <v>0</v>
      </c>
      <c r="R69" s="81">
        <v>0</v>
      </c>
      <c r="S69" s="81">
        <v>0</v>
      </c>
      <c r="T69" s="81">
        <v>0</v>
      </c>
      <c r="U69" s="81">
        <v>0</v>
      </c>
      <c r="V69" s="81">
        <v>0</v>
      </c>
      <c r="W69" s="81">
        <v>0</v>
      </c>
      <c r="Y69" s="66">
        <f t="shared" si="44"/>
        <v>9.0109982246508871</v>
      </c>
      <c r="Z69" s="66">
        <f t="shared" si="34"/>
        <v>6.4759897824559864</v>
      </c>
      <c r="AA69" s="66">
        <f t="shared" si="35"/>
        <v>2.8494732237829692</v>
      </c>
      <c r="AB69" s="66">
        <f t="shared" si="45"/>
        <v>0</v>
      </c>
      <c r="AC69" s="66">
        <f t="shared" si="36"/>
        <v>2.7754241924811374</v>
      </c>
      <c r="AD69" s="66">
        <f t="shared" si="37"/>
        <v>6.6487708554935949</v>
      </c>
      <c r="AE69" s="66">
        <f t="shared" si="46"/>
        <v>0</v>
      </c>
      <c r="AF69" s="66">
        <f t="shared" si="38"/>
        <v>0</v>
      </c>
      <c r="AG69" s="66">
        <f t="shared" si="39"/>
        <v>0</v>
      </c>
      <c r="AH69" s="66">
        <f t="shared" si="47"/>
        <v>0</v>
      </c>
      <c r="AI69" s="66">
        <f t="shared" si="40"/>
        <v>0</v>
      </c>
      <c r="AJ69" s="66">
        <f t="shared" si="41"/>
        <v>0</v>
      </c>
      <c r="AK69" s="66">
        <f t="shared" si="48"/>
        <v>0</v>
      </c>
      <c r="AL69" s="66">
        <f t="shared" si="42"/>
        <v>0</v>
      </c>
      <c r="AM69" s="66">
        <f t="shared" si="43"/>
        <v>0</v>
      </c>
      <c r="AO69" s="2" t="b">
        <f t="shared" si="49"/>
        <v>1</v>
      </c>
      <c r="AQ69" s="2">
        <f t="shared" si="50"/>
        <v>9.4982440792765637</v>
      </c>
    </row>
    <row r="70" spans="1:43" ht="13.5" customHeight="1" outlineLevel="1" x14ac:dyDescent="0.25">
      <c r="D70" s="85" t="str">
        <f>ProjectedP205_Consumption!D49</f>
        <v>Sweet potatoes</v>
      </c>
      <c r="E70" s="106">
        <f>ProjectedP205_Consumption!K49</f>
        <v>1.1409642208917856</v>
      </c>
      <c r="F70" s="106">
        <f>ProjectedP205_Consumption!L49</f>
        <v>2.4340856715899988</v>
      </c>
      <c r="G70" s="106">
        <f>ProjectedP205_Consumption!M49</f>
        <v>3.725780273976278</v>
      </c>
      <c r="I70" s="81">
        <v>1</v>
      </c>
      <c r="J70" s="81">
        <v>0.7</v>
      </c>
      <c r="K70" s="81">
        <v>0.3</v>
      </c>
      <c r="L70" s="81">
        <v>0</v>
      </c>
      <c r="M70" s="81">
        <f>30%</f>
        <v>0.3</v>
      </c>
      <c r="N70" s="81">
        <v>0.7</v>
      </c>
      <c r="O70" s="81">
        <v>0</v>
      </c>
      <c r="P70" s="81">
        <v>0</v>
      </c>
      <c r="Q70" s="81">
        <v>0</v>
      </c>
      <c r="R70" s="81">
        <v>0</v>
      </c>
      <c r="S70" s="81">
        <v>0</v>
      </c>
      <c r="T70" s="81">
        <v>0</v>
      </c>
      <c r="U70" s="81">
        <v>0</v>
      </c>
      <c r="V70" s="81">
        <v>0</v>
      </c>
      <c r="W70" s="81">
        <v>0</v>
      </c>
      <c r="Y70" s="66">
        <f t="shared" si="44"/>
        <v>2.4803570019386645</v>
      </c>
      <c r="Z70" s="66">
        <f t="shared" si="34"/>
        <v>3.7040434132891282</v>
      </c>
      <c r="AA70" s="66">
        <f t="shared" si="35"/>
        <v>2.4298567004193115</v>
      </c>
      <c r="AB70" s="66">
        <f t="shared" si="45"/>
        <v>0</v>
      </c>
      <c r="AC70" s="66">
        <f t="shared" si="36"/>
        <v>1.587447177123912</v>
      </c>
      <c r="AD70" s="66">
        <f t="shared" si="37"/>
        <v>5.6696656343117269</v>
      </c>
      <c r="AE70" s="66">
        <f t="shared" si="46"/>
        <v>0</v>
      </c>
      <c r="AF70" s="66">
        <f t="shared" si="38"/>
        <v>0</v>
      </c>
      <c r="AG70" s="66">
        <f t="shared" si="39"/>
        <v>0</v>
      </c>
      <c r="AH70" s="66">
        <f t="shared" si="47"/>
        <v>0</v>
      </c>
      <c r="AI70" s="66">
        <f t="shared" si="40"/>
        <v>0</v>
      </c>
      <c r="AJ70" s="66">
        <f t="shared" si="41"/>
        <v>0</v>
      </c>
      <c r="AK70" s="66">
        <f t="shared" si="48"/>
        <v>0</v>
      </c>
      <c r="AL70" s="66">
        <f t="shared" si="42"/>
        <v>0</v>
      </c>
      <c r="AM70" s="66">
        <f t="shared" si="43"/>
        <v>0</v>
      </c>
      <c r="AO70" s="2" t="b">
        <f t="shared" si="49"/>
        <v>1</v>
      </c>
      <c r="AQ70" s="2">
        <f t="shared" si="50"/>
        <v>8.0995223347310379</v>
      </c>
    </row>
    <row r="71" spans="1:43" ht="13.5" customHeight="1" outlineLevel="1" x14ac:dyDescent="0.25">
      <c r="D71" s="85" t="str">
        <f>ProjectedP205_Consumption!D50</f>
        <v>Okra</v>
      </c>
      <c r="E71" s="106">
        <f>ProjectedP205_Consumption!K50</f>
        <v>2.4269661187709319</v>
      </c>
      <c r="F71" s="106">
        <f>ProjectedP205_Consumption!L50</f>
        <v>8.4004046892030537</v>
      </c>
      <c r="G71" s="106">
        <f>ProjectedP205_Consumption!M50</f>
        <v>14.794892206326718</v>
      </c>
      <c r="I71" s="81">
        <v>1</v>
      </c>
      <c r="J71" s="81">
        <v>0.7</v>
      </c>
      <c r="K71" s="81">
        <v>0.3</v>
      </c>
      <c r="L71" s="81">
        <v>0</v>
      </c>
      <c r="M71" s="81">
        <f>30%</f>
        <v>0.3</v>
      </c>
      <c r="N71" s="81">
        <v>0.7</v>
      </c>
      <c r="O71" s="81">
        <v>0</v>
      </c>
      <c r="P71" s="81">
        <v>0</v>
      </c>
      <c r="Q71" s="81">
        <v>0</v>
      </c>
      <c r="R71" s="81">
        <v>0</v>
      </c>
      <c r="S71" s="81">
        <v>0</v>
      </c>
      <c r="T71" s="81">
        <v>0</v>
      </c>
      <c r="U71" s="81">
        <v>0</v>
      </c>
      <c r="V71" s="81">
        <v>0</v>
      </c>
      <c r="W71" s="81">
        <v>0</v>
      </c>
      <c r="Y71" s="66">
        <f t="shared" si="44"/>
        <v>5.2760133016759392</v>
      </c>
      <c r="Z71" s="66">
        <f t="shared" si="34"/>
        <v>12.783224527048125</v>
      </c>
      <c r="AA71" s="66">
        <f t="shared" si="35"/>
        <v>9.6488427432565551</v>
      </c>
      <c r="AB71" s="66">
        <f t="shared" si="45"/>
        <v>0</v>
      </c>
      <c r="AC71" s="66">
        <f t="shared" si="36"/>
        <v>5.4785247973063393</v>
      </c>
      <c r="AD71" s="66">
        <f t="shared" si="37"/>
        <v>22.51396640093196</v>
      </c>
      <c r="AE71" s="66">
        <f t="shared" si="46"/>
        <v>0</v>
      </c>
      <c r="AF71" s="66">
        <f t="shared" si="38"/>
        <v>0</v>
      </c>
      <c r="AG71" s="66">
        <f t="shared" si="39"/>
        <v>0</v>
      </c>
      <c r="AH71" s="66">
        <f t="shared" si="47"/>
        <v>0</v>
      </c>
      <c r="AI71" s="66">
        <f t="shared" si="40"/>
        <v>0</v>
      </c>
      <c r="AJ71" s="66">
        <f t="shared" si="41"/>
        <v>0</v>
      </c>
      <c r="AK71" s="66">
        <f t="shared" si="48"/>
        <v>0</v>
      </c>
      <c r="AL71" s="66">
        <f t="shared" si="42"/>
        <v>0</v>
      </c>
      <c r="AM71" s="66">
        <f t="shared" si="43"/>
        <v>0</v>
      </c>
      <c r="AO71" s="2" t="b">
        <f t="shared" si="49"/>
        <v>1</v>
      </c>
      <c r="AQ71" s="2">
        <f t="shared" si="50"/>
        <v>32.162809144188515</v>
      </c>
    </row>
    <row r="72" spans="1:43" ht="13.5" customHeight="1" outlineLevel="1" x14ac:dyDescent="0.25">
      <c r="D72" s="85" t="str">
        <f>ProjectedP205_Consumption!D51</f>
        <v>Soya beans</v>
      </c>
      <c r="E72" s="106">
        <f>ProjectedP205_Consumption!K51</f>
        <v>1.8662423492639004</v>
      </c>
      <c r="F72" s="106">
        <f>ProjectedP205_Consumption!L51</f>
        <v>1.8642880440458349</v>
      </c>
      <c r="G72" s="106">
        <f>ProjectedP205_Consumption!M51</f>
        <v>1.862018126023099</v>
      </c>
      <c r="I72" s="81">
        <v>1</v>
      </c>
      <c r="J72" s="81">
        <v>0.7</v>
      </c>
      <c r="K72" s="81">
        <v>0.3</v>
      </c>
      <c r="L72" s="81">
        <v>0</v>
      </c>
      <c r="M72" s="81">
        <f>30%</f>
        <v>0.3</v>
      </c>
      <c r="N72" s="81">
        <v>0.7</v>
      </c>
      <c r="O72" s="81">
        <v>0</v>
      </c>
      <c r="P72" s="81">
        <v>0</v>
      </c>
      <c r="Q72" s="81">
        <v>0</v>
      </c>
      <c r="R72" s="81">
        <v>0</v>
      </c>
      <c r="S72" s="81">
        <v>0</v>
      </c>
      <c r="T72" s="81">
        <v>0</v>
      </c>
      <c r="U72" s="81">
        <v>0</v>
      </c>
      <c r="V72" s="81">
        <v>0</v>
      </c>
      <c r="W72" s="81">
        <v>0</v>
      </c>
      <c r="Y72" s="66">
        <f t="shared" si="44"/>
        <v>4.0570485853563047</v>
      </c>
      <c r="Z72" s="66">
        <f t="shared" si="34"/>
        <v>2.8369600670262702</v>
      </c>
      <c r="AA72" s="66">
        <f t="shared" si="35"/>
        <v>1.2143596474063689</v>
      </c>
      <c r="AB72" s="66">
        <f t="shared" si="45"/>
        <v>0</v>
      </c>
      <c r="AC72" s="66">
        <f t="shared" si="36"/>
        <v>1.2158400287255444</v>
      </c>
      <c r="AD72" s="66">
        <f t="shared" si="37"/>
        <v>2.8335058439481937</v>
      </c>
      <c r="AE72" s="66">
        <f t="shared" si="46"/>
        <v>0</v>
      </c>
      <c r="AF72" s="66">
        <f t="shared" si="38"/>
        <v>0</v>
      </c>
      <c r="AG72" s="66">
        <f t="shared" si="39"/>
        <v>0</v>
      </c>
      <c r="AH72" s="66">
        <f t="shared" si="47"/>
        <v>0</v>
      </c>
      <c r="AI72" s="66">
        <f t="shared" si="40"/>
        <v>0</v>
      </c>
      <c r="AJ72" s="66">
        <f t="shared" si="41"/>
        <v>0</v>
      </c>
      <c r="AK72" s="66">
        <f t="shared" si="48"/>
        <v>0</v>
      </c>
      <c r="AL72" s="66">
        <f t="shared" si="42"/>
        <v>0</v>
      </c>
      <c r="AM72" s="66">
        <f t="shared" si="43"/>
        <v>0</v>
      </c>
      <c r="AO72" s="2" t="b">
        <f t="shared" si="49"/>
        <v>1</v>
      </c>
      <c r="AQ72" s="2">
        <f t="shared" si="50"/>
        <v>4.0478654913545622</v>
      </c>
    </row>
    <row r="73" spans="1:43" ht="13.5" customHeight="1" outlineLevel="1" x14ac:dyDescent="0.25">
      <c r="A73" s="7"/>
      <c r="B73" s="7"/>
      <c r="D73" s="85" t="str">
        <f>ProjectedP205_Consumption!D52</f>
        <v>Cocoa beans</v>
      </c>
      <c r="E73" s="106">
        <f>ProjectedP205_Consumption!K52</f>
        <v>1.7372919243066482</v>
      </c>
      <c r="F73" s="106">
        <f>ProjectedP205_Consumption!L52</f>
        <v>7.5193509671439642</v>
      </c>
      <c r="G73" s="106">
        <f>ProjectedP205_Consumption!M52</f>
        <v>13.795756193227628</v>
      </c>
      <c r="I73" s="81">
        <v>1</v>
      </c>
      <c r="J73" s="81">
        <v>0.7</v>
      </c>
      <c r="K73" s="81">
        <v>0.3</v>
      </c>
      <c r="L73" s="81">
        <v>0</v>
      </c>
      <c r="M73" s="81">
        <f>30%</f>
        <v>0.3</v>
      </c>
      <c r="N73" s="81">
        <v>0.7</v>
      </c>
      <c r="O73" s="81">
        <v>0</v>
      </c>
      <c r="P73" s="81">
        <v>0</v>
      </c>
      <c r="Q73" s="81">
        <v>0</v>
      </c>
      <c r="R73" s="81">
        <v>0</v>
      </c>
      <c r="S73" s="81">
        <v>0</v>
      </c>
      <c r="T73" s="81">
        <v>0</v>
      </c>
      <c r="U73" s="81">
        <v>0</v>
      </c>
      <c r="V73" s="81">
        <v>0</v>
      </c>
      <c r="W73" s="81">
        <v>0</v>
      </c>
      <c r="Y73" s="66">
        <f t="shared" si="44"/>
        <v>3.7767215745796698</v>
      </c>
      <c r="Z73" s="66">
        <f t="shared" si="34"/>
        <v>11.442490602175596</v>
      </c>
      <c r="AA73" s="66">
        <f t="shared" si="35"/>
        <v>8.9972322999310617</v>
      </c>
      <c r="AB73" s="66">
        <f t="shared" si="45"/>
        <v>0</v>
      </c>
      <c r="AC73" s="66">
        <f t="shared" si="36"/>
        <v>4.9039245437895413</v>
      </c>
      <c r="AD73" s="66">
        <f t="shared" si="37"/>
        <v>20.993542033172478</v>
      </c>
      <c r="AE73" s="66">
        <f t="shared" si="46"/>
        <v>0</v>
      </c>
      <c r="AF73" s="66">
        <f t="shared" si="38"/>
        <v>0</v>
      </c>
      <c r="AG73" s="66">
        <f t="shared" si="39"/>
        <v>0</v>
      </c>
      <c r="AH73" s="66">
        <f t="shared" si="47"/>
        <v>0</v>
      </c>
      <c r="AI73" s="66">
        <f t="shared" si="40"/>
        <v>0</v>
      </c>
      <c r="AJ73" s="66">
        <f t="shared" si="41"/>
        <v>0</v>
      </c>
      <c r="AK73" s="66">
        <f t="shared" si="48"/>
        <v>0</v>
      </c>
      <c r="AL73" s="66">
        <f t="shared" si="42"/>
        <v>0</v>
      </c>
      <c r="AM73" s="66">
        <f t="shared" si="43"/>
        <v>0</v>
      </c>
      <c r="AO73" s="2" t="b">
        <f t="shared" si="49"/>
        <v>1</v>
      </c>
      <c r="AQ73" s="2">
        <f t="shared" si="50"/>
        <v>29.990774333103538</v>
      </c>
    </row>
    <row r="74" spans="1:43" ht="13.5" customHeight="1" outlineLevel="1" x14ac:dyDescent="0.25">
      <c r="A74" s="7"/>
      <c r="B74" s="7"/>
      <c r="D74" s="85" t="str">
        <f>ProjectedP205_Consumption!D53</f>
        <v>Melonseed</v>
      </c>
      <c r="E74" s="106">
        <f>ProjectedP205_Consumption!K53</f>
        <v>1.3559247771648448</v>
      </c>
      <c r="F74" s="106">
        <f>ProjectedP205_Consumption!L53</f>
        <v>4.4854697097934153</v>
      </c>
      <c r="G74" s="106">
        <f>ProjectedP205_Consumption!M53</f>
        <v>7.5501461962984253</v>
      </c>
      <c r="I74" s="81">
        <v>1</v>
      </c>
      <c r="J74" s="81">
        <v>0.7</v>
      </c>
      <c r="K74" s="81">
        <v>0.3</v>
      </c>
      <c r="L74" s="81">
        <v>0</v>
      </c>
      <c r="M74" s="81">
        <f>30%</f>
        <v>0.3</v>
      </c>
      <c r="N74" s="81">
        <v>0.7</v>
      </c>
      <c r="O74" s="81">
        <v>0</v>
      </c>
      <c r="P74" s="81">
        <v>0</v>
      </c>
      <c r="Q74" s="81">
        <v>0</v>
      </c>
      <c r="R74" s="81">
        <v>0</v>
      </c>
      <c r="S74" s="81">
        <v>0</v>
      </c>
      <c r="T74" s="81">
        <v>0</v>
      </c>
      <c r="U74" s="81">
        <v>0</v>
      </c>
      <c r="V74" s="81">
        <v>0</v>
      </c>
      <c r="W74" s="81">
        <v>0</v>
      </c>
      <c r="Y74" s="66">
        <f t="shared" si="44"/>
        <v>2.9476625590540104</v>
      </c>
      <c r="Z74" s="66">
        <f t="shared" si="34"/>
        <v>6.825714775772588</v>
      </c>
      <c r="AA74" s="66">
        <f t="shared" si="35"/>
        <v>4.924008388890277</v>
      </c>
      <c r="AB74" s="66">
        <f t="shared" si="45"/>
        <v>0</v>
      </c>
      <c r="AC74" s="66">
        <f t="shared" si="36"/>
        <v>2.9253063324739661</v>
      </c>
      <c r="AD74" s="66">
        <f t="shared" si="37"/>
        <v>11.489352907410646</v>
      </c>
      <c r="AE74" s="66">
        <f t="shared" si="46"/>
        <v>0</v>
      </c>
      <c r="AF74" s="66">
        <f t="shared" si="38"/>
        <v>0</v>
      </c>
      <c r="AG74" s="66">
        <f t="shared" si="39"/>
        <v>0</v>
      </c>
      <c r="AH74" s="66">
        <f t="shared" si="47"/>
        <v>0</v>
      </c>
      <c r="AI74" s="66">
        <f t="shared" si="40"/>
        <v>0</v>
      </c>
      <c r="AJ74" s="66">
        <f t="shared" si="41"/>
        <v>0</v>
      </c>
      <c r="AK74" s="66">
        <f t="shared" si="48"/>
        <v>0</v>
      </c>
      <c r="AL74" s="66">
        <f t="shared" si="42"/>
        <v>0</v>
      </c>
      <c r="AM74" s="66">
        <f t="shared" si="43"/>
        <v>0</v>
      </c>
      <c r="AO74" s="2" t="b">
        <f t="shared" si="49"/>
        <v>1</v>
      </c>
      <c r="AQ74" s="2">
        <f t="shared" si="50"/>
        <v>16.413361296300923</v>
      </c>
    </row>
    <row r="75" spans="1:43" ht="13.5" customHeight="1" outlineLevel="1" x14ac:dyDescent="0.25">
      <c r="A75" s="7"/>
      <c r="B75" s="7"/>
      <c r="D75" s="85" t="str">
        <f>ProjectedP205_Consumption!D54</f>
        <v>Other citrus fruit, n.e.c.</v>
      </c>
      <c r="E75" s="106">
        <f>ProjectedP205_Consumption!K54</f>
        <v>1.3041780336792523</v>
      </c>
      <c r="F75" s="106">
        <f>ProjectedP205_Consumption!L54</f>
        <v>4.3924999737315096</v>
      </c>
      <c r="G75" s="106">
        <f>ProjectedP205_Consumption!M54</f>
        <v>7.5276905107997809</v>
      </c>
      <c r="I75" s="81">
        <v>1</v>
      </c>
      <c r="J75" s="81">
        <v>0.7</v>
      </c>
      <c r="K75" s="81">
        <v>0.3</v>
      </c>
      <c r="L75" s="81">
        <v>0</v>
      </c>
      <c r="M75" s="81">
        <f>30%</f>
        <v>0.3</v>
      </c>
      <c r="N75" s="81">
        <v>0.7</v>
      </c>
      <c r="O75" s="81">
        <v>0</v>
      </c>
      <c r="P75" s="81">
        <v>0</v>
      </c>
      <c r="Q75" s="81">
        <v>0</v>
      </c>
      <c r="R75" s="81">
        <v>0</v>
      </c>
      <c r="S75" s="81">
        <v>0</v>
      </c>
      <c r="T75" s="81">
        <v>0</v>
      </c>
      <c r="U75" s="81">
        <v>0</v>
      </c>
      <c r="V75" s="81">
        <v>0</v>
      </c>
      <c r="W75" s="81">
        <v>0</v>
      </c>
      <c r="Y75" s="66">
        <f t="shared" si="44"/>
        <v>2.8351696384331571</v>
      </c>
      <c r="Z75" s="66">
        <f t="shared" si="34"/>
        <v>6.6842390904609923</v>
      </c>
      <c r="AA75" s="66">
        <f t="shared" si="35"/>
        <v>4.9093633766085532</v>
      </c>
      <c r="AB75" s="66">
        <f t="shared" si="45"/>
        <v>0</v>
      </c>
      <c r="AC75" s="66">
        <f t="shared" si="36"/>
        <v>2.8646738959118538</v>
      </c>
      <c r="AD75" s="66">
        <f t="shared" si="37"/>
        <v>11.455181212086622</v>
      </c>
      <c r="AE75" s="66">
        <f t="shared" si="46"/>
        <v>0</v>
      </c>
      <c r="AF75" s="66">
        <f t="shared" si="38"/>
        <v>0</v>
      </c>
      <c r="AG75" s="66">
        <f t="shared" si="39"/>
        <v>0</v>
      </c>
      <c r="AH75" s="66">
        <f t="shared" si="47"/>
        <v>0</v>
      </c>
      <c r="AI75" s="66">
        <f t="shared" si="40"/>
        <v>0</v>
      </c>
      <c r="AJ75" s="66">
        <f t="shared" si="41"/>
        <v>0</v>
      </c>
      <c r="AK75" s="66">
        <f t="shared" si="48"/>
        <v>0</v>
      </c>
      <c r="AL75" s="66">
        <f t="shared" si="42"/>
        <v>0</v>
      </c>
      <c r="AM75" s="66">
        <f t="shared" si="43"/>
        <v>0</v>
      </c>
      <c r="AO75" s="2" t="b">
        <f t="shared" si="49"/>
        <v>1</v>
      </c>
      <c r="AQ75" s="2">
        <f t="shared" si="50"/>
        <v>16.364544588695175</v>
      </c>
    </row>
    <row r="76" spans="1:43" ht="13.5" customHeight="1" x14ac:dyDescent="0.25">
      <c r="A76" s="7"/>
      <c r="B76" s="7"/>
      <c r="D76" s="85" t="str">
        <f>ProjectedP205_Consumption!D55</f>
        <v>Tomatoes</v>
      </c>
      <c r="E76" s="106">
        <f>ProjectedP205_Consumption!K55</f>
        <v>1.4019648173081347</v>
      </c>
      <c r="F76" s="106">
        <f>ProjectedP205_Consumption!L55</f>
        <v>4.9092459893521676</v>
      </c>
      <c r="G76" s="106">
        <f>ProjectedP205_Consumption!M55</f>
        <v>8.7471701471474983</v>
      </c>
      <c r="I76" s="81">
        <v>1</v>
      </c>
      <c r="J76" s="81">
        <v>0.7</v>
      </c>
      <c r="K76" s="81">
        <v>0.3</v>
      </c>
      <c r="L76" s="81">
        <v>0</v>
      </c>
      <c r="M76" s="81">
        <f>30%</f>
        <v>0.3</v>
      </c>
      <c r="N76" s="81">
        <v>0.7</v>
      </c>
      <c r="O76" s="81">
        <v>0</v>
      </c>
      <c r="P76" s="81">
        <v>0</v>
      </c>
      <c r="Q76" s="81">
        <v>0</v>
      </c>
      <c r="R76" s="81">
        <v>0</v>
      </c>
      <c r="S76" s="81">
        <v>0</v>
      </c>
      <c r="T76" s="81">
        <v>0</v>
      </c>
      <c r="U76" s="81">
        <v>0</v>
      </c>
      <c r="V76" s="81">
        <v>0</v>
      </c>
      <c r="W76" s="81">
        <v>0</v>
      </c>
      <c r="Y76" s="66">
        <f t="shared" si="44"/>
        <v>3.0477496028437709</v>
      </c>
      <c r="Z76" s="66">
        <f t="shared" si="34"/>
        <v>7.4705917229272112</v>
      </c>
      <c r="AA76" s="66">
        <f t="shared" si="35"/>
        <v>5.704676182922281</v>
      </c>
      <c r="AB76" s="66">
        <f t="shared" si="45"/>
        <v>0</v>
      </c>
      <c r="AC76" s="66">
        <f t="shared" si="36"/>
        <v>3.2016821669688049</v>
      </c>
      <c r="AD76" s="66">
        <f t="shared" si="37"/>
        <v>13.310911093485323</v>
      </c>
      <c r="AE76" s="66">
        <f t="shared" si="46"/>
        <v>0</v>
      </c>
      <c r="AF76" s="66">
        <f t="shared" si="38"/>
        <v>0</v>
      </c>
      <c r="AG76" s="66">
        <f t="shared" si="39"/>
        <v>0</v>
      </c>
      <c r="AH76" s="66">
        <f t="shared" si="47"/>
        <v>0</v>
      </c>
      <c r="AI76" s="66">
        <f t="shared" si="40"/>
        <v>0</v>
      </c>
      <c r="AJ76" s="66">
        <f t="shared" si="41"/>
        <v>0</v>
      </c>
      <c r="AK76" s="66">
        <f t="shared" si="48"/>
        <v>0</v>
      </c>
      <c r="AL76" s="66">
        <f t="shared" si="42"/>
        <v>0</v>
      </c>
      <c r="AM76" s="66">
        <f t="shared" si="43"/>
        <v>0</v>
      </c>
      <c r="AO76" s="2" t="b">
        <f t="shared" si="49"/>
        <v>1</v>
      </c>
      <c r="AQ76" s="2">
        <f t="shared" si="50"/>
        <v>19.015587276407604</v>
      </c>
    </row>
    <row r="77" spans="1:43" ht="13.2" customHeight="1" x14ac:dyDescent="0.3">
      <c r="A77" s="7"/>
      <c r="B77" s="51"/>
      <c r="D77" s="85" t="str">
        <f>ProjectedP205_Consumption!D56</f>
        <v>Taro</v>
      </c>
      <c r="E77" s="106">
        <f>ProjectedP205_Consumption!K56</f>
        <v>1.2654828820173227</v>
      </c>
      <c r="F77" s="106">
        <f>ProjectedP205_Consumption!L56</f>
        <v>1.6878890001180176</v>
      </c>
      <c r="G77" s="106">
        <f>ProjectedP205_Consumption!M56</f>
        <v>2.1206925451573455</v>
      </c>
      <c r="I77" s="81">
        <v>1</v>
      </c>
      <c r="J77" s="81">
        <v>0.7</v>
      </c>
      <c r="K77" s="81">
        <v>0.3</v>
      </c>
      <c r="L77" s="81">
        <v>0</v>
      </c>
      <c r="M77" s="81">
        <f>30%</f>
        <v>0.3</v>
      </c>
      <c r="N77" s="81">
        <v>0.7</v>
      </c>
      <c r="O77" s="81">
        <v>0</v>
      </c>
      <c r="P77" s="81">
        <v>0</v>
      </c>
      <c r="Q77" s="81">
        <v>0</v>
      </c>
      <c r="R77" s="81">
        <v>0</v>
      </c>
      <c r="S77" s="81">
        <v>0</v>
      </c>
      <c r="T77" s="81">
        <v>0</v>
      </c>
      <c r="U77" s="81">
        <v>0</v>
      </c>
      <c r="V77" s="81">
        <v>0</v>
      </c>
      <c r="W77" s="81">
        <v>0</v>
      </c>
      <c r="Y77" s="66">
        <f t="shared" si="44"/>
        <v>2.7510497435159187</v>
      </c>
      <c r="Z77" s="66">
        <f t="shared" si="34"/>
        <v>2.5685267393100264</v>
      </c>
      <c r="AA77" s="66">
        <f t="shared" si="35"/>
        <v>1.3830603555373993</v>
      </c>
      <c r="AB77" s="66">
        <f t="shared" si="45"/>
        <v>0</v>
      </c>
      <c r="AC77" s="66">
        <f t="shared" si="36"/>
        <v>1.1007971739900115</v>
      </c>
      <c r="AD77" s="66">
        <f t="shared" si="37"/>
        <v>3.2271408295872646</v>
      </c>
      <c r="AE77" s="66">
        <f t="shared" si="46"/>
        <v>0</v>
      </c>
      <c r="AF77" s="66">
        <f t="shared" si="38"/>
        <v>0</v>
      </c>
      <c r="AG77" s="66">
        <f t="shared" si="39"/>
        <v>0</v>
      </c>
      <c r="AH77" s="66">
        <f t="shared" si="47"/>
        <v>0</v>
      </c>
      <c r="AI77" s="66">
        <f t="shared" si="40"/>
        <v>0</v>
      </c>
      <c r="AJ77" s="66">
        <f t="shared" si="41"/>
        <v>0</v>
      </c>
      <c r="AK77" s="66">
        <f t="shared" si="48"/>
        <v>0</v>
      </c>
      <c r="AL77" s="66">
        <f t="shared" si="42"/>
        <v>0</v>
      </c>
      <c r="AM77" s="66">
        <f t="shared" si="43"/>
        <v>0</v>
      </c>
      <c r="AO77" s="2" t="b">
        <f t="shared" si="49"/>
        <v>1</v>
      </c>
      <c r="AQ77" s="2">
        <f t="shared" si="50"/>
        <v>4.610201185124664</v>
      </c>
    </row>
    <row r="78" spans="1:43" ht="13.5" customHeight="1" x14ac:dyDescent="0.25">
      <c r="A78" s="7"/>
      <c r="B78" s="7"/>
      <c r="D78" s="85" t="str">
        <f>ProjectedP205_Consumption!D57</f>
        <v>Other vegetables, fresh n.e.c.</v>
      </c>
      <c r="E78" s="106">
        <f>ProjectedP205_Consumption!K57</f>
        <v>1.1339168684980132</v>
      </c>
      <c r="F78" s="106">
        <f>ProjectedP205_Consumption!L57</f>
        <v>3.792153829400001</v>
      </c>
      <c r="G78" s="106">
        <f>ProjectedP205_Consumption!M57</f>
        <v>6.4530611101884254</v>
      </c>
      <c r="I78" s="81">
        <v>1</v>
      </c>
      <c r="J78" s="81">
        <v>0.7</v>
      </c>
      <c r="K78" s="81">
        <v>0.3</v>
      </c>
      <c r="L78" s="81">
        <v>0</v>
      </c>
      <c r="M78" s="81">
        <f>30%</f>
        <v>0.3</v>
      </c>
      <c r="N78" s="81">
        <v>0.7</v>
      </c>
      <c r="O78" s="81">
        <v>0</v>
      </c>
      <c r="P78" s="81">
        <v>0</v>
      </c>
      <c r="Q78" s="81">
        <v>0</v>
      </c>
      <c r="R78" s="81">
        <v>0</v>
      </c>
      <c r="S78" s="81">
        <v>0</v>
      </c>
      <c r="T78" s="81">
        <v>0</v>
      </c>
      <c r="U78" s="81">
        <v>0</v>
      </c>
      <c r="V78" s="81">
        <v>0</v>
      </c>
      <c r="W78" s="81">
        <v>0</v>
      </c>
      <c r="Y78" s="66">
        <f t="shared" si="44"/>
        <v>2.4650366706478546</v>
      </c>
      <c r="Z78" s="66">
        <f t="shared" si="34"/>
        <v>5.7706688708260883</v>
      </c>
      <c r="AA78" s="66">
        <f t="shared" si="35"/>
        <v>4.2085181153402766</v>
      </c>
      <c r="AB78" s="66">
        <f t="shared" si="45"/>
        <v>0</v>
      </c>
      <c r="AC78" s="66">
        <f t="shared" si="36"/>
        <v>2.4731438017826091</v>
      </c>
      <c r="AD78" s="66">
        <f t="shared" si="37"/>
        <v>9.8198756024606464</v>
      </c>
      <c r="AE78" s="66">
        <f t="shared" si="46"/>
        <v>0</v>
      </c>
      <c r="AF78" s="66">
        <f t="shared" si="38"/>
        <v>0</v>
      </c>
      <c r="AG78" s="66">
        <f t="shared" si="39"/>
        <v>0</v>
      </c>
      <c r="AH78" s="66">
        <f t="shared" si="47"/>
        <v>0</v>
      </c>
      <c r="AI78" s="66">
        <f t="shared" si="40"/>
        <v>0</v>
      </c>
      <c r="AJ78" s="66">
        <f t="shared" si="41"/>
        <v>0</v>
      </c>
      <c r="AK78" s="66">
        <f t="shared" si="48"/>
        <v>0</v>
      </c>
      <c r="AL78" s="66">
        <f t="shared" si="42"/>
        <v>0</v>
      </c>
      <c r="AM78" s="66">
        <f t="shared" si="43"/>
        <v>0</v>
      </c>
      <c r="AO78" s="2" t="b">
        <f t="shared" si="49"/>
        <v>1</v>
      </c>
      <c r="AQ78" s="2">
        <f t="shared" si="50"/>
        <v>14.028393717800924</v>
      </c>
    </row>
    <row r="79" spans="1:43" ht="13.5" customHeight="1" x14ac:dyDescent="0.25">
      <c r="A79" s="7"/>
      <c r="B79" s="7"/>
      <c r="D79" s="85" t="str">
        <f>ProjectedP205_Consumption!D58</f>
        <v>Onions and shallots, dry (excluding dehydrated)</v>
      </c>
      <c r="E79" s="106">
        <f>ProjectedP205_Consumption!K58</f>
        <v>1.2065952009580103</v>
      </c>
      <c r="F79" s="106">
        <f>ProjectedP205_Consumption!L58</f>
        <v>4.2905640165973349</v>
      </c>
      <c r="G79" s="106">
        <f>ProjectedP205_Consumption!M58</f>
        <v>7.7632269069645492</v>
      </c>
      <c r="I79" s="81">
        <v>1</v>
      </c>
      <c r="J79" s="81">
        <v>0.7</v>
      </c>
      <c r="K79" s="81">
        <v>0.3</v>
      </c>
      <c r="L79" s="81">
        <v>0</v>
      </c>
      <c r="M79" s="81">
        <f>30%</f>
        <v>0.3</v>
      </c>
      <c r="N79" s="81">
        <v>0.7</v>
      </c>
      <c r="O79" s="81">
        <v>0</v>
      </c>
      <c r="P79" s="81">
        <v>0</v>
      </c>
      <c r="Q79" s="81">
        <v>0</v>
      </c>
      <c r="R79" s="81">
        <v>0</v>
      </c>
      <c r="S79" s="81">
        <v>0</v>
      </c>
      <c r="T79" s="81">
        <v>0</v>
      </c>
      <c r="U79" s="81">
        <v>0</v>
      </c>
      <c r="V79" s="81">
        <v>0</v>
      </c>
      <c r="W79" s="81">
        <v>0</v>
      </c>
      <c r="Y79" s="66">
        <f t="shared" si="44"/>
        <v>2.6230330455608919</v>
      </c>
      <c r="Z79" s="66">
        <f t="shared" si="34"/>
        <v>6.5291191556915953</v>
      </c>
      <c r="AA79" s="66">
        <f t="shared" si="35"/>
        <v>5.0629740697594885</v>
      </c>
      <c r="AB79" s="66">
        <f t="shared" si="45"/>
        <v>0</v>
      </c>
      <c r="AC79" s="66">
        <f t="shared" si="36"/>
        <v>2.7981939238678271</v>
      </c>
      <c r="AD79" s="66">
        <f t="shared" si="37"/>
        <v>11.813606162772139</v>
      </c>
      <c r="AE79" s="66">
        <f t="shared" si="46"/>
        <v>0</v>
      </c>
      <c r="AF79" s="66">
        <f t="shared" si="38"/>
        <v>0</v>
      </c>
      <c r="AG79" s="66">
        <f t="shared" si="39"/>
        <v>0</v>
      </c>
      <c r="AH79" s="66">
        <f t="shared" si="47"/>
        <v>0</v>
      </c>
      <c r="AI79" s="66">
        <f t="shared" si="40"/>
        <v>0</v>
      </c>
      <c r="AJ79" s="66">
        <f t="shared" si="41"/>
        <v>0</v>
      </c>
      <c r="AK79" s="66">
        <f t="shared" si="48"/>
        <v>0</v>
      </c>
      <c r="AL79" s="66">
        <f t="shared" si="42"/>
        <v>0</v>
      </c>
      <c r="AM79" s="66">
        <f t="shared" si="43"/>
        <v>0</v>
      </c>
      <c r="AO79" s="2" t="b">
        <f t="shared" si="49"/>
        <v>1</v>
      </c>
      <c r="AQ79" s="2">
        <f t="shared" si="50"/>
        <v>16.876580232531627</v>
      </c>
    </row>
    <row r="80" spans="1:43" ht="13.5" customHeight="1" x14ac:dyDescent="0.25">
      <c r="A80" s="7"/>
      <c r="B80" s="7"/>
      <c r="D80" s="85" t="str">
        <f>ProjectedP205_Consumption!D59</f>
        <v>Sesame seed</v>
      </c>
      <c r="E80" s="106">
        <f>ProjectedP205_Consumption!K59</f>
        <v>0.52613171783238932</v>
      </c>
      <c r="F80" s="106">
        <f>ProjectedP205_Consumption!L59</f>
        <v>0.49131969085007982</v>
      </c>
      <c r="G80" s="106">
        <f>ProjectedP205_Consumption!M59</f>
        <v>0.45386321655159817</v>
      </c>
      <c r="I80" s="81">
        <v>1</v>
      </c>
      <c r="J80" s="81">
        <v>0.7</v>
      </c>
      <c r="K80" s="81">
        <v>0.3</v>
      </c>
      <c r="L80" s="81">
        <v>0</v>
      </c>
      <c r="M80" s="81">
        <f>30%</f>
        <v>0.3</v>
      </c>
      <c r="N80" s="81">
        <v>0.7</v>
      </c>
      <c r="O80" s="81">
        <v>0</v>
      </c>
      <c r="P80" s="81">
        <v>0</v>
      </c>
      <c r="Q80" s="81">
        <v>0</v>
      </c>
      <c r="R80" s="81">
        <v>0</v>
      </c>
      <c r="S80" s="81">
        <v>0</v>
      </c>
      <c r="T80" s="81">
        <v>0</v>
      </c>
      <c r="U80" s="81">
        <v>0</v>
      </c>
      <c r="V80" s="81">
        <v>0</v>
      </c>
      <c r="W80" s="81">
        <v>0</v>
      </c>
      <c r="Y80" s="66">
        <f t="shared" si="44"/>
        <v>1.143764603983455</v>
      </c>
      <c r="Z80" s="66">
        <f t="shared" si="34"/>
        <v>0.74766039911968663</v>
      </c>
      <c r="AA80" s="66">
        <f t="shared" si="35"/>
        <v>0.29599774992495531</v>
      </c>
      <c r="AB80" s="66">
        <f t="shared" si="45"/>
        <v>0</v>
      </c>
      <c r="AC80" s="66">
        <f t="shared" si="36"/>
        <v>0.32042588533700855</v>
      </c>
      <c r="AD80" s="66">
        <f t="shared" si="37"/>
        <v>0.69066141649156232</v>
      </c>
      <c r="AE80" s="66">
        <f t="shared" si="46"/>
        <v>0</v>
      </c>
      <c r="AF80" s="66">
        <f t="shared" si="38"/>
        <v>0</v>
      </c>
      <c r="AG80" s="66">
        <f t="shared" si="39"/>
        <v>0</v>
      </c>
      <c r="AH80" s="66">
        <f t="shared" si="47"/>
        <v>0</v>
      </c>
      <c r="AI80" s="66">
        <f t="shared" si="40"/>
        <v>0</v>
      </c>
      <c r="AJ80" s="66">
        <f t="shared" si="41"/>
        <v>0</v>
      </c>
      <c r="AK80" s="66">
        <f t="shared" si="48"/>
        <v>0</v>
      </c>
      <c r="AL80" s="66">
        <f t="shared" si="42"/>
        <v>0</v>
      </c>
      <c r="AM80" s="66">
        <f t="shared" si="43"/>
        <v>0</v>
      </c>
      <c r="AO80" s="2" t="b">
        <f t="shared" si="49"/>
        <v>1</v>
      </c>
      <c r="AQ80" s="2">
        <f t="shared" si="50"/>
        <v>0.98665916641651763</v>
      </c>
    </row>
    <row r="81" spans="1:43" ht="13.5" customHeight="1" thickBot="1" x14ac:dyDescent="0.3">
      <c r="A81" s="7"/>
      <c r="B81" s="7"/>
      <c r="D81" s="87" t="s">
        <v>13</v>
      </c>
      <c r="E81" s="109">
        <f t="shared" ref="E81:G81" si="51">SUM(E61:E80)</f>
        <v>89.755170946122547</v>
      </c>
      <c r="F81" s="109">
        <f t="shared" si="51"/>
        <v>156.84932736255055</v>
      </c>
      <c r="G81" s="109">
        <f t="shared" si="51"/>
        <v>229.23003612116236</v>
      </c>
      <c r="Y81" s="142">
        <f t="shared" ref="Y81:AM81" si="52">SUM(Y61:Y80)</f>
        <v>195.11993683939684</v>
      </c>
      <c r="Z81" s="142">
        <f t="shared" si="52"/>
        <v>238.68375902996826</v>
      </c>
      <c r="AA81" s="142">
        <f t="shared" si="52"/>
        <v>149.49784964423628</v>
      </c>
      <c r="AB81" s="142">
        <f t="shared" si="52"/>
        <v>0</v>
      </c>
      <c r="AC81" s="142">
        <f t="shared" si="52"/>
        <v>94.899820374539786</v>
      </c>
      <c r="AD81" s="142">
        <f t="shared" si="52"/>
        <v>329.9299213560023</v>
      </c>
      <c r="AE81" s="142">
        <f t="shared" si="52"/>
        <v>0</v>
      </c>
      <c r="AF81" s="142">
        <f t="shared" si="52"/>
        <v>7.3932192097322762</v>
      </c>
      <c r="AG81" s="142">
        <f t="shared" si="52"/>
        <v>18.898394480549129</v>
      </c>
      <c r="AH81" s="142">
        <f t="shared" si="52"/>
        <v>0</v>
      </c>
      <c r="AI81" s="142">
        <f t="shared" si="52"/>
        <v>0</v>
      </c>
      <c r="AJ81" s="142">
        <f t="shared" si="52"/>
        <v>0</v>
      </c>
      <c r="AK81" s="142">
        <f t="shared" si="52"/>
        <v>0</v>
      </c>
      <c r="AL81" s="142">
        <f t="shared" si="52"/>
        <v>0</v>
      </c>
      <c r="AM81" s="142">
        <f t="shared" si="52"/>
        <v>0</v>
      </c>
      <c r="AQ81" s="2">
        <f t="shared" si="50"/>
        <v>498.32616548078772</v>
      </c>
    </row>
    <row r="82" spans="1:43" ht="13.5" customHeight="1" thickTop="1" thickBot="1" x14ac:dyDescent="0.3">
      <c r="A82" s="7"/>
      <c r="B82" s="7"/>
      <c r="D82" s="138" t="s">
        <v>17</v>
      </c>
      <c r="E82" s="114">
        <f t="shared" ref="E82:G82" si="53">E81/46%</f>
        <v>195.11993683939684</v>
      </c>
      <c r="F82" s="114">
        <f t="shared" si="53"/>
        <v>340.97679861424029</v>
      </c>
      <c r="G82" s="114">
        <f t="shared" si="53"/>
        <v>498.32616548078772</v>
      </c>
    </row>
    <row r="83" spans="1:43" ht="13.5" customHeight="1" thickTop="1" x14ac:dyDescent="0.25"/>
    <row r="85" spans="1:43" ht="13.5" customHeight="1" x14ac:dyDescent="0.25">
      <c r="AO85" s="2" t="str">
        <f t="shared" ref="AO85:AO104" si="54">D34</f>
        <v>Cassava, fresh</v>
      </c>
      <c r="AP85" s="2">
        <f>AQ61-AQ34</f>
        <v>44.250807609536054</v>
      </c>
    </row>
    <row r="86" spans="1:43" ht="13.5" customHeight="1" x14ac:dyDescent="0.25">
      <c r="AO86" s="2" t="str">
        <f t="shared" si="54"/>
        <v>Maize (corn)</v>
      </c>
      <c r="AP86" s="2">
        <f t="shared" ref="AP86:AP104" si="55">AQ62-AQ35</f>
        <v>28.327245351414234</v>
      </c>
    </row>
    <row r="87" spans="1:43" ht="13.5" customHeight="1" x14ac:dyDescent="0.25">
      <c r="AO87" s="2" t="str">
        <f t="shared" si="54"/>
        <v>Yams</v>
      </c>
      <c r="AP87" s="2">
        <f t="shared" si="55"/>
        <v>23.930206068391442</v>
      </c>
    </row>
    <row r="88" spans="1:43" ht="13.5" customHeight="1" x14ac:dyDescent="0.25">
      <c r="AO88" s="2" t="str">
        <f t="shared" si="54"/>
        <v>Sorghum</v>
      </c>
      <c r="AP88" s="2">
        <f t="shared" si="55"/>
        <v>-1.6560219602513762</v>
      </c>
    </row>
    <row r="89" spans="1:43" ht="13.5" customHeight="1" x14ac:dyDescent="0.25">
      <c r="AO89" s="2" t="str">
        <f t="shared" si="54"/>
        <v>Cow peas, dry</v>
      </c>
      <c r="AP89" s="2">
        <f t="shared" si="55"/>
        <v>-0.66145647538328944</v>
      </c>
    </row>
    <row r="90" spans="1:43" ht="13.5" customHeight="1" x14ac:dyDescent="0.25">
      <c r="AO90" s="2" t="str">
        <f t="shared" si="54"/>
        <v>Rice</v>
      </c>
      <c r="AP90" s="2">
        <f t="shared" si="55"/>
        <v>17.140169557592305</v>
      </c>
    </row>
    <row r="91" spans="1:43" ht="13.5" customHeight="1" x14ac:dyDescent="0.25">
      <c r="AO91" s="2" t="str">
        <f t="shared" si="54"/>
        <v>Groundnuts, excluding shelled</v>
      </c>
      <c r="AP91" s="2">
        <f t="shared" si="55"/>
        <v>16.236265217398653</v>
      </c>
    </row>
    <row r="92" spans="1:43" ht="13.5" customHeight="1" x14ac:dyDescent="0.25">
      <c r="AO92" s="2" t="str">
        <f t="shared" si="54"/>
        <v>Oil palm fruit</v>
      </c>
      <c r="AP92" s="2">
        <f t="shared" si="55"/>
        <v>25.572369662792916</v>
      </c>
    </row>
    <row r="93" spans="1:43" ht="13.5" customHeight="1" x14ac:dyDescent="0.25">
      <c r="AO93" s="2" t="str">
        <f t="shared" si="54"/>
        <v>Millet</v>
      </c>
      <c r="AP93" s="2">
        <f t="shared" si="55"/>
        <v>-0.61210442644737562</v>
      </c>
    </row>
    <row r="94" spans="1:43" ht="13.5" customHeight="1" x14ac:dyDescent="0.25">
      <c r="AO94" s="2" t="str">
        <f t="shared" si="54"/>
        <v>Sweet potatoes</v>
      </c>
      <c r="AP94" s="2">
        <f t="shared" si="55"/>
        <v>5.4622330373426689</v>
      </c>
    </row>
    <row r="95" spans="1:43" ht="13.5" customHeight="1" x14ac:dyDescent="0.25">
      <c r="AO95" s="2" t="str">
        <f t="shared" si="54"/>
        <v>Okra</v>
      </c>
      <c r="AP95" s="2">
        <f t="shared" si="55"/>
        <v>26.140980155545861</v>
      </c>
    </row>
    <row r="96" spans="1:43" ht="13.5" customHeight="1" x14ac:dyDescent="0.25">
      <c r="AO96" s="2" t="str">
        <f t="shared" si="54"/>
        <v>Soya beans</v>
      </c>
      <c r="AP96" s="2">
        <f t="shared" si="55"/>
        <v>-0.14976523954146792</v>
      </c>
    </row>
    <row r="97" spans="41:42" ht="13.5" customHeight="1" x14ac:dyDescent="0.25">
      <c r="AO97" s="2" t="str">
        <f t="shared" si="54"/>
        <v>Cocoa beans</v>
      </c>
      <c r="AP97" s="2">
        <f t="shared" si="55"/>
        <v>25.617281970755723</v>
      </c>
    </row>
    <row r="98" spans="41:42" ht="13.5" customHeight="1" x14ac:dyDescent="0.25">
      <c r="AO98" s="2" t="str">
        <f t="shared" si="54"/>
        <v>Melonseed</v>
      </c>
      <c r="AP98" s="2">
        <f t="shared" si="55"/>
        <v>13.340294686601835</v>
      </c>
    </row>
    <row r="99" spans="41:42" ht="13.5" customHeight="1" x14ac:dyDescent="0.25">
      <c r="AO99" s="2" t="str">
        <f t="shared" si="54"/>
        <v>Other citrus fruit, n.e.c.</v>
      </c>
      <c r="AP99" s="2">
        <f t="shared" si="55"/>
        <v>13.300617910264917</v>
      </c>
    </row>
    <row r="100" spans="41:42" ht="13.5" customHeight="1" x14ac:dyDescent="0.25">
      <c r="AO100" s="2" t="str">
        <f t="shared" si="54"/>
        <v>Tomatoes</v>
      </c>
      <c r="AP100" s="2">
        <f t="shared" si="55"/>
        <v>15.455307010346758</v>
      </c>
    </row>
    <row r="101" spans="41:42" ht="13.5" customHeight="1" x14ac:dyDescent="0.25">
      <c r="AO101" s="2" t="str">
        <f t="shared" si="54"/>
        <v>Taro</v>
      </c>
      <c r="AP101" s="2">
        <f t="shared" si="55"/>
        <v>1.6079416093468057</v>
      </c>
    </row>
    <row r="102" spans="41:42" ht="13.5" customHeight="1" x14ac:dyDescent="0.25">
      <c r="AO102" s="2" t="str">
        <f t="shared" si="54"/>
        <v>Other vegetables, fresh n.e.c.</v>
      </c>
      <c r="AP102" s="2">
        <f t="shared" si="55"/>
        <v>11.401863566929133</v>
      </c>
    </row>
    <row r="103" spans="41:42" ht="13.5" customHeight="1" x14ac:dyDescent="0.25">
      <c r="AO103" s="2" t="str">
        <f t="shared" si="54"/>
        <v>Onions and shallots, dry (excluding dehydrated)</v>
      </c>
      <c r="AP103" s="2">
        <f t="shared" si="55"/>
        <v>13.716785339684849</v>
      </c>
    </row>
    <row r="104" spans="41:42" ht="13.5" customHeight="1" x14ac:dyDescent="0.25">
      <c r="AO104" s="2" t="str">
        <f t="shared" si="54"/>
        <v>Sesame seed</v>
      </c>
      <c r="AP104" s="2">
        <f t="shared" si="55"/>
        <v>0.13402237823026331</v>
      </c>
    </row>
  </sheetData>
  <pageMargins left="0.75" right="0.75" top="1" bottom="1" header="0.5" footer="0.5"/>
  <pageSetup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CF55-5CC4-4C5C-A9D3-7AAEB7725264}">
  <sheetPr>
    <tabColor theme="3" tint="0.79998168889431442"/>
  </sheetPr>
  <dimension ref="A1:G50"/>
  <sheetViews>
    <sheetView showGridLines="0" topLeftCell="A45" zoomScale="65" zoomScaleNormal="100" workbookViewId="0">
      <selection activeCell="G33" sqref="G33"/>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53.77734375" style="2" bestFit="1" customWidth="1"/>
    <col min="5" max="5" width="53.77734375" style="2" customWidth="1"/>
    <col min="6" max="6" width="19.21875" style="2" customWidth="1"/>
    <col min="7" max="7" width="26.21875" style="2" customWidth="1"/>
    <col min="8" max="16384" width="9.21875" style="2"/>
  </cols>
  <sheetData>
    <row r="1" spans="1:7" s="7" customFormat="1" ht="13.5" customHeight="1" x14ac:dyDescent="0.25">
      <c r="A1" s="5"/>
      <c r="B1" s="5"/>
      <c r="C1" s="5"/>
      <c r="D1" s="6" t="s">
        <v>71</v>
      </c>
      <c r="E1" s="25"/>
    </row>
    <row r="2" spans="1:7" s="7" customFormat="1" ht="13.5" customHeight="1" x14ac:dyDescent="0.25">
      <c r="A2" s="5"/>
      <c r="B2" s="5"/>
      <c r="C2" s="5"/>
      <c r="D2" s="6"/>
      <c r="E2" s="26" t="str">
        <f>Title</f>
        <v>OCP Africa - Nigeria P205 projections + backing analyses</v>
      </c>
    </row>
    <row r="3" spans="1:7" s="7" customFormat="1" ht="13.5" customHeight="1" x14ac:dyDescent="0.25">
      <c r="A3" s="5"/>
      <c r="B3" s="5"/>
      <c r="C3" s="5"/>
      <c r="D3" s="6"/>
      <c r="E3" s="27" t="str">
        <f ca="1">MID(CELL("filename",E3),FIND("]",CELL("filename",E3))+1,256)</f>
        <v>Sales gap between scenarios</v>
      </c>
    </row>
    <row r="4" spans="1:7" s="7" customFormat="1" ht="13.5" customHeight="1" x14ac:dyDescent="0.25">
      <c r="A4" s="5"/>
      <c r="B4" s="5"/>
      <c r="C4" s="5"/>
      <c r="D4" s="6"/>
      <c r="E4" s="25"/>
    </row>
    <row r="5" spans="1:7" s="11" customFormat="1" ht="13.2" customHeight="1" x14ac:dyDescent="0.25">
      <c r="A5" s="8"/>
      <c r="B5" s="8"/>
      <c r="C5" s="8"/>
      <c r="D5" s="9"/>
      <c r="E5" s="10"/>
    </row>
    <row r="6" spans="1:7" s="185" customFormat="1" ht="13.2" customHeight="1" x14ac:dyDescent="0.25">
      <c r="A6" s="182"/>
      <c r="B6" s="182"/>
      <c r="C6" s="182"/>
      <c r="D6" s="183"/>
      <c r="E6" s="184"/>
    </row>
    <row r="7" spans="1:7" ht="13.2" customHeight="1" x14ac:dyDescent="0.3">
      <c r="B7" s="29">
        <v>0</v>
      </c>
      <c r="D7" s="28" t="s">
        <v>424</v>
      </c>
    </row>
    <row r="8" spans="1:7" ht="13.2" customHeight="1" x14ac:dyDescent="0.25"/>
    <row r="9" spans="1:7" s="1" customFormat="1" ht="13.5" customHeight="1" x14ac:dyDescent="0.25">
      <c r="B9" s="2"/>
      <c r="C9" s="2"/>
      <c r="D9" s="32" t="s">
        <v>427</v>
      </c>
      <c r="E9" s="2"/>
      <c r="F9" s="2"/>
      <c r="G9" s="2"/>
    </row>
    <row r="10" spans="1:7" s="1" customFormat="1" ht="13.5" customHeight="1" x14ac:dyDescent="0.25">
      <c r="B10" s="2"/>
      <c r="C10" s="2"/>
      <c r="D10" s="33" t="s">
        <v>428</v>
      </c>
      <c r="E10" s="2"/>
      <c r="F10" s="2"/>
      <c r="G10" s="2"/>
    </row>
    <row r="11" spans="1:7" s="1" customFormat="1" ht="13.5" customHeight="1" x14ac:dyDescent="0.25">
      <c r="B11" s="2"/>
      <c r="C11" s="2"/>
      <c r="D11" s="2"/>
      <c r="E11" s="7"/>
      <c r="F11" s="7"/>
      <c r="G11" s="7"/>
    </row>
    <row r="12" spans="1:7" s="189" customFormat="1" ht="13.5" customHeight="1" x14ac:dyDescent="0.25">
      <c r="B12" s="2"/>
      <c r="C12" s="2"/>
      <c r="D12" s="30"/>
      <c r="E12" s="34" t="s">
        <v>15</v>
      </c>
      <c r="F12" s="34" t="s">
        <v>425</v>
      </c>
      <c r="G12" s="34" t="s">
        <v>426</v>
      </c>
    </row>
    <row r="13" spans="1:7" s="1" customFormat="1" ht="13.5" customHeight="1" x14ac:dyDescent="0.25">
      <c r="B13" s="2"/>
      <c r="C13" s="2"/>
      <c r="D13" s="85" t="str">
        <f>ProjectedP205_Consumption!D13</f>
        <v>Cassava, fresh</v>
      </c>
      <c r="E13" s="2">
        <f>OCPSalesProduct!AA34+OCPSalesProduct!AD34+OCPSalesProduct!AG34+OCPSalesProduct!AJ34+OCPSalesProduct!AM34</f>
        <v>21.365287879807465</v>
      </c>
      <c r="F13" s="2">
        <f>OCPSalesProduct!AA61+OCPSalesProduct!AD61+OCPSalesProduct!AG61+OCPSalesProduct!AJ61+OCPSalesProduct!AM61</f>
        <v>65.616095489343522</v>
      </c>
      <c r="G13" s="106">
        <f>F13-E13</f>
        <v>44.250807609536054</v>
      </c>
    </row>
    <row r="14" spans="1:7" s="1" customFormat="1" ht="13.5" customHeight="1" x14ac:dyDescent="0.25">
      <c r="B14" s="2"/>
      <c r="C14" s="2"/>
      <c r="D14" s="85" t="str">
        <f>ProjectedP205_Consumption!D14</f>
        <v>Maize (corn)</v>
      </c>
      <c r="E14" s="2">
        <f>OCPSalesProduct!AA35+OCPSalesProduct!AD35+OCPSalesProduct!AG35+OCPSalesProduct!AJ35+OCPSalesProduct!AM35</f>
        <v>35.734558232145531</v>
      </c>
      <c r="F14" s="2">
        <f>OCPSalesProduct!AA62+OCPSalesProduct!AD62+OCPSalesProduct!AG62+OCPSalesProduct!AJ62+OCPSalesProduct!AM62</f>
        <v>64.061803583559765</v>
      </c>
      <c r="G14" s="106">
        <f t="shared" ref="G14:G32" si="0">F14-E14</f>
        <v>28.327245351414234</v>
      </c>
    </row>
    <row r="15" spans="1:7" s="1" customFormat="1" ht="13.5" customHeight="1" x14ac:dyDescent="0.25">
      <c r="B15" s="2"/>
      <c r="C15" s="2"/>
      <c r="D15" s="85" t="str">
        <f>ProjectedP205_Consumption!D15</f>
        <v>Yams</v>
      </c>
      <c r="E15" s="2">
        <f>OCPSalesProduct!AA36+OCPSalesProduct!AD36+OCPSalesProduct!AG36+OCPSalesProduct!AJ36+OCPSalesProduct!AM36</f>
        <v>11.55404317556723</v>
      </c>
      <c r="F15" s="2">
        <f>OCPSalesProduct!AA63+OCPSalesProduct!AD63+OCPSalesProduct!AG63+OCPSalesProduct!AJ63+OCPSalesProduct!AM63</f>
        <v>35.484249243958672</v>
      </c>
      <c r="G15" s="106">
        <f t="shared" si="0"/>
        <v>23.930206068391442</v>
      </c>
    </row>
    <row r="16" spans="1:7" s="1" customFormat="1" ht="13.5" customHeight="1" x14ac:dyDescent="0.25">
      <c r="B16" s="2"/>
      <c r="C16" s="2"/>
      <c r="D16" s="85" t="str">
        <f>ProjectedP205_Consumption!D16</f>
        <v>Sorghum</v>
      </c>
      <c r="E16" s="2">
        <f>OCPSalesProduct!AA37+OCPSalesProduct!AD37+OCPSalesProduct!AG37+OCPSalesProduct!AJ37+OCPSalesProduct!AM37</f>
        <v>27.353109090304766</v>
      </c>
      <c r="F16" s="2">
        <f>OCPSalesProduct!AA64+OCPSalesProduct!AD64+OCPSalesProduct!AG64+OCPSalesProduct!AJ64+OCPSalesProduct!AM64</f>
        <v>25.69708713005339</v>
      </c>
      <c r="G16" s="106">
        <f t="shared" si="0"/>
        <v>-1.6560219602513762</v>
      </c>
    </row>
    <row r="17" spans="2:7" s="189" customFormat="1" ht="13.5" customHeight="1" x14ac:dyDescent="0.25">
      <c r="B17" s="2"/>
      <c r="C17" s="2"/>
      <c r="D17" s="85" t="str">
        <f>ProjectedP205_Consumption!D17</f>
        <v>Cow peas, dry</v>
      </c>
      <c r="E17" s="2">
        <f>OCPSalesProduct!AA38+OCPSalesProduct!AD38+OCPSalesProduct!AG38+OCPSalesProduct!AJ38+OCPSalesProduct!AM38</f>
        <v>18.539348895110631</v>
      </c>
      <c r="F17" s="2">
        <f>OCPSalesProduct!AA65+OCPSalesProduct!AD65+OCPSalesProduct!AG65+OCPSalesProduct!AJ65+OCPSalesProduct!AM65</f>
        <v>17.877892419727342</v>
      </c>
      <c r="G17" s="106">
        <f t="shared" si="0"/>
        <v>-0.66145647538328944</v>
      </c>
    </row>
    <row r="18" spans="2:7" s="1" customFormat="1" ht="13.5" customHeight="1" x14ac:dyDescent="0.25">
      <c r="B18" s="2"/>
      <c r="C18" s="2"/>
      <c r="D18" s="85" t="str">
        <f>ProjectedP205_Consumption!D18</f>
        <v>Rice</v>
      </c>
      <c r="E18" s="2">
        <f>OCPSalesProduct!AA39+OCPSalesProduct!AD39+OCPSalesProduct!AG39+OCPSalesProduct!AJ39+OCPSalesProduct!AM39</f>
        <v>18.378198216510949</v>
      </c>
      <c r="F18" s="2">
        <f>OCPSalesProduct!AA66+OCPSalesProduct!AD66+OCPSalesProduct!AG66+OCPSalesProduct!AJ66+OCPSalesProduct!AM66</f>
        <v>35.518367774103254</v>
      </c>
      <c r="G18" s="106">
        <f t="shared" si="0"/>
        <v>17.140169557592305</v>
      </c>
    </row>
    <row r="19" spans="2:7" s="1" customFormat="1" ht="13.5" customHeight="1" x14ac:dyDescent="0.25">
      <c r="B19" s="2"/>
      <c r="C19" s="2"/>
      <c r="D19" s="85" t="str">
        <f>ProjectedP205_Consumption!D19</f>
        <v>Groundnuts, excluding shelled</v>
      </c>
      <c r="E19" s="2">
        <f>OCPSalesProduct!AA40+OCPSalesProduct!AD40+OCPSalesProduct!AG40+OCPSalesProduct!AJ40+OCPSalesProduct!AM40</f>
        <v>24.859446991516393</v>
      </c>
      <c r="F19" s="2">
        <f>OCPSalesProduct!AA67+OCPSalesProduct!AD67+OCPSalesProduct!AG67+OCPSalesProduct!AJ67+OCPSalesProduct!AM67</f>
        <v>41.095712208915046</v>
      </c>
      <c r="G19" s="106">
        <f t="shared" si="0"/>
        <v>16.236265217398653</v>
      </c>
    </row>
    <row r="20" spans="2:7" s="1" customFormat="1" ht="13.5" customHeight="1" x14ac:dyDescent="0.25">
      <c r="B20" s="2"/>
      <c r="C20" s="2"/>
      <c r="D20" s="85" t="str">
        <f>ProjectedP205_Consumption!D20</f>
        <v>Oil palm fruit</v>
      </c>
      <c r="E20" s="2">
        <f>OCPSalesProduct!AA41+OCPSalesProduct!AD41+OCPSalesProduct!AG41+OCPSalesProduct!AJ41+OCPSalesProduct!AM41</f>
        <v>15.30804512240217</v>
      </c>
      <c r="F20" s="2">
        <f>OCPSalesProduct!AA68+OCPSalesProduct!AD68+OCPSalesProduct!AG68+OCPSalesProduct!AJ68+OCPSalesProduct!AM68</f>
        <v>40.880414785195086</v>
      </c>
      <c r="G20" s="106">
        <f t="shared" si="0"/>
        <v>25.572369662792916</v>
      </c>
    </row>
    <row r="21" spans="2:7" s="1" customFormat="1" ht="13.5" customHeight="1" x14ac:dyDescent="0.25">
      <c r="B21" s="2"/>
      <c r="C21" s="2"/>
      <c r="D21" s="85" t="str">
        <f>ProjectedP205_Consumption!D21</f>
        <v>Millet</v>
      </c>
      <c r="E21" s="2">
        <f>OCPSalesProduct!AA42+OCPSalesProduct!AD42+OCPSalesProduct!AG42+OCPSalesProduct!AJ42+OCPSalesProduct!AM42</f>
        <v>10.110348505723939</v>
      </c>
      <c r="F21" s="2">
        <f>OCPSalesProduct!AA69+OCPSalesProduct!AD69+OCPSalesProduct!AG69+OCPSalesProduct!AJ69+OCPSalesProduct!AM69</f>
        <v>9.4982440792765637</v>
      </c>
      <c r="G21" s="106">
        <f t="shared" si="0"/>
        <v>-0.61210442644737562</v>
      </c>
    </row>
    <row r="22" spans="2:7" s="189" customFormat="1" ht="13.5" customHeight="1" x14ac:dyDescent="0.25">
      <c r="B22" s="2"/>
      <c r="C22" s="2"/>
      <c r="D22" s="85" t="str">
        <f>ProjectedP205_Consumption!D22</f>
        <v>Sweet potatoes</v>
      </c>
      <c r="E22" s="2">
        <f>OCPSalesProduct!AA43+OCPSalesProduct!AD43+OCPSalesProduct!AG43+OCPSalesProduct!AJ43+OCPSalesProduct!AM43</f>
        <v>2.637289297388369</v>
      </c>
      <c r="F22" s="2">
        <f>OCPSalesProduct!AA70+OCPSalesProduct!AD70+OCPSalesProduct!AG70+OCPSalesProduct!AJ70+OCPSalesProduct!AM70</f>
        <v>8.0995223347310379</v>
      </c>
      <c r="G22" s="106">
        <f t="shared" si="0"/>
        <v>5.4622330373426689</v>
      </c>
    </row>
    <row r="23" spans="2:7" s="1" customFormat="1" ht="13.5" customHeight="1" x14ac:dyDescent="0.25">
      <c r="B23" s="2"/>
      <c r="C23" s="2"/>
      <c r="D23" s="85" t="str">
        <f>ProjectedP205_Consumption!D23</f>
        <v>Okra</v>
      </c>
      <c r="E23" s="2">
        <f>OCPSalesProduct!AA44+OCPSalesProduct!AD44+OCPSalesProduct!AG44+OCPSalesProduct!AJ44+OCPSalesProduct!AM44</f>
        <v>6.0218289886426515</v>
      </c>
      <c r="F23" s="2">
        <f>OCPSalesProduct!AA71+OCPSalesProduct!AD71+OCPSalesProduct!AG71+OCPSalesProduct!AJ71+OCPSalesProduct!AM71</f>
        <v>32.162809144188515</v>
      </c>
      <c r="G23" s="106">
        <f t="shared" si="0"/>
        <v>26.140980155545861</v>
      </c>
    </row>
    <row r="24" spans="2:7" s="1" customFormat="1" ht="13.5" customHeight="1" x14ac:dyDescent="0.25">
      <c r="B24" s="2"/>
      <c r="C24" s="2"/>
      <c r="D24" s="85" t="str">
        <f>ProjectedP205_Consumption!D24</f>
        <v>Soya beans</v>
      </c>
      <c r="E24" s="2">
        <f>OCPSalesProduct!AA45+OCPSalesProduct!AD45+OCPSalesProduct!AG45+OCPSalesProduct!AJ45+OCPSalesProduct!AM45</f>
        <v>4.1976307308960301</v>
      </c>
      <c r="F24" s="2">
        <f>OCPSalesProduct!AA72+OCPSalesProduct!AD72+OCPSalesProduct!AG72+OCPSalesProduct!AJ72+OCPSalesProduct!AM72</f>
        <v>4.0478654913545622</v>
      </c>
      <c r="G24" s="106">
        <f t="shared" si="0"/>
        <v>-0.14976523954146792</v>
      </c>
    </row>
    <row r="25" spans="2:7" s="1" customFormat="1" ht="13.5" customHeight="1" x14ac:dyDescent="0.25">
      <c r="B25" s="2"/>
      <c r="C25" s="2"/>
      <c r="D25" s="85" t="str">
        <f>ProjectedP205_Consumption!D25</f>
        <v>Cocoa beans</v>
      </c>
      <c r="E25" s="2">
        <f>OCPSalesProduct!AA46+OCPSalesProduct!AD46+OCPSalesProduct!AG46+OCPSalesProduct!AJ46+OCPSalesProduct!AM46</f>
        <v>4.3734923623478146</v>
      </c>
      <c r="F25" s="2">
        <f>OCPSalesProduct!AA73+OCPSalesProduct!AD73+OCPSalesProduct!AG73+OCPSalesProduct!AJ73+OCPSalesProduct!AM73</f>
        <v>29.990774333103538</v>
      </c>
      <c r="G25" s="106">
        <f t="shared" si="0"/>
        <v>25.617281970755723</v>
      </c>
    </row>
    <row r="26" spans="2:7" s="1" customFormat="1" ht="13.2" customHeight="1" x14ac:dyDescent="0.25">
      <c r="B26" s="2"/>
      <c r="C26" s="2"/>
      <c r="D26" s="85" t="str">
        <f>ProjectedP205_Consumption!D26</f>
        <v>Melonseed</v>
      </c>
      <c r="E26" s="2">
        <f>OCPSalesProduct!AA47+OCPSalesProduct!AD47+OCPSalesProduct!AG47+OCPSalesProduct!AJ47+OCPSalesProduct!AM47</f>
        <v>3.0730666096990884</v>
      </c>
      <c r="F26" s="2">
        <f>OCPSalesProduct!AA74+OCPSalesProduct!AD74+OCPSalesProduct!AG74+OCPSalesProduct!AJ74+OCPSalesProduct!AM74</f>
        <v>16.413361296300923</v>
      </c>
      <c r="G26" s="106">
        <f t="shared" si="0"/>
        <v>13.340294686601835</v>
      </c>
    </row>
    <row r="27" spans="2:7" ht="13.2" customHeight="1" x14ac:dyDescent="0.25">
      <c r="D27" s="85" t="str">
        <f>ProjectedP205_Consumption!D27</f>
        <v>Other citrus fruit, n.e.c.</v>
      </c>
      <c r="E27" s="2">
        <f>OCPSalesProduct!AA48+OCPSalesProduct!AD48+OCPSalesProduct!AG48+OCPSalesProduct!AJ48+OCPSalesProduct!AM48</f>
        <v>3.0639266784302586</v>
      </c>
      <c r="F27" s="2">
        <f>OCPSalesProduct!AA75+OCPSalesProduct!AD75+OCPSalesProduct!AG75+OCPSalesProduct!AJ75+OCPSalesProduct!AM75</f>
        <v>16.364544588695175</v>
      </c>
      <c r="G27" s="106">
        <f t="shared" si="0"/>
        <v>13.300617910264917</v>
      </c>
    </row>
    <row r="28" spans="2:7" ht="13.5" customHeight="1" x14ac:dyDescent="0.25">
      <c r="D28" s="85" t="str">
        <f>ProjectedP205_Consumption!D28</f>
        <v>Tomatoes</v>
      </c>
      <c r="E28" s="2">
        <f>OCPSalesProduct!AA49+OCPSalesProduct!AD49+OCPSalesProduct!AG49+OCPSalesProduct!AJ49+OCPSalesProduct!AM49</f>
        <v>3.5602802660608459</v>
      </c>
      <c r="F28" s="2">
        <f>OCPSalesProduct!AA76+OCPSalesProduct!AD76+OCPSalesProduct!AG76+OCPSalesProduct!AJ76+OCPSalesProduct!AM76</f>
        <v>19.015587276407604</v>
      </c>
      <c r="G28" s="106">
        <f t="shared" si="0"/>
        <v>15.455307010346758</v>
      </c>
    </row>
    <row r="29" spans="2:7" ht="13.5" customHeight="1" x14ac:dyDescent="0.25">
      <c r="D29" s="85" t="str">
        <f>ProjectedP205_Consumption!D29</f>
        <v>Taro</v>
      </c>
      <c r="E29" s="2">
        <f>OCPSalesProduct!AA50+OCPSalesProduct!AD50+OCPSalesProduct!AG50+OCPSalesProduct!AJ50+OCPSalesProduct!AM50</f>
        <v>3.0022595757778583</v>
      </c>
      <c r="F29" s="2">
        <f>OCPSalesProduct!AA77+OCPSalesProduct!AD77+OCPSalesProduct!AG77+OCPSalesProduct!AJ77+OCPSalesProduct!AM77</f>
        <v>4.610201185124664</v>
      </c>
      <c r="G29" s="106">
        <f t="shared" si="0"/>
        <v>1.6079416093468057</v>
      </c>
    </row>
    <row r="30" spans="2:7" ht="13.5" customHeight="1" x14ac:dyDescent="0.25">
      <c r="D30" s="85" t="str">
        <f>ProjectedP205_Consumption!D30</f>
        <v>Other vegetables, fresh n.e.c.</v>
      </c>
      <c r="E30" s="2">
        <f>OCPSalesProduct!AA51+OCPSalesProduct!AD51+OCPSalesProduct!AG51+OCPSalesProduct!AJ51+OCPSalesProduct!AM51</f>
        <v>2.6265301508717913</v>
      </c>
      <c r="F30" s="2">
        <f>OCPSalesProduct!AA78+OCPSalesProduct!AD78+OCPSalesProduct!AG78+OCPSalesProduct!AJ78+OCPSalesProduct!AM78</f>
        <v>14.028393717800924</v>
      </c>
      <c r="G30" s="106">
        <f t="shared" si="0"/>
        <v>11.401863566929133</v>
      </c>
    </row>
    <row r="31" spans="2:7" ht="13.5" customHeight="1" x14ac:dyDescent="0.25">
      <c r="D31" s="85" t="str">
        <f>ProjectedP205_Consumption!D31</f>
        <v>Onions and shallots, dry (excluding dehydrated)</v>
      </c>
      <c r="E31" s="2">
        <f>OCPSalesProduct!AA52+OCPSalesProduct!AD52+OCPSalesProduct!AG52+OCPSalesProduct!AJ52+OCPSalesProduct!AM52</f>
        <v>3.1597948928467776</v>
      </c>
      <c r="F31" s="2">
        <f>OCPSalesProduct!AA79+OCPSalesProduct!AD79+OCPSalesProduct!AG79+OCPSalesProduct!AJ79+OCPSalesProduct!AM79</f>
        <v>16.876580232531627</v>
      </c>
      <c r="G31" s="106">
        <f t="shared" si="0"/>
        <v>13.716785339684849</v>
      </c>
    </row>
    <row r="32" spans="2:7" ht="13.5" customHeight="1" x14ac:dyDescent="0.25">
      <c r="D32" s="85" t="str">
        <f>ProjectedP205_Consumption!D32</f>
        <v>Sesame seed</v>
      </c>
      <c r="E32" s="2">
        <f>OCPSalesProduct!AA53+OCPSalesProduct!AD53+OCPSalesProduct!AG53+OCPSalesProduct!AJ53+OCPSalesProduct!AM53</f>
        <v>0.85263678818625432</v>
      </c>
      <c r="F32" s="2">
        <f>OCPSalesProduct!AA80+OCPSalesProduct!AD80+OCPSalesProduct!AG80+OCPSalesProduct!AJ80+OCPSalesProduct!AM80</f>
        <v>0.98665916641651763</v>
      </c>
      <c r="G32" s="106">
        <f t="shared" si="0"/>
        <v>0.13402237823026331</v>
      </c>
    </row>
    <row r="33" spans="1:7" ht="13.5" customHeight="1" outlineLevel="1" thickBot="1" x14ac:dyDescent="0.3">
      <c r="D33" s="85" t="s">
        <v>162</v>
      </c>
      <c r="E33" s="109">
        <f>SUM(E13:E32)</f>
        <v>219.77112245023685</v>
      </c>
      <c r="F33" s="109">
        <f>SUM(F13:F32)</f>
        <v>498.32616548078784</v>
      </c>
      <c r="G33" s="109">
        <f>SUM(G13:G32)</f>
        <v>278.55504303055085</v>
      </c>
    </row>
    <row r="34" spans="1:7" ht="13.5" customHeight="1" outlineLevel="1" thickTop="1" x14ac:dyDescent="0.25">
      <c r="E34" s="37"/>
      <c r="F34" s="37"/>
      <c r="G34" s="37"/>
    </row>
    <row r="37" spans="1:7" ht="13.5" customHeight="1" outlineLevel="1" x14ac:dyDescent="0.25"/>
    <row r="38" spans="1:7" ht="13.5" customHeight="1" outlineLevel="1" x14ac:dyDescent="0.25"/>
    <row r="39" spans="1:7" ht="13.5" customHeight="1" outlineLevel="1" x14ac:dyDescent="0.25"/>
    <row r="40" spans="1:7" ht="13.5" customHeight="1" outlineLevel="1" x14ac:dyDescent="0.25"/>
    <row r="41" spans="1:7" ht="13.5" customHeight="1" outlineLevel="1" x14ac:dyDescent="0.25">
      <c r="A41" s="7"/>
    </row>
    <row r="42" spans="1:7" ht="13.5" customHeight="1" outlineLevel="1" x14ac:dyDescent="0.25">
      <c r="A42" s="7"/>
    </row>
    <row r="43" spans="1:7" ht="13.5" customHeight="1" outlineLevel="1" x14ac:dyDescent="0.25">
      <c r="A43" s="7"/>
    </row>
    <row r="44" spans="1:7" ht="13.5" customHeight="1" x14ac:dyDescent="0.25">
      <c r="A44" s="7"/>
    </row>
    <row r="45" spans="1:7" ht="13.2" customHeight="1" x14ac:dyDescent="0.25">
      <c r="A45" s="7"/>
    </row>
    <row r="46" spans="1:7" ht="13.5" customHeight="1" x14ac:dyDescent="0.25">
      <c r="A46" s="7"/>
    </row>
    <row r="47" spans="1:7" ht="13.5" customHeight="1" x14ac:dyDescent="0.25">
      <c r="A47" s="7"/>
    </row>
    <row r="48" spans="1:7" ht="13.5" customHeight="1" x14ac:dyDescent="0.25">
      <c r="A48" s="7"/>
    </row>
    <row r="49" spans="1:1" ht="13.5" customHeight="1" x14ac:dyDescent="0.25">
      <c r="A49" s="7"/>
    </row>
    <row r="50" spans="1:1" ht="13.5" customHeight="1" x14ac:dyDescent="0.25">
      <c r="A50" s="7"/>
    </row>
  </sheetData>
  <pageMargins left="0.75" right="0.75" top="1" bottom="1" header="0.5" footer="0.5"/>
  <pageSetup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D0180-E413-40E6-A014-DEBCC8247687}">
  <sheetPr>
    <tabColor theme="3"/>
  </sheetPr>
  <dimension ref="A1"/>
  <sheetViews>
    <sheetView showGridLines="0" topLeftCell="A23" workbookViewId="0">
      <selection activeCell="A65" sqref="A65"/>
    </sheetView>
  </sheetViews>
  <sheetFormatPr defaultRowHeight="13.2" x14ac:dyDescent="0.25"/>
  <cols>
    <col min="5" max="5" width="13.77734375" customWidth="1"/>
    <col min="6" max="6" width="24" customWidth="1"/>
  </cols>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9A4AB-87E9-4ABA-B11B-91D36CED7916}">
  <sheetPr>
    <tabColor theme="3" tint="0.79998168889431442"/>
  </sheetPr>
  <dimension ref="A1:T77"/>
  <sheetViews>
    <sheetView showGridLines="0" zoomScale="140" zoomScaleNormal="85" workbookViewId="0">
      <selection activeCell="Q40" sqref="Q40"/>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37.21875" style="2" bestFit="1" customWidth="1"/>
    <col min="5" max="5" width="29.77734375" style="2" bestFit="1" customWidth="1"/>
    <col min="6" max="6" width="18.21875" style="2" customWidth="1"/>
    <col min="7" max="10" width="14.21875" style="2" customWidth="1"/>
    <col min="11" max="11" width="16.21875" style="2" bestFit="1" customWidth="1"/>
    <col min="12" max="13" width="14.21875" style="2" customWidth="1"/>
    <col min="14" max="14" width="9.21875" style="2"/>
    <col min="15" max="15" width="14.21875" style="2" customWidth="1"/>
    <col min="16" max="16" width="11.21875" style="2" customWidth="1"/>
    <col min="17" max="17" width="26.77734375" style="2" customWidth="1"/>
    <col min="18" max="18" width="29.44140625" style="2" bestFit="1" customWidth="1"/>
    <col min="19" max="19" width="11.77734375" style="2" customWidth="1"/>
    <col min="20" max="16384" width="9.21875" style="2"/>
  </cols>
  <sheetData>
    <row r="1" spans="1:18" s="7" customFormat="1" ht="13.5" customHeight="1" x14ac:dyDescent="0.25">
      <c r="A1" s="5"/>
      <c r="B1" s="5"/>
      <c r="C1" s="5"/>
      <c r="D1" s="6"/>
      <c r="E1" s="25"/>
    </row>
    <row r="2" spans="1:18" s="7" customFormat="1" ht="13.5" customHeight="1" x14ac:dyDescent="0.25">
      <c r="A2" s="5"/>
      <c r="B2" s="5"/>
      <c r="C2" s="5"/>
      <c r="D2" s="6"/>
      <c r="E2" s="26" t="str">
        <f>Title</f>
        <v>OCP Africa - Nigeria P205 projections + backing analyses</v>
      </c>
    </row>
    <row r="3" spans="1:18" s="7" customFormat="1" ht="13.5" customHeight="1" x14ac:dyDescent="0.25">
      <c r="A3" s="5"/>
      <c r="B3" s="5"/>
      <c r="C3" s="5"/>
      <c r="D3" s="6"/>
      <c r="E3" s="27" t="str">
        <f ca="1">MID(CELL("filename",E3),FIND("]",CELL("filename",E3))+1,256)</f>
        <v>RAR_OCP</v>
      </c>
    </row>
    <row r="4" spans="1:18" s="7" customFormat="1" ht="13.5" customHeight="1" x14ac:dyDescent="0.25">
      <c r="A4" s="5"/>
      <c r="B4" s="5"/>
      <c r="C4" s="5"/>
      <c r="D4" s="6"/>
      <c r="E4" s="27"/>
    </row>
    <row r="5" spans="1:18" s="11" customFormat="1" ht="13.5" customHeight="1" x14ac:dyDescent="0.25">
      <c r="A5" s="8"/>
      <c r="B5" s="8"/>
      <c r="C5" s="8"/>
      <c r="D5" s="9"/>
      <c r="E5" s="10"/>
    </row>
    <row r="6" spans="1:18" ht="13.5" customHeight="1" x14ac:dyDescent="0.25">
      <c r="B6" s="7"/>
      <c r="C6" s="7"/>
      <c r="D6" s="7"/>
      <c r="E6" s="57" t="s">
        <v>75</v>
      </c>
      <c r="F6" s="7"/>
      <c r="G6" s="7"/>
      <c r="H6" s="7"/>
      <c r="I6" s="7"/>
      <c r="J6" s="7"/>
      <c r="K6" s="7"/>
      <c r="L6" s="7"/>
      <c r="M6" s="7"/>
      <c r="N6" s="7"/>
    </row>
    <row r="7" spans="1:18" ht="13.5" customHeight="1" x14ac:dyDescent="0.3">
      <c r="B7" s="51"/>
      <c r="C7" s="7"/>
      <c r="D7" s="52"/>
      <c r="E7" s="7"/>
      <c r="F7" s="7"/>
      <c r="G7" s="7" t="s">
        <v>76</v>
      </c>
      <c r="H7" s="7"/>
      <c r="I7" s="7" t="s">
        <v>77</v>
      </c>
      <c r="J7" s="7"/>
      <c r="K7" s="7"/>
      <c r="L7" s="7"/>
      <c r="M7" s="7"/>
      <c r="N7" s="7"/>
    </row>
    <row r="8" spans="1:18" ht="13.5" customHeight="1" x14ac:dyDescent="0.3">
      <c r="B8" s="7"/>
      <c r="C8" s="7"/>
      <c r="D8" s="7"/>
      <c r="E8" s="69" t="s">
        <v>78</v>
      </c>
      <c r="F8" s="69"/>
      <c r="G8" s="75">
        <v>31.05</v>
      </c>
      <c r="H8" s="75"/>
      <c r="I8" s="75">
        <v>31.05</v>
      </c>
      <c r="J8" s="69"/>
      <c r="K8" s="69"/>
      <c r="L8" s="69"/>
      <c r="M8" s="7"/>
      <c r="N8" s="7"/>
    </row>
    <row r="9" spans="1:18" ht="13.5" customHeight="1" x14ac:dyDescent="0.3">
      <c r="B9" s="7"/>
      <c r="C9" s="7"/>
      <c r="D9" s="35"/>
      <c r="E9" s="69" t="s">
        <v>79</v>
      </c>
      <c r="F9" s="70"/>
      <c r="G9" s="75">
        <v>184</v>
      </c>
      <c r="H9" s="75"/>
      <c r="I9" s="75">
        <v>184</v>
      </c>
      <c r="J9" s="70"/>
      <c r="K9" s="70"/>
      <c r="L9" s="71"/>
      <c r="M9" s="55"/>
      <c r="N9" s="55"/>
      <c r="O9" s="55"/>
      <c r="P9" s="56"/>
      <c r="Q9" s="55"/>
      <c r="R9" s="55"/>
    </row>
    <row r="10" spans="1:18" ht="13.5" customHeight="1" x14ac:dyDescent="0.3">
      <c r="B10" s="7"/>
      <c r="C10" s="7"/>
      <c r="D10" s="36"/>
      <c r="E10" s="70" t="s">
        <v>65</v>
      </c>
      <c r="G10" s="75">
        <v>44.895833333333336</v>
      </c>
      <c r="H10" s="75"/>
      <c r="I10" s="75">
        <v>36.042162698412703</v>
      </c>
      <c r="J10" s="70"/>
      <c r="K10" s="70"/>
      <c r="L10" s="71"/>
      <c r="M10" s="55"/>
      <c r="N10" s="55"/>
      <c r="O10" s="55"/>
      <c r="P10" s="56"/>
      <c r="Q10" s="55"/>
      <c r="R10" s="55"/>
    </row>
    <row r="11" spans="1:18" ht="13.5" customHeight="1" x14ac:dyDescent="0.3">
      <c r="B11" s="7"/>
      <c r="C11" s="7"/>
      <c r="D11" s="7"/>
      <c r="E11" s="181" t="s">
        <v>64</v>
      </c>
      <c r="G11" s="75">
        <v>51.857142857142854</v>
      </c>
      <c r="H11" s="75"/>
      <c r="I11" s="75"/>
      <c r="J11" s="70"/>
      <c r="K11" s="70"/>
      <c r="L11" s="71"/>
      <c r="M11" s="55"/>
      <c r="N11" s="55"/>
      <c r="O11" s="55"/>
      <c r="P11" s="56"/>
      <c r="Q11" s="55"/>
      <c r="R11" s="55"/>
    </row>
    <row r="12" spans="1:18" ht="13.5" customHeight="1" x14ac:dyDescent="0.3">
      <c r="B12" s="7"/>
      <c r="C12" s="7"/>
      <c r="D12" s="35"/>
      <c r="E12" s="70" t="s">
        <v>80</v>
      </c>
      <c r="G12" s="75">
        <v>53.5</v>
      </c>
      <c r="H12" s="75"/>
      <c r="I12" s="75"/>
      <c r="J12" s="70"/>
      <c r="K12" s="70"/>
      <c r="L12" s="71"/>
      <c r="M12" s="55"/>
      <c r="N12" s="55"/>
      <c r="O12" s="55"/>
      <c r="P12" s="56"/>
      <c r="Q12" s="55"/>
      <c r="R12" s="55"/>
    </row>
    <row r="13" spans="1:18" ht="13.5" customHeight="1" outlineLevel="1" x14ac:dyDescent="0.3">
      <c r="B13" s="7"/>
      <c r="C13" s="7"/>
      <c r="D13" s="7"/>
      <c r="E13" s="181" t="s">
        <v>61</v>
      </c>
      <c r="G13" s="75">
        <v>22.75</v>
      </c>
      <c r="H13" s="75"/>
      <c r="I13" s="75"/>
      <c r="J13" s="70"/>
      <c r="K13" s="70"/>
      <c r="L13" s="71"/>
      <c r="M13" s="55"/>
      <c r="N13" s="55"/>
      <c r="O13" s="55"/>
      <c r="P13" s="56"/>
      <c r="Q13" s="55"/>
      <c r="R13" s="55"/>
    </row>
    <row r="14" spans="1:18" ht="13.5" customHeight="1" outlineLevel="1" x14ac:dyDescent="0.25">
      <c r="B14" s="7"/>
      <c r="C14" s="7"/>
      <c r="D14" s="7"/>
      <c r="E14" t="s">
        <v>81</v>
      </c>
      <c r="G14" s="76">
        <v>22.5</v>
      </c>
      <c r="H14" s="76"/>
      <c r="I14" s="76"/>
      <c r="J14"/>
      <c r="K14"/>
      <c r="L14" s="53"/>
      <c r="M14" s="53"/>
      <c r="N14" s="7"/>
    </row>
    <row r="15" spans="1:18" ht="13.5" customHeight="1" outlineLevel="1" x14ac:dyDescent="0.25">
      <c r="B15" s="7"/>
      <c r="C15" s="7"/>
      <c r="D15" s="7"/>
      <c r="E15" s="102" t="s">
        <v>57</v>
      </c>
      <c r="G15" s="76">
        <v>20.75</v>
      </c>
      <c r="H15" s="76"/>
      <c r="I15" s="76"/>
      <c r="J15"/>
      <c r="K15"/>
      <c r="L15" s="53"/>
      <c r="M15" s="53"/>
      <c r="N15" s="7"/>
    </row>
    <row r="16" spans="1:18" ht="13.5" customHeight="1" outlineLevel="1" x14ac:dyDescent="0.25">
      <c r="B16" s="7"/>
      <c r="C16" s="7"/>
      <c r="D16" s="7"/>
      <c r="E16" t="s">
        <v>82</v>
      </c>
      <c r="F16" t="s">
        <v>83</v>
      </c>
      <c r="G16" s="76">
        <v>39.125</v>
      </c>
      <c r="H16" s="76"/>
      <c r="I16" s="76">
        <v>39.125</v>
      </c>
      <c r="J16"/>
      <c r="K16"/>
      <c r="L16" s="53"/>
      <c r="M16" s="53"/>
      <c r="N16" s="7"/>
    </row>
    <row r="17" spans="2:14" ht="13.5" customHeight="1" outlineLevel="1" x14ac:dyDescent="0.25">
      <c r="B17" s="7"/>
      <c r="C17" s="7"/>
      <c r="D17" s="7"/>
      <c r="E17" s="53" t="s">
        <v>66</v>
      </c>
      <c r="F17" s="73" t="s">
        <v>66</v>
      </c>
      <c r="G17" s="77">
        <v>82.40625</v>
      </c>
      <c r="H17" s="77"/>
      <c r="I17" s="77">
        <v>82.40625</v>
      </c>
      <c r="J17" s="53"/>
      <c r="K17" s="53"/>
      <c r="L17" s="53"/>
      <c r="M17" s="53"/>
      <c r="N17" s="7"/>
    </row>
    <row r="18" spans="2:14" ht="13.5" customHeight="1" outlineLevel="1" x14ac:dyDescent="0.25">
      <c r="B18" s="7"/>
      <c r="C18" s="7"/>
      <c r="D18" s="7"/>
      <c r="E18" s="53" t="s">
        <v>84</v>
      </c>
      <c r="F18" s="53" t="s">
        <v>84</v>
      </c>
      <c r="G18" s="77">
        <v>143.3125</v>
      </c>
      <c r="H18" s="77"/>
      <c r="I18" s="77">
        <v>143.3125</v>
      </c>
      <c r="J18" s="53"/>
      <c r="K18" s="53"/>
      <c r="L18" s="53"/>
      <c r="M18" s="53"/>
      <c r="N18" s="7"/>
    </row>
    <row r="19" spans="2:14" ht="13.5" customHeight="1" outlineLevel="1" x14ac:dyDescent="0.25">
      <c r="B19" s="7"/>
      <c r="C19" s="7"/>
      <c r="D19" s="7"/>
      <c r="E19" s="53" t="s">
        <v>62</v>
      </c>
      <c r="F19" s="53"/>
      <c r="G19" s="77">
        <v>60.765625</v>
      </c>
      <c r="H19" s="77"/>
      <c r="J19" s="53"/>
      <c r="K19" s="53"/>
      <c r="L19" s="53"/>
      <c r="M19" s="53"/>
      <c r="N19" s="7"/>
    </row>
    <row r="20" spans="2:14" ht="13.5" customHeight="1" outlineLevel="1" x14ac:dyDescent="0.25">
      <c r="B20" s="7"/>
      <c r="C20" s="7"/>
      <c r="D20" s="7"/>
      <c r="E20" s="53"/>
      <c r="F20" s="53"/>
      <c r="G20" s="74"/>
      <c r="H20" s="72"/>
      <c r="I20" s="72"/>
      <c r="J20" s="53"/>
      <c r="K20" s="53"/>
      <c r="L20" s="53"/>
      <c r="M20" s="53"/>
      <c r="N20" s="7"/>
    </row>
    <row r="21" spans="2:14" ht="13.5" customHeight="1" outlineLevel="1" x14ac:dyDescent="0.25">
      <c r="B21" s="7"/>
      <c r="C21" s="7"/>
      <c r="D21" s="7"/>
      <c r="E21" s="7"/>
      <c r="F21" s="7"/>
      <c r="G21" s="7"/>
      <c r="H21" s="7"/>
      <c r="I21" s="7"/>
      <c r="J21" s="7"/>
      <c r="K21" s="7"/>
      <c r="L21" s="7"/>
      <c r="M21" s="7"/>
      <c r="N21" s="7"/>
    </row>
    <row r="22" spans="2:14" ht="13.5" customHeight="1" outlineLevel="1" x14ac:dyDescent="0.25">
      <c r="B22" s="7"/>
      <c r="C22" s="7"/>
      <c r="D22" s="7"/>
      <c r="E22" s="7"/>
      <c r="F22" s="57"/>
      <c r="G22" s="7"/>
      <c r="H22" s="7"/>
      <c r="I22" s="7"/>
      <c r="J22" s="7"/>
      <c r="K22" s="7"/>
      <c r="L22" s="7"/>
      <c r="M22" s="7"/>
      <c r="N22" s="7"/>
    </row>
    <row r="23" spans="2:14" ht="13.5" customHeight="1" outlineLevel="1" x14ac:dyDescent="0.25">
      <c r="B23" s="7"/>
      <c r="C23" s="7"/>
      <c r="D23" s="7"/>
      <c r="E23" s="7"/>
      <c r="F23" s="7"/>
      <c r="G23" s="7"/>
      <c r="H23" s="7"/>
      <c r="I23" s="7"/>
      <c r="J23" s="7"/>
      <c r="K23" s="7"/>
      <c r="L23" s="7"/>
      <c r="M23" s="7"/>
      <c r="N23" s="7"/>
    </row>
    <row r="24" spans="2:14" ht="13.5" customHeight="1" outlineLevel="1" x14ac:dyDescent="0.3">
      <c r="B24" s="51"/>
      <c r="C24" s="7"/>
      <c r="D24" s="52"/>
      <c r="E24" s="7"/>
      <c r="F24" s="7"/>
      <c r="G24" s="7"/>
      <c r="H24" s="7"/>
      <c r="I24" s="7"/>
      <c r="J24" s="7"/>
      <c r="K24" s="7"/>
      <c r="L24" s="7"/>
      <c r="M24" s="7"/>
      <c r="N24" s="7"/>
    </row>
    <row r="25" spans="2:14" ht="13.5" customHeight="1" outlineLevel="1" x14ac:dyDescent="0.25">
      <c r="B25" s="7"/>
      <c r="C25" s="7"/>
      <c r="D25" s="7"/>
      <c r="E25" s="7"/>
      <c r="F25" s="7"/>
      <c r="G25" s="7"/>
      <c r="H25" s="7"/>
      <c r="I25" s="7"/>
      <c r="J25" s="7"/>
      <c r="K25" s="7"/>
      <c r="L25" s="7"/>
      <c r="M25" s="7"/>
      <c r="N25" s="7"/>
    </row>
    <row r="26" spans="2:14" ht="13.5" customHeight="1" outlineLevel="1" x14ac:dyDescent="0.25">
      <c r="B26" s="7"/>
      <c r="C26" s="7"/>
      <c r="D26" s="7"/>
      <c r="E26" s="7"/>
      <c r="F26" s="7"/>
      <c r="G26" s="7"/>
      <c r="H26" s="7"/>
      <c r="I26" s="7"/>
      <c r="J26" s="7"/>
      <c r="K26" s="7"/>
      <c r="L26" s="7"/>
      <c r="M26" s="7"/>
      <c r="N26" s="7"/>
    </row>
    <row r="27" spans="2:14" ht="13.5" customHeight="1" outlineLevel="1" x14ac:dyDescent="0.25">
      <c r="B27" s="7"/>
      <c r="C27" s="7"/>
      <c r="D27" s="7"/>
      <c r="E27" s="7"/>
      <c r="F27" s="7"/>
      <c r="G27" s="7"/>
      <c r="H27" s="7"/>
      <c r="I27" s="7"/>
      <c r="J27" s="7"/>
      <c r="K27" s="7"/>
      <c r="L27" s="7"/>
      <c r="M27" s="7"/>
      <c r="N27" s="7"/>
    </row>
    <row r="28" spans="2:14" ht="13.5" customHeight="1" outlineLevel="1" x14ac:dyDescent="0.25">
      <c r="B28" s="7"/>
      <c r="C28" s="7"/>
      <c r="D28" s="7"/>
      <c r="E28" s="7"/>
      <c r="F28" s="7"/>
      <c r="G28" s="7"/>
      <c r="H28" s="7"/>
      <c r="I28" s="7"/>
      <c r="J28" s="7"/>
      <c r="K28" s="7"/>
      <c r="L28" s="7"/>
      <c r="M28" s="7"/>
      <c r="N28" s="7"/>
    </row>
    <row r="29" spans="2:14" ht="13.5" customHeight="1" outlineLevel="1" x14ac:dyDescent="0.25">
      <c r="B29" s="7"/>
      <c r="C29" s="7"/>
      <c r="D29" s="7"/>
      <c r="E29" s="7"/>
      <c r="F29" s="7"/>
      <c r="G29" s="7"/>
      <c r="H29" s="7"/>
      <c r="I29" s="7"/>
      <c r="J29" s="7"/>
      <c r="K29" s="7"/>
      <c r="L29" s="7"/>
      <c r="M29" s="7"/>
      <c r="N29" s="7"/>
    </row>
    <row r="30" spans="2:14" ht="13.5" customHeight="1" outlineLevel="1" x14ac:dyDescent="0.25">
      <c r="B30" s="7"/>
      <c r="C30" s="7"/>
      <c r="D30" s="7"/>
      <c r="E30" s="7"/>
      <c r="F30" s="7"/>
      <c r="G30" s="7"/>
      <c r="H30" s="7"/>
      <c r="I30" s="7"/>
      <c r="J30" s="7"/>
      <c r="K30" s="7"/>
      <c r="L30" s="7"/>
      <c r="M30" s="7"/>
      <c r="N30" s="7"/>
    </row>
    <row r="31" spans="2:14" ht="13.5" customHeight="1" outlineLevel="1" x14ac:dyDescent="0.25">
      <c r="B31" s="7"/>
      <c r="C31" s="7"/>
      <c r="D31" s="7"/>
      <c r="E31" s="7"/>
      <c r="F31" s="7"/>
      <c r="G31" s="7"/>
      <c r="H31" s="7"/>
      <c r="I31" s="7"/>
      <c r="J31" s="7"/>
      <c r="K31" s="7"/>
      <c r="L31" s="7"/>
      <c r="M31" s="7"/>
      <c r="N31" s="7"/>
    </row>
    <row r="32" spans="2:14" ht="13.5" customHeight="1" x14ac:dyDescent="0.25">
      <c r="B32" s="7"/>
      <c r="C32" s="7"/>
      <c r="D32" s="7"/>
      <c r="E32" s="7"/>
      <c r="F32" s="7"/>
      <c r="G32" s="7"/>
      <c r="H32" s="7"/>
      <c r="I32" s="7"/>
      <c r="J32" s="7"/>
      <c r="K32" s="7"/>
      <c r="L32" s="7"/>
      <c r="M32" s="7"/>
      <c r="N32" s="7"/>
    </row>
    <row r="33" spans="2:14" ht="13.5" customHeight="1" x14ac:dyDescent="0.25">
      <c r="B33" s="7"/>
      <c r="C33" s="7"/>
      <c r="D33" s="7"/>
      <c r="E33" s="7"/>
      <c r="F33" s="7"/>
      <c r="G33" s="7"/>
      <c r="H33" s="7"/>
      <c r="I33" s="7"/>
      <c r="J33" s="7"/>
      <c r="K33" s="7"/>
      <c r="L33" s="7"/>
      <c r="M33" s="7"/>
      <c r="N33" s="7"/>
    </row>
    <row r="63" spans="20:20" ht="13.5" customHeight="1" x14ac:dyDescent="0.25">
      <c r="T63" s="7"/>
    </row>
    <row r="64" spans="20:20" ht="13.5" customHeight="1" x14ac:dyDescent="0.25">
      <c r="T64" s="7"/>
    </row>
    <row r="65" spans="20:20" ht="13.5" customHeight="1" x14ac:dyDescent="0.25">
      <c r="T65" s="7"/>
    </row>
    <row r="66" spans="20:20" ht="13.5" customHeight="1" x14ac:dyDescent="0.25">
      <c r="T66" s="7"/>
    </row>
    <row r="67" spans="20:20" ht="13.5" customHeight="1" x14ac:dyDescent="0.25">
      <c r="T67" s="7"/>
    </row>
    <row r="68" spans="20:20" ht="13.5" customHeight="1" x14ac:dyDescent="0.25">
      <c r="T68" s="7"/>
    </row>
    <row r="69" spans="20:20" ht="13.5" customHeight="1" x14ac:dyDescent="0.25">
      <c r="T69" s="7"/>
    </row>
    <row r="70" spans="20:20" ht="13.5" customHeight="1" x14ac:dyDescent="0.25">
      <c r="T70" s="7"/>
    </row>
    <row r="71" spans="20:20" ht="13.5" customHeight="1" x14ac:dyDescent="0.25">
      <c r="T71" s="7"/>
    </row>
    <row r="72" spans="20:20" ht="13.5" customHeight="1" x14ac:dyDescent="0.25">
      <c r="T72" s="7"/>
    </row>
    <row r="73" spans="20:20" ht="13.5" customHeight="1" x14ac:dyDescent="0.25">
      <c r="T73" s="7"/>
    </row>
    <row r="74" spans="20:20" ht="13.5" customHeight="1" x14ac:dyDescent="0.25">
      <c r="T74" s="7"/>
    </row>
    <row r="75" spans="20:20" ht="13.5" customHeight="1" x14ac:dyDescent="0.25">
      <c r="T75" s="7"/>
    </row>
    <row r="76" spans="20:20" ht="13.5" customHeight="1" x14ac:dyDescent="0.25">
      <c r="T76" s="7"/>
    </row>
    <row r="77" spans="20:20" ht="13.5" customHeight="1" x14ac:dyDescent="0.25">
      <c r="T77" s="7"/>
    </row>
  </sheetData>
  <pageMargins left="0.75" right="0.75" top="1" bottom="1" header="0.5" footer="0.5"/>
  <pageSetup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10F87-A73A-4E5E-A4D0-3CA9D0F60011}">
  <sheetPr>
    <tabColor theme="3" tint="0.79998168889431442"/>
  </sheetPr>
  <dimension ref="A1:Z154"/>
  <sheetViews>
    <sheetView showGridLines="0" zoomScale="92" zoomScaleNormal="92" workbookViewId="0">
      <selection activeCell="Q40" sqref="Q40"/>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37.21875" style="2" bestFit="1" customWidth="1"/>
    <col min="5" max="5" width="24.21875" style="2" bestFit="1" customWidth="1"/>
    <col min="6" max="6" width="15.5546875" style="2" bestFit="1" customWidth="1"/>
    <col min="7" max="7" width="11.88671875" style="2" bestFit="1" customWidth="1"/>
    <col min="8" max="8" width="10.88671875" style="2" bestFit="1" customWidth="1"/>
    <col min="9" max="10" width="9.33203125" style="2" bestFit="1" customWidth="1"/>
    <col min="11" max="11" width="11.88671875" style="2" bestFit="1" customWidth="1"/>
    <col min="12" max="12" width="33.77734375" style="2" bestFit="1" customWidth="1"/>
    <col min="13" max="13" width="16.44140625" style="2" bestFit="1" customWidth="1"/>
    <col min="14" max="14" width="9.5546875" style="2" bestFit="1" customWidth="1"/>
    <col min="15" max="16" width="10" style="2" bestFit="1" customWidth="1"/>
    <col min="17" max="17" width="10.21875" style="2" bestFit="1" customWidth="1"/>
    <col min="18" max="18" width="9.5546875" style="2" bestFit="1" customWidth="1"/>
    <col min="19" max="21" width="10" style="2" bestFit="1" customWidth="1"/>
    <col min="22" max="22" width="9.21875" style="2" bestFit="1" customWidth="1"/>
    <col min="23" max="23" width="9.5546875" style="2" bestFit="1" customWidth="1"/>
    <col min="24" max="25" width="10.5546875" style="2" bestFit="1" customWidth="1"/>
    <col min="26" max="26" width="11.33203125" style="2" bestFit="1" customWidth="1"/>
    <col min="27" max="16384" width="9.21875" style="2"/>
  </cols>
  <sheetData>
    <row r="1" spans="1:26" s="7" customFormat="1" ht="13.5" customHeight="1" x14ac:dyDescent="0.25">
      <c r="A1" s="5"/>
      <c r="B1" s="5"/>
      <c r="C1" s="5"/>
      <c r="D1" s="6"/>
      <c r="E1" s="25"/>
    </row>
    <row r="2" spans="1:26" s="7" customFormat="1" ht="13.5" customHeight="1" x14ac:dyDescent="0.25">
      <c r="A2" s="5"/>
      <c r="B2" s="5"/>
      <c r="C2" s="5"/>
      <c r="D2" s="6"/>
      <c r="E2" s="26" t="str">
        <f>Title</f>
        <v>OCP Africa - Nigeria P205 projections + backing analyses</v>
      </c>
    </row>
    <row r="3" spans="1:26" s="7" customFormat="1" ht="13.5" customHeight="1" x14ac:dyDescent="0.25">
      <c r="A3" s="5"/>
      <c r="B3" s="5"/>
      <c r="C3" s="5"/>
      <c r="D3" s="6"/>
      <c r="E3" s="27" t="str">
        <f ca="1">MID(CELL("filename",E3),FIND("]",CELL("filename",E3))+1,256)</f>
        <v>UNComtradeData_Imports</v>
      </c>
    </row>
    <row r="4" spans="1:26" s="7" customFormat="1" ht="13.5" customHeight="1" x14ac:dyDescent="0.25">
      <c r="A4" s="5"/>
      <c r="B4" s="5"/>
      <c r="C4" s="5"/>
      <c r="D4" s="6"/>
      <c r="E4" s="27" t="s">
        <v>85</v>
      </c>
    </row>
    <row r="5" spans="1:26" s="11" customFormat="1" ht="13.5" customHeight="1" x14ac:dyDescent="0.25">
      <c r="A5" s="8"/>
      <c r="B5" s="8"/>
      <c r="C5" s="8"/>
      <c r="D5" s="9"/>
      <c r="E5" s="10"/>
    </row>
    <row r="6" spans="1:26" ht="13.5" customHeight="1" x14ac:dyDescent="0.25">
      <c r="B6" s="7"/>
      <c r="C6" s="7"/>
      <c r="D6" s="7"/>
      <c r="E6" s="7"/>
      <c r="F6" s="7"/>
      <c r="G6" s="7"/>
      <c r="H6" s="7"/>
      <c r="I6" s="7"/>
      <c r="J6" s="7"/>
      <c r="K6" s="7"/>
      <c r="L6" s="7"/>
      <c r="M6" s="7"/>
      <c r="N6" s="7"/>
    </row>
    <row r="7" spans="1:26" ht="13.5" customHeight="1" x14ac:dyDescent="0.3">
      <c r="B7" s="51"/>
      <c r="C7" s="7"/>
      <c r="D7" s="52"/>
      <c r="E7" s="294" t="s">
        <v>194</v>
      </c>
      <c r="F7" s="294"/>
      <c r="G7" s="294"/>
      <c r="H7" s="294"/>
      <c r="I7" s="294"/>
      <c r="J7" s="294"/>
      <c r="K7" s="198"/>
      <c r="L7"/>
      <c r="M7"/>
      <c r="N7"/>
      <c r="O7"/>
      <c r="P7"/>
      <c r="Q7"/>
      <c r="R7"/>
      <c r="S7"/>
      <c r="T7"/>
      <c r="U7"/>
      <c r="V7"/>
      <c r="W7"/>
      <c r="X7"/>
      <c r="Y7"/>
      <c r="Z7"/>
    </row>
    <row r="8" spans="1:26" ht="13.2" x14ac:dyDescent="0.25">
      <c r="B8" s="7"/>
      <c r="C8" s="7"/>
      <c r="D8" s="7"/>
      <c r="E8"/>
      <c r="F8"/>
      <c r="G8"/>
      <c r="H8"/>
      <c r="I8"/>
      <c r="J8"/>
      <c r="K8"/>
      <c r="L8"/>
      <c r="M8"/>
      <c r="N8"/>
      <c r="O8"/>
      <c r="P8"/>
      <c r="Q8"/>
      <c r="R8"/>
      <c r="S8"/>
      <c r="T8"/>
      <c r="U8"/>
      <c r="V8"/>
      <c r="W8"/>
      <c r="X8"/>
      <c r="Y8"/>
      <c r="Z8"/>
    </row>
    <row r="9" spans="1:26" ht="14.4" x14ac:dyDescent="0.3">
      <c r="B9" s="7"/>
      <c r="C9" s="7"/>
      <c r="D9" s="35"/>
      <c r="E9" s="199" t="s">
        <v>195</v>
      </c>
      <c r="F9" t="s">
        <v>196</v>
      </c>
      <c r="G9"/>
      <c r="H9"/>
      <c r="I9"/>
      <c r="J9"/>
      <c r="K9"/>
      <c r="L9"/>
      <c r="M9"/>
      <c r="N9"/>
      <c r="O9"/>
      <c r="P9"/>
      <c r="Q9"/>
      <c r="R9"/>
      <c r="S9"/>
      <c r="T9"/>
      <c r="U9"/>
      <c r="V9"/>
      <c r="W9"/>
      <c r="X9"/>
      <c r="Y9"/>
      <c r="Z9"/>
    </row>
    <row r="10" spans="1:26" ht="14.4" x14ac:dyDescent="0.3">
      <c r="B10" s="7"/>
      <c r="C10" s="7"/>
      <c r="D10" s="36"/>
      <c r="E10" s="199" t="s">
        <v>197</v>
      </c>
      <c r="F10" t="s">
        <v>198</v>
      </c>
      <c r="G10"/>
      <c r="H10"/>
      <c r="I10"/>
      <c r="J10"/>
      <c r="K10"/>
      <c r="L10"/>
      <c r="M10"/>
      <c r="N10"/>
      <c r="O10"/>
      <c r="P10"/>
      <c r="Q10"/>
      <c r="R10"/>
      <c r="S10"/>
      <c r="T10"/>
      <c r="U10"/>
      <c r="V10"/>
      <c r="W10"/>
      <c r="X10"/>
      <c r="Y10"/>
      <c r="Z10"/>
    </row>
    <row r="11" spans="1:26" ht="13.2" x14ac:dyDescent="0.25">
      <c r="B11" s="7"/>
      <c r="C11" s="7"/>
      <c r="D11" s="7"/>
      <c r="E11"/>
      <c r="F11"/>
      <c r="G11"/>
      <c r="H11"/>
      <c r="I11"/>
      <c r="J11"/>
      <c r="K11"/>
      <c r="L11"/>
      <c r="M11"/>
      <c r="N11"/>
      <c r="O11"/>
      <c r="P11"/>
      <c r="Q11"/>
      <c r="R11"/>
      <c r="S11"/>
      <c r="T11"/>
      <c r="U11"/>
      <c r="V11"/>
      <c r="W11"/>
      <c r="X11"/>
      <c r="Y11"/>
      <c r="Z11"/>
    </row>
    <row r="12" spans="1:26" ht="13.5" customHeight="1" x14ac:dyDescent="0.25">
      <c r="B12" s="7"/>
      <c r="C12" s="7"/>
      <c r="D12" s="35"/>
      <c r="E12" s="200" t="s">
        <v>99</v>
      </c>
      <c r="F12" s="200" t="s">
        <v>199</v>
      </c>
      <c r="G12" s="200" t="s">
        <v>200</v>
      </c>
      <c r="H12" s="200" t="s">
        <v>201</v>
      </c>
      <c r="I12" s="201" t="s">
        <v>202</v>
      </c>
      <c r="J12"/>
      <c r="K12"/>
      <c r="L12" s="59" t="s">
        <v>203</v>
      </c>
      <c r="M12" s="59" t="s">
        <v>86</v>
      </c>
      <c r="N12"/>
      <c r="O12"/>
      <c r="P12"/>
      <c r="Q12"/>
      <c r="R12"/>
      <c r="S12"/>
      <c r="T12"/>
      <c r="U12"/>
      <c r="V12"/>
      <c r="W12"/>
      <c r="X12"/>
      <c r="Y12"/>
      <c r="Z12"/>
    </row>
    <row r="13" spans="1:26" ht="13.2" outlineLevel="1" x14ac:dyDescent="0.25">
      <c r="B13" s="7"/>
      <c r="C13" s="7"/>
      <c r="D13" s="7"/>
      <c r="E13" s="202" t="s">
        <v>204</v>
      </c>
      <c r="F13" s="203" t="s">
        <v>205</v>
      </c>
      <c r="G13" s="203" t="s">
        <v>206</v>
      </c>
      <c r="H13" s="204">
        <v>25358</v>
      </c>
      <c r="I13" t="s">
        <v>206</v>
      </c>
      <c r="J13"/>
      <c r="K13"/>
      <c r="L13" s="59" t="s">
        <v>87</v>
      </c>
      <c r="M13" t="s">
        <v>204</v>
      </c>
      <c r="N13" t="s">
        <v>207</v>
      </c>
      <c r="O13" t="s">
        <v>208</v>
      </c>
      <c r="P13" t="s">
        <v>209</v>
      </c>
      <c r="Q13" t="s">
        <v>210</v>
      </c>
      <c r="R13" t="s">
        <v>211</v>
      </c>
      <c r="S13" t="s">
        <v>212</v>
      </c>
      <c r="T13" t="s">
        <v>175</v>
      </c>
      <c r="U13" t="s">
        <v>176</v>
      </c>
      <c r="V13" t="s">
        <v>177</v>
      </c>
      <c r="W13" t="s">
        <v>178</v>
      </c>
      <c r="X13" t="s">
        <v>179</v>
      </c>
      <c r="Y13" t="s">
        <v>213</v>
      </c>
      <c r="Z13" t="s">
        <v>88</v>
      </c>
    </row>
    <row r="14" spans="1:26" ht="13.2" outlineLevel="1" x14ac:dyDescent="0.25">
      <c r="B14" s="7"/>
      <c r="C14" s="7"/>
      <c r="D14" s="7"/>
      <c r="E14" s="202" t="s">
        <v>204</v>
      </c>
      <c r="F14" s="203" t="s">
        <v>214</v>
      </c>
      <c r="G14" s="203" t="s">
        <v>215</v>
      </c>
      <c r="H14" s="204">
        <v>16382</v>
      </c>
      <c r="I14" t="s">
        <v>216</v>
      </c>
      <c r="J14"/>
      <c r="K14"/>
      <c r="L14" s="46" t="s">
        <v>169</v>
      </c>
      <c r="M14" s="205"/>
      <c r="N14" s="205"/>
      <c r="O14" s="205"/>
      <c r="P14" s="205"/>
      <c r="Q14" s="205"/>
      <c r="R14" s="205">
        <v>5500</v>
      </c>
      <c r="S14" s="205">
        <v>5250</v>
      </c>
      <c r="T14" s="205">
        <v>102770</v>
      </c>
      <c r="U14" s="205">
        <v>92956</v>
      </c>
      <c r="V14" s="205">
        <v>56800</v>
      </c>
      <c r="W14" s="205">
        <v>168181</v>
      </c>
      <c r="X14" s="205">
        <v>229588</v>
      </c>
      <c r="Y14" s="205">
        <v>118678</v>
      </c>
      <c r="Z14" s="194">
        <v>779723</v>
      </c>
    </row>
    <row r="15" spans="1:26" ht="13.2" outlineLevel="1" x14ac:dyDescent="0.25">
      <c r="B15" s="7"/>
      <c r="C15" s="7"/>
      <c r="D15" s="7"/>
      <c r="E15" s="202" t="s">
        <v>204</v>
      </c>
      <c r="F15" s="203" t="s">
        <v>217</v>
      </c>
      <c r="G15" s="203" t="s">
        <v>218</v>
      </c>
      <c r="H15" s="204">
        <v>11088</v>
      </c>
      <c r="I15" t="s">
        <v>219</v>
      </c>
      <c r="J15"/>
      <c r="K15"/>
      <c r="L15" s="46" t="s">
        <v>193</v>
      </c>
      <c r="M15" s="205"/>
      <c r="N15" s="205"/>
      <c r="O15" s="205"/>
      <c r="P15" s="205"/>
      <c r="Q15" s="205"/>
      <c r="R15" s="205"/>
      <c r="S15" s="205">
        <v>49</v>
      </c>
      <c r="T15" s="205">
        <v>25.1</v>
      </c>
      <c r="U15" s="205">
        <v>37.6</v>
      </c>
      <c r="V15" s="205"/>
      <c r="W15" s="205"/>
      <c r="X15" s="205">
        <v>209.7</v>
      </c>
      <c r="Y15" s="205"/>
      <c r="Z15" s="194">
        <v>321.39999999999998</v>
      </c>
    </row>
    <row r="16" spans="1:26" ht="13.2" outlineLevel="1" x14ac:dyDescent="0.25">
      <c r="B16" s="7"/>
      <c r="C16" s="7"/>
      <c r="D16" s="7"/>
      <c r="E16" s="202" t="s">
        <v>204</v>
      </c>
      <c r="F16" s="203" t="s">
        <v>221</v>
      </c>
      <c r="G16" s="203" t="s">
        <v>222</v>
      </c>
      <c r="H16" s="204">
        <v>420526</v>
      </c>
      <c r="I16" t="s">
        <v>222</v>
      </c>
      <c r="J16"/>
      <c r="K16"/>
      <c r="L16" s="46" t="s">
        <v>192</v>
      </c>
      <c r="M16" s="205">
        <v>366114</v>
      </c>
      <c r="N16" s="205">
        <v>178320</v>
      </c>
      <c r="O16" s="205">
        <v>345953</v>
      </c>
      <c r="P16" s="205">
        <v>270919</v>
      </c>
      <c r="Q16" s="205">
        <v>344879</v>
      </c>
      <c r="R16" s="205">
        <v>165728</v>
      </c>
      <c r="S16" s="205">
        <v>380455</v>
      </c>
      <c r="T16" s="205">
        <v>399949</v>
      </c>
      <c r="U16" s="205">
        <v>351821</v>
      </c>
      <c r="V16" s="205">
        <v>1785.57</v>
      </c>
      <c r="W16" s="205">
        <v>1016</v>
      </c>
      <c r="X16" s="205">
        <v>26.88</v>
      </c>
      <c r="Y16" s="205"/>
      <c r="Z16" s="194">
        <v>2806966.4499999997</v>
      </c>
    </row>
    <row r="17" spans="2:26" ht="13.5" customHeight="1" outlineLevel="1" x14ac:dyDescent="0.25">
      <c r="B17" s="7"/>
      <c r="C17" s="7"/>
      <c r="D17" s="7"/>
      <c r="E17" s="202" t="s">
        <v>204</v>
      </c>
      <c r="F17" s="203" t="s">
        <v>223</v>
      </c>
      <c r="G17" s="203" t="s">
        <v>224</v>
      </c>
      <c r="H17" s="204">
        <v>25</v>
      </c>
      <c r="I17" t="s">
        <v>220</v>
      </c>
      <c r="J17"/>
      <c r="K17"/>
      <c r="L17" s="46" t="s">
        <v>219</v>
      </c>
      <c r="M17" s="205">
        <v>11088</v>
      </c>
      <c r="N17" s="205">
        <v>32474</v>
      </c>
      <c r="O17" s="205">
        <v>13910</v>
      </c>
      <c r="P17" s="205">
        <v>37682</v>
      </c>
      <c r="Q17" s="205">
        <v>80.19</v>
      </c>
      <c r="R17" s="205">
        <v>16751</v>
      </c>
      <c r="S17" s="205">
        <v>16599</v>
      </c>
      <c r="T17" s="205">
        <v>16550</v>
      </c>
      <c r="U17" s="205">
        <v>19854</v>
      </c>
      <c r="V17" s="205">
        <v>1507</v>
      </c>
      <c r="W17" s="205">
        <v>11255</v>
      </c>
      <c r="X17" s="205"/>
      <c r="Y17" s="205"/>
      <c r="Z17" s="194">
        <v>177750.19</v>
      </c>
    </row>
    <row r="18" spans="2:26" ht="13.5" customHeight="1" outlineLevel="1" x14ac:dyDescent="0.25">
      <c r="B18" s="7"/>
      <c r="C18" s="7"/>
      <c r="D18" s="7"/>
      <c r="E18" s="202" t="s">
        <v>204</v>
      </c>
      <c r="F18" s="203" t="s">
        <v>225</v>
      </c>
      <c r="G18" s="203" t="s">
        <v>226</v>
      </c>
      <c r="H18" s="204">
        <v>47301</v>
      </c>
      <c r="I18" t="s">
        <v>227</v>
      </c>
      <c r="J18"/>
      <c r="K18"/>
      <c r="L18" s="46" t="s">
        <v>88</v>
      </c>
      <c r="M18" s="194">
        <v>377202</v>
      </c>
      <c r="N18" s="194">
        <v>210794</v>
      </c>
      <c r="O18" s="194">
        <v>359863</v>
      </c>
      <c r="P18" s="194">
        <v>308601</v>
      </c>
      <c r="Q18" s="194">
        <v>344959.19</v>
      </c>
      <c r="R18" s="194">
        <v>187979</v>
      </c>
      <c r="S18" s="194">
        <v>402353</v>
      </c>
      <c r="T18" s="194">
        <v>519294.1</v>
      </c>
      <c r="U18" s="194">
        <v>464668.6</v>
      </c>
      <c r="V18" s="194">
        <v>60092.57</v>
      </c>
      <c r="W18" s="194">
        <v>180452</v>
      </c>
      <c r="X18" s="194">
        <v>229824.58000000002</v>
      </c>
      <c r="Y18" s="194">
        <v>118678</v>
      </c>
      <c r="Z18" s="194">
        <v>3764761.0399999996</v>
      </c>
    </row>
    <row r="19" spans="2:26" ht="13.5" customHeight="1" outlineLevel="1" x14ac:dyDescent="0.25">
      <c r="B19" s="7"/>
      <c r="C19" s="7"/>
      <c r="D19" s="7"/>
      <c r="E19" s="202" t="s">
        <v>204</v>
      </c>
      <c r="F19" s="203" t="s">
        <v>228</v>
      </c>
      <c r="G19" s="203" t="s">
        <v>229</v>
      </c>
      <c r="H19" s="204">
        <v>6000</v>
      </c>
      <c r="I19" t="s">
        <v>227</v>
      </c>
      <c r="J19"/>
      <c r="K19"/>
      <c r="L19"/>
      <c r="M19"/>
      <c r="N19"/>
      <c r="O19"/>
      <c r="P19"/>
      <c r="Q19"/>
      <c r="R19"/>
      <c r="S19"/>
      <c r="T19"/>
      <c r="U19"/>
      <c r="V19"/>
      <c r="W19"/>
      <c r="X19"/>
      <c r="Y19"/>
      <c r="Z19"/>
    </row>
    <row r="20" spans="2:26" ht="13.5" customHeight="1" outlineLevel="1" x14ac:dyDescent="0.25">
      <c r="B20" s="7"/>
      <c r="C20" s="7"/>
      <c r="D20" s="7"/>
      <c r="E20" s="202" t="s">
        <v>204</v>
      </c>
      <c r="F20" s="203" t="s">
        <v>230</v>
      </c>
      <c r="G20" s="203" t="s">
        <v>231</v>
      </c>
      <c r="H20" s="204">
        <v>366114</v>
      </c>
      <c r="I20" t="s">
        <v>192</v>
      </c>
      <c r="J20"/>
      <c r="K20"/>
      <c r="L20"/>
      <c r="M20"/>
      <c r="N20"/>
      <c r="O20"/>
      <c r="P20"/>
      <c r="Q20"/>
      <c r="R20"/>
      <c r="S20"/>
      <c r="T20"/>
      <c r="U20"/>
      <c r="V20"/>
      <c r="W20"/>
      <c r="X20"/>
      <c r="Y20"/>
      <c r="Z20"/>
    </row>
    <row r="21" spans="2:26" ht="13.5" customHeight="1" outlineLevel="1" x14ac:dyDescent="0.3">
      <c r="B21" s="7"/>
      <c r="C21" s="7"/>
      <c r="D21" s="7"/>
      <c r="E21" s="203"/>
      <c r="F21" s="203"/>
      <c r="G21" s="206" t="s">
        <v>232</v>
      </c>
      <c r="H21" s="207">
        <v>892794</v>
      </c>
      <c r="I21" t="s">
        <v>162</v>
      </c>
      <c r="J21"/>
      <c r="K21"/>
      <c r="L21"/>
      <c r="M21" s="210">
        <v>377202</v>
      </c>
      <c r="N21" s="210">
        <v>210794</v>
      </c>
      <c r="O21" s="210">
        <v>359863</v>
      </c>
      <c r="P21" s="210">
        <v>308601</v>
      </c>
      <c r="Q21" s="210">
        <v>344959.19</v>
      </c>
      <c r="R21" s="210">
        <v>187979</v>
      </c>
      <c r="S21" s="210">
        <v>402353</v>
      </c>
      <c r="T21" s="210">
        <v>519294.1</v>
      </c>
      <c r="U21" s="210">
        <v>464668.6</v>
      </c>
      <c r="V21" s="210">
        <v>60092.57</v>
      </c>
      <c r="W21" s="210">
        <v>180452</v>
      </c>
      <c r="X21" s="211">
        <v>292158</v>
      </c>
      <c r="Y21" s="211">
        <v>177776</v>
      </c>
      <c r="Z21"/>
    </row>
    <row r="22" spans="2:26" ht="13.5" customHeight="1" outlineLevel="1" x14ac:dyDescent="0.25">
      <c r="B22" s="7"/>
      <c r="C22" s="7"/>
      <c r="D22" s="7"/>
      <c r="E22" s="202" t="s">
        <v>207</v>
      </c>
      <c r="F22" s="203" t="s">
        <v>205</v>
      </c>
      <c r="G22" s="203" t="s">
        <v>206</v>
      </c>
      <c r="H22" s="204">
        <v>26.67</v>
      </c>
      <c r="I22" t="s">
        <v>206</v>
      </c>
      <c r="J22"/>
      <c r="K22"/>
      <c r="L22" s="102" t="s">
        <v>271</v>
      </c>
      <c r="M22" s="212">
        <f t="shared" ref="M22:V22" si="0">M14*0.46+M15*0.48+M16*0.2+M17*0.16</f>
        <v>74996.88</v>
      </c>
      <c r="N22" s="212">
        <f t="shared" si="0"/>
        <v>40859.839999999997</v>
      </c>
      <c r="O22" s="212">
        <f t="shared" si="0"/>
        <v>71416.200000000012</v>
      </c>
      <c r="P22" s="212">
        <f t="shared" si="0"/>
        <v>60212.920000000006</v>
      </c>
      <c r="Q22" s="212">
        <f t="shared" si="0"/>
        <v>68988.630400000009</v>
      </c>
      <c r="R22" s="212">
        <f t="shared" si="0"/>
        <v>38355.759999999995</v>
      </c>
      <c r="S22" s="212">
        <f t="shared" si="0"/>
        <v>81185.36</v>
      </c>
      <c r="T22" s="212">
        <f>T14*0.46+T15*0.48+T16*0.2+T17*0.16</f>
        <v>129924.04800000001</v>
      </c>
      <c r="U22" s="212">
        <f t="shared" si="0"/>
        <v>116318.648</v>
      </c>
      <c r="V22" s="212">
        <f t="shared" si="0"/>
        <v>26726.234</v>
      </c>
      <c r="W22" s="212">
        <f>W14*0.46+W15*0.48+W16*0.2+W17*0.16</f>
        <v>79367.260000000009</v>
      </c>
      <c r="X22" s="212">
        <f t="shared" ref="X22" si="1">X21*0.46</f>
        <v>134392.68</v>
      </c>
      <c r="Y22" s="212">
        <f>Y21*0.46</f>
        <v>81776.960000000006</v>
      </c>
      <c r="Z22"/>
    </row>
    <row r="23" spans="2:26" ht="13.5" customHeight="1" outlineLevel="1" x14ac:dyDescent="0.25">
      <c r="B23" s="7"/>
      <c r="C23" s="7"/>
      <c r="D23" s="7"/>
      <c r="E23" s="202" t="s">
        <v>207</v>
      </c>
      <c r="F23" s="203" t="s">
        <v>214</v>
      </c>
      <c r="G23" s="203" t="s">
        <v>215</v>
      </c>
      <c r="H23" s="204">
        <v>20779</v>
      </c>
      <c r="I23" t="s">
        <v>216</v>
      </c>
      <c r="J23"/>
      <c r="K23"/>
      <c r="L23" s="102" t="s">
        <v>272</v>
      </c>
      <c r="M23" s="212">
        <f t="shared" ref="M23:P23" si="2">AVERAGE(L22:M22)</f>
        <v>74996.88</v>
      </c>
      <c r="N23" s="212">
        <f t="shared" si="2"/>
        <v>57928.36</v>
      </c>
      <c r="O23" s="212">
        <f t="shared" si="2"/>
        <v>56138.020000000004</v>
      </c>
      <c r="P23" s="212">
        <f t="shared" si="2"/>
        <v>65814.560000000012</v>
      </c>
      <c r="Q23" s="212">
        <f t="shared" ref="Q23:W23" si="3">AVERAGE(O22:Q22)</f>
        <v>66872.583466666678</v>
      </c>
      <c r="R23" s="212">
        <f t="shared" si="3"/>
        <v>55852.436800000003</v>
      </c>
      <c r="S23" s="212">
        <f t="shared" si="3"/>
        <v>62843.250133333342</v>
      </c>
      <c r="T23" s="212">
        <f>AVERAGE(R22:T22)</f>
        <v>83155.055999999997</v>
      </c>
      <c r="U23" s="212">
        <f t="shared" si="3"/>
        <v>109142.68533333333</v>
      </c>
      <c r="V23" s="212">
        <f t="shared" si="3"/>
        <v>90989.643333333326</v>
      </c>
      <c r="W23" s="212">
        <f t="shared" si="3"/>
        <v>74137.380666666679</v>
      </c>
      <c r="X23" s="212">
        <f>AVERAGE(V22:X22)</f>
        <v>80162.058000000005</v>
      </c>
      <c r="Y23" s="212">
        <f>AVERAGE(X22:Y22)</f>
        <v>108084.82</v>
      </c>
      <c r="Z23"/>
    </row>
    <row r="24" spans="2:26" ht="13.5" customHeight="1" outlineLevel="1" thickBot="1" x14ac:dyDescent="0.35">
      <c r="B24" s="51"/>
      <c r="C24" s="7"/>
      <c r="D24" s="52"/>
      <c r="E24" s="202" t="s">
        <v>207</v>
      </c>
      <c r="F24" s="203" t="s">
        <v>217</v>
      </c>
      <c r="G24" s="203" t="s">
        <v>218</v>
      </c>
      <c r="H24" s="204">
        <v>32474</v>
      </c>
      <c r="I24" t="s">
        <v>219</v>
      </c>
      <c r="J24"/>
      <c r="K24"/>
      <c r="L24" s="102" t="s">
        <v>273</v>
      </c>
      <c r="M24"/>
      <c r="N24"/>
      <c r="O24"/>
      <c r="P24"/>
      <c r="Q24"/>
      <c r="T24" s="178">
        <f>SUM(R4:R23)</f>
        <v>658145.19680000003</v>
      </c>
      <c r="U24" s="178">
        <f>SUM(S4:S23)</f>
        <v>1351087.6101333334</v>
      </c>
      <c r="V24" s="178">
        <f>SUM(T4:T23)</f>
        <v>1770961.4039999999</v>
      </c>
      <c r="W24" s="178">
        <f>SUM(U4:U23)</f>
        <v>1619467.1333333333</v>
      </c>
      <c r="X24" s="178">
        <f>SUM(V4:V23)</f>
        <v>297993.58733333333</v>
      </c>
      <c r="Y24"/>
      <c r="Z24"/>
    </row>
    <row r="25" spans="2:26" ht="13.5" customHeight="1" outlineLevel="1" thickTop="1" x14ac:dyDescent="0.25">
      <c r="B25" s="7"/>
      <c r="C25" s="7"/>
      <c r="D25" s="7"/>
      <c r="E25" s="202" t="s">
        <v>207</v>
      </c>
      <c r="F25" s="203" t="s">
        <v>221</v>
      </c>
      <c r="G25" s="203" t="s">
        <v>222</v>
      </c>
      <c r="H25" s="204">
        <v>242761</v>
      </c>
      <c r="I25" t="s">
        <v>222</v>
      </c>
      <c r="J25"/>
      <c r="K25"/>
      <c r="L25" s="102" t="s">
        <v>274</v>
      </c>
      <c r="M25"/>
      <c r="N25"/>
      <c r="O25"/>
      <c r="P25"/>
      <c r="Q25"/>
      <c r="R25"/>
      <c r="S25"/>
      <c r="T25">
        <f t="shared" ref="T25:W25" si="4">T23/T24</f>
        <v>0.12634758470366761</v>
      </c>
      <c r="U25">
        <f t="shared" si="4"/>
        <v>8.0781353122291219E-2</v>
      </c>
      <c r="V25">
        <f t="shared" si="4"/>
        <v>5.1378671001987196E-2</v>
      </c>
      <c r="W25">
        <f t="shared" si="4"/>
        <v>4.5778873273007052E-2</v>
      </c>
      <c r="X25">
        <f>X23/X24*1000</f>
        <v>269.00598337484138</v>
      </c>
      <c r="Y25"/>
      <c r="Z25"/>
    </row>
    <row r="26" spans="2:26" ht="13.5" customHeight="1" outlineLevel="1" x14ac:dyDescent="0.25">
      <c r="B26" s="7"/>
      <c r="C26" s="7"/>
      <c r="D26" s="7"/>
      <c r="E26" s="202" t="s">
        <v>207</v>
      </c>
      <c r="F26" s="203" t="s">
        <v>223</v>
      </c>
      <c r="G26" s="203" t="s">
        <v>224</v>
      </c>
      <c r="H26" s="204">
        <v>15.75</v>
      </c>
      <c r="I26" t="s">
        <v>220</v>
      </c>
      <c r="J26"/>
      <c r="K26"/>
      <c r="L26"/>
      <c r="M26"/>
      <c r="N26"/>
      <c r="O26"/>
      <c r="P26"/>
      <c r="Q26"/>
      <c r="R26"/>
      <c r="S26"/>
      <c r="T26"/>
      <c r="U26" s="208"/>
      <c r="V26"/>
      <c r="W26"/>
      <c r="X26"/>
      <c r="Y26"/>
      <c r="Z26"/>
    </row>
    <row r="27" spans="2:26" ht="13.5" customHeight="1" outlineLevel="1" x14ac:dyDescent="0.25">
      <c r="B27" s="7"/>
      <c r="C27" s="7"/>
      <c r="D27" s="7"/>
      <c r="E27" s="202" t="s">
        <v>207</v>
      </c>
      <c r="F27" s="203" t="s">
        <v>225</v>
      </c>
      <c r="G27" s="203" t="s">
        <v>226</v>
      </c>
      <c r="H27" s="204">
        <v>0.04</v>
      </c>
      <c r="I27" t="s">
        <v>227</v>
      </c>
      <c r="J27"/>
      <c r="K27"/>
      <c r="L27"/>
      <c r="M27"/>
      <c r="N27"/>
      <c r="O27"/>
      <c r="P27"/>
      <c r="Q27"/>
      <c r="R27"/>
      <c r="S27"/>
      <c r="T27"/>
      <c r="U27"/>
      <c r="V27"/>
      <c r="W27"/>
      <c r="X27"/>
      <c r="Y27"/>
      <c r="Z27"/>
    </row>
    <row r="28" spans="2:26" ht="13.5" customHeight="1" outlineLevel="1" x14ac:dyDescent="0.25">
      <c r="B28" s="7"/>
      <c r="C28" s="7"/>
      <c r="D28" s="7"/>
      <c r="E28" s="202" t="s">
        <v>207</v>
      </c>
      <c r="F28" s="203" t="s">
        <v>233</v>
      </c>
      <c r="G28" s="203" t="s">
        <v>234</v>
      </c>
      <c r="H28" s="204">
        <v>128</v>
      </c>
      <c r="I28" t="s">
        <v>227</v>
      </c>
      <c r="J28"/>
      <c r="K28"/>
      <c r="L28"/>
      <c r="M28"/>
      <c r="N28"/>
      <c r="O28"/>
      <c r="P28"/>
      <c r="Q28"/>
      <c r="R28"/>
      <c r="S28"/>
      <c r="T28"/>
      <c r="U28"/>
      <c r="V28"/>
      <c r="W28"/>
      <c r="X28"/>
      <c r="Y28"/>
      <c r="Z28"/>
    </row>
    <row r="29" spans="2:26" ht="13.5" customHeight="1" outlineLevel="1" x14ac:dyDescent="0.25">
      <c r="B29" s="7"/>
      <c r="C29" s="7"/>
      <c r="D29" s="7"/>
      <c r="E29" s="202" t="s">
        <v>207</v>
      </c>
      <c r="F29" s="203" t="s">
        <v>235</v>
      </c>
      <c r="G29" s="203" t="s">
        <v>236</v>
      </c>
      <c r="H29" s="204">
        <v>902.8</v>
      </c>
      <c r="I29" t="s">
        <v>227</v>
      </c>
      <c r="J29"/>
      <c r="K29"/>
      <c r="L29"/>
      <c r="M29"/>
      <c r="N29"/>
      <c r="O29"/>
      <c r="P29"/>
      <c r="Q29"/>
      <c r="R29"/>
      <c r="S29"/>
      <c r="T29"/>
      <c r="U29"/>
      <c r="V29"/>
      <c r="W29"/>
      <c r="X29"/>
      <c r="Y29"/>
      <c r="Z29"/>
    </row>
    <row r="30" spans="2:26" ht="13.5" customHeight="1" outlineLevel="1" x14ac:dyDescent="0.25">
      <c r="B30" s="7"/>
      <c r="C30" s="7"/>
      <c r="D30" s="7"/>
      <c r="E30" s="202" t="s">
        <v>207</v>
      </c>
      <c r="F30" s="203" t="s">
        <v>228</v>
      </c>
      <c r="G30" s="203" t="s">
        <v>229</v>
      </c>
      <c r="H30" s="204">
        <v>6228</v>
      </c>
      <c r="I30" t="s">
        <v>227</v>
      </c>
      <c r="J30"/>
      <c r="K30"/>
      <c r="L30"/>
      <c r="M30"/>
      <c r="N30"/>
      <c r="O30"/>
      <c r="P30"/>
      <c r="Q30"/>
      <c r="R30"/>
      <c r="S30"/>
      <c r="T30"/>
      <c r="U30"/>
      <c r="V30"/>
      <c r="W30"/>
      <c r="X30"/>
      <c r="Y30"/>
      <c r="Z30"/>
    </row>
    <row r="31" spans="2:26" ht="13.5" customHeight="1" outlineLevel="1" x14ac:dyDescent="0.25">
      <c r="B31" s="7"/>
      <c r="C31" s="7"/>
      <c r="D31" s="7"/>
      <c r="E31" s="202" t="s">
        <v>207</v>
      </c>
      <c r="F31" s="203" t="s">
        <v>230</v>
      </c>
      <c r="G31" s="203" t="s">
        <v>231</v>
      </c>
      <c r="H31" s="204">
        <v>178320</v>
      </c>
      <c r="I31" t="s">
        <v>192</v>
      </c>
      <c r="J31"/>
      <c r="K31"/>
      <c r="L31"/>
      <c r="M31"/>
      <c r="N31"/>
      <c r="O31"/>
      <c r="P31"/>
      <c r="Q31"/>
      <c r="R31"/>
      <c r="S31"/>
      <c r="T31"/>
      <c r="U31"/>
      <c r="V31"/>
      <c r="W31"/>
      <c r="X31"/>
      <c r="Y31"/>
      <c r="Z31"/>
    </row>
    <row r="32" spans="2:26" ht="13.5" customHeight="1" x14ac:dyDescent="0.3">
      <c r="B32" s="7"/>
      <c r="C32" s="7"/>
      <c r="D32" s="7"/>
      <c r="E32" s="203"/>
      <c r="F32" s="203"/>
      <c r="G32" s="206" t="s">
        <v>237</v>
      </c>
      <c r="H32" s="207">
        <v>481635</v>
      </c>
      <c r="I32" t="s">
        <v>162</v>
      </c>
      <c r="J32"/>
      <c r="K32"/>
      <c r="L32"/>
      <c r="M32"/>
      <c r="N32"/>
      <c r="O32"/>
      <c r="P32"/>
      <c r="Q32"/>
      <c r="R32"/>
      <c r="S32"/>
      <c r="T32"/>
      <c r="U32"/>
      <c r="V32"/>
      <c r="W32"/>
      <c r="X32"/>
      <c r="Y32"/>
      <c r="Z32"/>
    </row>
    <row r="33" spans="2:26" ht="13.5" customHeight="1" x14ac:dyDescent="0.25">
      <c r="B33" s="7"/>
      <c r="C33" s="7"/>
      <c r="D33" s="7"/>
      <c r="E33" s="202" t="s">
        <v>208</v>
      </c>
      <c r="F33" s="203" t="s">
        <v>205</v>
      </c>
      <c r="G33" s="203" t="s">
        <v>206</v>
      </c>
      <c r="H33" s="204">
        <v>11109</v>
      </c>
      <c r="I33" t="s">
        <v>206</v>
      </c>
      <c r="J33"/>
      <c r="K33"/>
      <c r="L33"/>
      <c r="M33"/>
      <c r="N33"/>
      <c r="O33"/>
      <c r="P33"/>
      <c r="Q33"/>
      <c r="R33"/>
      <c r="S33"/>
      <c r="T33"/>
      <c r="U33"/>
      <c r="V33"/>
      <c r="W33"/>
      <c r="X33"/>
      <c r="Y33"/>
      <c r="Z33"/>
    </row>
    <row r="34" spans="2:26" ht="13.5" customHeight="1" x14ac:dyDescent="0.25">
      <c r="E34" s="202" t="s">
        <v>208</v>
      </c>
      <c r="F34" s="203" t="s">
        <v>214</v>
      </c>
      <c r="G34" s="203" t="s">
        <v>215</v>
      </c>
      <c r="H34" s="204">
        <v>34479</v>
      </c>
      <c r="I34" t="s">
        <v>216</v>
      </c>
      <c r="J34"/>
      <c r="K34"/>
      <c r="L34"/>
      <c r="M34"/>
      <c r="N34"/>
      <c r="O34"/>
      <c r="P34"/>
      <c r="Q34"/>
      <c r="R34"/>
      <c r="S34"/>
      <c r="T34"/>
      <c r="U34"/>
      <c r="V34"/>
      <c r="W34"/>
      <c r="X34"/>
      <c r="Y34"/>
      <c r="Z34"/>
    </row>
    <row r="35" spans="2:26" ht="13.5" customHeight="1" x14ac:dyDescent="0.25">
      <c r="E35" s="202" t="s">
        <v>208</v>
      </c>
      <c r="F35" s="203" t="s">
        <v>217</v>
      </c>
      <c r="G35" s="203" t="s">
        <v>218</v>
      </c>
      <c r="H35" s="204">
        <v>13910</v>
      </c>
      <c r="I35" t="s">
        <v>219</v>
      </c>
      <c r="J35"/>
      <c r="K35"/>
      <c r="L35"/>
      <c r="M35"/>
      <c r="N35"/>
      <c r="O35"/>
      <c r="P35"/>
      <c r="Q35"/>
      <c r="R35"/>
      <c r="S35"/>
      <c r="T35"/>
      <c r="U35"/>
      <c r="V35"/>
      <c r="W35"/>
      <c r="X35"/>
      <c r="Y35"/>
      <c r="Z35"/>
    </row>
    <row r="36" spans="2:26" ht="13.5" customHeight="1" x14ac:dyDescent="0.25">
      <c r="E36" s="202" t="s">
        <v>208</v>
      </c>
      <c r="F36" s="203" t="s">
        <v>221</v>
      </c>
      <c r="G36" s="203" t="s">
        <v>222</v>
      </c>
      <c r="H36" s="204">
        <v>451394</v>
      </c>
      <c r="I36" t="s">
        <v>222</v>
      </c>
      <c r="J36"/>
      <c r="K36"/>
      <c r="L36"/>
      <c r="M36"/>
      <c r="N36"/>
      <c r="O36"/>
      <c r="P36"/>
      <c r="Q36"/>
      <c r="R36"/>
      <c r="S36"/>
      <c r="T36"/>
      <c r="U36"/>
      <c r="V36"/>
      <c r="W36"/>
      <c r="X36"/>
      <c r="Y36"/>
      <c r="Z36"/>
    </row>
    <row r="37" spans="2:26" ht="13.5" customHeight="1" x14ac:dyDescent="0.25">
      <c r="E37" s="202" t="s">
        <v>208</v>
      </c>
      <c r="F37" s="203" t="s">
        <v>225</v>
      </c>
      <c r="G37" s="203" t="s">
        <v>226</v>
      </c>
      <c r="H37" s="204">
        <v>6612</v>
      </c>
      <c r="I37" t="s">
        <v>227</v>
      </c>
      <c r="J37"/>
      <c r="K37"/>
      <c r="L37"/>
      <c r="M37"/>
      <c r="N37"/>
      <c r="O37"/>
      <c r="P37"/>
      <c r="Q37"/>
      <c r="R37"/>
      <c r="S37"/>
      <c r="T37"/>
      <c r="U37"/>
      <c r="V37"/>
      <c r="W37"/>
      <c r="X37"/>
      <c r="Y37"/>
      <c r="Z37"/>
    </row>
    <row r="38" spans="2:26" ht="13.5" customHeight="1" x14ac:dyDescent="0.25">
      <c r="E38" s="202" t="s">
        <v>208</v>
      </c>
      <c r="F38" s="203" t="s">
        <v>230</v>
      </c>
      <c r="G38" s="203" t="s">
        <v>231</v>
      </c>
      <c r="H38" s="204">
        <v>345953</v>
      </c>
      <c r="I38" t="s">
        <v>192</v>
      </c>
      <c r="J38"/>
      <c r="K38"/>
      <c r="L38"/>
      <c r="M38"/>
      <c r="N38"/>
      <c r="O38"/>
      <c r="P38"/>
      <c r="Q38"/>
      <c r="R38"/>
      <c r="S38"/>
      <c r="T38"/>
      <c r="U38"/>
      <c r="V38"/>
      <c r="W38"/>
      <c r="X38"/>
      <c r="Y38"/>
      <c r="Z38"/>
    </row>
    <row r="39" spans="2:26" ht="13.5" customHeight="1" x14ac:dyDescent="0.3">
      <c r="E39" s="203"/>
      <c r="F39" s="203"/>
      <c r="G39" s="206" t="s">
        <v>238</v>
      </c>
      <c r="H39" s="207">
        <v>863458</v>
      </c>
      <c r="I39" t="s">
        <v>162</v>
      </c>
      <c r="J39"/>
      <c r="K39"/>
      <c r="L39"/>
      <c r="M39"/>
      <c r="N39"/>
      <c r="O39"/>
      <c r="P39"/>
      <c r="Q39"/>
      <c r="R39"/>
      <c r="S39"/>
      <c r="T39"/>
      <c r="U39"/>
      <c r="V39"/>
      <c r="W39"/>
      <c r="X39"/>
      <c r="Y39"/>
      <c r="Z39"/>
    </row>
    <row r="40" spans="2:26" ht="13.5" customHeight="1" x14ac:dyDescent="0.25">
      <c r="E40" s="202" t="s">
        <v>209</v>
      </c>
      <c r="F40" s="203" t="s">
        <v>205</v>
      </c>
      <c r="G40" s="203" t="s">
        <v>206</v>
      </c>
      <c r="H40" s="204">
        <v>12301</v>
      </c>
      <c r="I40" t="s">
        <v>206</v>
      </c>
      <c r="J40"/>
      <c r="K40"/>
      <c r="L40"/>
      <c r="M40"/>
      <c r="N40"/>
      <c r="O40"/>
      <c r="P40"/>
      <c r="Q40"/>
      <c r="R40"/>
      <c r="S40"/>
      <c r="T40"/>
      <c r="U40"/>
      <c r="V40"/>
      <c r="W40"/>
      <c r="X40"/>
      <c r="Y40"/>
      <c r="Z40"/>
    </row>
    <row r="41" spans="2:26" ht="13.5" customHeight="1" x14ac:dyDescent="0.25">
      <c r="E41" s="202" t="s">
        <v>209</v>
      </c>
      <c r="F41" s="203" t="s">
        <v>214</v>
      </c>
      <c r="G41" s="203" t="s">
        <v>215</v>
      </c>
      <c r="H41" s="204">
        <v>13921</v>
      </c>
      <c r="I41" t="s">
        <v>216</v>
      </c>
      <c r="J41"/>
      <c r="K41"/>
      <c r="L41"/>
      <c r="M41"/>
      <c r="N41"/>
      <c r="O41"/>
      <c r="P41"/>
      <c r="Q41"/>
      <c r="R41"/>
      <c r="S41"/>
      <c r="T41"/>
      <c r="U41"/>
      <c r="V41"/>
      <c r="W41"/>
      <c r="X41"/>
      <c r="Y41"/>
      <c r="Z41"/>
    </row>
    <row r="42" spans="2:26" ht="13.5" customHeight="1" x14ac:dyDescent="0.25">
      <c r="E42" s="202" t="s">
        <v>209</v>
      </c>
      <c r="F42" s="203" t="s">
        <v>217</v>
      </c>
      <c r="G42" s="203" t="s">
        <v>218</v>
      </c>
      <c r="H42" s="204">
        <v>37682</v>
      </c>
      <c r="I42" t="s">
        <v>219</v>
      </c>
      <c r="J42"/>
      <c r="K42"/>
      <c r="L42"/>
      <c r="M42"/>
      <c r="N42"/>
      <c r="O42"/>
      <c r="P42"/>
      <c r="Q42"/>
      <c r="R42"/>
      <c r="S42"/>
      <c r="T42"/>
      <c r="U42"/>
      <c r="V42"/>
      <c r="W42"/>
      <c r="X42"/>
      <c r="Y42"/>
      <c r="Z42"/>
    </row>
    <row r="43" spans="2:26" ht="13.5" customHeight="1" x14ac:dyDescent="0.25">
      <c r="E43" s="202" t="s">
        <v>209</v>
      </c>
      <c r="F43" s="203" t="s">
        <v>221</v>
      </c>
      <c r="G43" s="203" t="s">
        <v>222</v>
      </c>
      <c r="H43" s="204">
        <v>765731</v>
      </c>
      <c r="I43" t="s">
        <v>222</v>
      </c>
      <c r="J43"/>
      <c r="K43"/>
      <c r="L43"/>
      <c r="M43"/>
      <c r="N43"/>
      <c r="O43"/>
      <c r="P43"/>
      <c r="Q43"/>
      <c r="R43"/>
      <c r="S43"/>
      <c r="T43"/>
      <c r="U43"/>
      <c r="V43"/>
      <c r="W43"/>
      <c r="X43"/>
      <c r="Y43"/>
      <c r="Z43"/>
    </row>
    <row r="44" spans="2:26" ht="13.5" customHeight="1" x14ac:dyDescent="0.25">
      <c r="E44" s="202" t="s">
        <v>209</v>
      </c>
      <c r="F44" s="203" t="s">
        <v>225</v>
      </c>
      <c r="G44" s="203" t="s">
        <v>226</v>
      </c>
      <c r="H44" s="204">
        <v>87988</v>
      </c>
      <c r="I44" t="s">
        <v>227</v>
      </c>
      <c r="J44"/>
      <c r="K44"/>
      <c r="L44"/>
      <c r="M44"/>
      <c r="N44"/>
      <c r="O44"/>
      <c r="P44"/>
      <c r="Q44"/>
      <c r="R44"/>
      <c r="S44"/>
      <c r="T44"/>
      <c r="U44"/>
      <c r="V44"/>
      <c r="W44"/>
      <c r="X44"/>
      <c r="Y44"/>
      <c r="Z44"/>
    </row>
    <row r="45" spans="2:26" ht="13.5" customHeight="1" x14ac:dyDescent="0.25">
      <c r="E45" s="202" t="s">
        <v>209</v>
      </c>
      <c r="F45" s="203" t="s">
        <v>225</v>
      </c>
      <c r="G45" s="203" t="s">
        <v>239</v>
      </c>
      <c r="H45" s="204">
        <v>3015</v>
      </c>
      <c r="I45" t="s">
        <v>227</v>
      </c>
      <c r="J45"/>
      <c r="K45"/>
      <c r="L45"/>
      <c r="M45"/>
      <c r="N45"/>
      <c r="O45"/>
      <c r="P45"/>
      <c r="Q45"/>
      <c r="R45"/>
      <c r="S45"/>
      <c r="T45"/>
      <c r="U45"/>
      <c r="V45"/>
      <c r="W45"/>
      <c r="X45"/>
      <c r="Y45"/>
      <c r="Z45"/>
    </row>
    <row r="46" spans="2:26" ht="13.5" customHeight="1" x14ac:dyDescent="0.25">
      <c r="E46" s="202" t="s">
        <v>209</v>
      </c>
      <c r="F46" s="203" t="s">
        <v>235</v>
      </c>
      <c r="G46" s="203" t="s">
        <v>236</v>
      </c>
      <c r="H46" s="204">
        <v>221.8</v>
      </c>
      <c r="I46" t="s">
        <v>227</v>
      </c>
      <c r="J46"/>
      <c r="K46"/>
      <c r="L46"/>
      <c r="M46"/>
      <c r="N46"/>
      <c r="O46"/>
      <c r="P46"/>
      <c r="Q46"/>
      <c r="R46"/>
      <c r="S46"/>
      <c r="T46"/>
      <c r="U46"/>
      <c r="V46"/>
      <c r="W46"/>
      <c r="X46"/>
      <c r="Y46"/>
      <c r="Z46"/>
    </row>
    <row r="47" spans="2:26" ht="13.5" customHeight="1" x14ac:dyDescent="0.25">
      <c r="E47" s="202" t="s">
        <v>209</v>
      </c>
      <c r="F47" s="203" t="s">
        <v>240</v>
      </c>
      <c r="G47" s="203" t="s">
        <v>241</v>
      </c>
      <c r="H47" s="204">
        <v>6.26</v>
      </c>
      <c r="I47" t="s">
        <v>227</v>
      </c>
      <c r="J47"/>
      <c r="K47"/>
      <c r="L47"/>
      <c r="M47"/>
      <c r="N47"/>
      <c r="O47"/>
      <c r="P47"/>
      <c r="Q47"/>
      <c r="R47"/>
      <c r="S47"/>
      <c r="T47"/>
      <c r="U47"/>
      <c r="V47"/>
      <c r="W47"/>
      <c r="X47"/>
      <c r="Y47"/>
      <c r="Z47"/>
    </row>
    <row r="48" spans="2:26" ht="13.5" customHeight="1" x14ac:dyDescent="0.25">
      <c r="E48" s="202" t="s">
        <v>209</v>
      </c>
      <c r="F48" s="203" t="s">
        <v>242</v>
      </c>
      <c r="G48" s="203" t="s">
        <v>243</v>
      </c>
      <c r="H48" s="204">
        <v>5.15</v>
      </c>
      <c r="I48" t="s">
        <v>227</v>
      </c>
      <c r="J48"/>
      <c r="K48"/>
      <c r="L48"/>
      <c r="M48"/>
      <c r="N48"/>
      <c r="O48"/>
      <c r="P48"/>
      <c r="Q48"/>
      <c r="R48"/>
      <c r="S48"/>
      <c r="T48"/>
      <c r="U48"/>
      <c r="V48"/>
      <c r="W48"/>
      <c r="X48"/>
      <c r="Y48"/>
      <c r="Z48"/>
    </row>
    <row r="49" spans="5:26" ht="13.5" customHeight="1" x14ac:dyDescent="0.25">
      <c r="E49" s="202" t="s">
        <v>209</v>
      </c>
      <c r="F49" s="203" t="s">
        <v>228</v>
      </c>
      <c r="G49" s="203" t="s">
        <v>229</v>
      </c>
      <c r="H49" s="204">
        <v>7700</v>
      </c>
      <c r="I49" t="s">
        <v>227</v>
      </c>
      <c r="J49"/>
      <c r="K49"/>
      <c r="L49"/>
      <c r="M49"/>
      <c r="N49"/>
      <c r="O49"/>
      <c r="P49"/>
      <c r="Q49"/>
      <c r="R49"/>
      <c r="S49"/>
      <c r="T49"/>
      <c r="U49"/>
      <c r="V49"/>
      <c r="W49"/>
      <c r="X49"/>
      <c r="Y49"/>
      <c r="Z49"/>
    </row>
    <row r="50" spans="5:26" ht="13.5" customHeight="1" x14ac:dyDescent="0.25">
      <c r="E50" s="202" t="s">
        <v>209</v>
      </c>
      <c r="F50" s="203" t="s">
        <v>230</v>
      </c>
      <c r="G50" s="203" t="s">
        <v>231</v>
      </c>
      <c r="H50" s="204">
        <v>270919</v>
      </c>
      <c r="I50" t="s">
        <v>192</v>
      </c>
      <c r="J50"/>
      <c r="K50"/>
      <c r="L50"/>
      <c r="M50"/>
      <c r="N50"/>
      <c r="O50"/>
      <c r="P50"/>
      <c r="Q50"/>
      <c r="R50"/>
      <c r="S50"/>
      <c r="T50"/>
      <c r="U50"/>
      <c r="V50"/>
      <c r="W50"/>
      <c r="X50"/>
      <c r="Y50"/>
      <c r="Z50"/>
    </row>
    <row r="51" spans="5:26" ht="13.5" customHeight="1" x14ac:dyDescent="0.3">
      <c r="E51" s="203"/>
      <c r="F51" s="203"/>
      <c r="G51" s="206" t="s">
        <v>244</v>
      </c>
      <c r="H51" s="207">
        <v>1199490</v>
      </c>
      <c r="I51" t="s">
        <v>162</v>
      </c>
      <c r="J51"/>
      <c r="K51"/>
      <c r="L51"/>
      <c r="M51"/>
      <c r="N51"/>
      <c r="O51"/>
      <c r="P51"/>
      <c r="Q51"/>
      <c r="R51"/>
      <c r="S51"/>
      <c r="T51"/>
      <c r="U51"/>
      <c r="V51"/>
      <c r="W51"/>
      <c r="X51"/>
      <c r="Y51"/>
      <c r="Z51"/>
    </row>
    <row r="52" spans="5:26" ht="13.5" customHeight="1" x14ac:dyDescent="0.25">
      <c r="E52" s="202" t="s">
        <v>210</v>
      </c>
      <c r="F52" s="203" t="s">
        <v>205</v>
      </c>
      <c r="G52" s="203" t="s">
        <v>206</v>
      </c>
      <c r="H52" s="204">
        <v>2321</v>
      </c>
      <c r="I52" t="s">
        <v>206</v>
      </c>
      <c r="J52"/>
      <c r="K52"/>
      <c r="L52"/>
      <c r="M52"/>
      <c r="N52"/>
      <c r="O52"/>
      <c r="P52"/>
      <c r="Q52"/>
      <c r="R52"/>
      <c r="S52"/>
      <c r="T52"/>
      <c r="U52"/>
      <c r="V52"/>
      <c r="W52"/>
      <c r="X52"/>
      <c r="Y52"/>
      <c r="Z52"/>
    </row>
    <row r="53" spans="5:26" ht="13.5" customHeight="1" x14ac:dyDescent="0.25">
      <c r="E53" s="202" t="s">
        <v>210</v>
      </c>
      <c r="F53" s="203" t="s">
        <v>214</v>
      </c>
      <c r="G53" s="203" t="s">
        <v>215</v>
      </c>
      <c r="H53" s="204">
        <v>13721</v>
      </c>
      <c r="I53" t="s">
        <v>216</v>
      </c>
      <c r="J53"/>
      <c r="K53"/>
      <c r="L53"/>
      <c r="M53"/>
      <c r="N53"/>
      <c r="O53"/>
      <c r="P53"/>
      <c r="Q53"/>
      <c r="R53"/>
      <c r="S53"/>
      <c r="T53"/>
      <c r="U53"/>
      <c r="V53"/>
      <c r="W53"/>
      <c r="X53"/>
      <c r="Y53"/>
      <c r="Z53"/>
    </row>
    <row r="54" spans="5:26" ht="13.5" customHeight="1" x14ac:dyDescent="0.25">
      <c r="E54" s="202" t="s">
        <v>210</v>
      </c>
      <c r="F54" s="203" t="s">
        <v>217</v>
      </c>
      <c r="G54" s="203" t="s">
        <v>218</v>
      </c>
      <c r="H54" s="204">
        <v>80.19</v>
      </c>
      <c r="I54" t="s">
        <v>219</v>
      </c>
      <c r="J54"/>
      <c r="K54"/>
      <c r="L54"/>
      <c r="M54"/>
      <c r="N54"/>
      <c r="O54"/>
      <c r="P54"/>
      <c r="Q54"/>
      <c r="R54"/>
      <c r="S54"/>
      <c r="T54"/>
      <c r="U54"/>
      <c r="V54"/>
      <c r="W54"/>
      <c r="X54"/>
      <c r="Y54"/>
      <c r="Z54"/>
    </row>
    <row r="55" spans="5:26" ht="13.5" customHeight="1" x14ac:dyDescent="0.25">
      <c r="E55" s="202" t="s">
        <v>210</v>
      </c>
      <c r="F55" s="203" t="s">
        <v>221</v>
      </c>
      <c r="G55" s="203" t="s">
        <v>222</v>
      </c>
      <c r="H55" s="204">
        <v>423966</v>
      </c>
      <c r="I55" t="s">
        <v>222</v>
      </c>
      <c r="J55"/>
      <c r="K55"/>
      <c r="L55"/>
      <c r="M55"/>
      <c r="N55"/>
      <c r="O55"/>
      <c r="P55"/>
      <c r="Q55"/>
      <c r="R55"/>
      <c r="S55"/>
      <c r="T55"/>
      <c r="U55"/>
      <c r="V55"/>
      <c r="W55"/>
      <c r="X55"/>
      <c r="Y55"/>
      <c r="Z55"/>
    </row>
    <row r="56" spans="5:26" ht="13.5" customHeight="1" x14ac:dyDescent="0.25">
      <c r="E56" s="202" t="s">
        <v>210</v>
      </c>
      <c r="F56" s="203" t="s">
        <v>225</v>
      </c>
      <c r="G56" s="203" t="s">
        <v>226</v>
      </c>
      <c r="H56" s="204">
        <v>68535</v>
      </c>
      <c r="I56" t="s">
        <v>227</v>
      </c>
      <c r="J56"/>
      <c r="K56"/>
      <c r="L56"/>
      <c r="M56"/>
      <c r="N56"/>
      <c r="O56"/>
      <c r="P56"/>
      <c r="Q56"/>
      <c r="R56"/>
      <c r="S56"/>
      <c r="T56"/>
      <c r="U56"/>
      <c r="V56"/>
      <c r="W56"/>
      <c r="X56"/>
      <c r="Y56"/>
      <c r="Z56"/>
    </row>
    <row r="57" spans="5:26" ht="13.5" customHeight="1" x14ac:dyDescent="0.25">
      <c r="E57" s="202" t="s">
        <v>210</v>
      </c>
      <c r="F57" s="203" t="s">
        <v>233</v>
      </c>
      <c r="G57" s="203" t="s">
        <v>234</v>
      </c>
      <c r="H57" s="204">
        <v>30.21</v>
      </c>
      <c r="I57" t="s">
        <v>227</v>
      </c>
      <c r="J57"/>
      <c r="K57"/>
      <c r="L57"/>
      <c r="M57"/>
      <c r="N57"/>
      <c r="O57"/>
      <c r="P57"/>
      <c r="Q57"/>
      <c r="R57"/>
      <c r="S57"/>
      <c r="T57"/>
      <c r="U57"/>
      <c r="V57"/>
      <c r="W57"/>
      <c r="X57"/>
      <c r="Y57"/>
      <c r="Z57"/>
    </row>
    <row r="58" spans="5:26" ht="13.5" customHeight="1" x14ac:dyDescent="0.25">
      <c r="E58" s="202" t="s">
        <v>210</v>
      </c>
      <c r="F58" s="203" t="s">
        <v>225</v>
      </c>
      <c r="G58" s="203" t="s">
        <v>239</v>
      </c>
      <c r="H58" s="204">
        <v>485.1</v>
      </c>
      <c r="I58" t="s">
        <v>227</v>
      </c>
      <c r="J58"/>
      <c r="K58"/>
      <c r="L58"/>
      <c r="M58"/>
      <c r="N58"/>
      <c r="O58"/>
      <c r="P58"/>
      <c r="Q58"/>
      <c r="R58"/>
      <c r="S58"/>
      <c r="T58"/>
      <c r="U58"/>
      <c r="V58"/>
      <c r="W58"/>
      <c r="X58"/>
      <c r="Y58"/>
      <c r="Z58"/>
    </row>
    <row r="59" spans="5:26" ht="13.5" customHeight="1" x14ac:dyDescent="0.25">
      <c r="E59" s="202" t="s">
        <v>210</v>
      </c>
      <c r="F59" s="203" t="s">
        <v>235</v>
      </c>
      <c r="G59" s="203" t="s">
        <v>236</v>
      </c>
      <c r="H59" s="204">
        <v>7401</v>
      </c>
      <c r="I59" t="s">
        <v>227</v>
      </c>
      <c r="J59"/>
      <c r="K59"/>
      <c r="L59"/>
      <c r="M59"/>
      <c r="N59"/>
      <c r="O59"/>
      <c r="P59"/>
      <c r="Q59"/>
      <c r="R59"/>
      <c r="S59"/>
      <c r="T59"/>
      <c r="U59"/>
      <c r="V59"/>
      <c r="W59"/>
      <c r="X59"/>
      <c r="Y59"/>
      <c r="Z59"/>
    </row>
    <row r="60" spans="5:26" ht="13.5" customHeight="1" x14ac:dyDescent="0.25">
      <c r="E60" s="202" t="s">
        <v>210</v>
      </c>
      <c r="F60" s="203" t="s">
        <v>228</v>
      </c>
      <c r="G60" s="203" t="s">
        <v>229</v>
      </c>
      <c r="H60" s="204">
        <v>0.21</v>
      </c>
      <c r="I60" t="s">
        <v>227</v>
      </c>
      <c r="J60"/>
      <c r="K60"/>
      <c r="L60"/>
      <c r="M60"/>
      <c r="N60"/>
      <c r="O60"/>
      <c r="P60"/>
      <c r="Q60"/>
      <c r="R60"/>
      <c r="S60"/>
      <c r="T60"/>
      <c r="U60"/>
      <c r="V60"/>
      <c r="W60"/>
      <c r="X60"/>
      <c r="Y60"/>
      <c r="Z60"/>
    </row>
    <row r="61" spans="5:26" ht="13.5" customHeight="1" x14ac:dyDescent="0.25">
      <c r="E61" s="202" t="s">
        <v>210</v>
      </c>
      <c r="F61" s="203" t="s">
        <v>230</v>
      </c>
      <c r="G61" s="203" t="s">
        <v>231</v>
      </c>
      <c r="H61" s="204">
        <v>344879</v>
      </c>
      <c r="I61" t="s">
        <v>192</v>
      </c>
      <c r="J61"/>
      <c r="K61"/>
      <c r="L61"/>
      <c r="M61"/>
      <c r="N61"/>
      <c r="O61"/>
      <c r="P61"/>
      <c r="Q61"/>
      <c r="R61"/>
      <c r="S61"/>
      <c r="T61"/>
      <c r="U61"/>
      <c r="V61"/>
      <c r="W61"/>
      <c r="X61"/>
      <c r="Y61"/>
      <c r="Z61"/>
    </row>
    <row r="62" spans="5:26" ht="13.5" customHeight="1" x14ac:dyDescent="0.3">
      <c r="E62" s="203"/>
      <c r="F62" s="203"/>
      <c r="G62" s="206" t="s">
        <v>245</v>
      </c>
      <c r="H62" s="207">
        <v>861418</v>
      </c>
      <c r="I62" t="s">
        <v>162</v>
      </c>
      <c r="J62"/>
      <c r="K62"/>
      <c r="L62"/>
      <c r="M62"/>
      <c r="N62"/>
      <c r="O62"/>
      <c r="P62"/>
      <c r="Q62"/>
      <c r="R62"/>
      <c r="S62"/>
      <c r="T62"/>
      <c r="U62"/>
      <c r="V62"/>
      <c r="W62"/>
      <c r="X62"/>
      <c r="Y62"/>
      <c r="Z62"/>
    </row>
    <row r="63" spans="5:26" ht="13.5" customHeight="1" x14ac:dyDescent="0.25">
      <c r="E63" s="202" t="s">
        <v>211</v>
      </c>
      <c r="F63" s="203" t="s">
        <v>205</v>
      </c>
      <c r="G63" s="203" t="s">
        <v>206</v>
      </c>
      <c r="H63" s="204">
        <v>10483</v>
      </c>
      <c r="I63" t="s">
        <v>206</v>
      </c>
      <c r="J63"/>
      <c r="K63"/>
      <c r="L63"/>
      <c r="M63"/>
      <c r="N63"/>
      <c r="O63"/>
      <c r="P63"/>
      <c r="Q63"/>
      <c r="R63"/>
      <c r="S63"/>
      <c r="T63"/>
      <c r="U63"/>
      <c r="V63"/>
      <c r="W63"/>
      <c r="X63"/>
      <c r="Y63"/>
      <c r="Z63"/>
    </row>
    <row r="64" spans="5:26" ht="13.5" customHeight="1" x14ac:dyDescent="0.25">
      <c r="E64" s="202" t="s">
        <v>211</v>
      </c>
      <c r="F64" s="203" t="s">
        <v>246</v>
      </c>
      <c r="G64" s="203" t="s">
        <v>247</v>
      </c>
      <c r="H64" s="204">
        <v>5500</v>
      </c>
      <c r="I64" t="s">
        <v>169</v>
      </c>
      <c r="J64"/>
      <c r="K64"/>
      <c r="L64"/>
      <c r="M64"/>
      <c r="N64"/>
      <c r="O64"/>
      <c r="P64"/>
      <c r="Q64"/>
      <c r="R64"/>
      <c r="S64"/>
      <c r="T64"/>
      <c r="U64"/>
      <c r="V64"/>
      <c r="W64"/>
      <c r="X64"/>
      <c r="Y64"/>
      <c r="Z64"/>
    </row>
    <row r="65" spans="5:26" ht="13.5" customHeight="1" x14ac:dyDescent="0.25">
      <c r="E65" s="202" t="s">
        <v>211</v>
      </c>
      <c r="F65" s="203" t="s">
        <v>214</v>
      </c>
      <c r="G65" s="203" t="s">
        <v>215</v>
      </c>
      <c r="H65" s="204">
        <v>407.5</v>
      </c>
      <c r="I65" t="s">
        <v>216</v>
      </c>
      <c r="J65"/>
      <c r="K65"/>
      <c r="L65"/>
      <c r="M65"/>
      <c r="N65"/>
      <c r="O65"/>
      <c r="P65"/>
      <c r="Q65"/>
      <c r="R65"/>
      <c r="S65"/>
      <c r="T65"/>
      <c r="U65"/>
      <c r="V65"/>
      <c r="W65"/>
      <c r="X65"/>
      <c r="Y65"/>
      <c r="Z65"/>
    </row>
    <row r="66" spans="5:26" ht="13.5" customHeight="1" x14ac:dyDescent="0.25">
      <c r="E66" s="202" t="s">
        <v>211</v>
      </c>
      <c r="F66" s="203" t="s">
        <v>217</v>
      </c>
      <c r="G66" s="203" t="s">
        <v>218</v>
      </c>
      <c r="H66" s="204">
        <v>16751</v>
      </c>
      <c r="I66" t="s">
        <v>219</v>
      </c>
      <c r="J66"/>
      <c r="K66"/>
      <c r="L66"/>
      <c r="M66"/>
      <c r="N66"/>
      <c r="O66"/>
      <c r="P66"/>
      <c r="Q66"/>
      <c r="R66"/>
      <c r="S66"/>
      <c r="T66"/>
      <c r="U66"/>
      <c r="V66"/>
      <c r="W66"/>
      <c r="X66"/>
      <c r="Y66"/>
      <c r="Z66"/>
    </row>
    <row r="67" spans="5:26" ht="13.5" customHeight="1" x14ac:dyDescent="0.25">
      <c r="E67" s="202" t="s">
        <v>211</v>
      </c>
      <c r="F67" s="203" t="s">
        <v>221</v>
      </c>
      <c r="G67" s="203" t="s">
        <v>222</v>
      </c>
      <c r="H67" s="204">
        <v>319656</v>
      </c>
      <c r="I67" t="s">
        <v>222</v>
      </c>
      <c r="J67"/>
      <c r="K67"/>
      <c r="L67"/>
      <c r="M67"/>
      <c r="N67"/>
      <c r="O67"/>
      <c r="P67"/>
      <c r="Q67"/>
      <c r="R67"/>
      <c r="S67"/>
      <c r="T67"/>
      <c r="U67"/>
      <c r="V67"/>
      <c r="W67"/>
      <c r="X67"/>
      <c r="Y67"/>
      <c r="Z67"/>
    </row>
    <row r="68" spans="5:26" ht="13.5" customHeight="1" x14ac:dyDescent="0.25">
      <c r="E68" s="202" t="s">
        <v>211</v>
      </c>
      <c r="F68" s="203" t="s">
        <v>225</v>
      </c>
      <c r="G68" s="203" t="s">
        <v>226</v>
      </c>
      <c r="H68" s="204">
        <v>47986</v>
      </c>
      <c r="I68" t="s">
        <v>227</v>
      </c>
      <c r="J68"/>
      <c r="K68"/>
      <c r="L68"/>
      <c r="M68"/>
      <c r="N68"/>
      <c r="O68"/>
      <c r="P68"/>
      <c r="Q68"/>
      <c r="R68"/>
      <c r="S68"/>
      <c r="T68"/>
      <c r="U68"/>
      <c r="V68"/>
      <c r="W68"/>
      <c r="X68"/>
      <c r="Y68"/>
      <c r="Z68"/>
    </row>
    <row r="69" spans="5:26" ht="13.5" customHeight="1" x14ac:dyDescent="0.25">
      <c r="E69" s="202" t="s">
        <v>211</v>
      </c>
      <c r="F69" s="203" t="s">
        <v>233</v>
      </c>
      <c r="G69" s="203" t="s">
        <v>234</v>
      </c>
      <c r="H69" s="204">
        <v>60.94</v>
      </c>
      <c r="I69" t="s">
        <v>227</v>
      </c>
      <c r="J69"/>
      <c r="K69"/>
      <c r="L69"/>
      <c r="M69"/>
      <c r="N69"/>
      <c r="O69"/>
      <c r="P69"/>
      <c r="Q69"/>
      <c r="R69"/>
      <c r="S69"/>
      <c r="T69"/>
      <c r="U69"/>
      <c r="V69"/>
      <c r="W69"/>
      <c r="X69"/>
      <c r="Y69"/>
      <c r="Z69"/>
    </row>
    <row r="70" spans="5:26" ht="13.5" customHeight="1" x14ac:dyDescent="0.25">
      <c r="E70" s="202" t="s">
        <v>211</v>
      </c>
      <c r="F70" s="203" t="s">
        <v>240</v>
      </c>
      <c r="G70" s="203" t="s">
        <v>241</v>
      </c>
      <c r="H70" s="204">
        <v>50596</v>
      </c>
      <c r="I70" t="s">
        <v>227</v>
      </c>
      <c r="J70"/>
      <c r="K70"/>
      <c r="L70"/>
      <c r="M70"/>
      <c r="N70"/>
      <c r="O70"/>
      <c r="P70"/>
      <c r="Q70"/>
      <c r="R70"/>
      <c r="S70"/>
      <c r="T70"/>
      <c r="U70"/>
      <c r="V70"/>
      <c r="W70"/>
      <c r="X70"/>
      <c r="Y70"/>
      <c r="Z70"/>
    </row>
    <row r="71" spans="5:26" ht="13.5" customHeight="1" x14ac:dyDescent="0.25">
      <c r="E71" s="202" t="s">
        <v>211</v>
      </c>
      <c r="F71" s="203" t="s">
        <v>242</v>
      </c>
      <c r="G71" s="203" t="s">
        <v>243</v>
      </c>
      <c r="H71" s="204">
        <v>595.29999999999995</v>
      </c>
      <c r="I71" t="s">
        <v>227</v>
      </c>
      <c r="J71"/>
      <c r="K71"/>
      <c r="L71"/>
      <c r="M71"/>
      <c r="N71"/>
      <c r="O71"/>
      <c r="P71"/>
      <c r="Q71"/>
      <c r="R71"/>
      <c r="S71"/>
      <c r="T71"/>
      <c r="U71"/>
      <c r="V71"/>
      <c r="W71"/>
      <c r="X71"/>
      <c r="Y71"/>
      <c r="Z71"/>
    </row>
    <row r="72" spans="5:26" ht="13.5" customHeight="1" x14ac:dyDescent="0.25">
      <c r="E72" s="202" t="s">
        <v>211</v>
      </c>
      <c r="F72" s="203" t="s">
        <v>248</v>
      </c>
      <c r="G72" s="203" t="s">
        <v>249</v>
      </c>
      <c r="H72" s="204">
        <v>86.06</v>
      </c>
      <c r="I72" t="s">
        <v>227</v>
      </c>
      <c r="J72"/>
      <c r="K72"/>
      <c r="L72"/>
      <c r="M72"/>
      <c r="N72"/>
      <c r="O72"/>
      <c r="P72"/>
      <c r="Q72"/>
      <c r="R72"/>
      <c r="S72"/>
      <c r="T72"/>
      <c r="U72"/>
      <c r="V72"/>
      <c r="W72"/>
      <c r="X72"/>
      <c r="Y72"/>
      <c r="Z72"/>
    </row>
    <row r="73" spans="5:26" ht="13.5" customHeight="1" x14ac:dyDescent="0.25">
      <c r="E73" s="202" t="s">
        <v>211</v>
      </c>
      <c r="F73" s="203" t="s">
        <v>230</v>
      </c>
      <c r="G73" s="203" t="s">
        <v>231</v>
      </c>
      <c r="H73" s="204">
        <v>165728</v>
      </c>
      <c r="I73" t="s">
        <v>192</v>
      </c>
      <c r="J73"/>
      <c r="K73"/>
      <c r="L73"/>
      <c r="M73"/>
      <c r="N73"/>
      <c r="O73"/>
      <c r="P73"/>
      <c r="Q73"/>
      <c r="R73"/>
      <c r="S73"/>
      <c r="T73"/>
      <c r="U73"/>
      <c r="V73"/>
      <c r="W73"/>
      <c r="X73"/>
      <c r="Y73"/>
      <c r="Z73"/>
    </row>
    <row r="74" spans="5:26" ht="13.5" customHeight="1" x14ac:dyDescent="0.3">
      <c r="E74" s="203"/>
      <c r="F74" s="203"/>
      <c r="G74" s="206" t="s">
        <v>250</v>
      </c>
      <c r="H74" s="207">
        <v>617851</v>
      </c>
      <c r="I74" t="s">
        <v>162</v>
      </c>
      <c r="J74"/>
      <c r="K74"/>
      <c r="L74"/>
      <c r="M74"/>
      <c r="N74"/>
      <c r="O74"/>
      <c r="P74"/>
      <c r="Q74"/>
      <c r="R74"/>
      <c r="S74"/>
      <c r="T74"/>
      <c r="U74"/>
      <c r="V74"/>
      <c r="W74"/>
      <c r="X74"/>
      <c r="Y74"/>
      <c r="Z74"/>
    </row>
    <row r="75" spans="5:26" ht="13.5" customHeight="1" x14ac:dyDescent="0.25">
      <c r="E75" s="202" t="s">
        <v>212</v>
      </c>
      <c r="F75" s="203" t="s">
        <v>205</v>
      </c>
      <c r="G75" s="203" t="s">
        <v>206</v>
      </c>
      <c r="H75" s="204">
        <v>27450</v>
      </c>
      <c r="I75" t="s">
        <v>206</v>
      </c>
      <c r="J75"/>
      <c r="K75"/>
      <c r="L75"/>
      <c r="M75"/>
      <c r="N75"/>
      <c r="O75"/>
      <c r="P75"/>
      <c r="Q75"/>
      <c r="R75"/>
      <c r="S75"/>
      <c r="T75"/>
      <c r="U75"/>
      <c r="V75"/>
      <c r="W75"/>
      <c r="X75"/>
      <c r="Y75"/>
      <c r="Z75"/>
    </row>
    <row r="76" spans="5:26" ht="13.5" customHeight="1" x14ac:dyDescent="0.25">
      <c r="E76" s="202" t="s">
        <v>212</v>
      </c>
      <c r="F76" s="203" t="s">
        <v>246</v>
      </c>
      <c r="G76" s="203" t="s">
        <v>247</v>
      </c>
      <c r="H76" s="204">
        <v>5250</v>
      </c>
      <c r="I76" t="s">
        <v>169</v>
      </c>
      <c r="J76"/>
      <c r="K76"/>
      <c r="L76"/>
      <c r="M76"/>
      <c r="N76"/>
      <c r="O76"/>
      <c r="P76"/>
      <c r="Q76"/>
      <c r="R76"/>
      <c r="S76"/>
      <c r="T76"/>
      <c r="U76"/>
      <c r="V76"/>
      <c r="W76"/>
      <c r="X76"/>
      <c r="Y76"/>
      <c r="Z76"/>
    </row>
    <row r="77" spans="5:26" ht="13.5" customHeight="1" x14ac:dyDescent="0.25">
      <c r="E77" s="202" t="s">
        <v>212</v>
      </c>
      <c r="F77" s="203" t="s">
        <v>214</v>
      </c>
      <c r="G77" s="203" t="s">
        <v>215</v>
      </c>
      <c r="H77" s="204">
        <v>3683</v>
      </c>
      <c r="I77" t="s">
        <v>216</v>
      </c>
      <c r="J77"/>
      <c r="K77"/>
      <c r="L77"/>
      <c r="M77"/>
      <c r="N77"/>
      <c r="O77"/>
      <c r="P77"/>
      <c r="Q77"/>
      <c r="R77"/>
      <c r="S77"/>
      <c r="T77"/>
      <c r="U77"/>
      <c r="V77"/>
      <c r="W77"/>
      <c r="X77"/>
      <c r="Y77"/>
      <c r="Z77"/>
    </row>
    <row r="78" spans="5:26" ht="13.5" customHeight="1" x14ac:dyDescent="0.25">
      <c r="E78" s="202" t="s">
        <v>212</v>
      </c>
      <c r="F78" s="203" t="s">
        <v>217</v>
      </c>
      <c r="G78" s="203" t="s">
        <v>218</v>
      </c>
      <c r="H78" s="204">
        <v>16599</v>
      </c>
      <c r="I78" t="s">
        <v>219</v>
      </c>
      <c r="J78"/>
      <c r="K78"/>
      <c r="L78"/>
      <c r="M78"/>
      <c r="N78"/>
      <c r="O78"/>
      <c r="P78"/>
      <c r="Q78"/>
      <c r="R78"/>
      <c r="S78"/>
      <c r="T78"/>
      <c r="U78"/>
      <c r="V78"/>
      <c r="W78"/>
      <c r="X78"/>
      <c r="Y78"/>
      <c r="Z78"/>
    </row>
    <row r="79" spans="5:26" ht="13.5" customHeight="1" x14ac:dyDescent="0.25">
      <c r="E79" s="202" t="s">
        <v>212</v>
      </c>
      <c r="F79" s="203" t="s">
        <v>221</v>
      </c>
      <c r="G79" s="203" t="s">
        <v>222</v>
      </c>
      <c r="H79" s="204">
        <v>386383</v>
      </c>
      <c r="I79" t="s">
        <v>222</v>
      </c>
      <c r="J79"/>
      <c r="K79"/>
      <c r="L79"/>
      <c r="M79"/>
      <c r="N79"/>
      <c r="O79"/>
      <c r="P79"/>
      <c r="Q79"/>
      <c r="R79"/>
      <c r="S79"/>
      <c r="T79"/>
      <c r="U79"/>
      <c r="V79"/>
      <c r="W79"/>
      <c r="X79"/>
      <c r="Y79"/>
      <c r="Z79"/>
    </row>
    <row r="80" spans="5:26" ht="13.5" customHeight="1" x14ac:dyDescent="0.25">
      <c r="E80" s="202" t="s">
        <v>212</v>
      </c>
      <c r="F80" s="203" t="s">
        <v>251</v>
      </c>
      <c r="G80" s="203" t="s">
        <v>252</v>
      </c>
      <c r="H80" s="204">
        <v>49</v>
      </c>
      <c r="I80" t="s">
        <v>193</v>
      </c>
      <c r="J80"/>
      <c r="K80"/>
      <c r="L80"/>
      <c r="M80"/>
      <c r="N80"/>
      <c r="O80"/>
      <c r="P80"/>
      <c r="Q80"/>
      <c r="R80"/>
      <c r="S80"/>
      <c r="T80"/>
      <c r="U80"/>
      <c r="V80"/>
      <c r="W80"/>
      <c r="X80"/>
      <c r="Y80"/>
      <c r="Z80"/>
    </row>
    <row r="81" spans="5:26" ht="13.5" customHeight="1" x14ac:dyDescent="0.25">
      <c r="E81" s="202" t="s">
        <v>212</v>
      </c>
      <c r="F81" s="203" t="s">
        <v>225</v>
      </c>
      <c r="G81" s="203" t="s">
        <v>226</v>
      </c>
      <c r="H81" s="204">
        <v>115845</v>
      </c>
      <c r="I81" t="s">
        <v>227</v>
      </c>
      <c r="J81"/>
      <c r="K81"/>
      <c r="L81"/>
      <c r="M81"/>
      <c r="N81"/>
      <c r="O81"/>
      <c r="P81"/>
      <c r="Q81"/>
      <c r="R81"/>
      <c r="S81"/>
      <c r="T81"/>
      <c r="U81"/>
      <c r="V81"/>
      <c r="W81"/>
      <c r="X81"/>
      <c r="Y81"/>
      <c r="Z81"/>
    </row>
    <row r="82" spans="5:26" ht="13.5" customHeight="1" x14ac:dyDescent="0.25">
      <c r="E82" s="202" t="s">
        <v>212</v>
      </c>
      <c r="F82" s="203" t="s">
        <v>233</v>
      </c>
      <c r="G82" s="203" t="s">
        <v>234</v>
      </c>
      <c r="H82" s="204">
        <v>100</v>
      </c>
      <c r="I82" t="s">
        <v>227</v>
      </c>
      <c r="J82"/>
      <c r="K82"/>
      <c r="L82"/>
      <c r="M82"/>
      <c r="N82"/>
      <c r="O82"/>
      <c r="P82"/>
      <c r="Q82"/>
      <c r="R82"/>
      <c r="S82"/>
      <c r="T82"/>
      <c r="U82"/>
      <c r="V82"/>
      <c r="W82"/>
      <c r="X82"/>
      <c r="Y82"/>
      <c r="Z82"/>
    </row>
    <row r="83" spans="5:26" ht="13.5" customHeight="1" x14ac:dyDescent="0.25">
      <c r="E83" s="202" t="s">
        <v>212</v>
      </c>
      <c r="F83" s="203" t="s">
        <v>235</v>
      </c>
      <c r="G83" s="203" t="s">
        <v>236</v>
      </c>
      <c r="H83" s="204">
        <v>128</v>
      </c>
      <c r="I83" t="s">
        <v>227</v>
      </c>
      <c r="J83"/>
      <c r="K83"/>
      <c r="L83"/>
      <c r="M83"/>
      <c r="N83"/>
      <c r="O83"/>
      <c r="P83"/>
      <c r="Q83"/>
      <c r="R83"/>
      <c r="S83"/>
      <c r="T83"/>
      <c r="U83"/>
      <c r="V83"/>
      <c r="W83"/>
      <c r="X83"/>
      <c r="Y83"/>
      <c r="Z83"/>
    </row>
    <row r="84" spans="5:26" ht="13.5" customHeight="1" x14ac:dyDescent="0.25">
      <c r="E84" s="202" t="s">
        <v>212</v>
      </c>
      <c r="F84" s="203" t="s">
        <v>240</v>
      </c>
      <c r="G84" s="203" t="s">
        <v>241</v>
      </c>
      <c r="H84" s="204">
        <v>22452</v>
      </c>
      <c r="I84" t="s">
        <v>227</v>
      </c>
      <c r="J84"/>
      <c r="K84"/>
      <c r="L84"/>
      <c r="M84"/>
      <c r="N84"/>
      <c r="O84"/>
      <c r="P84"/>
      <c r="Q84"/>
      <c r="R84"/>
      <c r="S84"/>
      <c r="T84"/>
      <c r="U84"/>
      <c r="V84"/>
      <c r="W84"/>
      <c r="X84"/>
      <c r="Y84"/>
      <c r="Z84"/>
    </row>
    <row r="85" spans="5:26" ht="13.5" customHeight="1" x14ac:dyDescent="0.25">
      <c r="E85" s="202" t="s">
        <v>212</v>
      </c>
      <c r="F85" s="203" t="s">
        <v>242</v>
      </c>
      <c r="G85" s="203" t="s">
        <v>243</v>
      </c>
      <c r="H85" s="204">
        <v>793.7</v>
      </c>
      <c r="I85" t="s">
        <v>227</v>
      </c>
      <c r="J85"/>
      <c r="K85"/>
      <c r="L85"/>
      <c r="M85"/>
      <c r="N85"/>
      <c r="O85"/>
      <c r="P85"/>
      <c r="Q85"/>
      <c r="R85"/>
      <c r="S85"/>
      <c r="T85"/>
      <c r="U85"/>
      <c r="V85"/>
      <c r="W85"/>
      <c r="X85"/>
      <c r="Y85"/>
      <c r="Z85"/>
    </row>
    <row r="86" spans="5:26" ht="13.5" customHeight="1" x14ac:dyDescent="0.25">
      <c r="E86" s="202" t="s">
        <v>212</v>
      </c>
      <c r="F86" s="203" t="s">
        <v>230</v>
      </c>
      <c r="G86" s="203" t="s">
        <v>231</v>
      </c>
      <c r="H86" s="204">
        <v>380455</v>
      </c>
      <c r="I86" t="s">
        <v>192</v>
      </c>
      <c r="J86"/>
      <c r="K86"/>
      <c r="L86"/>
      <c r="M86"/>
      <c r="N86"/>
      <c r="O86"/>
      <c r="P86"/>
      <c r="Q86"/>
      <c r="R86"/>
      <c r="S86"/>
      <c r="T86"/>
      <c r="U86"/>
      <c r="V86"/>
      <c r="W86"/>
      <c r="X86"/>
      <c r="Y86"/>
      <c r="Z86"/>
    </row>
    <row r="87" spans="5:26" ht="13.5" customHeight="1" x14ac:dyDescent="0.3">
      <c r="E87" s="203"/>
      <c r="F87" s="203"/>
      <c r="G87" s="206" t="s">
        <v>253</v>
      </c>
      <c r="H87" s="207">
        <v>959188</v>
      </c>
      <c r="I87" t="s">
        <v>162</v>
      </c>
      <c r="J87"/>
      <c r="K87"/>
      <c r="L87"/>
      <c r="M87"/>
      <c r="N87"/>
      <c r="O87"/>
      <c r="P87"/>
      <c r="Q87"/>
      <c r="R87"/>
      <c r="S87"/>
      <c r="T87"/>
      <c r="U87"/>
      <c r="V87"/>
      <c r="W87"/>
      <c r="X87"/>
      <c r="Y87"/>
      <c r="Z87"/>
    </row>
    <row r="88" spans="5:26" ht="13.5" customHeight="1" x14ac:dyDescent="0.25">
      <c r="E88" s="202" t="s">
        <v>175</v>
      </c>
      <c r="F88" s="203" t="s">
        <v>205</v>
      </c>
      <c r="G88" s="203" t="s">
        <v>206</v>
      </c>
      <c r="H88" s="204">
        <v>40248</v>
      </c>
      <c r="I88" t="s">
        <v>206</v>
      </c>
      <c r="J88"/>
      <c r="K88"/>
      <c r="L88"/>
      <c r="M88"/>
      <c r="N88"/>
      <c r="O88"/>
      <c r="P88"/>
      <c r="Q88"/>
      <c r="R88"/>
      <c r="S88"/>
      <c r="T88"/>
      <c r="U88"/>
      <c r="V88"/>
      <c r="W88"/>
      <c r="X88"/>
      <c r="Y88"/>
      <c r="Z88"/>
    </row>
    <row r="89" spans="5:26" ht="13.5" customHeight="1" x14ac:dyDescent="0.25">
      <c r="E89" s="202" t="s">
        <v>175</v>
      </c>
      <c r="F89" s="203" t="s">
        <v>246</v>
      </c>
      <c r="G89" s="203" t="s">
        <v>247</v>
      </c>
      <c r="H89" s="204">
        <v>102770</v>
      </c>
      <c r="I89" t="s">
        <v>169</v>
      </c>
      <c r="J89"/>
      <c r="K89"/>
      <c r="L89"/>
      <c r="M89"/>
      <c r="N89"/>
      <c r="O89"/>
      <c r="P89"/>
      <c r="Q89"/>
      <c r="R89"/>
      <c r="S89"/>
      <c r="T89"/>
      <c r="U89"/>
      <c r="V89"/>
      <c r="W89"/>
      <c r="X89"/>
      <c r="Y89"/>
      <c r="Z89"/>
    </row>
    <row r="90" spans="5:26" ht="13.5" customHeight="1" x14ac:dyDescent="0.25">
      <c r="E90" s="202" t="s">
        <v>175</v>
      </c>
      <c r="F90" s="203" t="s">
        <v>214</v>
      </c>
      <c r="G90" s="203" t="s">
        <v>215</v>
      </c>
      <c r="H90" s="204">
        <v>121846</v>
      </c>
      <c r="I90" t="s">
        <v>216</v>
      </c>
      <c r="J90"/>
      <c r="K90"/>
      <c r="L90"/>
      <c r="M90"/>
      <c r="N90"/>
      <c r="O90"/>
      <c r="P90"/>
      <c r="Q90"/>
      <c r="R90"/>
      <c r="S90"/>
      <c r="T90"/>
      <c r="U90"/>
      <c r="V90"/>
      <c r="W90"/>
      <c r="X90"/>
      <c r="Y90"/>
      <c r="Z90"/>
    </row>
    <row r="91" spans="5:26" ht="13.5" customHeight="1" x14ac:dyDescent="0.25">
      <c r="E91" s="202" t="s">
        <v>175</v>
      </c>
      <c r="F91" s="203" t="s">
        <v>217</v>
      </c>
      <c r="G91" s="203" t="s">
        <v>218</v>
      </c>
      <c r="H91" s="204">
        <v>16550</v>
      </c>
      <c r="I91" t="s">
        <v>219</v>
      </c>
      <c r="J91"/>
      <c r="K91"/>
      <c r="L91"/>
      <c r="M91"/>
      <c r="N91"/>
      <c r="O91"/>
      <c r="P91"/>
      <c r="Q91"/>
      <c r="R91"/>
      <c r="S91"/>
      <c r="T91"/>
      <c r="U91"/>
      <c r="V91"/>
      <c r="W91"/>
      <c r="X91"/>
      <c r="Y91"/>
      <c r="Z91"/>
    </row>
    <row r="92" spans="5:26" ht="13.5" customHeight="1" x14ac:dyDescent="0.25">
      <c r="E92" s="202" t="s">
        <v>175</v>
      </c>
      <c r="F92" s="203" t="s">
        <v>221</v>
      </c>
      <c r="G92" s="203" t="s">
        <v>222</v>
      </c>
      <c r="H92" s="204">
        <v>760734</v>
      </c>
      <c r="I92" t="s">
        <v>222</v>
      </c>
      <c r="J92"/>
      <c r="K92"/>
      <c r="L92"/>
      <c r="M92"/>
      <c r="N92"/>
      <c r="O92"/>
      <c r="P92"/>
      <c r="Q92"/>
      <c r="R92"/>
      <c r="S92"/>
      <c r="T92"/>
      <c r="U92"/>
      <c r="V92"/>
      <c r="W92"/>
      <c r="X92"/>
      <c r="Y92"/>
      <c r="Z92"/>
    </row>
    <row r="93" spans="5:26" ht="13.5" customHeight="1" x14ac:dyDescent="0.25">
      <c r="E93" s="202" t="s">
        <v>175</v>
      </c>
      <c r="F93" s="203" t="s">
        <v>254</v>
      </c>
      <c r="G93" s="203" t="s">
        <v>255</v>
      </c>
      <c r="H93" s="204">
        <v>20</v>
      </c>
      <c r="I93" t="s">
        <v>227</v>
      </c>
      <c r="J93"/>
      <c r="K93"/>
      <c r="L93"/>
      <c r="M93"/>
      <c r="N93"/>
      <c r="O93"/>
      <c r="P93"/>
      <c r="Q93"/>
      <c r="R93"/>
      <c r="S93"/>
      <c r="T93"/>
      <c r="U93"/>
      <c r="V93"/>
      <c r="W93"/>
      <c r="X93"/>
      <c r="Y93"/>
      <c r="Z93"/>
    </row>
    <row r="94" spans="5:26" ht="13.5" customHeight="1" x14ac:dyDescent="0.25">
      <c r="E94" s="202" t="s">
        <v>175</v>
      </c>
      <c r="F94" s="203" t="s">
        <v>251</v>
      </c>
      <c r="G94" s="203" t="s">
        <v>252</v>
      </c>
      <c r="H94" s="204">
        <v>25.1</v>
      </c>
      <c r="I94" t="s">
        <v>193</v>
      </c>
      <c r="J94"/>
      <c r="K94"/>
      <c r="L94"/>
      <c r="M94"/>
      <c r="N94"/>
      <c r="O94"/>
      <c r="P94"/>
      <c r="Q94"/>
      <c r="R94"/>
      <c r="S94"/>
      <c r="T94"/>
      <c r="U94"/>
      <c r="V94"/>
      <c r="W94"/>
      <c r="X94"/>
      <c r="Y94"/>
      <c r="Z94"/>
    </row>
    <row r="95" spans="5:26" ht="13.5" customHeight="1" x14ac:dyDescent="0.25">
      <c r="E95" s="202" t="s">
        <v>175</v>
      </c>
      <c r="F95" s="203" t="s">
        <v>225</v>
      </c>
      <c r="G95" s="203" t="s">
        <v>226</v>
      </c>
      <c r="H95" s="204">
        <v>96984</v>
      </c>
      <c r="I95" t="s">
        <v>227</v>
      </c>
      <c r="J95"/>
      <c r="K95"/>
      <c r="L95"/>
      <c r="M95"/>
      <c r="N95"/>
      <c r="O95"/>
      <c r="P95"/>
      <c r="Q95"/>
      <c r="R95"/>
      <c r="S95"/>
      <c r="T95"/>
      <c r="U95"/>
      <c r="V95"/>
      <c r="W95"/>
      <c r="X95"/>
      <c r="Y95"/>
      <c r="Z95"/>
    </row>
    <row r="96" spans="5:26" ht="13.5" customHeight="1" x14ac:dyDescent="0.25">
      <c r="E96" s="202" t="s">
        <v>175</v>
      </c>
      <c r="F96" s="203" t="s">
        <v>233</v>
      </c>
      <c r="G96" s="203" t="s">
        <v>234</v>
      </c>
      <c r="H96" s="204">
        <v>407.2</v>
      </c>
      <c r="I96" t="s">
        <v>227</v>
      </c>
      <c r="J96"/>
      <c r="K96"/>
      <c r="L96"/>
      <c r="M96"/>
      <c r="N96"/>
      <c r="O96"/>
      <c r="P96"/>
      <c r="Q96"/>
      <c r="R96"/>
      <c r="S96"/>
      <c r="T96"/>
      <c r="U96"/>
      <c r="V96"/>
      <c r="W96"/>
      <c r="X96"/>
      <c r="Y96"/>
      <c r="Z96"/>
    </row>
    <row r="97" spans="5:26" ht="13.5" customHeight="1" x14ac:dyDescent="0.25">
      <c r="E97" s="202" t="s">
        <v>175</v>
      </c>
      <c r="F97" s="203" t="s">
        <v>235</v>
      </c>
      <c r="G97" s="203" t="s">
        <v>236</v>
      </c>
      <c r="H97" s="204">
        <v>2001</v>
      </c>
      <c r="I97" t="s">
        <v>227</v>
      </c>
      <c r="J97"/>
      <c r="K97"/>
      <c r="L97"/>
      <c r="M97"/>
      <c r="N97"/>
      <c r="O97"/>
      <c r="P97"/>
      <c r="Q97"/>
      <c r="R97"/>
      <c r="S97"/>
      <c r="T97"/>
      <c r="U97"/>
      <c r="V97"/>
      <c r="W97"/>
      <c r="X97"/>
      <c r="Y97"/>
      <c r="Z97"/>
    </row>
    <row r="98" spans="5:26" ht="13.5" customHeight="1" x14ac:dyDescent="0.25">
      <c r="E98" s="202" t="s">
        <v>175</v>
      </c>
      <c r="F98" s="203" t="s">
        <v>240</v>
      </c>
      <c r="G98" s="203" t="s">
        <v>241</v>
      </c>
      <c r="H98" s="204">
        <v>21112</v>
      </c>
      <c r="I98" t="s">
        <v>227</v>
      </c>
      <c r="J98"/>
      <c r="K98"/>
      <c r="L98"/>
      <c r="M98"/>
      <c r="N98"/>
      <c r="O98"/>
      <c r="P98"/>
      <c r="Q98"/>
      <c r="R98"/>
      <c r="S98"/>
      <c r="T98"/>
      <c r="U98"/>
      <c r="V98"/>
      <c r="W98"/>
      <c r="X98"/>
      <c r="Y98"/>
      <c r="Z98"/>
    </row>
    <row r="99" spans="5:26" ht="13.5" customHeight="1" x14ac:dyDescent="0.25">
      <c r="E99" s="202" t="s">
        <v>175</v>
      </c>
      <c r="F99" s="203" t="s">
        <v>228</v>
      </c>
      <c r="G99" s="203" t="s">
        <v>229</v>
      </c>
      <c r="H99" s="204">
        <v>117.4</v>
      </c>
      <c r="I99" t="s">
        <v>227</v>
      </c>
      <c r="J99"/>
      <c r="K99"/>
      <c r="L99"/>
      <c r="M99"/>
      <c r="N99"/>
      <c r="O99"/>
      <c r="P99"/>
      <c r="Q99"/>
      <c r="R99"/>
      <c r="S99"/>
      <c r="T99"/>
      <c r="U99"/>
      <c r="V99"/>
      <c r="W99"/>
      <c r="X99"/>
      <c r="Y99"/>
      <c r="Z99"/>
    </row>
    <row r="100" spans="5:26" ht="13.5" customHeight="1" x14ac:dyDescent="0.25">
      <c r="E100" s="202" t="s">
        <v>175</v>
      </c>
      <c r="F100" s="203" t="s">
        <v>230</v>
      </c>
      <c r="G100" s="203" t="s">
        <v>231</v>
      </c>
      <c r="H100" s="204">
        <v>399949</v>
      </c>
      <c r="I100" t="s">
        <v>192</v>
      </c>
      <c r="J100"/>
      <c r="K100"/>
      <c r="L100"/>
      <c r="M100"/>
      <c r="N100"/>
      <c r="O100"/>
      <c r="P100"/>
      <c r="Q100"/>
      <c r="R100"/>
      <c r="S100"/>
      <c r="T100"/>
      <c r="U100"/>
      <c r="V100"/>
      <c r="W100"/>
      <c r="X100"/>
      <c r="Y100"/>
      <c r="Z100"/>
    </row>
    <row r="101" spans="5:26" ht="13.5" customHeight="1" x14ac:dyDescent="0.3">
      <c r="E101" s="203"/>
      <c r="F101" s="203"/>
      <c r="G101" s="206" t="s">
        <v>256</v>
      </c>
      <c r="H101" s="207">
        <v>1562764</v>
      </c>
      <c r="I101" t="s">
        <v>162</v>
      </c>
      <c r="J101"/>
      <c r="K101"/>
      <c r="L101"/>
      <c r="M101"/>
      <c r="N101"/>
      <c r="O101"/>
      <c r="P101"/>
      <c r="Q101"/>
      <c r="R101"/>
      <c r="S101"/>
      <c r="T101"/>
      <c r="U101"/>
      <c r="V101"/>
      <c r="W101"/>
      <c r="X101"/>
      <c r="Y101"/>
      <c r="Z101"/>
    </row>
    <row r="102" spans="5:26" ht="13.5" customHeight="1" x14ac:dyDescent="0.25">
      <c r="E102" s="202" t="s">
        <v>176</v>
      </c>
      <c r="F102" s="203" t="s">
        <v>205</v>
      </c>
      <c r="G102" s="203" t="s">
        <v>206</v>
      </c>
      <c r="H102" s="204">
        <v>17700</v>
      </c>
      <c r="I102" t="s">
        <v>206</v>
      </c>
      <c r="J102"/>
      <c r="K102"/>
      <c r="L102"/>
      <c r="M102"/>
      <c r="N102"/>
      <c r="O102"/>
      <c r="P102"/>
      <c r="Q102"/>
      <c r="R102"/>
      <c r="S102"/>
      <c r="T102"/>
      <c r="U102"/>
      <c r="V102"/>
      <c r="W102"/>
      <c r="X102"/>
      <c r="Y102"/>
      <c r="Z102"/>
    </row>
    <row r="103" spans="5:26" ht="13.5" customHeight="1" x14ac:dyDescent="0.25">
      <c r="E103" s="202" t="s">
        <v>176</v>
      </c>
      <c r="F103" s="203" t="s">
        <v>246</v>
      </c>
      <c r="G103" s="203" t="s">
        <v>247</v>
      </c>
      <c r="H103" s="204">
        <v>92956</v>
      </c>
      <c r="I103" t="s">
        <v>169</v>
      </c>
      <c r="J103"/>
      <c r="K103"/>
      <c r="L103"/>
      <c r="M103"/>
      <c r="N103"/>
      <c r="O103"/>
      <c r="P103"/>
      <c r="Q103"/>
      <c r="R103"/>
      <c r="S103"/>
      <c r="T103"/>
      <c r="U103"/>
      <c r="V103"/>
      <c r="W103"/>
      <c r="X103"/>
      <c r="Y103"/>
      <c r="Z103"/>
    </row>
    <row r="104" spans="5:26" ht="13.5" customHeight="1" x14ac:dyDescent="0.25">
      <c r="E104" s="202" t="s">
        <v>176</v>
      </c>
      <c r="F104" s="203" t="s">
        <v>214</v>
      </c>
      <c r="G104" s="203" t="s">
        <v>215</v>
      </c>
      <c r="H104" s="204">
        <v>95373</v>
      </c>
      <c r="I104" t="s">
        <v>216</v>
      </c>
      <c r="J104"/>
      <c r="K104"/>
      <c r="L104"/>
      <c r="M104"/>
      <c r="N104"/>
      <c r="O104"/>
      <c r="P104"/>
      <c r="Q104"/>
      <c r="R104"/>
      <c r="S104"/>
      <c r="T104"/>
      <c r="U104"/>
      <c r="V104"/>
      <c r="W104"/>
      <c r="X104"/>
      <c r="Y104"/>
      <c r="Z104"/>
    </row>
    <row r="105" spans="5:26" ht="13.5" customHeight="1" x14ac:dyDescent="0.25">
      <c r="E105" s="202" t="s">
        <v>176</v>
      </c>
      <c r="F105" s="203" t="s">
        <v>217</v>
      </c>
      <c r="G105" s="203" t="s">
        <v>218</v>
      </c>
      <c r="H105" s="204">
        <v>19854</v>
      </c>
      <c r="I105" t="s">
        <v>219</v>
      </c>
      <c r="J105"/>
      <c r="K105"/>
      <c r="L105"/>
      <c r="M105"/>
      <c r="N105"/>
      <c r="O105"/>
      <c r="P105"/>
      <c r="Q105"/>
      <c r="R105"/>
      <c r="S105"/>
      <c r="T105"/>
      <c r="U105"/>
      <c r="V105"/>
      <c r="W105"/>
      <c r="X105"/>
      <c r="Y105"/>
      <c r="Z105"/>
    </row>
    <row r="106" spans="5:26" ht="13.5" customHeight="1" x14ac:dyDescent="0.25">
      <c r="E106" s="202" t="s">
        <v>176</v>
      </c>
      <c r="F106" s="203" t="s">
        <v>221</v>
      </c>
      <c r="G106" s="203" t="s">
        <v>222</v>
      </c>
      <c r="H106" s="204">
        <v>758499</v>
      </c>
      <c r="I106" t="s">
        <v>222</v>
      </c>
      <c r="J106"/>
      <c r="K106"/>
      <c r="L106"/>
      <c r="M106"/>
      <c r="N106"/>
      <c r="O106"/>
      <c r="P106"/>
      <c r="Q106"/>
      <c r="R106"/>
      <c r="S106"/>
      <c r="T106"/>
      <c r="U106"/>
      <c r="V106"/>
      <c r="W106"/>
      <c r="X106"/>
      <c r="Y106"/>
      <c r="Z106"/>
    </row>
    <row r="107" spans="5:26" ht="13.5" customHeight="1" x14ac:dyDescent="0.25">
      <c r="E107" s="202" t="s">
        <v>176</v>
      </c>
      <c r="F107" s="203" t="s">
        <v>251</v>
      </c>
      <c r="G107" s="203" t="s">
        <v>252</v>
      </c>
      <c r="H107" s="204">
        <v>37.6</v>
      </c>
      <c r="I107" t="s">
        <v>193</v>
      </c>
      <c r="J107"/>
      <c r="K107"/>
      <c r="L107"/>
      <c r="M107"/>
      <c r="N107"/>
      <c r="O107"/>
      <c r="P107"/>
      <c r="Q107"/>
      <c r="R107"/>
      <c r="S107"/>
      <c r="T107"/>
      <c r="U107"/>
      <c r="V107"/>
      <c r="W107"/>
      <c r="X107"/>
      <c r="Y107"/>
      <c r="Z107"/>
    </row>
    <row r="108" spans="5:26" ht="13.5" customHeight="1" x14ac:dyDescent="0.25">
      <c r="E108" s="202" t="s">
        <v>176</v>
      </c>
      <c r="F108" s="203" t="s">
        <v>225</v>
      </c>
      <c r="G108" s="203" t="s">
        <v>226</v>
      </c>
      <c r="H108" s="204">
        <v>111500</v>
      </c>
      <c r="I108" t="s">
        <v>227</v>
      </c>
      <c r="J108"/>
      <c r="K108"/>
      <c r="L108"/>
      <c r="M108"/>
      <c r="N108"/>
      <c r="O108"/>
      <c r="P108"/>
      <c r="Q108"/>
      <c r="R108"/>
      <c r="S108"/>
      <c r="T108"/>
      <c r="U108"/>
      <c r="V108"/>
      <c r="W108"/>
      <c r="X108"/>
      <c r="Y108"/>
      <c r="Z108"/>
    </row>
    <row r="109" spans="5:26" ht="13.5" customHeight="1" x14ac:dyDescent="0.25">
      <c r="E109" s="202" t="s">
        <v>176</v>
      </c>
      <c r="F109" s="203" t="s">
        <v>233</v>
      </c>
      <c r="G109" s="203" t="s">
        <v>234</v>
      </c>
      <c r="H109" s="204">
        <v>2723</v>
      </c>
      <c r="I109" t="s">
        <v>227</v>
      </c>
      <c r="J109"/>
      <c r="K109"/>
      <c r="L109"/>
      <c r="M109"/>
      <c r="N109"/>
      <c r="O109"/>
      <c r="P109"/>
      <c r="Q109"/>
      <c r="R109"/>
      <c r="S109"/>
      <c r="T109"/>
      <c r="U109"/>
      <c r="V109"/>
      <c r="W109"/>
      <c r="X109"/>
      <c r="Y109"/>
      <c r="Z109"/>
    </row>
    <row r="110" spans="5:26" ht="13.5" customHeight="1" x14ac:dyDescent="0.25">
      <c r="E110" s="202" t="s">
        <v>176</v>
      </c>
      <c r="F110" s="203" t="s">
        <v>225</v>
      </c>
      <c r="G110" s="203" t="s">
        <v>239</v>
      </c>
      <c r="H110" s="204">
        <v>421</v>
      </c>
      <c r="I110" t="s">
        <v>227</v>
      </c>
      <c r="J110"/>
      <c r="K110"/>
      <c r="L110"/>
      <c r="M110"/>
      <c r="N110"/>
      <c r="O110"/>
      <c r="P110"/>
      <c r="Q110"/>
      <c r="R110"/>
      <c r="S110"/>
      <c r="T110"/>
      <c r="U110"/>
      <c r="V110"/>
      <c r="W110"/>
      <c r="X110"/>
      <c r="Y110"/>
      <c r="Z110"/>
    </row>
    <row r="111" spans="5:26" ht="13.5" customHeight="1" x14ac:dyDescent="0.25">
      <c r="E111" s="202" t="s">
        <v>176</v>
      </c>
      <c r="F111" s="203" t="s">
        <v>235</v>
      </c>
      <c r="G111" s="203" t="s">
        <v>236</v>
      </c>
      <c r="H111" s="204">
        <v>12022</v>
      </c>
      <c r="I111" t="s">
        <v>227</v>
      </c>
      <c r="J111"/>
      <c r="K111"/>
      <c r="L111"/>
      <c r="M111"/>
      <c r="N111"/>
      <c r="O111"/>
      <c r="P111"/>
      <c r="Q111"/>
      <c r="R111"/>
      <c r="S111"/>
      <c r="T111"/>
      <c r="U111"/>
      <c r="V111"/>
      <c r="W111"/>
      <c r="X111"/>
      <c r="Y111"/>
      <c r="Z111"/>
    </row>
    <row r="112" spans="5:26" ht="13.5" customHeight="1" x14ac:dyDescent="0.25">
      <c r="E112" s="202" t="s">
        <v>176</v>
      </c>
      <c r="F112" s="203" t="s">
        <v>240</v>
      </c>
      <c r="G112" s="203" t="s">
        <v>241</v>
      </c>
      <c r="H112" s="204">
        <v>10214</v>
      </c>
      <c r="I112" t="s">
        <v>227</v>
      </c>
      <c r="J112"/>
      <c r="K112"/>
      <c r="L112"/>
      <c r="M112"/>
      <c r="N112"/>
      <c r="O112"/>
      <c r="P112"/>
      <c r="Q112"/>
      <c r="R112"/>
      <c r="S112"/>
      <c r="T112"/>
      <c r="U112"/>
      <c r="V112"/>
      <c r="W112"/>
      <c r="X112"/>
      <c r="Y112"/>
      <c r="Z112"/>
    </row>
    <row r="113" spans="5:26" ht="13.5" customHeight="1" x14ac:dyDescent="0.25">
      <c r="E113" s="202" t="s">
        <v>176</v>
      </c>
      <c r="F113" s="203" t="s">
        <v>242</v>
      </c>
      <c r="G113" s="203" t="s">
        <v>243</v>
      </c>
      <c r="H113" s="204">
        <v>250</v>
      </c>
      <c r="I113" t="s">
        <v>227</v>
      </c>
      <c r="J113"/>
      <c r="K113"/>
      <c r="L113"/>
      <c r="M113"/>
      <c r="N113"/>
      <c r="O113"/>
      <c r="P113"/>
      <c r="Q113"/>
      <c r="R113"/>
      <c r="S113"/>
      <c r="T113"/>
      <c r="U113"/>
      <c r="V113"/>
      <c r="W113"/>
      <c r="X113"/>
      <c r="Y113"/>
      <c r="Z113"/>
    </row>
    <row r="114" spans="5:26" ht="13.5" customHeight="1" x14ac:dyDescent="0.25">
      <c r="E114" s="202" t="s">
        <v>176</v>
      </c>
      <c r="F114" s="203" t="s">
        <v>230</v>
      </c>
      <c r="G114" s="203" t="s">
        <v>231</v>
      </c>
      <c r="H114" s="204">
        <v>351821</v>
      </c>
      <c r="I114" t="s">
        <v>192</v>
      </c>
      <c r="J114"/>
      <c r="K114"/>
      <c r="L114"/>
      <c r="M114"/>
      <c r="N114"/>
      <c r="O114"/>
      <c r="P114"/>
      <c r="Q114"/>
      <c r="R114"/>
      <c r="S114"/>
      <c r="T114"/>
      <c r="U114"/>
      <c r="V114"/>
      <c r="W114"/>
      <c r="X114"/>
      <c r="Y114"/>
      <c r="Z114"/>
    </row>
    <row r="115" spans="5:26" ht="13.5" customHeight="1" x14ac:dyDescent="0.3">
      <c r="E115" s="203"/>
      <c r="F115" s="203"/>
      <c r="G115" s="206" t="s">
        <v>257</v>
      </c>
      <c r="H115" s="207">
        <v>1473369</v>
      </c>
      <c r="I115" t="s">
        <v>162</v>
      </c>
      <c r="J115"/>
      <c r="K115"/>
      <c r="L115"/>
      <c r="M115"/>
      <c r="N115"/>
      <c r="O115"/>
      <c r="P115"/>
      <c r="Q115"/>
      <c r="R115"/>
      <c r="S115"/>
      <c r="T115"/>
      <c r="U115"/>
      <c r="V115"/>
      <c r="W115"/>
      <c r="X115"/>
      <c r="Y115"/>
      <c r="Z115"/>
    </row>
    <row r="116" spans="5:26" ht="13.5" customHeight="1" x14ac:dyDescent="0.25">
      <c r="E116" s="202" t="s">
        <v>177</v>
      </c>
      <c r="F116" s="203" t="s">
        <v>205</v>
      </c>
      <c r="G116" s="203" t="s">
        <v>206</v>
      </c>
      <c r="H116" s="204">
        <v>41533</v>
      </c>
      <c r="I116" t="s">
        <v>206</v>
      </c>
      <c r="J116"/>
      <c r="K116"/>
      <c r="L116"/>
      <c r="M116"/>
      <c r="N116"/>
      <c r="O116"/>
      <c r="P116"/>
      <c r="Q116"/>
      <c r="R116"/>
      <c r="S116"/>
      <c r="T116"/>
      <c r="U116"/>
      <c r="V116"/>
      <c r="W116"/>
      <c r="X116"/>
      <c r="Y116"/>
      <c r="Z116"/>
    </row>
    <row r="117" spans="5:26" ht="13.5" customHeight="1" x14ac:dyDescent="0.25">
      <c r="E117" s="202" t="s">
        <v>177</v>
      </c>
      <c r="F117" s="203" t="s">
        <v>246</v>
      </c>
      <c r="G117" s="203" t="s">
        <v>247</v>
      </c>
      <c r="H117" s="204">
        <v>56800</v>
      </c>
      <c r="I117" t="s">
        <v>169</v>
      </c>
      <c r="J117"/>
      <c r="K117"/>
      <c r="L117"/>
      <c r="M117"/>
      <c r="N117"/>
      <c r="O117"/>
      <c r="P117"/>
      <c r="Q117"/>
      <c r="R117"/>
      <c r="S117"/>
      <c r="T117"/>
      <c r="U117"/>
      <c r="V117"/>
      <c r="W117"/>
      <c r="X117"/>
      <c r="Y117"/>
      <c r="Z117"/>
    </row>
    <row r="118" spans="5:26" ht="13.5" customHeight="1" x14ac:dyDescent="0.25">
      <c r="E118" s="202" t="s">
        <v>177</v>
      </c>
      <c r="F118" s="203" t="s">
        <v>214</v>
      </c>
      <c r="G118" s="203" t="s">
        <v>215</v>
      </c>
      <c r="H118" s="204">
        <v>29276</v>
      </c>
      <c r="I118" t="s">
        <v>216</v>
      </c>
      <c r="J118"/>
      <c r="K118"/>
      <c r="L118"/>
      <c r="M118"/>
      <c r="N118"/>
      <c r="O118"/>
      <c r="P118"/>
      <c r="Q118"/>
      <c r="R118"/>
      <c r="S118"/>
      <c r="T118"/>
      <c r="U118"/>
      <c r="V118"/>
      <c r="W118"/>
      <c r="X118"/>
      <c r="Y118"/>
      <c r="Z118"/>
    </row>
    <row r="119" spans="5:26" ht="13.5" customHeight="1" x14ac:dyDescent="0.25">
      <c r="E119" s="202" t="s">
        <v>177</v>
      </c>
      <c r="F119" s="203" t="s">
        <v>217</v>
      </c>
      <c r="G119" s="203" t="s">
        <v>218</v>
      </c>
      <c r="H119" s="204">
        <v>1507</v>
      </c>
      <c r="I119" t="s">
        <v>219</v>
      </c>
      <c r="J119"/>
      <c r="K119"/>
      <c r="L119"/>
      <c r="M119"/>
      <c r="N119"/>
      <c r="O119"/>
      <c r="P119"/>
      <c r="Q119"/>
      <c r="R119"/>
      <c r="S119"/>
      <c r="T119"/>
      <c r="U119"/>
      <c r="V119"/>
      <c r="W119"/>
      <c r="X119"/>
      <c r="Y119"/>
      <c r="Z119"/>
    </row>
    <row r="120" spans="5:26" ht="13.5" customHeight="1" x14ac:dyDescent="0.25">
      <c r="E120" s="202" t="s">
        <v>177</v>
      </c>
      <c r="F120" s="203" t="s">
        <v>221</v>
      </c>
      <c r="G120" s="203" t="s">
        <v>222</v>
      </c>
      <c r="H120" s="204">
        <v>730151</v>
      </c>
      <c r="I120" t="s">
        <v>222</v>
      </c>
      <c r="J120"/>
      <c r="K120"/>
      <c r="L120"/>
      <c r="M120"/>
      <c r="N120"/>
      <c r="O120"/>
      <c r="P120"/>
      <c r="Q120"/>
      <c r="R120"/>
      <c r="S120"/>
      <c r="T120"/>
      <c r="U120"/>
      <c r="V120"/>
      <c r="W120"/>
      <c r="X120"/>
      <c r="Y120"/>
      <c r="Z120"/>
    </row>
    <row r="121" spans="5:26" ht="13.5" customHeight="1" x14ac:dyDescent="0.25">
      <c r="E121" s="202" t="s">
        <v>177</v>
      </c>
      <c r="F121" s="203" t="s">
        <v>225</v>
      </c>
      <c r="G121" s="203" t="s">
        <v>239</v>
      </c>
      <c r="H121" s="204">
        <v>24.58</v>
      </c>
      <c r="I121" t="s">
        <v>227</v>
      </c>
      <c r="J121"/>
      <c r="K121"/>
      <c r="L121"/>
      <c r="M121"/>
      <c r="N121"/>
      <c r="O121"/>
      <c r="P121"/>
      <c r="Q121"/>
      <c r="R121"/>
      <c r="S121"/>
      <c r="T121"/>
      <c r="U121"/>
      <c r="V121"/>
      <c r="W121"/>
      <c r="X121"/>
      <c r="Y121"/>
      <c r="Z121"/>
    </row>
    <row r="122" spans="5:26" ht="13.5" customHeight="1" x14ac:dyDescent="0.25">
      <c r="E122" s="202" t="s">
        <v>177</v>
      </c>
      <c r="F122" s="203" t="s">
        <v>242</v>
      </c>
      <c r="G122" s="203" t="s">
        <v>243</v>
      </c>
      <c r="H122" s="204">
        <v>63.63</v>
      </c>
      <c r="I122" t="s">
        <v>227</v>
      </c>
      <c r="J122"/>
      <c r="K122"/>
      <c r="L122"/>
      <c r="M122"/>
      <c r="N122"/>
      <c r="O122"/>
      <c r="P122"/>
      <c r="Q122"/>
      <c r="R122"/>
      <c r="S122"/>
      <c r="T122"/>
      <c r="U122"/>
      <c r="V122"/>
      <c r="W122"/>
      <c r="X122"/>
      <c r="Y122"/>
      <c r="Z122"/>
    </row>
    <row r="123" spans="5:26" ht="13.5" customHeight="1" x14ac:dyDescent="0.25">
      <c r="E123" s="202" t="s">
        <v>177</v>
      </c>
      <c r="F123" s="203" t="s">
        <v>248</v>
      </c>
      <c r="G123" s="203" t="s">
        <v>249</v>
      </c>
      <c r="H123" s="204">
        <v>24.3</v>
      </c>
      <c r="I123" t="s">
        <v>227</v>
      </c>
      <c r="J123"/>
      <c r="K123"/>
      <c r="L123"/>
      <c r="M123"/>
      <c r="N123"/>
      <c r="O123"/>
      <c r="P123"/>
      <c r="Q123"/>
      <c r="R123"/>
      <c r="S123"/>
      <c r="T123"/>
      <c r="U123"/>
      <c r="V123"/>
      <c r="W123"/>
      <c r="X123"/>
      <c r="Y123"/>
      <c r="Z123"/>
    </row>
    <row r="124" spans="5:26" ht="13.5" customHeight="1" x14ac:dyDescent="0.25">
      <c r="E124" s="202" t="s">
        <v>177</v>
      </c>
      <c r="F124" s="203" t="s">
        <v>228</v>
      </c>
      <c r="G124" s="203" t="s">
        <v>229</v>
      </c>
      <c r="H124" s="204">
        <v>423</v>
      </c>
      <c r="I124" t="s">
        <v>227</v>
      </c>
      <c r="J124"/>
      <c r="K124"/>
      <c r="L124"/>
      <c r="M124"/>
      <c r="N124"/>
      <c r="O124"/>
      <c r="P124"/>
      <c r="Q124"/>
      <c r="R124"/>
      <c r="S124"/>
      <c r="T124"/>
      <c r="U124"/>
      <c r="V124"/>
      <c r="W124"/>
      <c r="X124"/>
      <c r="Y124"/>
      <c r="Z124"/>
    </row>
    <row r="125" spans="5:26" ht="13.5" customHeight="1" x14ac:dyDescent="0.25">
      <c r="E125" s="202" t="s">
        <v>177</v>
      </c>
      <c r="F125" s="203" t="s">
        <v>230</v>
      </c>
      <c r="G125" s="203" t="s">
        <v>258</v>
      </c>
      <c r="H125" s="204">
        <v>16.010000000000002</v>
      </c>
      <c r="I125" t="s">
        <v>192</v>
      </c>
      <c r="J125"/>
      <c r="K125"/>
      <c r="L125"/>
      <c r="M125"/>
      <c r="N125"/>
      <c r="O125"/>
      <c r="P125"/>
      <c r="Q125"/>
      <c r="R125"/>
      <c r="S125"/>
      <c r="T125"/>
      <c r="U125"/>
      <c r="V125"/>
      <c r="W125"/>
      <c r="X125"/>
      <c r="Y125"/>
      <c r="Z125"/>
    </row>
    <row r="126" spans="5:26" ht="13.5" customHeight="1" x14ac:dyDescent="0.25">
      <c r="E126" s="202" t="s">
        <v>177</v>
      </c>
      <c r="F126" s="203" t="s">
        <v>230</v>
      </c>
      <c r="G126" s="203" t="s">
        <v>231</v>
      </c>
      <c r="H126" s="204">
        <v>1368</v>
      </c>
      <c r="I126" t="s">
        <v>192</v>
      </c>
      <c r="J126"/>
      <c r="K126"/>
      <c r="L126"/>
      <c r="M126"/>
      <c r="N126"/>
      <c r="O126"/>
      <c r="P126"/>
      <c r="Q126"/>
      <c r="R126"/>
      <c r="S126"/>
      <c r="T126"/>
      <c r="U126"/>
      <c r="V126"/>
      <c r="W126"/>
      <c r="X126"/>
      <c r="Y126"/>
      <c r="Z126"/>
    </row>
    <row r="127" spans="5:26" ht="13.5" customHeight="1" x14ac:dyDescent="0.25">
      <c r="E127" s="202" t="s">
        <v>177</v>
      </c>
      <c r="F127" s="203" t="s">
        <v>230</v>
      </c>
      <c r="G127" s="203" t="s">
        <v>259</v>
      </c>
      <c r="H127" s="204">
        <v>24.76</v>
      </c>
      <c r="I127" t="s">
        <v>192</v>
      </c>
      <c r="J127"/>
      <c r="K127"/>
      <c r="L127"/>
      <c r="M127"/>
      <c r="N127"/>
      <c r="O127"/>
      <c r="P127"/>
      <c r="Q127"/>
      <c r="R127"/>
      <c r="S127"/>
      <c r="T127"/>
      <c r="U127"/>
      <c r="V127"/>
      <c r="W127"/>
      <c r="X127"/>
      <c r="Y127"/>
      <c r="Z127"/>
    </row>
    <row r="128" spans="5:26" ht="13.5" customHeight="1" x14ac:dyDescent="0.25">
      <c r="E128" s="202" t="s">
        <v>177</v>
      </c>
      <c r="F128" s="203" t="s">
        <v>230</v>
      </c>
      <c r="G128" s="203" t="s">
        <v>260</v>
      </c>
      <c r="H128" s="204">
        <v>376.8</v>
      </c>
      <c r="I128" t="s">
        <v>192</v>
      </c>
      <c r="J128"/>
      <c r="K128"/>
      <c r="L128"/>
      <c r="M128"/>
      <c r="N128"/>
      <c r="O128"/>
      <c r="P128"/>
      <c r="Q128"/>
      <c r="R128"/>
      <c r="S128"/>
      <c r="T128"/>
      <c r="U128"/>
      <c r="V128"/>
      <c r="W128"/>
      <c r="X128"/>
      <c r="Y128"/>
      <c r="Z128"/>
    </row>
    <row r="129" spans="5:26" ht="13.5" customHeight="1" x14ac:dyDescent="0.3">
      <c r="E129" s="203"/>
      <c r="F129" s="203"/>
      <c r="G129" s="206" t="s">
        <v>261</v>
      </c>
      <c r="H129" s="207">
        <v>861587</v>
      </c>
      <c r="I129" t="s">
        <v>162</v>
      </c>
      <c r="J129"/>
      <c r="K129"/>
      <c r="L129"/>
      <c r="M129"/>
      <c r="N129"/>
      <c r="O129"/>
      <c r="P129"/>
      <c r="Q129"/>
      <c r="R129"/>
      <c r="S129"/>
      <c r="T129"/>
      <c r="U129"/>
      <c r="V129"/>
      <c r="W129"/>
      <c r="X129"/>
      <c r="Y129"/>
      <c r="Z129"/>
    </row>
    <row r="130" spans="5:26" ht="13.5" customHeight="1" x14ac:dyDescent="0.25">
      <c r="E130" s="202" t="s">
        <v>178</v>
      </c>
      <c r="F130" s="203" t="s">
        <v>246</v>
      </c>
      <c r="G130" s="203" t="s">
        <v>247</v>
      </c>
      <c r="H130" s="204">
        <v>168181</v>
      </c>
      <c r="I130" t="s">
        <v>169</v>
      </c>
      <c r="J130"/>
      <c r="K130"/>
      <c r="L130"/>
      <c r="M130"/>
      <c r="N130"/>
      <c r="O130"/>
      <c r="P130"/>
      <c r="Q130"/>
      <c r="R130"/>
      <c r="S130"/>
      <c r="T130"/>
      <c r="U130"/>
      <c r="V130"/>
      <c r="W130"/>
      <c r="X130"/>
      <c r="Y130"/>
      <c r="Z130"/>
    </row>
    <row r="131" spans="5:26" ht="13.5" customHeight="1" x14ac:dyDescent="0.25">
      <c r="E131" s="202" t="s">
        <v>178</v>
      </c>
      <c r="F131" s="203" t="s">
        <v>214</v>
      </c>
      <c r="G131" s="203" t="s">
        <v>215</v>
      </c>
      <c r="H131" s="204">
        <v>248789</v>
      </c>
      <c r="I131" t="s">
        <v>216</v>
      </c>
      <c r="J131"/>
      <c r="K131"/>
      <c r="L131"/>
      <c r="M131"/>
      <c r="N131"/>
      <c r="O131"/>
      <c r="P131"/>
      <c r="Q131"/>
      <c r="R131"/>
      <c r="S131"/>
      <c r="T131"/>
      <c r="U131"/>
      <c r="V131"/>
      <c r="W131"/>
      <c r="X131"/>
      <c r="Y131"/>
      <c r="Z131"/>
    </row>
    <row r="132" spans="5:26" ht="13.5" customHeight="1" x14ac:dyDescent="0.25">
      <c r="E132" s="202" t="s">
        <v>178</v>
      </c>
      <c r="F132" s="203" t="s">
        <v>217</v>
      </c>
      <c r="G132" s="203" t="s">
        <v>218</v>
      </c>
      <c r="H132" s="204">
        <v>11255</v>
      </c>
      <c r="I132" t="s">
        <v>219</v>
      </c>
      <c r="J132"/>
      <c r="K132"/>
      <c r="L132"/>
      <c r="M132"/>
      <c r="N132"/>
      <c r="O132"/>
      <c r="P132"/>
      <c r="Q132"/>
      <c r="R132"/>
      <c r="S132"/>
      <c r="T132"/>
      <c r="U132"/>
      <c r="V132"/>
      <c r="W132"/>
      <c r="X132"/>
      <c r="Y132"/>
      <c r="Z132"/>
    </row>
    <row r="133" spans="5:26" ht="13.5" customHeight="1" x14ac:dyDescent="0.25">
      <c r="E133" s="202" t="s">
        <v>178</v>
      </c>
      <c r="F133" s="203" t="s">
        <v>221</v>
      </c>
      <c r="G133" s="203" t="s">
        <v>222</v>
      </c>
      <c r="H133" s="204">
        <v>988343</v>
      </c>
      <c r="I133" t="s">
        <v>222</v>
      </c>
      <c r="J133"/>
      <c r="K133"/>
      <c r="L133"/>
      <c r="M133"/>
      <c r="N133"/>
      <c r="O133"/>
      <c r="P133"/>
      <c r="Q133"/>
      <c r="R133"/>
      <c r="S133"/>
      <c r="T133"/>
      <c r="U133"/>
      <c r="V133"/>
      <c r="W133"/>
      <c r="X133"/>
      <c r="Y133"/>
      <c r="Z133"/>
    </row>
    <row r="134" spans="5:26" ht="13.5" customHeight="1" x14ac:dyDescent="0.25">
      <c r="E134" s="202" t="s">
        <v>178</v>
      </c>
      <c r="F134" s="203" t="s">
        <v>240</v>
      </c>
      <c r="G134" s="203" t="s">
        <v>241</v>
      </c>
      <c r="H134" s="204">
        <v>0.65</v>
      </c>
      <c r="I134" t="s">
        <v>227</v>
      </c>
      <c r="J134"/>
      <c r="K134"/>
      <c r="L134"/>
      <c r="M134"/>
      <c r="N134"/>
      <c r="O134"/>
      <c r="P134"/>
      <c r="Q134"/>
      <c r="R134"/>
      <c r="S134"/>
      <c r="T134"/>
      <c r="U134"/>
      <c r="V134"/>
      <c r="W134"/>
      <c r="X134"/>
      <c r="Y134"/>
      <c r="Z134"/>
    </row>
    <row r="135" spans="5:26" ht="13.5" customHeight="1" x14ac:dyDescent="0.25">
      <c r="E135" s="202" t="s">
        <v>178</v>
      </c>
      <c r="F135" s="203" t="s">
        <v>248</v>
      </c>
      <c r="G135" s="203" t="s">
        <v>249</v>
      </c>
      <c r="H135" s="204">
        <v>28.1</v>
      </c>
      <c r="I135" t="s">
        <v>227</v>
      </c>
      <c r="J135"/>
      <c r="K135"/>
      <c r="L135"/>
      <c r="M135"/>
      <c r="N135"/>
      <c r="O135"/>
      <c r="P135"/>
      <c r="Q135"/>
      <c r="R135"/>
      <c r="S135"/>
      <c r="T135"/>
      <c r="U135"/>
      <c r="V135"/>
      <c r="W135"/>
      <c r="X135"/>
      <c r="Y135"/>
      <c r="Z135"/>
    </row>
    <row r="136" spans="5:26" ht="13.5" customHeight="1" x14ac:dyDescent="0.25">
      <c r="E136" s="202" t="s">
        <v>178</v>
      </c>
      <c r="F136" s="203" t="s">
        <v>230</v>
      </c>
      <c r="G136" s="203" t="s">
        <v>231</v>
      </c>
      <c r="H136" s="204">
        <v>1016</v>
      </c>
      <c r="I136" t="s">
        <v>192</v>
      </c>
      <c r="J136"/>
      <c r="K136"/>
      <c r="L136"/>
      <c r="M136"/>
      <c r="N136"/>
      <c r="O136"/>
      <c r="P136"/>
      <c r="Q136"/>
      <c r="R136"/>
      <c r="S136"/>
      <c r="T136"/>
      <c r="U136"/>
      <c r="V136"/>
      <c r="W136"/>
      <c r="X136"/>
      <c r="Y136"/>
      <c r="Z136"/>
    </row>
    <row r="137" spans="5:26" ht="13.5" customHeight="1" x14ac:dyDescent="0.3">
      <c r="E137" s="203"/>
      <c r="F137" s="203"/>
      <c r="G137" s="206" t="s">
        <v>262</v>
      </c>
      <c r="H137" s="207">
        <v>1417614</v>
      </c>
      <c r="I137" t="s">
        <v>162</v>
      </c>
      <c r="J137"/>
      <c r="K137"/>
      <c r="L137"/>
      <c r="M137"/>
      <c r="N137"/>
      <c r="O137"/>
      <c r="P137"/>
      <c r="Q137"/>
      <c r="R137"/>
      <c r="S137"/>
      <c r="T137"/>
      <c r="U137"/>
      <c r="V137"/>
      <c r="W137"/>
      <c r="X137"/>
      <c r="Y137"/>
      <c r="Z137"/>
    </row>
    <row r="138" spans="5:26" ht="13.5" customHeight="1" x14ac:dyDescent="0.25">
      <c r="E138" s="202" t="s">
        <v>179</v>
      </c>
      <c r="F138" s="203" t="s">
        <v>221</v>
      </c>
      <c r="G138" s="203" t="s">
        <v>222</v>
      </c>
      <c r="H138" s="204">
        <v>1303423</v>
      </c>
      <c r="I138" t="s">
        <v>222</v>
      </c>
      <c r="J138"/>
      <c r="K138"/>
      <c r="L138"/>
      <c r="M138"/>
      <c r="N138"/>
      <c r="O138"/>
      <c r="P138"/>
      <c r="Q138"/>
      <c r="R138"/>
      <c r="S138"/>
      <c r="T138"/>
      <c r="U138"/>
      <c r="V138"/>
      <c r="W138"/>
      <c r="X138"/>
      <c r="Y138"/>
      <c r="Z138"/>
    </row>
    <row r="139" spans="5:26" ht="13.5" customHeight="1" x14ac:dyDescent="0.25">
      <c r="E139" s="202" t="s">
        <v>179</v>
      </c>
      <c r="F139" s="203" t="s">
        <v>246</v>
      </c>
      <c r="G139" s="203" t="s">
        <v>247</v>
      </c>
      <c r="H139" s="204">
        <v>229588</v>
      </c>
      <c r="I139" t="s">
        <v>169</v>
      </c>
      <c r="J139"/>
      <c r="K139"/>
      <c r="L139"/>
      <c r="M139"/>
      <c r="N139"/>
      <c r="O139"/>
      <c r="P139"/>
      <c r="Q139"/>
      <c r="R139"/>
      <c r="S139"/>
      <c r="T139"/>
      <c r="U139"/>
      <c r="V139"/>
      <c r="W139"/>
      <c r="X139"/>
      <c r="Y139"/>
      <c r="Z139"/>
    </row>
    <row r="140" spans="5:26" ht="13.5" customHeight="1" x14ac:dyDescent="0.25">
      <c r="E140" s="202" t="s">
        <v>179</v>
      </c>
      <c r="F140" s="203" t="s">
        <v>205</v>
      </c>
      <c r="G140" s="203" t="s">
        <v>206</v>
      </c>
      <c r="H140" s="204">
        <v>182845</v>
      </c>
      <c r="I140" t="s">
        <v>206</v>
      </c>
      <c r="J140"/>
      <c r="K140"/>
      <c r="L140"/>
      <c r="M140"/>
      <c r="N140"/>
      <c r="O140"/>
      <c r="P140"/>
      <c r="Q140"/>
      <c r="R140"/>
      <c r="S140"/>
      <c r="T140"/>
      <c r="U140"/>
      <c r="V140"/>
      <c r="W140"/>
      <c r="X140"/>
      <c r="Y140"/>
      <c r="Z140"/>
    </row>
    <row r="141" spans="5:26" ht="13.5" customHeight="1" x14ac:dyDescent="0.25">
      <c r="E141" s="202" t="s">
        <v>179</v>
      </c>
      <c r="F141" s="203" t="s">
        <v>214</v>
      </c>
      <c r="G141" s="203" t="s">
        <v>215</v>
      </c>
      <c r="H141" s="204">
        <v>142846</v>
      </c>
      <c r="I141" t="s">
        <v>216</v>
      </c>
      <c r="J141"/>
      <c r="K141"/>
      <c r="L141"/>
      <c r="M141"/>
      <c r="N141"/>
      <c r="O141"/>
      <c r="P141"/>
      <c r="Q141"/>
      <c r="R141"/>
      <c r="S141"/>
      <c r="T141"/>
      <c r="U141"/>
      <c r="V141"/>
      <c r="W141"/>
      <c r="X141"/>
      <c r="Y141"/>
      <c r="Z141"/>
    </row>
    <row r="142" spans="5:26" ht="13.5" customHeight="1" x14ac:dyDescent="0.25">
      <c r="E142" s="202" t="s">
        <v>179</v>
      </c>
      <c r="F142" s="203" t="s">
        <v>251</v>
      </c>
      <c r="G142" s="203" t="s">
        <v>252</v>
      </c>
      <c r="H142" s="204">
        <v>209.7</v>
      </c>
      <c r="I142" t="s">
        <v>193</v>
      </c>
      <c r="J142"/>
      <c r="K142"/>
      <c r="L142"/>
      <c r="M142"/>
      <c r="N142"/>
      <c r="O142"/>
      <c r="P142"/>
      <c r="Q142"/>
      <c r="R142"/>
      <c r="S142"/>
      <c r="T142"/>
      <c r="U142"/>
      <c r="V142"/>
      <c r="W142"/>
      <c r="X142"/>
      <c r="Y142"/>
      <c r="Z142"/>
    </row>
    <row r="143" spans="5:26" ht="13.5" customHeight="1" x14ac:dyDescent="0.25">
      <c r="E143" s="202" t="s">
        <v>179</v>
      </c>
      <c r="F143" s="203" t="s">
        <v>263</v>
      </c>
      <c r="G143" s="203" t="s">
        <v>264</v>
      </c>
      <c r="H143" s="204">
        <v>358</v>
      </c>
      <c r="I143" t="s">
        <v>227</v>
      </c>
      <c r="J143"/>
      <c r="K143"/>
      <c r="L143"/>
      <c r="M143"/>
      <c r="N143"/>
      <c r="O143"/>
      <c r="P143"/>
      <c r="Q143"/>
      <c r="R143"/>
      <c r="S143"/>
      <c r="T143"/>
      <c r="U143"/>
      <c r="V143"/>
      <c r="W143"/>
      <c r="X143"/>
      <c r="Y143"/>
      <c r="Z143"/>
    </row>
    <row r="144" spans="5:26" ht="13.5" customHeight="1" x14ac:dyDescent="0.25">
      <c r="E144" s="202" t="s">
        <v>179</v>
      </c>
      <c r="F144" s="203" t="s">
        <v>235</v>
      </c>
      <c r="G144" s="203" t="s">
        <v>236</v>
      </c>
      <c r="H144" s="204">
        <v>8.5500000000000007</v>
      </c>
      <c r="I144" t="s">
        <v>227</v>
      </c>
      <c r="J144"/>
      <c r="K144"/>
      <c r="L144"/>
      <c r="M144"/>
      <c r="N144"/>
      <c r="O144"/>
      <c r="P144"/>
      <c r="Q144"/>
      <c r="R144"/>
      <c r="S144"/>
      <c r="T144"/>
      <c r="U144"/>
      <c r="V144"/>
      <c r="W144"/>
      <c r="X144"/>
      <c r="Y144"/>
      <c r="Z144"/>
    </row>
    <row r="145" spans="5:26" ht="13.5" customHeight="1" x14ac:dyDescent="0.25">
      <c r="E145" s="202" t="s">
        <v>179</v>
      </c>
      <c r="F145" s="203" t="s">
        <v>230</v>
      </c>
      <c r="G145" s="203" t="s">
        <v>231</v>
      </c>
      <c r="H145" s="204">
        <v>26.88</v>
      </c>
      <c r="I145" t="s">
        <v>192</v>
      </c>
      <c r="J145"/>
      <c r="K145"/>
      <c r="L145"/>
      <c r="M145"/>
      <c r="N145"/>
      <c r="O145"/>
      <c r="P145"/>
      <c r="Q145"/>
      <c r="R145"/>
      <c r="S145"/>
      <c r="T145"/>
      <c r="U145"/>
      <c r="V145"/>
      <c r="W145"/>
      <c r="X145"/>
      <c r="Y145"/>
      <c r="Z145"/>
    </row>
    <row r="146" spans="5:26" ht="13.5" customHeight="1" x14ac:dyDescent="0.3">
      <c r="E146" s="203"/>
      <c r="F146" s="203"/>
      <c r="G146" s="206" t="s">
        <v>265</v>
      </c>
      <c r="H146" s="207">
        <v>1859306</v>
      </c>
      <c r="I146" t="s">
        <v>162</v>
      </c>
      <c r="J146"/>
      <c r="K146"/>
      <c r="L146"/>
      <c r="M146"/>
      <c r="N146"/>
      <c r="O146"/>
      <c r="P146"/>
      <c r="Q146"/>
      <c r="R146"/>
      <c r="S146"/>
      <c r="T146"/>
      <c r="U146"/>
      <c r="V146"/>
      <c r="W146"/>
      <c r="X146"/>
      <c r="Y146"/>
      <c r="Z146"/>
    </row>
    <row r="147" spans="5:26" ht="13.5" customHeight="1" x14ac:dyDescent="0.25">
      <c r="E147" s="202" t="s">
        <v>213</v>
      </c>
      <c r="F147" s="203" t="s">
        <v>221</v>
      </c>
      <c r="G147" s="203" t="s">
        <v>222</v>
      </c>
      <c r="H147" s="204">
        <v>955980</v>
      </c>
      <c r="I147" t="s">
        <v>222</v>
      </c>
      <c r="J147"/>
      <c r="K147"/>
      <c r="L147"/>
      <c r="M147"/>
      <c r="N147"/>
      <c r="O147"/>
      <c r="P147"/>
      <c r="Q147"/>
      <c r="R147"/>
      <c r="S147"/>
      <c r="T147"/>
      <c r="U147"/>
      <c r="V147"/>
      <c r="W147"/>
      <c r="X147"/>
      <c r="Y147"/>
      <c r="Z147"/>
    </row>
    <row r="148" spans="5:26" ht="13.5" customHeight="1" x14ac:dyDescent="0.25">
      <c r="E148" s="202" t="s">
        <v>213</v>
      </c>
      <c r="F148" s="203" t="s">
        <v>205</v>
      </c>
      <c r="G148" s="203" t="s">
        <v>206</v>
      </c>
      <c r="H148" s="204">
        <v>188740</v>
      </c>
      <c r="I148" t="s">
        <v>206</v>
      </c>
      <c r="J148"/>
      <c r="K148"/>
      <c r="L148"/>
      <c r="M148"/>
      <c r="N148"/>
      <c r="O148"/>
      <c r="P148"/>
      <c r="Q148"/>
      <c r="R148"/>
      <c r="S148"/>
      <c r="T148"/>
      <c r="U148"/>
      <c r="V148"/>
      <c r="W148"/>
      <c r="X148"/>
      <c r="Y148"/>
      <c r="Z148"/>
    </row>
    <row r="149" spans="5:26" ht="13.5" customHeight="1" x14ac:dyDescent="0.25">
      <c r="E149" s="202" t="s">
        <v>213</v>
      </c>
      <c r="F149" s="203" t="s">
        <v>246</v>
      </c>
      <c r="G149" s="203" t="s">
        <v>247</v>
      </c>
      <c r="H149" s="204">
        <v>118678</v>
      </c>
      <c r="I149" t="s">
        <v>169</v>
      </c>
      <c r="J149"/>
      <c r="K149"/>
      <c r="L149"/>
      <c r="M149"/>
      <c r="N149"/>
      <c r="O149"/>
      <c r="P149"/>
      <c r="Q149"/>
      <c r="R149"/>
      <c r="S149"/>
      <c r="T149"/>
      <c r="U149"/>
      <c r="V149"/>
      <c r="W149"/>
      <c r="X149"/>
      <c r="Y149"/>
      <c r="Z149"/>
    </row>
    <row r="150" spans="5:26" ht="13.5" customHeight="1" x14ac:dyDescent="0.25">
      <c r="E150" s="202" t="s">
        <v>213</v>
      </c>
      <c r="F150" s="203" t="s">
        <v>214</v>
      </c>
      <c r="G150" s="203" t="s">
        <v>215</v>
      </c>
      <c r="H150" s="204">
        <v>34996</v>
      </c>
      <c r="I150" t="s">
        <v>216</v>
      </c>
      <c r="J150"/>
      <c r="K150"/>
      <c r="L150"/>
      <c r="M150"/>
      <c r="N150"/>
      <c r="O150"/>
      <c r="P150"/>
      <c r="Q150"/>
      <c r="R150"/>
      <c r="S150"/>
      <c r="T150"/>
      <c r="U150"/>
      <c r="V150"/>
      <c r="W150"/>
      <c r="X150"/>
      <c r="Y150"/>
      <c r="Z150"/>
    </row>
    <row r="151" spans="5:26" ht="13.5" customHeight="1" x14ac:dyDescent="0.25">
      <c r="E151" s="202" t="s">
        <v>213</v>
      </c>
      <c r="F151" s="203" t="s">
        <v>266</v>
      </c>
      <c r="G151" s="203" t="s">
        <v>267</v>
      </c>
      <c r="H151" s="204">
        <v>16.13</v>
      </c>
      <c r="I151" t="s">
        <v>227</v>
      </c>
      <c r="J151"/>
      <c r="K151"/>
      <c r="L151"/>
      <c r="M151"/>
      <c r="N151"/>
      <c r="O151"/>
      <c r="P151"/>
      <c r="Q151"/>
      <c r="R151"/>
      <c r="S151"/>
      <c r="T151"/>
      <c r="U151"/>
      <c r="V151"/>
      <c r="W151"/>
      <c r="X151"/>
      <c r="Y151"/>
      <c r="Z151"/>
    </row>
    <row r="152" spans="5:26" ht="13.5" customHeight="1" x14ac:dyDescent="0.25">
      <c r="E152" s="202" t="s">
        <v>213</v>
      </c>
      <c r="F152" s="203" t="s">
        <v>263</v>
      </c>
      <c r="G152" s="203" t="s">
        <v>264</v>
      </c>
      <c r="H152" s="204">
        <v>66.78</v>
      </c>
      <c r="I152" t="s">
        <v>227</v>
      </c>
      <c r="J152"/>
      <c r="K152"/>
      <c r="L152"/>
      <c r="M152"/>
      <c r="N152"/>
      <c r="O152"/>
      <c r="P152"/>
      <c r="Q152"/>
      <c r="R152"/>
      <c r="S152"/>
      <c r="T152"/>
      <c r="U152"/>
      <c r="V152"/>
      <c r="W152"/>
      <c r="X152"/>
      <c r="Y152"/>
      <c r="Z152"/>
    </row>
    <row r="153" spans="5:26" ht="13.5" customHeight="1" x14ac:dyDescent="0.25">
      <c r="E153" s="202" t="s">
        <v>213</v>
      </c>
      <c r="F153" s="203" t="s">
        <v>240</v>
      </c>
      <c r="G153" s="203" t="s">
        <v>241</v>
      </c>
      <c r="H153" s="204">
        <v>0.01</v>
      </c>
      <c r="I153" t="s">
        <v>227</v>
      </c>
      <c r="J153"/>
      <c r="K153"/>
      <c r="L153"/>
      <c r="M153"/>
      <c r="N153"/>
      <c r="O153"/>
      <c r="P153"/>
      <c r="Q153"/>
      <c r="R153"/>
      <c r="S153"/>
      <c r="T153"/>
      <c r="U153"/>
      <c r="V153"/>
      <c r="W153"/>
      <c r="X153"/>
      <c r="Y153"/>
      <c r="Z153"/>
    </row>
    <row r="154" spans="5:26" ht="13.5" customHeight="1" x14ac:dyDescent="0.25">
      <c r="E154" s="202" t="s">
        <v>213</v>
      </c>
      <c r="F154" s="203" t="s">
        <v>248</v>
      </c>
      <c r="G154" s="203" t="s">
        <v>249</v>
      </c>
      <c r="H154" s="204">
        <v>27.11</v>
      </c>
      <c r="I154" t="s">
        <v>227</v>
      </c>
      <c r="J154"/>
      <c r="K154"/>
      <c r="L154"/>
      <c r="M154"/>
      <c r="N154"/>
      <c r="O154"/>
      <c r="P154"/>
      <c r="Q154"/>
      <c r="R154"/>
      <c r="S154"/>
      <c r="T154"/>
      <c r="U154"/>
      <c r="V154"/>
      <c r="W154"/>
      <c r="X154"/>
      <c r="Y154"/>
      <c r="Z154"/>
    </row>
  </sheetData>
  <mergeCells count="1">
    <mergeCell ref="E7:J7"/>
  </mergeCells>
  <pageMargins left="0.75" right="0.75" top="1" bottom="1" header="0.5" footer="0.5"/>
  <pageSetup orientation="portrait" r:id="rId2"/>
  <headerFooter alignWithMargins="0"/>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A07A8-3AB4-4D44-9859-D9DDEABA4112}">
  <sheetPr>
    <tabColor theme="3" tint="0.79998168889431442"/>
  </sheetPr>
  <dimension ref="A1:T77"/>
  <sheetViews>
    <sheetView showGridLines="0" topLeftCell="H1" zoomScaleNormal="100" workbookViewId="0">
      <selection activeCell="Q40" sqref="Q40"/>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37.21875" style="2" bestFit="1" customWidth="1"/>
    <col min="5" max="5" width="19.21875" style="2" bestFit="1" customWidth="1"/>
    <col min="6" max="6" width="30.5546875" style="2" bestFit="1" customWidth="1"/>
    <col min="7" max="11" width="14.21875" style="2" customWidth="1"/>
    <col min="12" max="12" width="30.109375" style="2" bestFit="1" customWidth="1"/>
    <col min="13" max="13" width="14.21875" style="2" customWidth="1"/>
    <col min="14" max="14" width="9.21875" style="2"/>
    <col min="15" max="15" width="14.21875" style="2" customWidth="1"/>
    <col min="16" max="16" width="11.21875" style="2" customWidth="1"/>
    <col min="17" max="17" width="26.77734375" style="2" customWidth="1"/>
    <col min="18" max="18" width="29.44140625" style="2" bestFit="1" customWidth="1"/>
    <col min="19" max="19" width="11.77734375" style="2" customWidth="1"/>
    <col min="20" max="16384" width="9.21875" style="2"/>
  </cols>
  <sheetData>
    <row r="1" spans="1:18" s="7" customFormat="1" ht="13.5" customHeight="1" x14ac:dyDescent="0.25">
      <c r="A1" s="5"/>
      <c r="B1" s="5"/>
      <c r="C1" s="5"/>
      <c r="D1" s="6"/>
      <c r="E1" s="25"/>
    </row>
    <row r="2" spans="1:18" s="7" customFormat="1" ht="13.5" customHeight="1" x14ac:dyDescent="0.25">
      <c r="A2" s="5"/>
      <c r="B2" s="5"/>
      <c r="C2" s="5"/>
      <c r="D2" s="6"/>
      <c r="E2" s="26" t="str">
        <f>Title</f>
        <v>OCP Africa - Nigeria P205 projections + backing analyses</v>
      </c>
    </row>
    <row r="3" spans="1:18" s="7" customFormat="1" ht="13.5" customHeight="1" x14ac:dyDescent="0.25">
      <c r="A3" s="5"/>
      <c r="B3" s="5"/>
      <c r="C3" s="5"/>
      <c r="D3" s="6"/>
      <c r="E3" s="27" t="str">
        <f ca="1">MID(CELL("filename",E3),FIND("]",CELL("filename",E3))+1,256)</f>
        <v>P2O5Consumption</v>
      </c>
    </row>
    <row r="4" spans="1:18" s="7" customFormat="1" ht="13.5" customHeight="1" x14ac:dyDescent="0.25">
      <c r="A4" s="5"/>
      <c r="B4" s="5"/>
      <c r="C4" s="5"/>
      <c r="D4" s="6"/>
      <c r="E4" s="27" t="s">
        <v>89</v>
      </c>
    </row>
    <row r="5" spans="1:18" s="11" customFormat="1" ht="13.5" customHeight="1" x14ac:dyDescent="0.25">
      <c r="A5" s="8"/>
      <c r="B5" s="8"/>
      <c r="C5" s="8"/>
      <c r="D5" s="9"/>
      <c r="E5" s="10"/>
    </row>
    <row r="6" spans="1:18" ht="13.5" customHeight="1" x14ac:dyDescent="0.25">
      <c r="B6" s="7"/>
      <c r="C6" s="7"/>
      <c r="D6" s="7"/>
      <c r="E6" s="7"/>
      <c r="F6" s="7"/>
      <c r="G6" s="7"/>
      <c r="H6" s="7"/>
      <c r="I6" s="7"/>
      <c r="J6" s="7"/>
      <c r="K6" s="7"/>
      <c r="L6" s="7"/>
      <c r="M6" s="7"/>
      <c r="N6" s="7"/>
    </row>
    <row r="7" spans="1:18" ht="13.5" customHeight="1" x14ac:dyDescent="0.3">
      <c r="B7" s="51"/>
      <c r="C7" s="7"/>
      <c r="D7" s="52"/>
      <c r="E7" s="7"/>
      <c r="F7" s="7"/>
      <c r="G7" s="7"/>
      <c r="H7" s="7"/>
      <c r="I7" s="7"/>
      <c r="J7" s="7"/>
      <c r="K7" s="7"/>
      <c r="L7" s="7"/>
      <c r="M7" s="7"/>
      <c r="N7" s="7"/>
    </row>
    <row r="8" spans="1:18" ht="13.5" customHeight="1" x14ac:dyDescent="0.25">
      <c r="B8" s="7"/>
      <c r="C8" s="7"/>
      <c r="D8" s="7"/>
      <c r="E8" s="7"/>
      <c r="F8" s="7"/>
      <c r="G8" s="7"/>
      <c r="H8" s="7"/>
      <c r="I8" s="7"/>
      <c r="J8" s="7"/>
      <c r="K8" s="7"/>
      <c r="L8" s="7"/>
      <c r="M8" s="7"/>
      <c r="N8" s="7"/>
    </row>
    <row r="9" spans="1:18" ht="13.5" customHeight="1" x14ac:dyDescent="0.25">
      <c r="B9" s="7"/>
      <c r="C9" s="7"/>
      <c r="D9" s="35"/>
      <c r="E9" s="55" t="s">
        <v>90</v>
      </c>
      <c r="F9" s="55" t="s">
        <v>91</v>
      </c>
      <c r="G9" s="55" t="s">
        <v>92</v>
      </c>
      <c r="H9" s="55" t="s">
        <v>93</v>
      </c>
      <c r="I9" s="55" t="s">
        <v>94</v>
      </c>
      <c r="J9" s="55" t="s">
        <v>95</v>
      </c>
      <c r="K9" s="55" t="s">
        <v>96</v>
      </c>
      <c r="L9" s="55" t="s">
        <v>97</v>
      </c>
      <c r="M9" s="55" t="s">
        <v>98</v>
      </c>
      <c r="N9" s="55" t="s">
        <v>99</v>
      </c>
      <c r="O9" s="55" t="s">
        <v>100</v>
      </c>
      <c r="P9" s="56" t="s">
        <v>101</v>
      </c>
      <c r="Q9" s="55" t="s">
        <v>102</v>
      </c>
      <c r="R9" s="55" t="s">
        <v>103</v>
      </c>
    </row>
    <row r="10" spans="1:18" ht="13.5" customHeight="1" x14ac:dyDescent="0.3">
      <c r="B10" s="7"/>
      <c r="C10" s="7"/>
      <c r="D10" s="36"/>
      <c r="E10" s="176" t="s">
        <v>104</v>
      </c>
      <c r="F10" s="176" t="s">
        <v>105</v>
      </c>
      <c r="G10" s="176">
        <v>566</v>
      </c>
      <c r="H10" s="176" t="s">
        <v>174</v>
      </c>
      <c r="I10" s="176">
        <v>5159</v>
      </c>
      <c r="J10" s="176" t="s">
        <v>106</v>
      </c>
      <c r="K10" s="176">
        <v>3103</v>
      </c>
      <c r="L10" s="176" t="s">
        <v>107</v>
      </c>
      <c r="M10" s="176">
        <v>2017</v>
      </c>
      <c r="N10" s="176">
        <v>2017</v>
      </c>
      <c r="O10" s="176" t="s">
        <v>108</v>
      </c>
      <c r="P10" s="176">
        <v>3.49</v>
      </c>
      <c r="Q10" s="176" t="s">
        <v>109</v>
      </c>
      <c r="R10" s="176" t="s">
        <v>110</v>
      </c>
    </row>
    <row r="11" spans="1:18" ht="13.5" customHeight="1" x14ac:dyDescent="0.3">
      <c r="B11" s="7"/>
      <c r="C11" s="7"/>
      <c r="D11" s="7"/>
      <c r="E11" s="176" t="s">
        <v>104</v>
      </c>
      <c r="F11" s="176" t="s">
        <v>105</v>
      </c>
      <c r="G11" s="176">
        <v>566</v>
      </c>
      <c r="H11" s="176" t="s">
        <v>174</v>
      </c>
      <c r="I11" s="176">
        <v>5159</v>
      </c>
      <c r="J11" s="176" t="s">
        <v>106</v>
      </c>
      <c r="K11" s="176">
        <v>3103</v>
      </c>
      <c r="L11" s="176" t="s">
        <v>107</v>
      </c>
      <c r="M11" s="176">
        <v>2018</v>
      </c>
      <c r="N11" s="176">
        <v>2018</v>
      </c>
      <c r="O11" s="176" t="s">
        <v>108</v>
      </c>
      <c r="P11" s="176">
        <v>3.28</v>
      </c>
      <c r="Q11" s="176" t="s">
        <v>109</v>
      </c>
      <c r="R11" s="176" t="s">
        <v>110</v>
      </c>
    </row>
    <row r="12" spans="1:18" ht="13.5" customHeight="1" x14ac:dyDescent="0.3">
      <c r="B12" s="7"/>
      <c r="C12" s="7"/>
      <c r="D12" s="35"/>
      <c r="E12" s="176" t="s">
        <v>104</v>
      </c>
      <c r="F12" s="176" t="s">
        <v>105</v>
      </c>
      <c r="G12" s="176">
        <v>566</v>
      </c>
      <c r="H12" s="176" t="s">
        <v>174</v>
      </c>
      <c r="I12" s="176">
        <v>5159</v>
      </c>
      <c r="J12" s="176" t="s">
        <v>106</v>
      </c>
      <c r="K12" s="176">
        <v>3103</v>
      </c>
      <c r="L12" s="176" t="s">
        <v>107</v>
      </c>
      <c r="M12" s="176">
        <v>2019</v>
      </c>
      <c r="N12" s="176">
        <v>2019</v>
      </c>
      <c r="O12" s="176" t="s">
        <v>108</v>
      </c>
      <c r="P12" s="176">
        <v>3.28</v>
      </c>
      <c r="Q12" s="176" t="s">
        <v>109</v>
      </c>
      <c r="R12" s="176" t="s">
        <v>110</v>
      </c>
    </row>
    <row r="13" spans="1:18" ht="13.5" customHeight="1" outlineLevel="1" x14ac:dyDescent="0.3">
      <c r="B13" s="7"/>
      <c r="C13" s="7"/>
      <c r="D13" s="7"/>
      <c r="E13" s="176" t="s">
        <v>104</v>
      </c>
      <c r="F13" s="176" t="s">
        <v>105</v>
      </c>
      <c r="G13" s="176">
        <v>566</v>
      </c>
      <c r="H13" s="176" t="s">
        <v>174</v>
      </c>
      <c r="I13" s="176">
        <v>5159</v>
      </c>
      <c r="J13" s="176" t="s">
        <v>106</v>
      </c>
      <c r="K13" s="176">
        <v>3103</v>
      </c>
      <c r="L13" s="176" t="s">
        <v>107</v>
      </c>
      <c r="M13" s="176">
        <v>2020</v>
      </c>
      <c r="N13" s="176">
        <v>2020</v>
      </c>
      <c r="O13" s="176" t="s">
        <v>108</v>
      </c>
      <c r="P13" s="176">
        <v>3.28</v>
      </c>
      <c r="Q13" s="176" t="s">
        <v>109</v>
      </c>
      <c r="R13" s="176" t="s">
        <v>110</v>
      </c>
    </row>
    <row r="14" spans="1:18" ht="13.5" customHeight="1" outlineLevel="1" x14ac:dyDescent="0.25">
      <c r="B14" s="7"/>
      <c r="C14" s="7"/>
      <c r="D14" s="7"/>
      <c r="E14" s="53"/>
      <c r="F14" s="53"/>
      <c r="G14" s="53"/>
      <c r="H14" s="53"/>
      <c r="I14" s="53"/>
      <c r="J14" s="53"/>
      <c r="K14" s="53"/>
      <c r="L14" s="53"/>
      <c r="M14" s="53"/>
      <c r="N14" s="7"/>
    </row>
    <row r="15" spans="1:18" ht="13.5" customHeight="1" outlineLevel="1" x14ac:dyDescent="0.25">
      <c r="B15" s="7"/>
      <c r="C15" s="7"/>
      <c r="D15" s="7"/>
      <c r="E15" s="53"/>
      <c r="F15" s="53"/>
      <c r="G15" s="53"/>
      <c r="H15" s="53"/>
      <c r="I15" s="53"/>
      <c r="J15" s="53"/>
      <c r="K15" s="53"/>
      <c r="L15" s="53"/>
      <c r="M15" s="53"/>
      <c r="N15" s="7"/>
    </row>
    <row r="16" spans="1:18" ht="13.5" customHeight="1" outlineLevel="1" x14ac:dyDescent="0.25">
      <c r="B16" s="7"/>
      <c r="C16" s="7"/>
      <c r="D16" s="7"/>
      <c r="E16" s="53"/>
      <c r="F16" s="53"/>
      <c r="G16" s="53"/>
      <c r="H16" s="53"/>
      <c r="I16" s="53"/>
      <c r="J16" s="53"/>
      <c r="K16" s="53"/>
      <c r="L16" s="53"/>
      <c r="M16" s="53"/>
      <c r="N16" s="7"/>
    </row>
    <row r="17" spans="2:14" ht="13.5" customHeight="1" outlineLevel="1" x14ac:dyDescent="0.25">
      <c r="B17" s="7"/>
      <c r="C17" s="7"/>
      <c r="D17" s="7"/>
      <c r="E17" s="53"/>
      <c r="F17" s="53"/>
      <c r="G17" s="53"/>
      <c r="H17" s="53"/>
      <c r="I17" s="53"/>
      <c r="J17" s="53"/>
      <c r="K17" s="53"/>
      <c r="L17" s="53"/>
      <c r="M17" s="53"/>
      <c r="N17" s="7"/>
    </row>
    <row r="18" spans="2:14" ht="13.5" customHeight="1" outlineLevel="1" x14ac:dyDescent="0.25">
      <c r="B18" s="7"/>
      <c r="C18" s="7"/>
      <c r="D18" s="7"/>
      <c r="E18" s="53"/>
      <c r="F18" s="53"/>
      <c r="G18" s="53"/>
      <c r="H18" s="53"/>
      <c r="I18" s="53"/>
      <c r="J18" s="53"/>
      <c r="K18" s="53"/>
      <c r="L18" s="53"/>
      <c r="M18" s="53"/>
      <c r="N18" s="7"/>
    </row>
    <row r="19" spans="2:14" ht="13.5" customHeight="1" outlineLevel="1" x14ac:dyDescent="0.25">
      <c r="B19" s="7"/>
      <c r="C19" s="7"/>
      <c r="D19" s="7"/>
      <c r="E19" s="53"/>
      <c r="F19" s="53"/>
      <c r="G19" s="53"/>
      <c r="H19" s="53"/>
      <c r="I19" s="53"/>
      <c r="J19" s="53"/>
      <c r="K19" s="53"/>
      <c r="L19" s="53"/>
      <c r="M19" s="53"/>
      <c r="N19" s="7"/>
    </row>
    <row r="20" spans="2:14" ht="13.5" customHeight="1" outlineLevel="1" x14ac:dyDescent="0.25">
      <c r="B20" s="7"/>
      <c r="C20" s="7"/>
      <c r="D20" s="7"/>
      <c r="E20" s="53"/>
      <c r="F20" s="53"/>
      <c r="G20" s="53"/>
      <c r="H20" s="53"/>
      <c r="I20" s="53"/>
      <c r="J20" s="53"/>
      <c r="K20" s="53"/>
      <c r="L20" s="53"/>
      <c r="M20" s="53"/>
      <c r="N20" s="7"/>
    </row>
    <row r="21" spans="2:14" ht="13.5" customHeight="1" outlineLevel="1" x14ac:dyDescent="0.25">
      <c r="B21" s="7"/>
      <c r="C21" s="7"/>
      <c r="D21" s="7"/>
      <c r="E21" s="7"/>
      <c r="F21" s="7"/>
      <c r="G21" s="7"/>
      <c r="H21" s="7"/>
      <c r="I21" s="7"/>
      <c r="J21" s="7"/>
      <c r="K21" s="7"/>
      <c r="L21" s="7"/>
      <c r="M21" s="7"/>
      <c r="N21" s="7"/>
    </row>
    <row r="22" spans="2:14" ht="13.5" customHeight="1" outlineLevel="1" x14ac:dyDescent="0.25">
      <c r="B22" s="7"/>
      <c r="C22" s="7"/>
      <c r="D22" s="7"/>
      <c r="E22" s="7"/>
      <c r="F22" s="57"/>
      <c r="G22" s="7"/>
      <c r="H22" s="7"/>
      <c r="I22" s="7"/>
      <c r="J22" s="7"/>
      <c r="K22" s="7"/>
      <c r="L22" s="7"/>
      <c r="M22" s="7"/>
      <c r="N22" s="7"/>
    </row>
    <row r="23" spans="2:14" ht="13.5" customHeight="1" outlineLevel="1" x14ac:dyDescent="0.25">
      <c r="B23" s="7"/>
      <c r="C23" s="7"/>
      <c r="D23" s="7"/>
      <c r="E23" s="7"/>
      <c r="F23" s="7"/>
      <c r="G23" s="7"/>
      <c r="H23" s="7"/>
      <c r="I23" s="7"/>
      <c r="J23" s="7"/>
      <c r="K23" s="7"/>
      <c r="L23" s="7"/>
      <c r="M23" s="7"/>
      <c r="N23" s="7"/>
    </row>
    <row r="24" spans="2:14" ht="13.5" customHeight="1" outlineLevel="1" x14ac:dyDescent="0.3">
      <c r="B24" s="51"/>
      <c r="C24" s="7"/>
      <c r="D24" s="52"/>
      <c r="E24" s="7"/>
      <c r="F24" s="7"/>
      <c r="G24" s="7"/>
      <c r="H24" s="7"/>
      <c r="I24" s="7"/>
      <c r="J24" s="7"/>
      <c r="K24" s="7"/>
      <c r="L24" s="7"/>
      <c r="M24" s="7"/>
      <c r="N24" s="7"/>
    </row>
    <row r="25" spans="2:14" ht="13.5" customHeight="1" outlineLevel="1" x14ac:dyDescent="0.25">
      <c r="B25" s="7"/>
      <c r="C25" s="7"/>
      <c r="D25" s="7"/>
      <c r="E25" s="7"/>
      <c r="F25" s="7"/>
      <c r="G25" s="7"/>
      <c r="H25" s="7"/>
      <c r="I25" s="7"/>
      <c r="J25" s="7"/>
      <c r="K25" s="7"/>
      <c r="L25" s="7"/>
      <c r="M25" s="7"/>
      <c r="N25" s="7"/>
    </row>
    <row r="26" spans="2:14" ht="13.5" customHeight="1" outlineLevel="1" x14ac:dyDescent="0.25">
      <c r="B26" s="7"/>
      <c r="C26" s="7"/>
      <c r="D26" s="7"/>
      <c r="E26" s="7"/>
      <c r="F26" s="7"/>
      <c r="G26" s="7"/>
      <c r="H26" s="7"/>
      <c r="I26" s="7"/>
      <c r="J26" s="7"/>
      <c r="K26" s="7"/>
      <c r="L26" s="7"/>
      <c r="M26" s="7"/>
      <c r="N26" s="7"/>
    </row>
    <row r="27" spans="2:14" ht="13.5" customHeight="1" outlineLevel="1" x14ac:dyDescent="0.25">
      <c r="B27" s="7"/>
      <c r="C27" s="7"/>
      <c r="D27" s="7"/>
      <c r="E27" s="7"/>
      <c r="F27" s="7"/>
      <c r="G27" s="7"/>
      <c r="H27" s="7"/>
      <c r="I27" s="7"/>
      <c r="J27" s="7"/>
      <c r="K27" s="7"/>
      <c r="L27" s="7"/>
      <c r="M27" s="7"/>
      <c r="N27" s="7"/>
    </row>
    <row r="28" spans="2:14" ht="13.5" customHeight="1" outlineLevel="1" x14ac:dyDescent="0.25">
      <c r="B28" s="7"/>
      <c r="C28" s="7"/>
      <c r="D28" s="7"/>
      <c r="E28" s="7"/>
      <c r="F28" s="7"/>
      <c r="G28" s="7"/>
      <c r="H28" s="7"/>
      <c r="I28" s="7"/>
      <c r="J28" s="7"/>
      <c r="K28" s="7"/>
      <c r="L28" s="7"/>
      <c r="M28" s="7"/>
      <c r="N28" s="7"/>
    </row>
    <row r="29" spans="2:14" ht="13.5" customHeight="1" outlineLevel="1" x14ac:dyDescent="0.25">
      <c r="B29" s="7"/>
      <c r="C29" s="7"/>
      <c r="D29" s="7"/>
      <c r="E29" s="7"/>
      <c r="F29" s="7"/>
      <c r="G29" s="7"/>
      <c r="H29" s="7"/>
      <c r="I29" s="7"/>
      <c r="J29" s="7"/>
      <c r="K29" s="7"/>
      <c r="L29" s="7"/>
      <c r="M29" s="7"/>
      <c r="N29" s="7"/>
    </row>
    <row r="30" spans="2:14" ht="13.5" customHeight="1" outlineLevel="1" x14ac:dyDescent="0.25">
      <c r="B30" s="7"/>
      <c r="C30" s="7"/>
      <c r="D30" s="7"/>
      <c r="E30" s="7"/>
      <c r="F30" s="7"/>
      <c r="G30" s="7"/>
      <c r="H30" s="7"/>
      <c r="I30" s="7"/>
      <c r="J30" s="7"/>
      <c r="K30" s="7"/>
      <c r="L30" s="7"/>
      <c r="M30" s="7"/>
      <c r="N30" s="7"/>
    </row>
    <row r="31" spans="2:14" ht="13.5" customHeight="1" outlineLevel="1" x14ac:dyDescent="0.25">
      <c r="B31" s="7"/>
      <c r="C31" s="7"/>
      <c r="D31" s="7"/>
      <c r="E31" s="7"/>
      <c r="F31" s="7"/>
      <c r="G31" s="7"/>
      <c r="H31" s="7"/>
      <c r="I31" s="7"/>
      <c r="J31" s="7"/>
      <c r="K31" s="7"/>
      <c r="L31" s="7"/>
      <c r="M31" s="7"/>
      <c r="N31" s="7"/>
    </row>
    <row r="32" spans="2:14" ht="13.5" customHeight="1" x14ac:dyDescent="0.25">
      <c r="B32" s="7"/>
      <c r="C32" s="7"/>
      <c r="D32" s="7"/>
      <c r="E32" s="7"/>
      <c r="F32" s="7"/>
      <c r="G32" s="7"/>
      <c r="H32" s="7"/>
      <c r="I32" s="7"/>
      <c r="J32" s="7"/>
      <c r="K32" s="7"/>
      <c r="L32" s="7"/>
      <c r="M32" s="7"/>
      <c r="N32" s="7"/>
    </row>
    <row r="33" spans="2:14" ht="13.5" customHeight="1" x14ac:dyDescent="0.25">
      <c r="B33" s="7"/>
      <c r="C33" s="7"/>
      <c r="D33" s="7"/>
      <c r="E33" s="7"/>
      <c r="F33" s="7"/>
      <c r="G33" s="7"/>
      <c r="H33" s="7"/>
      <c r="I33" s="7"/>
      <c r="J33" s="7"/>
      <c r="K33" s="7"/>
      <c r="L33" s="7"/>
      <c r="M33" s="7"/>
      <c r="N33" s="7"/>
    </row>
    <row r="63" spans="20:20" ht="13.5" customHeight="1" x14ac:dyDescent="0.25">
      <c r="T63" s="7"/>
    </row>
    <row r="64" spans="20:20" ht="13.5" customHeight="1" x14ac:dyDescent="0.25">
      <c r="T64" s="7"/>
    </row>
    <row r="65" spans="20:20" ht="13.5" customHeight="1" x14ac:dyDescent="0.25">
      <c r="T65" s="7"/>
    </row>
    <row r="66" spans="20:20" ht="13.5" customHeight="1" x14ac:dyDescent="0.25">
      <c r="T66" s="7"/>
    </row>
    <row r="67" spans="20:20" ht="13.5" customHeight="1" x14ac:dyDescent="0.25">
      <c r="T67" s="7"/>
    </row>
    <row r="68" spans="20:20" ht="13.5" customHeight="1" x14ac:dyDescent="0.25">
      <c r="T68" s="7"/>
    </row>
    <row r="69" spans="20:20" ht="13.5" customHeight="1" x14ac:dyDescent="0.25">
      <c r="T69" s="7"/>
    </row>
    <row r="70" spans="20:20" ht="13.5" customHeight="1" x14ac:dyDescent="0.25">
      <c r="T70" s="7"/>
    </row>
    <row r="71" spans="20:20" ht="13.5" customHeight="1" x14ac:dyDescent="0.25">
      <c r="T71" s="7"/>
    </row>
    <row r="72" spans="20:20" ht="13.5" customHeight="1" x14ac:dyDescent="0.25">
      <c r="T72" s="7"/>
    </row>
    <row r="73" spans="20:20" ht="13.5" customHeight="1" x14ac:dyDescent="0.25">
      <c r="T73" s="7"/>
    </row>
    <row r="74" spans="20:20" ht="13.5" customHeight="1" x14ac:dyDescent="0.25">
      <c r="T74" s="7"/>
    </row>
    <row r="75" spans="20:20" ht="13.5" customHeight="1" x14ac:dyDescent="0.25">
      <c r="T75" s="7"/>
    </row>
    <row r="76" spans="20:20" ht="13.5" customHeight="1" x14ac:dyDescent="0.25">
      <c r="T76" s="7"/>
    </row>
    <row r="77" spans="20:20" ht="13.5" customHeight="1" x14ac:dyDescent="0.25">
      <c r="T77" s="7"/>
    </row>
  </sheetData>
  <pageMargins left="0.75" right="0.75" top="1" bottom="1" header="0.5" footer="0.5"/>
  <pageSetup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3F0EF-C0A6-48BA-98BC-E23BE8F64FA7}">
  <sheetPr>
    <tabColor theme="3" tint="0.79998168889431442"/>
  </sheetPr>
  <dimension ref="A1:AA243"/>
  <sheetViews>
    <sheetView showGridLines="0" topLeftCell="G1" zoomScaleNormal="100" workbookViewId="0">
      <selection activeCell="Q40" sqref="Q40"/>
    </sheetView>
  </sheetViews>
  <sheetFormatPr defaultColWidth="9.21875" defaultRowHeight="13.5" customHeight="1" x14ac:dyDescent="0.25"/>
  <cols>
    <col min="1" max="1" width="1.77734375" style="2" customWidth="1"/>
    <col min="2" max="2" width="2.77734375" style="2" customWidth="1"/>
    <col min="3" max="3" width="2" style="2" customWidth="1"/>
    <col min="4" max="4" width="37.21875" style="2" bestFit="1" customWidth="1"/>
    <col min="5" max="5" width="40.33203125" style="2" bestFit="1" customWidth="1"/>
    <col min="6" max="6" width="16.21875" style="2" bestFit="1" customWidth="1"/>
    <col min="7" max="10" width="10.109375" style="2" bestFit="1" customWidth="1"/>
    <col min="11" max="11" width="11.33203125" style="2" bestFit="1" customWidth="1"/>
    <col min="12" max="12" width="14.21875" style="2" customWidth="1"/>
    <col min="13" max="13" width="40.33203125" style="2" bestFit="1" customWidth="1"/>
    <col min="14" max="14" width="16.21875" style="2" bestFit="1" customWidth="1"/>
    <col min="15" max="18" width="8.33203125" style="2" bestFit="1" customWidth="1"/>
    <col min="19" max="20" width="11.33203125" style="2" bestFit="1" customWidth="1"/>
    <col min="21" max="25" width="17" style="2" bestFit="1" customWidth="1"/>
    <col min="26" max="27" width="11.77734375" style="2" bestFit="1" customWidth="1"/>
    <col min="28" max="16384" width="9.21875" style="2"/>
  </cols>
  <sheetData>
    <row r="1" spans="1:27" s="7" customFormat="1" ht="13.5" customHeight="1" x14ac:dyDescent="0.25">
      <c r="A1" s="5"/>
      <c r="B1" s="5"/>
      <c r="C1" s="5"/>
      <c r="D1" s="6"/>
      <c r="E1" s="25"/>
    </row>
    <row r="2" spans="1:27" s="7" customFormat="1" ht="13.5" customHeight="1" x14ac:dyDescent="0.25">
      <c r="A2" s="5"/>
      <c r="B2" s="5"/>
      <c r="C2" s="5"/>
      <c r="D2" s="6"/>
      <c r="E2" s="26" t="str">
        <f>Title</f>
        <v>OCP Africa - Nigeria P205 projections + backing analyses</v>
      </c>
    </row>
    <row r="3" spans="1:27" s="7" customFormat="1" ht="13.5" customHeight="1" x14ac:dyDescent="0.25">
      <c r="A3" s="5"/>
      <c r="B3" s="5"/>
      <c r="C3" s="5"/>
      <c r="D3" s="6"/>
      <c r="E3" s="27" t="str">
        <f ca="1">MID(CELL("filename",E3),FIND("]",CELL("filename",E3))+1,256)</f>
        <v>HarvestedAreas_TCD</v>
      </c>
    </row>
    <row r="4" spans="1:27" s="7" customFormat="1" ht="13.5" customHeight="1" x14ac:dyDescent="0.25">
      <c r="A4" s="5"/>
      <c r="B4" s="5"/>
      <c r="C4" s="5"/>
      <c r="D4" s="6"/>
      <c r="E4" s="135" t="s">
        <v>111</v>
      </c>
    </row>
    <row r="5" spans="1:27" s="11" customFormat="1" ht="13.5" customHeight="1" x14ac:dyDescent="0.25">
      <c r="A5" s="8"/>
      <c r="B5" s="8"/>
      <c r="C5" s="8"/>
      <c r="D5" s="9"/>
      <c r="E5" s="10"/>
    </row>
    <row r="6" spans="1:27" ht="13.5" customHeight="1" x14ac:dyDescent="0.25">
      <c r="B6" s="7"/>
      <c r="C6" s="7"/>
      <c r="D6" s="7"/>
      <c r="E6" s="7"/>
      <c r="F6" s="7"/>
      <c r="G6" s="7"/>
      <c r="H6" s="7"/>
      <c r="I6" s="7"/>
      <c r="J6" s="7"/>
      <c r="K6" s="7"/>
      <c r="L6" s="7"/>
      <c r="M6" s="7"/>
      <c r="N6" s="7"/>
    </row>
    <row r="7" spans="1:27" ht="13.5" customHeight="1" x14ac:dyDescent="0.25">
      <c r="B7" s="7"/>
      <c r="C7" s="7"/>
      <c r="D7" s="7"/>
      <c r="E7" s="57" t="s">
        <v>112</v>
      </c>
      <c r="F7" s="7"/>
      <c r="G7" s="7"/>
      <c r="H7" s="7"/>
      <c r="I7" s="7"/>
      <c r="J7" s="7"/>
      <c r="K7" s="7"/>
      <c r="L7" s="7"/>
      <c r="M7" s="57" t="s">
        <v>113</v>
      </c>
      <c r="N7" s="7"/>
    </row>
    <row r="8" spans="1:27" ht="15.6" x14ac:dyDescent="0.3">
      <c r="B8" s="51"/>
      <c r="C8" s="7"/>
      <c r="D8" s="64"/>
      <c r="E8" s="59" t="s">
        <v>114</v>
      </c>
      <c r="F8" s="59" t="s">
        <v>86</v>
      </c>
      <c r="G8"/>
      <c r="H8"/>
      <c r="I8"/>
      <c r="J8"/>
      <c r="K8"/>
      <c r="L8" s="55"/>
      <c r="M8" s="59" t="s">
        <v>114</v>
      </c>
      <c r="N8" s="59" t="s">
        <v>86</v>
      </c>
      <c r="O8"/>
      <c r="P8"/>
      <c r="Q8"/>
      <c r="R8"/>
      <c r="S8"/>
      <c r="T8"/>
      <c r="U8"/>
      <c r="V8"/>
      <c r="W8"/>
      <c r="X8"/>
      <c r="Y8"/>
      <c r="Z8"/>
      <c r="AA8"/>
    </row>
    <row r="9" spans="1:27" ht="13.5" customHeight="1" x14ac:dyDescent="0.25">
      <c r="B9" s="7"/>
      <c r="C9" s="7"/>
      <c r="D9" s="7"/>
      <c r="E9" s="59" t="s">
        <v>87</v>
      </c>
      <c r="F9">
        <v>2017</v>
      </c>
      <c r="G9">
        <v>2018</v>
      </c>
      <c r="H9">
        <v>2019</v>
      </c>
      <c r="I9">
        <v>2020</v>
      </c>
      <c r="J9">
        <v>2021</v>
      </c>
      <c r="K9" t="s">
        <v>88</v>
      </c>
      <c r="L9" s="55"/>
      <c r="M9" s="59" t="s">
        <v>87</v>
      </c>
      <c r="N9">
        <v>2017</v>
      </c>
      <c r="O9">
        <v>2018</v>
      </c>
      <c r="P9">
        <v>2019</v>
      </c>
      <c r="Q9">
        <v>2020</v>
      </c>
      <c r="R9">
        <v>2021</v>
      </c>
      <c r="S9" t="s">
        <v>88</v>
      </c>
      <c r="T9"/>
      <c r="U9"/>
      <c r="V9"/>
      <c r="W9"/>
      <c r="X9"/>
      <c r="Y9"/>
      <c r="Z9"/>
      <c r="AA9"/>
    </row>
    <row r="10" spans="1:27" ht="13.5" customHeight="1" x14ac:dyDescent="0.25">
      <c r="B10" s="7"/>
      <c r="C10" s="7"/>
      <c r="D10" s="35"/>
      <c r="E10" s="63" t="s">
        <v>125</v>
      </c>
      <c r="F10" s="60">
        <v>6761350</v>
      </c>
      <c r="G10" s="60">
        <v>6949400</v>
      </c>
      <c r="H10" s="60">
        <v>9776650</v>
      </c>
      <c r="I10" s="60">
        <v>7290381</v>
      </c>
      <c r="J10" s="60">
        <v>9085736</v>
      </c>
      <c r="K10" s="60">
        <v>39863517</v>
      </c>
      <c r="L10" s="55"/>
      <c r="M10" s="46" t="s">
        <v>125</v>
      </c>
      <c r="N10" s="65">
        <v>0.12748133120197944</v>
      </c>
      <c r="O10" s="65">
        <v>0.13313600682021734</v>
      </c>
      <c r="P10" s="65">
        <v>0.17121671933589142</v>
      </c>
      <c r="Q10" s="65">
        <v>0.1353623441081884</v>
      </c>
      <c r="R10" s="65">
        <v>0.16104803164021073</v>
      </c>
      <c r="S10" s="65">
        <v>0.14622840322110917</v>
      </c>
      <c r="T10"/>
      <c r="U10" s="65"/>
      <c r="V10"/>
      <c r="W10"/>
      <c r="X10"/>
      <c r="Y10"/>
      <c r="Z10"/>
      <c r="AA10"/>
    </row>
    <row r="11" spans="1:27" ht="13.5" customHeight="1" x14ac:dyDescent="0.25">
      <c r="B11" s="7"/>
      <c r="C11" s="7"/>
      <c r="D11" s="36"/>
      <c r="E11" s="63" t="s">
        <v>115</v>
      </c>
      <c r="F11" s="60">
        <v>6389296</v>
      </c>
      <c r="G11" s="60">
        <v>6541183</v>
      </c>
      <c r="H11" s="60">
        <v>6543376</v>
      </c>
      <c r="I11" s="60">
        <v>5500000</v>
      </c>
      <c r="J11" s="60">
        <v>6000000</v>
      </c>
      <c r="K11" s="60">
        <v>30973855</v>
      </c>
      <c r="L11" s="55"/>
      <c r="M11" s="63" t="s">
        <v>115</v>
      </c>
      <c r="N11" s="65">
        <v>0.12046646890391452</v>
      </c>
      <c r="O11" s="65">
        <v>0.12531542068384174</v>
      </c>
      <c r="P11" s="65">
        <v>0.11459297122237247</v>
      </c>
      <c r="Q11" s="65">
        <v>0.10211988819171951</v>
      </c>
      <c r="R11" s="65">
        <v>0.10635221954955155</v>
      </c>
      <c r="S11" s="65">
        <v>0.11361911088407399</v>
      </c>
      <c r="T11"/>
      <c r="U11" s="65"/>
      <c r="V11"/>
      <c r="W11"/>
      <c r="X11"/>
      <c r="Y11"/>
      <c r="Z11"/>
      <c r="AA11"/>
    </row>
    <row r="12" spans="1:27" ht="13.5" customHeight="1" x14ac:dyDescent="0.25">
      <c r="B12" s="7"/>
      <c r="C12" s="7"/>
      <c r="D12" s="7"/>
      <c r="E12" s="63" t="s">
        <v>161</v>
      </c>
      <c r="F12" s="60">
        <v>5276098</v>
      </c>
      <c r="G12" s="60">
        <v>5427899</v>
      </c>
      <c r="H12" s="60">
        <v>6778080</v>
      </c>
      <c r="I12" s="60">
        <v>6200472</v>
      </c>
      <c r="J12" s="60">
        <v>5902180</v>
      </c>
      <c r="K12" s="60">
        <v>29584729</v>
      </c>
      <c r="L12" s="55"/>
      <c r="M12" s="46" t="s">
        <v>161</v>
      </c>
      <c r="N12" s="65">
        <v>9.947776650995753E-2</v>
      </c>
      <c r="O12" s="65">
        <v>0.10398722167143219</v>
      </c>
      <c r="P12" s="65">
        <v>0.11870330031209247</v>
      </c>
      <c r="Q12" s="65">
        <v>0.11512572861379772</v>
      </c>
      <c r="R12" s="65">
        <v>0.10461832386349537</v>
      </c>
      <c r="S12" s="65">
        <v>0.10852348229583561</v>
      </c>
      <c r="T12"/>
      <c r="U12" s="65"/>
      <c r="V12"/>
      <c r="W12"/>
      <c r="X12"/>
      <c r="Y12"/>
      <c r="Z12"/>
      <c r="AA12"/>
    </row>
    <row r="13" spans="1:27" ht="13.5" customHeight="1" x14ac:dyDescent="0.25">
      <c r="B13" s="7"/>
      <c r="C13" s="7"/>
      <c r="D13" s="35"/>
      <c r="E13" s="63" t="s">
        <v>61</v>
      </c>
      <c r="F13" s="60">
        <v>5820000</v>
      </c>
      <c r="G13" s="60">
        <v>5590557</v>
      </c>
      <c r="H13" s="60">
        <v>5397000</v>
      </c>
      <c r="I13" s="60">
        <v>5600000</v>
      </c>
      <c r="J13" s="60">
        <v>5700000</v>
      </c>
      <c r="K13" s="60">
        <v>28107557</v>
      </c>
      <c r="L13" s="55"/>
      <c r="M13" s="63" t="s">
        <v>61</v>
      </c>
      <c r="N13" s="65">
        <v>0.10973272313894715</v>
      </c>
      <c r="O13" s="65">
        <v>0.10710340962972542</v>
      </c>
      <c r="P13" s="65">
        <v>9.4516693781183325E-2</v>
      </c>
      <c r="Q13" s="65">
        <v>0.10397661343156896</v>
      </c>
      <c r="R13" s="65">
        <v>0.10103460857207398</v>
      </c>
      <c r="S13" s="65">
        <v>0.10310488105091956</v>
      </c>
      <c r="T13"/>
      <c r="U13" s="65"/>
      <c r="V13"/>
      <c r="W13"/>
      <c r="X13"/>
      <c r="Y13"/>
      <c r="Z13"/>
      <c r="AA13"/>
    </row>
    <row r="14" spans="1:27" ht="13.5" customHeight="1" x14ac:dyDescent="0.25">
      <c r="B14" s="7"/>
      <c r="C14" s="7"/>
      <c r="D14" s="7"/>
      <c r="E14" s="63" t="s">
        <v>116</v>
      </c>
      <c r="F14" s="60">
        <v>5008440</v>
      </c>
      <c r="G14" s="60">
        <v>4282797</v>
      </c>
      <c r="H14" s="60">
        <v>4410336</v>
      </c>
      <c r="I14" s="60">
        <v>4688231</v>
      </c>
      <c r="J14" s="60">
        <v>4701992</v>
      </c>
      <c r="K14" s="60">
        <v>23091796</v>
      </c>
      <c r="L14" s="55"/>
      <c r="M14" s="63" t="s">
        <v>116</v>
      </c>
      <c r="N14" s="65">
        <v>9.443123021959253E-2</v>
      </c>
      <c r="O14" s="65">
        <v>8.2049456154719314E-2</v>
      </c>
      <c r="P14" s="65">
        <v>7.7237423973342406E-2</v>
      </c>
      <c r="Q14" s="65">
        <v>8.7047568279446055E-2</v>
      </c>
      <c r="R14" s="65">
        <v>8.3344547584039169E-2</v>
      </c>
      <c r="S14" s="65">
        <v>8.4705934415861897E-2</v>
      </c>
      <c r="T14"/>
      <c r="U14" s="65"/>
      <c r="V14"/>
      <c r="W14"/>
      <c r="X14"/>
      <c r="Y14"/>
      <c r="Z14"/>
      <c r="AA14"/>
    </row>
    <row r="15" spans="1:27" ht="13.5" customHeight="1" x14ac:dyDescent="0.25">
      <c r="B15" s="7"/>
      <c r="C15" s="7"/>
      <c r="D15" s="7"/>
      <c r="E15" s="63" t="s">
        <v>64</v>
      </c>
      <c r="F15" s="60">
        <v>4446980</v>
      </c>
      <c r="G15" s="60">
        <v>4065510</v>
      </c>
      <c r="H15" s="60">
        <v>4126670</v>
      </c>
      <c r="I15" s="60">
        <v>4195100</v>
      </c>
      <c r="J15" s="60">
        <v>4320100</v>
      </c>
      <c r="K15" s="60">
        <v>21154360</v>
      </c>
      <c r="L15" s="55"/>
      <c r="M15" s="63" t="s">
        <v>64</v>
      </c>
      <c r="N15" s="65">
        <v>8.3845227688047294E-2</v>
      </c>
      <c r="O15" s="65">
        <v>7.7886690518269464E-2</v>
      </c>
      <c r="P15" s="65">
        <v>7.2269632152306057E-2</v>
      </c>
      <c r="Q15" s="65">
        <v>7.7891480536924088E-2</v>
      </c>
      <c r="R15" s="65">
        <v>7.6575370612669613E-2</v>
      </c>
      <c r="S15" s="65">
        <v>7.7598980640983153E-2</v>
      </c>
      <c r="T15"/>
      <c r="U15" s="65"/>
      <c r="V15"/>
      <c r="W15"/>
      <c r="X15"/>
      <c r="Y15"/>
      <c r="Z15"/>
      <c r="AA15"/>
    </row>
    <row r="16" spans="1:27" ht="13.5" customHeight="1" x14ac:dyDescent="0.25">
      <c r="B16" s="7"/>
      <c r="C16" s="7"/>
      <c r="D16" s="7"/>
      <c r="E16" s="63" t="s">
        <v>146</v>
      </c>
      <c r="F16" s="60">
        <v>3596850</v>
      </c>
      <c r="G16" s="60">
        <v>3757889</v>
      </c>
      <c r="H16" s="60">
        <v>3941360</v>
      </c>
      <c r="I16" s="60">
        <v>4119066</v>
      </c>
      <c r="J16" s="60">
        <v>4271859</v>
      </c>
      <c r="K16" s="60">
        <v>19687024</v>
      </c>
      <c r="L16" s="55"/>
      <c r="M16" s="197" t="s">
        <v>146</v>
      </c>
      <c r="N16" s="65">
        <v>6.7816519797649841E-2</v>
      </c>
      <c r="O16" s="65">
        <v>7.1993313888050733E-2</v>
      </c>
      <c r="P16" s="65">
        <v>6.9024331332481884E-2</v>
      </c>
      <c r="Q16" s="65">
        <v>7.6479738068056968E-2</v>
      </c>
      <c r="R16" s="65">
        <v>7.5720281042121293E-2</v>
      </c>
      <c r="S16" s="65">
        <v>7.2216460070385999E-2</v>
      </c>
      <c r="T16"/>
      <c r="U16" s="65"/>
      <c r="V16"/>
      <c r="W16"/>
      <c r="X16"/>
      <c r="Y16"/>
      <c r="Z16"/>
      <c r="AA16"/>
    </row>
    <row r="17" spans="2:27" ht="13.5" customHeight="1" x14ac:dyDescent="0.25">
      <c r="B17" s="7"/>
      <c r="C17" s="7"/>
      <c r="D17" s="7"/>
      <c r="E17" s="63" t="s">
        <v>188</v>
      </c>
      <c r="F17" s="60">
        <v>3545307</v>
      </c>
      <c r="G17" s="60">
        <v>3736228</v>
      </c>
      <c r="H17" s="60">
        <v>3784800</v>
      </c>
      <c r="I17" s="60">
        <v>3878183</v>
      </c>
      <c r="J17" s="60">
        <v>3937865</v>
      </c>
      <c r="K17" s="60">
        <v>18882383</v>
      </c>
      <c r="L17" s="55"/>
      <c r="M17" s="46" t="s">
        <v>188</v>
      </c>
      <c r="N17" s="65">
        <v>6.6844706438757964E-2</v>
      </c>
      <c r="O17" s="65">
        <v>7.157833431517642E-2</v>
      </c>
      <c r="P17" s="65">
        <v>6.6282524110250637E-2</v>
      </c>
      <c r="Q17" s="65">
        <v>7.2007202608550425E-2</v>
      </c>
      <c r="R17" s="65">
        <v>6.9800113839415812E-2</v>
      </c>
      <c r="S17" s="65">
        <v>6.9264854756779667E-2</v>
      </c>
      <c r="T17"/>
      <c r="U17" s="65"/>
      <c r="V17"/>
      <c r="W17"/>
      <c r="X17"/>
      <c r="Y17"/>
      <c r="Z17"/>
      <c r="AA17"/>
    </row>
    <row r="18" spans="2:27" ht="13.5" customHeight="1" x14ac:dyDescent="0.25">
      <c r="B18" s="7"/>
      <c r="C18" s="7"/>
      <c r="D18" s="7"/>
      <c r="E18" s="63" t="s">
        <v>57</v>
      </c>
      <c r="F18" s="60">
        <v>1800069</v>
      </c>
      <c r="G18" s="60">
        <v>1734330</v>
      </c>
      <c r="H18" s="60">
        <v>1747800</v>
      </c>
      <c r="I18" s="60">
        <v>2000000</v>
      </c>
      <c r="J18" s="60">
        <v>2000000</v>
      </c>
      <c r="K18" s="60">
        <v>9282199</v>
      </c>
      <c r="L18" s="55"/>
      <c r="M18" s="63" t="s">
        <v>57</v>
      </c>
      <c r="N18" s="65">
        <v>3.3939256564948707E-2</v>
      </c>
      <c r="O18" s="65">
        <v>3.3226144805092173E-2</v>
      </c>
      <c r="P18" s="65">
        <v>3.0608908169492723E-2</v>
      </c>
      <c r="Q18" s="65">
        <v>3.7134504796988911E-2</v>
      </c>
      <c r="R18" s="65">
        <v>3.5450739849850518E-2</v>
      </c>
      <c r="S18" s="65">
        <v>3.4049206901402514E-2</v>
      </c>
      <c r="T18"/>
      <c r="U18" s="65"/>
      <c r="V18"/>
      <c r="W18"/>
      <c r="X18"/>
      <c r="Y18"/>
      <c r="Z18"/>
      <c r="AA18"/>
    </row>
    <row r="19" spans="2:27" ht="13.5" customHeight="1" x14ac:dyDescent="0.25">
      <c r="B19" s="7"/>
      <c r="C19" s="7"/>
      <c r="D19" s="7"/>
      <c r="E19" s="63" t="s">
        <v>124</v>
      </c>
      <c r="F19" s="60">
        <v>1513745</v>
      </c>
      <c r="G19" s="60">
        <v>1516091</v>
      </c>
      <c r="H19" s="60">
        <v>1503891</v>
      </c>
      <c r="I19" s="60">
        <v>1511243</v>
      </c>
      <c r="J19" s="60">
        <v>1510408</v>
      </c>
      <c r="K19" s="60">
        <v>7555378</v>
      </c>
      <c r="L19" s="55"/>
      <c r="M19" s="63" t="s">
        <v>124</v>
      </c>
      <c r="N19" s="65">
        <v>2.8540783674908171E-2</v>
      </c>
      <c r="O19" s="65">
        <v>2.904514083461452E-2</v>
      </c>
      <c r="P19" s="65">
        <v>2.6337373564439055E-2</v>
      </c>
      <c r="Q19" s="65">
        <v>2.8059630216457958E-2</v>
      </c>
      <c r="R19" s="65">
        <v>2.677254053756651E-2</v>
      </c>
      <c r="S19" s="65">
        <v>2.7714836617950628E-2</v>
      </c>
      <c r="T19"/>
      <c r="U19" s="65"/>
      <c r="V19"/>
      <c r="W19"/>
      <c r="X19"/>
      <c r="Y19"/>
      <c r="Z19"/>
      <c r="AA19"/>
    </row>
    <row r="20" spans="2:27" ht="13.5" customHeight="1" x14ac:dyDescent="0.25">
      <c r="B20" s="7"/>
      <c r="C20" s="7"/>
      <c r="D20" s="7"/>
      <c r="E20" s="63" t="s">
        <v>147</v>
      </c>
      <c r="F20" s="60">
        <v>1301600</v>
      </c>
      <c r="G20" s="60">
        <v>1526657</v>
      </c>
      <c r="H20" s="60">
        <v>1922771</v>
      </c>
      <c r="I20" s="60">
        <v>1460341</v>
      </c>
      <c r="J20" s="60">
        <v>1496501</v>
      </c>
      <c r="K20" s="60">
        <v>7707870</v>
      </c>
      <c r="L20" s="55"/>
      <c r="M20" s="63" t="s">
        <v>147</v>
      </c>
      <c r="N20" s="65">
        <v>2.4540912789974847E-2</v>
      </c>
      <c r="O20" s="65">
        <v>2.9247563352826512E-2</v>
      </c>
      <c r="P20" s="65">
        <v>3.3673143935212091E-2</v>
      </c>
      <c r="Q20" s="65">
        <v>2.7114519934869793E-2</v>
      </c>
      <c r="R20" s="65">
        <v>2.6526033818020576E-2</v>
      </c>
      <c r="S20" s="65">
        <v>2.8274211789589231E-2</v>
      </c>
      <c r="T20"/>
      <c r="U20" s="65"/>
      <c r="V20"/>
      <c r="W20"/>
      <c r="X20"/>
      <c r="Y20"/>
      <c r="Z20"/>
      <c r="AA20"/>
    </row>
    <row r="21" spans="2:27" ht="13.5" customHeight="1" x14ac:dyDescent="0.25">
      <c r="B21" s="7"/>
      <c r="C21" s="7"/>
      <c r="D21" s="7"/>
      <c r="E21" s="63" t="s">
        <v>158</v>
      </c>
      <c r="F21" s="60">
        <v>1119660</v>
      </c>
      <c r="G21" s="60">
        <v>710792</v>
      </c>
      <c r="H21" s="60">
        <v>847647</v>
      </c>
      <c r="I21" s="60">
        <v>972053</v>
      </c>
      <c r="J21" s="60">
        <v>1057861</v>
      </c>
      <c r="K21" s="60">
        <v>4708013</v>
      </c>
      <c r="L21" s="55"/>
      <c r="M21" s="46" t="s">
        <v>158</v>
      </c>
      <c r="N21" s="65">
        <v>2.1110539654596833E-2</v>
      </c>
      <c r="O21" s="65">
        <v>1.3617291933081407E-2</v>
      </c>
      <c r="P21" s="65">
        <v>1.4844690000655679E-2</v>
      </c>
      <c r="Q21" s="65">
        <v>1.8048353395713732E-2</v>
      </c>
      <c r="R21" s="65">
        <v>1.8750977554151359E-2</v>
      </c>
      <c r="S21" s="65">
        <v>1.7270057314165827E-2</v>
      </c>
      <c r="T21"/>
      <c r="U21" s="65"/>
      <c r="V21"/>
      <c r="W21"/>
      <c r="X21"/>
      <c r="Y21"/>
      <c r="Z21"/>
      <c r="AA21"/>
    </row>
    <row r="22" spans="2:27" ht="13.5" customHeight="1" x14ac:dyDescent="0.25">
      <c r="B22" s="7"/>
      <c r="C22" s="7"/>
      <c r="D22" s="7"/>
      <c r="E22" s="63" t="s">
        <v>180</v>
      </c>
      <c r="F22" s="60">
        <v>892101</v>
      </c>
      <c r="G22" s="60">
        <v>974173</v>
      </c>
      <c r="H22" s="60">
        <v>913097</v>
      </c>
      <c r="I22" s="60">
        <v>1076093</v>
      </c>
      <c r="J22" s="60">
        <v>1055833</v>
      </c>
      <c r="K22" s="60">
        <v>4911297</v>
      </c>
      <c r="L22" s="55"/>
      <c r="M22" s="46" t="s">
        <v>180</v>
      </c>
      <c r="N22" s="65">
        <v>1.6820046743123349E-2</v>
      </c>
      <c r="O22" s="65">
        <v>1.8663122452596138E-2</v>
      </c>
      <c r="P22" s="65">
        <v>1.5990904121088965E-2</v>
      </c>
      <c r="Q22" s="65">
        <v>1.9980090335253095E-2</v>
      </c>
      <c r="R22" s="65">
        <v>1.871503050394361E-2</v>
      </c>
      <c r="S22" s="65">
        <v>1.8015749038265333E-2</v>
      </c>
      <c r="T22"/>
      <c r="U22" s="65"/>
      <c r="V22"/>
      <c r="W22"/>
      <c r="X22"/>
      <c r="Y22"/>
      <c r="Z22"/>
      <c r="AA22"/>
    </row>
    <row r="23" spans="2:27" ht="13.5" customHeight="1" x14ac:dyDescent="0.25">
      <c r="B23" s="7"/>
      <c r="C23" s="7"/>
      <c r="D23" s="7"/>
      <c r="E23" s="63" t="s">
        <v>186</v>
      </c>
      <c r="F23" s="60">
        <v>954189</v>
      </c>
      <c r="G23" s="60">
        <v>901068</v>
      </c>
      <c r="H23" s="60">
        <v>919875</v>
      </c>
      <c r="I23" s="60">
        <v>925044</v>
      </c>
      <c r="J23" s="60">
        <v>915329</v>
      </c>
      <c r="K23" s="60">
        <v>4615505</v>
      </c>
      <c r="L23" s="55"/>
      <c r="M23" s="46" t="s">
        <v>186</v>
      </c>
      <c r="N23" s="65">
        <v>1.7990679958630386E-2</v>
      </c>
      <c r="O23" s="65">
        <v>1.7262583157319999E-2</v>
      </c>
      <c r="P23" s="65">
        <v>1.6109606020375398E-2</v>
      </c>
      <c r="Q23" s="65">
        <v>1.7175525427712904E-2</v>
      </c>
      <c r="R23" s="65">
        <v>1.6224545128011914E-2</v>
      </c>
      <c r="S23" s="65">
        <v>1.6930717031541535E-2</v>
      </c>
      <c r="T23"/>
      <c r="U23" s="65"/>
      <c r="V23"/>
      <c r="W23"/>
      <c r="X23"/>
      <c r="Y23"/>
      <c r="Z23"/>
      <c r="AA23"/>
    </row>
    <row r="24" spans="2:27" ht="13.5" customHeight="1" x14ac:dyDescent="0.25">
      <c r="B24" s="7"/>
      <c r="C24" s="7"/>
      <c r="D24" s="7"/>
      <c r="E24" s="63" t="s">
        <v>149</v>
      </c>
      <c r="F24" s="60">
        <v>823987</v>
      </c>
      <c r="G24" s="60">
        <v>833377</v>
      </c>
      <c r="H24" s="60">
        <v>837825</v>
      </c>
      <c r="I24" s="60">
        <v>843604</v>
      </c>
      <c r="J24" s="60">
        <v>849324</v>
      </c>
      <c r="K24" s="60">
        <v>4188117</v>
      </c>
      <c r="L24" s="55"/>
      <c r="M24" s="46" t="s">
        <v>149</v>
      </c>
      <c r="N24" s="65">
        <v>1.5535796794002002E-2</v>
      </c>
      <c r="O24" s="65">
        <v>1.596576480787007E-2</v>
      </c>
      <c r="P24" s="65">
        <v>1.467267907489715E-2</v>
      </c>
      <c r="Q24" s="65">
        <v>1.5663408392379518E-2</v>
      </c>
      <c r="R24" s="65">
        <v>1.5054582086117221E-2</v>
      </c>
      <c r="S24" s="65">
        <v>1.5362961110861896E-2</v>
      </c>
      <c r="T24"/>
      <c r="U24" s="65"/>
      <c r="V24"/>
      <c r="W24"/>
      <c r="X24"/>
      <c r="Y24"/>
      <c r="Z24"/>
      <c r="AA24"/>
    </row>
    <row r="25" spans="2:27" ht="13.5" customHeight="1" x14ac:dyDescent="0.3">
      <c r="B25" s="51"/>
      <c r="C25" s="7"/>
      <c r="D25" s="52"/>
      <c r="E25" s="63" t="s">
        <v>159</v>
      </c>
      <c r="F25" s="60">
        <v>701300</v>
      </c>
      <c r="G25" s="60">
        <v>869271</v>
      </c>
      <c r="H25" s="60">
        <v>859441</v>
      </c>
      <c r="I25" s="60">
        <v>849427</v>
      </c>
      <c r="J25" s="60">
        <v>844633</v>
      </c>
      <c r="K25" s="60">
        <v>4124072</v>
      </c>
      <c r="L25" s="55"/>
      <c r="M25" s="63" t="s">
        <v>159</v>
      </c>
      <c r="N25" s="65">
        <v>1.32226045940453E-2</v>
      </c>
      <c r="O25" s="65">
        <v>1.6653418969208442E-2</v>
      </c>
      <c r="P25" s="65">
        <v>1.5051236209003888E-2</v>
      </c>
      <c r="Q25" s="65">
        <v>1.5771525503095948E-2</v>
      </c>
      <c r="R25" s="65">
        <v>1.4971432375799397E-2</v>
      </c>
      <c r="S25" s="65">
        <v>1.5128029554664886E-2</v>
      </c>
      <c r="T25"/>
      <c r="U25" s="65"/>
      <c r="V25"/>
      <c r="W25"/>
      <c r="X25"/>
      <c r="Y25"/>
      <c r="Z25"/>
      <c r="AA25"/>
    </row>
    <row r="26" spans="2:27" ht="13.5" customHeight="1" x14ac:dyDescent="0.25">
      <c r="B26" s="7"/>
      <c r="C26" s="7"/>
      <c r="D26" s="7"/>
      <c r="E26" s="63" t="s">
        <v>191</v>
      </c>
      <c r="F26" s="60">
        <v>776405</v>
      </c>
      <c r="G26" s="60">
        <v>821880</v>
      </c>
      <c r="H26" s="60">
        <v>820239</v>
      </c>
      <c r="I26" s="60">
        <v>806175</v>
      </c>
      <c r="J26" s="60">
        <v>816098</v>
      </c>
      <c r="K26" s="60">
        <v>4040797</v>
      </c>
      <c r="L26" s="55"/>
      <c r="M26" s="46" t="s">
        <v>191</v>
      </c>
      <c r="N26" s="65">
        <v>1.4638665791871867E-2</v>
      </c>
      <c r="O26" s="65">
        <v>1.5745506271822061E-2</v>
      </c>
      <c r="P26" s="65">
        <v>1.4364698608557352E-2</v>
      </c>
      <c r="Q26" s="65">
        <v>1.4968454702356268E-2</v>
      </c>
      <c r="R26" s="65">
        <v>1.4465638944991654E-2</v>
      </c>
      <c r="S26" s="65">
        <v>1.4822558005874099E-2</v>
      </c>
      <c r="T26"/>
      <c r="U26" s="65"/>
      <c r="V26"/>
      <c r="W26"/>
      <c r="X26"/>
      <c r="Y26"/>
      <c r="Z26"/>
      <c r="AA26"/>
    </row>
    <row r="27" spans="2:27" ht="13.5" customHeight="1" x14ac:dyDescent="0.25">
      <c r="B27" s="7"/>
      <c r="C27" s="7"/>
      <c r="D27" s="7"/>
      <c r="E27" s="63" t="s">
        <v>122</v>
      </c>
      <c r="F27" s="60">
        <v>747456</v>
      </c>
      <c r="G27" s="60">
        <v>748828</v>
      </c>
      <c r="H27" s="60">
        <v>749466</v>
      </c>
      <c r="I27" s="60">
        <v>748583</v>
      </c>
      <c r="J27" s="60">
        <v>748959</v>
      </c>
      <c r="K27" s="60">
        <v>3743292</v>
      </c>
      <c r="L27" s="55"/>
      <c r="M27" s="63" t="s">
        <v>122</v>
      </c>
      <c r="N27" s="65">
        <v>1.4092849193564414E-2</v>
      </c>
      <c r="O27" s="65">
        <v>1.4345982345982345E-2</v>
      </c>
      <c r="P27" s="65">
        <v>1.3125263743081034E-2</v>
      </c>
      <c r="Q27" s="65">
        <v>1.3899129502222175E-2</v>
      </c>
      <c r="R27" s="65">
        <v>1.3275575333602097E-2</v>
      </c>
      <c r="S27" s="65">
        <v>1.3731242327423147E-2</v>
      </c>
      <c r="T27"/>
      <c r="U27" s="65"/>
      <c r="V27"/>
      <c r="W27"/>
      <c r="X27"/>
      <c r="Y27"/>
      <c r="Z27"/>
      <c r="AA27"/>
    </row>
    <row r="28" spans="2:27" ht="13.5" customHeight="1" x14ac:dyDescent="0.25">
      <c r="B28" s="7"/>
      <c r="C28" s="7"/>
      <c r="D28" s="7"/>
      <c r="E28" s="63" t="s">
        <v>148</v>
      </c>
      <c r="F28" s="60">
        <v>550399</v>
      </c>
      <c r="G28" s="60">
        <v>577229</v>
      </c>
      <c r="H28" s="60">
        <v>618499</v>
      </c>
      <c r="I28" s="60">
        <v>686088</v>
      </c>
      <c r="J28" s="60">
        <v>704924</v>
      </c>
      <c r="K28" s="60">
        <v>3137139</v>
      </c>
      <c r="L28" s="55"/>
      <c r="M28" s="63" t="s">
        <v>148</v>
      </c>
      <c r="N28" s="65">
        <v>1.0377453794321886E-2</v>
      </c>
      <c r="O28" s="65">
        <v>1.1058503479556111E-2</v>
      </c>
      <c r="P28" s="65">
        <v>1.083166214322181E-2</v>
      </c>
      <c r="Q28" s="65">
        <v>1.2738769063578265E-2</v>
      </c>
      <c r="R28" s="65">
        <v>1.2495038668958014E-2</v>
      </c>
      <c r="S28" s="65">
        <v>1.1507735924370828E-2</v>
      </c>
      <c r="T28"/>
      <c r="U28" s="65"/>
      <c r="V28"/>
      <c r="W28"/>
      <c r="X28"/>
      <c r="Y28"/>
      <c r="Z28"/>
      <c r="AA28"/>
    </row>
    <row r="29" spans="2:27" ht="13.5" customHeight="1" x14ac:dyDescent="0.25">
      <c r="B29" s="7"/>
      <c r="C29" s="7"/>
      <c r="D29" s="7"/>
      <c r="E29" s="63" t="s">
        <v>157</v>
      </c>
      <c r="F29" s="60">
        <v>1012730</v>
      </c>
      <c r="G29" s="60">
        <v>632591</v>
      </c>
      <c r="H29" s="60">
        <v>602201</v>
      </c>
      <c r="I29" s="60">
        <v>508181</v>
      </c>
      <c r="J29" s="60">
        <v>496710</v>
      </c>
      <c r="K29" s="60">
        <v>3252413</v>
      </c>
      <c r="L29" s="55"/>
      <c r="M29" s="63" t="s">
        <v>157</v>
      </c>
      <c r="N29" s="65">
        <v>1.9094436547165972E-2</v>
      </c>
      <c r="O29" s="65">
        <v>1.2119123908597592E-2</v>
      </c>
      <c r="P29" s="65">
        <v>1.0546238190054175E-2</v>
      </c>
      <c r="Q29" s="65">
        <v>9.435524891119311E-3</v>
      </c>
      <c r="R29" s="65">
        <v>8.8043684954096247E-3</v>
      </c>
      <c r="S29" s="65">
        <v>1.1930587047941036E-2</v>
      </c>
      <c r="T29"/>
      <c r="U29" s="102" t="s">
        <v>173</v>
      </c>
      <c r="V29"/>
      <c r="W29"/>
      <c r="X29"/>
      <c r="Y29"/>
      <c r="Z29"/>
      <c r="AA29"/>
    </row>
    <row r="30" spans="2:27" ht="13.5" customHeight="1" x14ac:dyDescent="0.25">
      <c r="B30" s="7"/>
      <c r="C30" s="7"/>
      <c r="D30" s="7"/>
      <c r="E30" s="46" t="s">
        <v>88</v>
      </c>
      <c r="F30" s="60">
        <v>53037962</v>
      </c>
      <c r="G30" s="60">
        <v>52197750</v>
      </c>
      <c r="H30" s="60">
        <v>57101024</v>
      </c>
      <c r="I30" s="60">
        <v>53858265</v>
      </c>
      <c r="J30" s="60">
        <v>56416312</v>
      </c>
      <c r="K30" s="60">
        <v>272611313</v>
      </c>
      <c r="L30" s="55"/>
      <c r="M30" s="46" t="s">
        <v>88</v>
      </c>
      <c r="N30" s="65">
        <v>1</v>
      </c>
      <c r="O30" s="65">
        <v>1</v>
      </c>
      <c r="P30" s="65">
        <v>1</v>
      </c>
      <c r="Q30" s="65">
        <v>1</v>
      </c>
      <c r="R30" s="65">
        <v>1</v>
      </c>
      <c r="S30" s="65">
        <v>1</v>
      </c>
      <c r="T30"/>
      <c r="U30"/>
      <c r="V30"/>
      <c r="W30"/>
      <c r="X30"/>
      <c r="Y30"/>
      <c r="Z30"/>
      <c r="AA30"/>
    </row>
    <row r="31" spans="2:27" ht="13.5" customHeight="1" x14ac:dyDescent="0.25">
      <c r="B31" s="7"/>
      <c r="C31" s="7"/>
      <c r="D31" s="7"/>
      <c r="E31"/>
      <c r="F31"/>
      <c r="G31"/>
      <c r="H31"/>
      <c r="I31"/>
      <c r="J31"/>
      <c r="K31"/>
      <c r="L31" s="55"/>
      <c r="M31"/>
      <c r="N31"/>
      <c r="O31"/>
      <c r="P31"/>
      <c r="Q31"/>
      <c r="R31"/>
      <c r="S31"/>
      <c r="T31"/>
      <c r="U31"/>
      <c r="V31"/>
      <c r="W31"/>
      <c r="X31"/>
      <c r="Y31"/>
      <c r="Z31"/>
      <c r="AA31"/>
    </row>
    <row r="32" spans="2:27" ht="13.5" customHeight="1" x14ac:dyDescent="0.25">
      <c r="B32" s="7"/>
      <c r="C32" s="7"/>
      <c r="D32" s="7"/>
      <c r="E32"/>
      <c r="F32"/>
      <c r="G32"/>
      <c r="H32"/>
      <c r="I32"/>
      <c r="J32"/>
      <c r="K32"/>
      <c r="L32" s="55"/>
      <c r="M32"/>
      <c r="N32"/>
      <c r="O32"/>
      <c r="P32"/>
      <c r="Q32"/>
      <c r="R32"/>
      <c r="S32"/>
      <c r="T32"/>
      <c r="U32"/>
      <c r="V32"/>
      <c r="W32"/>
      <c r="X32"/>
      <c r="Y32"/>
      <c r="Z32"/>
      <c r="AA32"/>
    </row>
    <row r="33" spans="2:27" ht="13.5" customHeight="1" x14ac:dyDescent="0.25">
      <c r="B33" s="7"/>
      <c r="C33" s="7"/>
      <c r="D33" s="7"/>
      <c r="E33"/>
      <c r="F33"/>
      <c r="G33"/>
      <c r="H33"/>
      <c r="I33"/>
      <c r="J33"/>
      <c r="K33"/>
      <c r="L33" s="55"/>
      <c r="M33"/>
      <c r="N33"/>
      <c r="O33"/>
      <c r="P33"/>
      <c r="Q33"/>
      <c r="R33"/>
      <c r="S33"/>
      <c r="T33"/>
      <c r="U33"/>
      <c r="V33"/>
      <c r="W33"/>
      <c r="X33"/>
      <c r="Y33"/>
      <c r="Z33"/>
      <c r="AA33"/>
    </row>
    <row r="34" spans="2:27" ht="13.5" customHeight="1" x14ac:dyDescent="0.25">
      <c r="B34" s="7"/>
      <c r="C34" s="7"/>
      <c r="D34" s="7"/>
      <c r="E34"/>
      <c r="F34"/>
      <c r="G34"/>
      <c r="H34"/>
      <c r="I34"/>
      <c r="J34"/>
      <c r="K34"/>
      <c r="L34" s="55"/>
      <c r="M34"/>
      <c r="N34"/>
      <c r="O34"/>
      <c r="P34"/>
      <c r="Q34"/>
      <c r="R34"/>
      <c r="S34"/>
      <c r="T34"/>
      <c r="U34"/>
      <c r="V34"/>
      <c r="W34"/>
      <c r="X34"/>
      <c r="Y34"/>
      <c r="Z34"/>
      <c r="AA34"/>
    </row>
    <row r="35" spans="2:27" ht="13.5" customHeight="1" x14ac:dyDescent="0.25">
      <c r="E35"/>
      <c r="F35"/>
      <c r="G35"/>
      <c r="H35"/>
      <c r="I35"/>
      <c r="J35"/>
      <c r="K35"/>
      <c r="L35" s="55"/>
      <c r="M35"/>
      <c r="N35"/>
      <c r="O35"/>
      <c r="P35"/>
      <c r="Q35"/>
      <c r="R35"/>
      <c r="S35"/>
      <c r="T35"/>
      <c r="U35"/>
      <c r="V35"/>
      <c r="W35"/>
      <c r="X35"/>
      <c r="Y35"/>
      <c r="Z35"/>
      <c r="AA35"/>
    </row>
    <row r="36" spans="2:27" ht="13.5" customHeight="1" x14ac:dyDescent="0.25">
      <c r="E36"/>
      <c r="F36"/>
      <c r="G36"/>
      <c r="H36"/>
      <c r="I36"/>
      <c r="J36"/>
      <c r="K36"/>
      <c r="L36" s="55"/>
      <c r="M36"/>
      <c r="N36"/>
      <c r="O36"/>
      <c r="P36"/>
      <c r="Q36"/>
      <c r="R36"/>
      <c r="S36"/>
      <c r="T36"/>
      <c r="U36"/>
      <c r="V36"/>
      <c r="W36"/>
      <c r="X36"/>
      <c r="Y36"/>
      <c r="Z36"/>
      <c r="AA36"/>
    </row>
    <row r="37" spans="2:27" ht="13.5" customHeight="1" x14ac:dyDescent="0.25">
      <c r="E37"/>
      <c r="F37"/>
      <c r="G37"/>
      <c r="H37"/>
      <c r="I37"/>
      <c r="J37"/>
      <c r="K37"/>
      <c r="L37" s="55"/>
      <c r="M37"/>
      <c r="N37"/>
      <c r="O37"/>
      <c r="P37"/>
      <c r="Q37"/>
      <c r="R37"/>
      <c r="S37"/>
      <c r="T37"/>
      <c r="U37"/>
      <c r="V37"/>
      <c r="W37"/>
      <c r="X37"/>
      <c r="Y37"/>
      <c r="Z37"/>
      <c r="AA37"/>
    </row>
    <row r="38" spans="2:27" ht="13.5" customHeight="1" x14ac:dyDescent="0.25">
      <c r="E38"/>
      <c r="F38"/>
      <c r="G38"/>
      <c r="H38"/>
      <c r="I38"/>
      <c r="J38"/>
      <c r="K38"/>
      <c r="L38" s="55"/>
      <c r="M38"/>
      <c r="N38"/>
      <c r="O38"/>
      <c r="P38"/>
      <c r="Q38"/>
      <c r="R38"/>
      <c r="S38"/>
      <c r="T38"/>
      <c r="U38"/>
      <c r="V38"/>
      <c r="W38"/>
      <c r="X38"/>
      <c r="Y38"/>
      <c r="Z38"/>
      <c r="AA38"/>
    </row>
    <row r="39" spans="2:27" ht="13.5" customHeight="1" x14ac:dyDescent="0.25">
      <c r="E39"/>
      <c r="F39"/>
      <c r="G39"/>
      <c r="H39"/>
      <c r="I39"/>
      <c r="J39"/>
      <c r="K39"/>
      <c r="L39" s="55"/>
      <c r="M39"/>
      <c r="N39"/>
      <c r="O39"/>
      <c r="P39"/>
      <c r="Q39"/>
      <c r="R39"/>
      <c r="S39"/>
      <c r="T39"/>
      <c r="U39"/>
      <c r="V39"/>
      <c r="W39"/>
      <c r="X39"/>
      <c r="Y39"/>
      <c r="Z39"/>
      <c r="AA39"/>
    </row>
    <row r="40" spans="2:27" ht="13.5" customHeight="1" x14ac:dyDescent="0.25">
      <c r="E40"/>
      <c r="F40"/>
      <c r="G40"/>
      <c r="H40"/>
      <c r="I40"/>
      <c r="J40"/>
      <c r="K40"/>
      <c r="L40" s="55"/>
      <c r="M40"/>
      <c r="N40"/>
      <c r="O40"/>
      <c r="P40"/>
      <c r="Q40"/>
      <c r="R40"/>
      <c r="S40"/>
      <c r="T40"/>
      <c r="U40"/>
      <c r="V40"/>
      <c r="W40"/>
      <c r="X40"/>
      <c r="Y40"/>
      <c r="Z40"/>
      <c r="AA40"/>
    </row>
    <row r="41" spans="2:27" ht="13.5" customHeight="1" x14ac:dyDescent="0.25">
      <c r="E41"/>
      <c r="F41"/>
      <c r="G41"/>
      <c r="H41"/>
      <c r="I41"/>
      <c r="J41"/>
      <c r="K41"/>
      <c r="L41" s="55"/>
      <c r="M41"/>
      <c r="N41"/>
      <c r="O41"/>
      <c r="P41"/>
      <c r="Q41"/>
      <c r="R41"/>
      <c r="S41"/>
      <c r="T41"/>
      <c r="U41"/>
      <c r="V41"/>
      <c r="W41"/>
      <c r="X41"/>
      <c r="Y41"/>
      <c r="Z41"/>
      <c r="AA41"/>
    </row>
    <row r="42" spans="2:27" ht="13.5" customHeight="1" x14ac:dyDescent="0.25">
      <c r="E42"/>
      <c r="F42"/>
      <c r="G42"/>
      <c r="H42"/>
      <c r="I42"/>
      <c r="J42"/>
      <c r="K42"/>
      <c r="L42" s="55"/>
      <c r="M42"/>
      <c r="N42"/>
      <c r="O42"/>
      <c r="P42"/>
      <c r="Q42"/>
      <c r="R42"/>
      <c r="S42"/>
      <c r="T42"/>
      <c r="U42"/>
      <c r="V42"/>
      <c r="W42"/>
      <c r="X42"/>
      <c r="Y42"/>
      <c r="Z42"/>
      <c r="AA42"/>
    </row>
    <row r="43" spans="2:27" ht="13.5" customHeight="1" x14ac:dyDescent="0.25">
      <c r="E43"/>
      <c r="F43"/>
      <c r="G43"/>
      <c r="H43"/>
      <c r="I43"/>
      <c r="J43"/>
      <c r="K43"/>
      <c r="L43" s="55"/>
      <c r="M43"/>
      <c r="N43"/>
      <c r="O43"/>
      <c r="P43"/>
      <c r="Q43"/>
      <c r="R43"/>
      <c r="S43"/>
      <c r="T43"/>
      <c r="U43"/>
      <c r="V43"/>
      <c r="W43"/>
      <c r="X43"/>
      <c r="Y43"/>
      <c r="Z43"/>
      <c r="AA43"/>
    </row>
    <row r="44" spans="2:27" ht="13.5" customHeight="1" x14ac:dyDescent="0.25">
      <c r="E44"/>
      <c r="F44"/>
      <c r="G44"/>
      <c r="H44"/>
      <c r="I44"/>
      <c r="J44"/>
      <c r="K44"/>
      <c r="L44" s="55"/>
      <c r="M44"/>
      <c r="N44"/>
      <c r="O44"/>
      <c r="P44"/>
      <c r="Q44"/>
      <c r="R44"/>
      <c r="S44"/>
      <c r="T44"/>
      <c r="U44"/>
      <c r="V44"/>
      <c r="W44"/>
      <c r="X44"/>
      <c r="Y44"/>
      <c r="Z44"/>
      <c r="AA44"/>
    </row>
    <row r="45" spans="2:27" ht="13.5" customHeight="1" x14ac:dyDescent="0.25">
      <c r="E45"/>
      <c r="F45"/>
      <c r="G45"/>
      <c r="H45"/>
      <c r="I45"/>
      <c r="J45"/>
      <c r="K45"/>
      <c r="L45" s="55"/>
      <c r="M45"/>
      <c r="N45"/>
      <c r="O45"/>
      <c r="P45"/>
      <c r="Q45"/>
      <c r="R45"/>
      <c r="S45"/>
      <c r="T45"/>
      <c r="U45"/>
      <c r="V45"/>
      <c r="W45"/>
      <c r="X45"/>
      <c r="Y45"/>
      <c r="Z45"/>
      <c r="AA45"/>
    </row>
    <row r="46" spans="2:27" ht="13.5" customHeight="1" x14ac:dyDescent="0.25">
      <c r="E46"/>
      <c r="F46"/>
      <c r="G46"/>
      <c r="H46"/>
      <c r="I46"/>
      <c r="J46"/>
      <c r="K46"/>
      <c r="L46" s="55"/>
      <c r="M46"/>
      <c r="N46"/>
      <c r="O46"/>
      <c r="P46"/>
      <c r="Q46"/>
      <c r="R46"/>
      <c r="S46"/>
      <c r="T46"/>
      <c r="U46"/>
      <c r="V46"/>
      <c r="W46"/>
      <c r="X46"/>
      <c r="Y46"/>
      <c r="Z46"/>
      <c r="AA46"/>
    </row>
    <row r="47" spans="2:27" ht="13.5" customHeight="1" x14ac:dyDescent="0.25">
      <c r="E47"/>
      <c r="F47"/>
      <c r="G47"/>
      <c r="H47"/>
      <c r="I47"/>
      <c r="J47"/>
      <c r="K47"/>
      <c r="L47" s="55"/>
      <c r="M47"/>
      <c r="N47"/>
      <c r="O47"/>
      <c r="P47"/>
      <c r="Q47"/>
      <c r="R47"/>
      <c r="S47"/>
      <c r="T47"/>
      <c r="U47"/>
      <c r="V47"/>
      <c r="W47"/>
      <c r="X47"/>
      <c r="Y47"/>
      <c r="Z47"/>
      <c r="AA47"/>
    </row>
    <row r="48" spans="2:27" ht="13.5" customHeight="1" x14ac:dyDescent="0.25">
      <c r="E48"/>
      <c r="F48"/>
      <c r="G48"/>
      <c r="H48"/>
      <c r="I48"/>
      <c r="J48"/>
      <c r="K48"/>
      <c r="L48" s="55"/>
      <c r="M48"/>
      <c r="N48"/>
      <c r="O48"/>
      <c r="P48"/>
      <c r="Q48"/>
      <c r="R48"/>
      <c r="S48"/>
      <c r="T48"/>
      <c r="U48"/>
      <c r="V48"/>
      <c r="W48"/>
      <c r="X48"/>
      <c r="Y48"/>
      <c r="Z48"/>
      <c r="AA48"/>
    </row>
    <row r="49" spans="5:27" ht="13.5" customHeight="1" x14ac:dyDescent="0.25">
      <c r="E49"/>
      <c r="F49"/>
      <c r="G49"/>
      <c r="H49"/>
      <c r="I49"/>
      <c r="J49"/>
      <c r="K49"/>
      <c r="L49" s="55"/>
      <c r="M49"/>
      <c r="N49"/>
      <c r="O49"/>
      <c r="P49"/>
      <c r="Q49"/>
      <c r="R49"/>
      <c r="S49"/>
      <c r="T49"/>
      <c r="U49"/>
      <c r="V49"/>
      <c r="W49"/>
      <c r="X49"/>
      <c r="Y49"/>
      <c r="Z49"/>
      <c r="AA49"/>
    </row>
    <row r="50" spans="5:27" ht="13.5" customHeight="1" x14ac:dyDescent="0.25">
      <c r="E50"/>
      <c r="F50"/>
      <c r="G50"/>
      <c r="H50"/>
      <c r="I50"/>
      <c r="J50"/>
      <c r="K50"/>
      <c r="L50" s="55"/>
      <c r="M50"/>
      <c r="N50"/>
      <c r="O50"/>
      <c r="P50"/>
      <c r="Q50"/>
      <c r="R50"/>
      <c r="S50"/>
      <c r="T50"/>
      <c r="U50"/>
      <c r="V50"/>
      <c r="W50"/>
      <c r="X50"/>
      <c r="Y50"/>
      <c r="Z50"/>
      <c r="AA50"/>
    </row>
    <row r="51" spans="5:27" ht="13.5" customHeight="1" x14ac:dyDescent="0.25">
      <c r="E51"/>
      <c r="F51"/>
      <c r="G51"/>
      <c r="H51"/>
      <c r="I51"/>
      <c r="J51"/>
      <c r="K51"/>
      <c r="L51" s="55"/>
      <c r="M51"/>
      <c r="N51"/>
      <c r="O51"/>
      <c r="P51"/>
      <c r="Q51"/>
      <c r="R51"/>
      <c r="S51"/>
      <c r="T51"/>
      <c r="U51"/>
      <c r="V51"/>
      <c r="W51"/>
      <c r="X51"/>
      <c r="Y51"/>
      <c r="Z51"/>
      <c r="AA51"/>
    </row>
    <row r="52" spans="5:27" ht="13.5" customHeight="1" x14ac:dyDescent="0.25">
      <c r="E52"/>
      <c r="F52"/>
      <c r="G52"/>
      <c r="H52"/>
      <c r="I52"/>
      <c r="J52"/>
      <c r="K52"/>
      <c r="L52" s="55"/>
      <c r="M52"/>
      <c r="N52"/>
      <c r="O52"/>
      <c r="P52"/>
      <c r="Q52"/>
      <c r="R52"/>
      <c r="S52"/>
      <c r="T52"/>
      <c r="U52"/>
      <c r="V52"/>
      <c r="W52"/>
      <c r="X52"/>
      <c r="Y52"/>
      <c r="Z52"/>
      <c r="AA52"/>
    </row>
    <row r="53" spans="5:27" ht="13.5" customHeight="1" x14ac:dyDescent="0.25">
      <c r="E53"/>
      <c r="F53"/>
      <c r="G53"/>
      <c r="H53"/>
      <c r="I53"/>
      <c r="J53"/>
      <c r="K53"/>
      <c r="L53" s="55"/>
      <c r="M53"/>
      <c r="N53"/>
      <c r="O53"/>
      <c r="P53"/>
      <c r="Q53"/>
      <c r="R53"/>
      <c r="S53"/>
      <c r="T53"/>
      <c r="U53"/>
      <c r="V53"/>
      <c r="W53"/>
      <c r="X53"/>
      <c r="Y53"/>
      <c r="Z53"/>
      <c r="AA53"/>
    </row>
    <row r="54" spans="5:27" ht="13.5" customHeight="1" x14ac:dyDescent="0.25">
      <c r="E54"/>
      <c r="F54"/>
      <c r="G54"/>
      <c r="H54"/>
      <c r="I54"/>
      <c r="J54"/>
      <c r="K54"/>
      <c r="L54" s="55"/>
      <c r="M54"/>
      <c r="N54"/>
      <c r="O54"/>
      <c r="P54"/>
      <c r="Q54"/>
      <c r="R54"/>
      <c r="S54"/>
      <c r="T54"/>
      <c r="U54"/>
      <c r="V54"/>
      <c r="W54"/>
      <c r="X54"/>
      <c r="Y54"/>
      <c r="Z54"/>
      <c r="AA54"/>
    </row>
    <row r="55" spans="5:27" ht="13.5" customHeight="1" x14ac:dyDescent="0.25">
      <c r="E55"/>
      <c r="F55"/>
      <c r="G55"/>
      <c r="H55"/>
      <c r="I55"/>
      <c r="J55"/>
      <c r="K55"/>
      <c r="L55" s="55"/>
      <c r="M55"/>
      <c r="N55"/>
      <c r="O55"/>
      <c r="P55"/>
      <c r="Q55"/>
      <c r="R55"/>
      <c r="S55"/>
      <c r="T55"/>
      <c r="U55"/>
      <c r="V55"/>
      <c r="W55"/>
      <c r="X55"/>
      <c r="Y55"/>
      <c r="Z55"/>
      <c r="AA55"/>
    </row>
    <row r="56" spans="5:27" ht="13.5" customHeight="1" x14ac:dyDescent="0.25">
      <c r="E56"/>
      <c r="F56"/>
      <c r="G56"/>
      <c r="H56"/>
      <c r="I56"/>
      <c r="J56"/>
      <c r="K56"/>
      <c r="L56" s="55"/>
      <c r="M56"/>
      <c r="N56"/>
      <c r="O56"/>
      <c r="P56"/>
      <c r="Q56"/>
      <c r="R56"/>
      <c r="S56"/>
      <c r="T56"/>
      <c r="U56"/>
      <c r="V56"/>
      <c r="W56"/>
      <c r="X56"/>
      <c r="Y56"/>
      <c r="Z56"/>
      <c r="AA56"/>
    </row>
    <row r="57" spans="5:27" ht="13.5" customHeight="1" x14ac:dyDescent="0.25">
      <c r="E57"/>
      <c r="F57"/>
      <c r="G57"/>
      <c r="H57"/>
      <c r="I57"/>
      <c r="J57"/>
      <c r="K57"/>
      <c r="L57" s="55"/>
      <c r="M57"/>
      <c r="N57"/>
      <c r="O57"/>
      <c r="P57"/>
      <c r="Q57"/>
      <c r="R57"/>
      <c r="S57"/>
      <c r="T57"/>
      <c r="U57"/>
      <c r="V57"/>
      <c r="W57"/>
      <c r="X57"/>
      <c r="Y57"/>
      <c r="Z57"/>
      <c r="AA57"/>
    </row>
    <row r="58" spans="5:27" ht="13.5" customHeight="1" x14ac:dyDescent="0.25">
      <c r="E58"/>
      <c r="F58"/>
      <c r="G58"/>
      <c r="H58"/>
      <c r="I58"/>
      <c r="J58"/>
      <c r="K58"/>
      <c r="L58" s="55"/>
      <c r="M58"/>
      <c r="N58"/>
      <c r="O58"/>
      <c r="P58"/>
      <c r="Q58"/>
      <c r="R58"/>
      <c r="S58"/>
      <c r="T58"/>
    </row>
    <row r="59" spans="5:27" ht="13.5" customHeight="1" x14ac:dyDescent="0.25">
      <c r="E59"/>
      <c r="F59"/>
      <c r="G59"/>
      <c r="H59"/>
      <c r="I59"/>
      <c r="J59"/>
      <c r="K59"/>
      <c r="L59" s="55"/>
      <c r="M59"/>
      <c r="N59"/>
      <c r="O59"/>
      <c r="P59"/>
      <c r="Q59"/>
      <c r="R59"/>
      <c r="S59"/>
      <c r="T59"/>
    </row>
    <row r="60" spans="5:27" ht="13.5" customHeight="1" x14ac:dyDescent="0.25">
      <c r="E60"/>
      <c r="F60"/>
      <c r="G60"/>
      <c r="H60"/>
      <c r="I60"/>
      <c r="J60"/>
      <c r="K60"/>
      <c r="L60" s="55"/>
      <c r="M60"/>
      <c r="N60"/>
      <c r="O60"/>
      <c r="P60"/>
      <c r="Q60"/>
      <c r="R60"/>
      <c r="S60"/>
      <c r="T60"/>
    </row>
    <row r="61" spans="5:27" ht="13.5" customHeight="1" x14ac:dyDescent="0.25">
      <c r="E61"/>
      <c r="F61"/>
      <c r="G61"/>
      <c r="H61"/>
      <c r="I61"/>
      <c r="J61"/>
      <c r="K61"/>
      <c r="L61" s="55"/>
      <c r="M61"/>
      <c r="N61"/>
      <c r="O61"/>
      <c r="P61"/>
      <c r="Q61"/>
      <c r="R61"/>
      <c r="S61"/>
      <c r="T61"/>
    </row>
    <row r="62" spans="5:27" ht="13.5" customHeight="1" x14ac:dyDescent="0.25">
      <c r="E62"/>
      <c r="F62"/>
      <c r="G62"/>
      <c r="H62"/>
      <c r="I62"/>
      <c r="J62"/>
      <c r="K62"/>
      <c r="L62" s="55"/>
      <c r="M62"/>
      <c r="N62"/>
      <c r="O62"/>
      <c r="P62"/>
      <c r="Q62"/>
      <c r="R62"/>
      <c r="S62"/>
    </row>
    <row r="63" spans="5:27" ht="13.5" customHeight="1" x14ac:dyDescent="0.25">
      <c r="E63"/>
      <c r="F63"/>
      <c r="G63"/>
      <c r="H63"/>
      <c r="I63"/>
      <c r="J63"/>
      <c r="K63"/>
      <c r="L63" s="55"/>
      <c r="M63"/>
      <c r="N63"/>
      <c r="O63"/>
      <c r="P63"/>
      <c r="Q63"/>
      <c r="R63"/>
      <c r="S63"/>
    </row>
    <row r="64" spans="5:27" ht="13.5" customHeight="1" x14ac:dyDescent="0.25">
      <c r="E64"/>
      <c r="F64"/>
      <c r="G64"/>
      <c r="H64"/>
      <c r="I64"/>
      <c r="J64"/>
      <c r="K64"/>
      <c r="L64" s="55"/>
      <c r="M64"/>
      <c r="N64"/>
      <c r="O64"/>
      <c r="P64"/>
      <c r="Q64"/>
      <c r="R64"/>
      <c r="S64"/>
      <c r="T64" s="7"/>
    </row>
    <row r="65" spans="5:20" ht="13.5" customHeight="1" x14ac:dyDescent="0.25">
      <c r="E65"/>
      <c r="F65"/>
      <c r="G65"/>
      <c r="H65"/>
      <c r="I65"/>
      <c r="J65"/>
      <c r="K65"/>
      <c r="L65" s="55"/>
      <c r="M65"/>
      <c r="N65"/>
      <c r="O65"/>
      <c r="P65"/>
      <c r="Q65"/>
      <c r="R65"/>
      <c r="S65"/>
      <c r="T65" s="7"/>
    </row>
    <row r="66" spans="5:20" ht="13.5" customHeight="1" x14ac:dyDescent="0.25">
      <c r="E66"/>
      <c r="F66"/>
      <c r="G66"/>
      <c r="H66"/>
      <c r="I66"/>
      <c r="J66"/>
      <c r="K66"/>
      <c r="L66" s="55"/>
      <c r="M66"/>
      <c r="N66"/>
      <c r="O66"/>
      <c r="P66"/>
      <c r="Q66"/>
      <c r="R66"/>
      <c r="S66"/>
      <c r="T66" s="7"/>
    </row>
    <row r="67" spans="5:20" ht="13.5" customHeight="1" x14ac:dyDescent="0.25">
      <c r="E67"/>
      <c r="F67"/>
      <c r="G67"/>
      <c r="H67"/>
      <c r="I67"/>
      <c r="J67"/>
      <c r="K67"/>
      <c r="L67" s="55"/>
      <c r="M67"/>
      <c r="N67"/>
      <c r="O67"/>
      <c r="P67"/>
      <c r="Q67"/>
      <c r="R67"/>
      <c r="S67"/>
      <c r="T67" s="7"/>
    </row>
    <row r="68" spans="5:20" ht="13.5" customHeight="1" x14ac:dyDescent="0.25">
      <c r="E68"/>
      <c r="F68"/>
      <c r="G68"/>
      <c r="H68"/>
      <c r="I68"/>
      <c r="J68"/>
      <c r="K68"/>
      <c r="L68" s="55"/>
      <c r="M68"/>
      <c r="N68"/>
      <c r="O68"/>
      <c r="P68"/>
      <c r="Q68"/>
      <c r="R68"/>
      <c r="S68"/>
      <c r="T68" s="7"/>
    </row>
    <row r="69" spans="5:20" ht="13.5" customHeight="1" x14ac:dyDescent="0.25">
      <c r="E69"/>
      <c r="F69"/>
      <c r="G69"/>
      <c r="H69"/>
      <c r="I69"/>
      <c r="J69"/>
      <c r="K69"/>
      <c r="L69" s="55"/>
      <c r="M69"/>
      <c r="N69"/>
      <c r="O69"/>
      <c r="P69"/>
      <c r="Q69"/>
      <c r="R69"/>
      <c r="S69"/>
      <c r="T69" s="7"/>
    </row>
    <row r="70" spans="5:20" ht="13.5" customHeight="1" x14ac:dyDescent="0.25">
      <c r="E70"/>
      <c r="F70"/>
      <c r="G70"/>
      <c r="H70"/>
      <c r="I70"/>
      <c r="J70"/>
      <c r="K70"/>
      <c r="L70" s="55"/>
      <c r="M70"/>
      <c r="N70"/>
      <c r="O70"/>
      <c r="P70"/>
      <c r="Q70"/>
      <c r="R70"/>
      <c r="S70"/>
      <c r="T70" s="7"/>
    </row>
    <row r="71" spans="5:20" ht="13.5" customHeight="1" x14ac:dyDescent="0.25">
      <c r="E71"/>
      <c r="F71"/>
      <c r="G71"/>
      <c r="H71"/>
      <c r="I71"/>
      <c r="J71"/>
      <c r="K71"/>
      <c r="L71" s="55"/>
      <c r="M71"/>
      <c r="N71"/>
      <c r="O71"/>
      <c r="P71"/>
      <c r="Q71"/>
      <c r="R71"/>
      <c r="S71"/>
      <c r="T71" s="7"/>
    </row>
    <row r="72" spans="5:20" ht="13.5" customHeight="1" x14ac:dyDescent="0.25">
      <c r="E72"/>
      <c r="F72"/>
      <c r="G72"/>
      <c r="H72"/>
      <c r="I72"/>
      <c r="J72"/>
      <c r="K72"/>
      <c r="L72" s="55"/>
      <c r="M72"/>
      <c r="N72"/>
      <c r="O72"/>
      <c r="P72"/>
      <c r="Q72"/>
      <c r="R72"/>
      <c r="S72"/>
      <c r="T72" s="7"/>
    </row>
    <row r="73" spans="5:20" ht="13.5" customHeight="1" x14ac:dyDescent="0.25">
      <c r="E73"/>
      <c r="F73"/>
      <c r="G73"/>
      <c r="H73"/>
      <c r="I73"/>
      <c r="J73"/>
      <c r="K73"/>
      <c r="L73" s="55"/>
      <c r="M73"/>
      <c r="N73"/>
      <c r="O73"/>
      <c r="P73"/>
      <c r="Q73"/>
      <c r="R73"/>
      <c r="S73"/>
      <c r="T73" s="7"/>
    </row>
    <row r="74" spans="5:20" ht="13.5" customHeight="1" x14ac:dyDescent="0.25">
      <c r="E74"/>
      <c r="F74"/>
      <c r="G74"/>
      <c r="H74"/>
      <c r="I74"/>
      <c r="J74"/>
      <c r="K74"/>
      <c r="L74" s="55"/>
      <c r="M74"/>
      <c r="N74"/>
      <c r="O74"/>
      <c r="P74"/>
      <c r="Q74"/>
      <c r="R74"/>
      <c r="S74"/>
      <c r="T74" s="7"/>
    </row>
    <row r="75" spans="5:20" ht="13.5" customHeight="1" x14ac:dyDescent="0.25">
      <c r="E75"/>
      <c r="F75"/>
      <c r="G75"/>
      <c r="H75"/>
      <c r="I75"/>
      <c r="J75"/>
      <c r="K75"/>
      <c r="L75" s="55"/>
      <c r="M75"/>
      <c r="N75"/>
      <c r="O75"/>
      <c r="P75"/>
      <c r="Q75"/>
      <c r="R75"/>
      <c r="S75"/>
      <c r="T75" s="7"/>
    </row>
    <row r="76" spans="5:20" ht="13.5" customHeight="1" x14ac:dyDescent="0.25">
      <c r="E76"/>
      <c r="F76"/>
      <c r="G76"/>
      <c r="H76"/>
      <c r="I76"/>
      <c r="J76"/>
      <c r="K76"/>
      <c r="L76" s="55"/>
      <c r="M76"/>
      <c r="N76"/>
      <c r="O76"/>
      <c r="P76"/>
      <c r="Q76"/>
      <c r="R76"/>
      <c r="S76"/>
      <c r="T76" s="7"/>
    </row>
    <row r="77" spans="5:20" ht="13.5" customHeight="1" x14ac:dyDescent="0.25">
      <c r="E77"/>
      <c r="F77"/>
      <c r="G77"/>
      <c r="H77"/>
      <c r="I77"/>
      <c r="J77"/>
      <c r="K77"/>
      <c r="L77" s="55"/>
      <c r="M77"/>
      <c r="N77"/>
      <c r="O77"/>
      <c r="P77"/>
      <c r="Q77"/>
      <c r="R77"/>
      <c r="S77"/>
      <c r="T77" s="7"/>
    </row>
    <row r="78" spans="5:20" ht="13.5" customHeight="1" x14ac:dyDescent="0.25">
      <c r="E78"/>
      <c r="F78"/>
      <c r="G78"/>
      <c r="H78"/>
      <c r="I78"/>
      <c r="J78"/>
      <c r="K78"/>
      <c r="L78" s="55"/>
      <c r="M78"/>
      <c r="N78"/>
      <c r="O78"/>
      <c r="P78"/>
      <c r="Q78"/>
      <c r="R78"/>
      <c r="S78"/>
      <c r="T78" s="7"/>
    </row>
    <row r="79" spans="5:20" ht="13.5" customHeight="1" x14ac:dyDescent="0.25">
      <c r="E79"/>
      <c r="F79"/>
      <c r="G79"/>
      <c r="H79"/>
      <c r="I79"/>
      <c r="J79"/>
      <c r="K79"/>
      <c r="L79" s="55"/>
      <c r="M79"/>
      <c r="N79"/>
      <c r="O79"/>
      <c r="P79"/>
      <c r="Q79"/>
      <c r="R79"/>
      <c r="S79"/>
    </row>
    <row r="80" spans="5:20" ht="13.5" customHeight="1" x14ac:dyDescent="0.25">
      <c r="E80"/>
      <c r="F80"/>
      <c r="G80"/>
      <c r="H80"/>
      <c r="I80"/>
      <c r="J80"/>
      <c r="K80"/>
      <c r="L80" s="55"/>
      <c r="M80"/>
      <c r="N80"/>
      <c r="O80"/>
      <c r="P80"/>
      <c r="Q80"/>
      <c r="R80"/>
      <c r="S80"/>
    </row>
    <row r="81" spans="5:19" ht="13.5" customHeight="1" x14ac:dyDescent="0.25">
      <c r="E81"/>
      <c r="F81"/>
      <c r="G81"/>
      <c r="H81"/>
      <c r="I81"/>
      <c r="J81"/>
      <c r="K81"/>
      <c r="L81" s="55"/>
      <c r="M81"/>
      <c r="N81"/>
      <c r="O81"/>
      <c r="P81"/>
      <c r="Q81"/>
      <c r="R81"/>
      <c r="S81"/>
    </row>
    <row r="82" spans="5:19" ht="13.5" customHeight="1" x14ac:dyDescent="0.25">
      <c r="E82"/>
      <c r="F82"/>
      <c r="G82"/>
      <c r="H82"/>
      <c r="I82"/>
      <c r="J82"/>
      <c r="K82"/>
      <c r="L82" s="55"/>
      <c r="M82"/>
      <c r="N82"/>
      <c r="O82"/>
      <c r="P82"/>
      <c r="Q82"/>
      <c r="R82"/>
      <c r="S82"/>
    </row>
    <row r="83" spans="5:19" ht="13.5" customHeight="1" x14ac:dyDescent="0.25">
      <c r="E83"/>
      <c r="F83"/>
      <c r="G83"/>
      <c r="H83"/>
      <c r="I83"/>
      <c r="J83"/>
      <c r="K83"/>
      <c r="L83" s="55"/>
      <c r="M83"/>
      <c r="N83"/>
      <c r="O83"/>
      <c r="P83"/>
      <c r="Q83"/>
      <c r="R83"/>
      <c r="S83"/>
    </row>
    <row r="84" spans="5:19" ht="13.5" customHeight="1" x14ac:dyDescent="0.25">
      <c r="E84"/>
      <c r="F84"/>
      <c r="G84"/>
      <c r="H84"/>
      <c r="I84"/>
      <c r="J84"/>
      <c r="K84"/>
      <c r="L84" s="55"/>
      <c r="M84"/>
      <c r="N84"/>
      <c r="O84"/>
      <c r="P84"/>
      <c r="Q84"/>
      <c r="R84"/>
      <c r="S84"/>
    </row>
    <row r="85" spans="5:19" ht="13.5" customHeight="1" x14ac:dyDescent="0.25">
      <c r="E85"/>
      <c r="F85"/>
      <c r="G85"/>
      <c r="H85"/>
      <c r="I85"/>
      <c r="J85"/>
      <c r="K85"/>
      <c r="L85" s="55"/>
      <c r="M85"/>
      <c r="N85"/>
      <c r="O85"/>
      <c r="P85"/>
      <c r="Q85"/>
      <c r="R85"/>
      <c r="S85"/>
    </row>
    <row r="86" spans="5:19" ht="13.5" customHeight="1" x14ac:dyDescent="0.25">
      <c r="E86"/>
      <c r="F86"/>
      <c r="G86"/>
      <c r="H86"/>
      <c r="I86"/>
      <c r="J86"/>
      <c r="K86"/>
      <c r="L86" s="55"/>
      <c r="M86"/>
      <c r="N86"/>
      <c r="O86"/>
      <c r="P86"/>
      <c r="Q86"/>
      <c r="R86"/>
      <c r="S86"/>
    </row>
    <row r="87" spans="5:19" ht="13.5" customHeight="1" x14ac:dyDescent="0.25">
      <c r="E87"/>
      <c r="F87"/>
      <c r="G87"/>
      <c r="H87"/>
      <c r="I87"/>
      <c r="J87"/>
      <c r="K87"/>
      <c r="L87" s="55"/>
      <c r="M87"/>
      <c r="N87"/>
      <c r="O87"/>
      <c r="P87"/>
      <c r="Q87"/>
      <c r="R87"/>
      <c r="S87"/>
    </row>
    <row r="88" spans="5:19" ht="13.5" customHeight="1" x14ac:dyDescent="0.25">
      <c r="E88"/>
      <c r="F88"/>
      <c r="G88"/>
      <c r="H88"/>
      <c r="I88"/>
      <c r="J88"/>
      <c r="K88"/>
      <c r="L88" s="55"/>
      <c r="M88"/>
      <c r="N88"/>
      <c r="O88"/>
      <c r="P88"/>
      <c r="Q88"/>
      <c r="R88"/>
      <c r="S88"/>
    </row>
    <row r="89" spans="5:19" ht="13.5" customHeight="1" x14ac:dyDescent="0.25">
      <c r="E89"/>
      <c r="F89"/>
      <c r="G89"/>
      <c r="H89"/>
      <c r="I89"/>
      <c r="J89"/>
      <c r="K89"/>
      <c r="L89" s="55"/>
      <c r="M89"/>
      <c r="N89"/>
      <c r="O89"/>
      <c r="P89"/>
      <c r="Q89"/>
      <c r="R89"/>
      <c r="S89"/>
    </row>
    <row r="90" spans="5:19" ht="13.5" customHeight="1" x14ac:dyDescent="0.25">
      <c r="E90"/>
      <c r="F90"/>
      <c r="G90"/>
      <c r="H90"/>
      <c r="I90"/>
      <c r="J90"/>
      <c r="K90"/>
      <c r="L90" s="55"/>
      <c r="M90"/>
      <c r="N90"/>
      <c r="O90"/>
      <c r="P90"/>
      <c r="Q90"/>
      <c r="R90"/>
      <c r="S90"/>
    </row>
    <row r="91" spans="5:19" ht="13.5" customHeight="1" x14ac:dyDescent="0.25">
      <c r="E91"/>
      <c r="F91"/>
      <c r="G91"/>
      <c r="H91"/>
      <c r="I91"/>
      <c r="J91"/>
      <c r="K91"/>
      <c r="L91" s="55"/>
      <c r="M91"/>
      <c r="N91"/>
      <c r="O91"/>
      <c r="P91"/>
      <c r="Q91"/>
      <c r="R91"/>
      <c r="S91"/>
    </row>
    <row r="92" spans="5:19" ht="13.5" customHeight="1" x14ac:dyDescent="0.25">
      <c r="E92"/>
      <c r="F92"/>
      <c r="G92"/>
      <c r="H92"/>
      <c r="I92"/>
      <c r="J92"/>
      <c r="K92"/>
      <c r="L92" s="55"/>
      <c r="M92"/>
      <c r="N92"/>
      <c r="O92"/>
      <c r="P92"/>
      <c r="Q92"/>
      <c r="R92"/>
      <c r="S92"/>
    </row>
    <row r="93" spans="5:19" ht="13.5" customHeight="1" x14ac:dyDescent="0.25">
      <c r="E93"/>
      <c r="F93"/>
      <c r="G93"/>
      <c r="H93"/>
      <c r="I93"/>
      <c r="J93"/>
      <c r="K93"/>
      <c r="L93" s="55"/>
      <c r="M93"/>
      <c r="N93"/>
      <c r="O93"/>
      <c r="P93"/>
      <c r="Q93"/>
      <c r="R93"/>
      <c r="S93"/>
    </row>
    <row r="94" spans="5:19" ht="13.5" customHeight="1" x14ac:dyDescent="0.25">
      <c r="E94"/>
      <c r="F94"/>
      <c r="G94"/>
      <c r="H94"/>
      <c r="I94"/>
      <c r="J94"/>
      <c r="K94"/>
      <c r="L94" s="55"/>
      <c r="M94"/>
      <c r="N94"/>
      <c r="O94"/>
      <c r="P94"/>
      <c r="Q94"/>
      <c r="R94"/>
      <c r="S94"/>
    </row>
    <row r="95" spans="5:19" ht="13.5" customHeight="1" x14ac:dyDescent="0.25">
      <c r="E95" s="55"/>
      <c r="F95" s="55"/>
      <c r="G95" s="55"/>
      <c r="H95" s="55"/>
      <c r="I95" s="55"/>
      <c r="J95" s="55"/>
      <c r="K95" s="55"/>
      <c r="L95" s="55"/>
      <c r="M95" s="55"/>
      <c r="N95" s="55"/>
      <c r="O95" s="55"/>
      <c r="P95" s="56"/>
      <c r="Q95" s="55"/>
      <c r="R95" s="55"/>
    </row>
    <row r="96" spans="5:19" ht="13.5" customHeight="1" x14ac:dyDescent="0.25">
      <c r="E96" s="55"/>
      <c r="F96" s="55"/>
      <c r="G96" s="55"/>
      <c r="H96" s="55"/>
      <c r="I96" s="55"/>
      <c r="J96" s="55"/>
      <c r="K96" s="55"/>
      <c r="L96" s="55"/>
      <c r="M96" s="55"/>
      <c r="N96" s="55"/>
      <c r="O96" s="55"/>
      <c r="P96" s="56"/>
      <c r="Q96" s="55"/>
      <c r="R96" s="55"/>
    </row>
    <row r="97" spans="5:18" ht="13.5" customHeight="1" x14ac:dyDescent="0.25">
      <c r="E97" s="55"/>
      <c r="F97" s="55"/>
      <c r="G97" s="55"/>
      <c r="H97" s="55"/>
      <c r="I97" s="55"/>
      <c r="J97" s="55"/>
      <c r="K97" s="55"/>
      <c r="L97" s="55"/>
      <c r="M97" s="55"/>
      <c r="N97" s="55"/>
      <c r="O97" s="55"/>
      <c r="P97" s="56"/>
      <c r="Q97" s="55"/>
      <c r="R97" s="55"/>
    </row>
    <row r="98" spans="5:18" ht="13.5" customHeight="1" x14ac:dyDescent="0.25">
      <c r="E98" s="55"/>
      <c r="F98" s="55"/>
      <c r="G98" s="55"/>
      <c r="H98" s="55"/>
      <c r="I98" s="55"/>
      <c r="J98" s="55"/>
      <c r="K98" s="55"/>
      <c r="L98" s="55"/>
      <c r="M98" s="55"/>
      <c r="N98" s="55"/>
      <c r="O98" s="55"/>
      <c r="P98" s="56"/>
      <c r="Q98" s="55"/>
      <c r="R98" s="55"/>
    </row>
    <row r="99" spans="5:18" ht="13.5" customHeight="1" x14ac:dyDescent="0.25">
      <c r="E99" s="55"/>
      <c r="F99" s="55"/>
      <c r="G99" s="55"/>
      <c r="H99" s="55"/>
      <c r="I99" s="55"/>
      <c r="J99" s="55"/>
      <c r="K99" s="55"/>
      <c r="L99" s="55"/>
      <c r="M99" s="55"/>
      <c r="N99" s="55"/>
      <c r="O99" s="55"/>
      <c r="P99" s="56"/>
      <c r="Q99" s="55"/>
      <c r="R99" s="55"/>
    </row>
    <row r="100" spans="5:18" ht="13.5" customHeight="1" x14ac:dyDescent="0.25">
      <c r="E100" s="55"/>
      <c r="F100" s="55"/>
      <c r="G100" s="55"/>
      <c r="H100" s="55"/>
      <c r="I100" s="55"/>
      <c r="J100" s="55"/>
      <c r="K100" s="55"/>
      <c r="L100" s="55"/>
      <c r="M100" s="55"/>
      <c r="N100" s="55"/>
      <c r="O100" s="55"/>
      <c r="P100" s="56"/>
      <c r="Q100" s="55"/>
      <c r="R100" s="55"/>
    </row>
    <row r="101" spans="5:18" ht="13.5" customHeight="1" x14ac:dyDescent="0.25">
      <c r="E101" s="55"/>
      <c r="F101" s="55"/>
      <c r="G101" s="55"/>
      <c r="H101" s="55"/>
      <c r="I101" s="55"/>
      <c r="J101" s="55"/>
      <c r="K101" s="55"/>
      <c r="L101" s="55"/>
      <c r="M101" s="55"/>
      <c r="N101" s="55"/>
      <c r="O101" s="55"/>
      <c r="P101" s="56"/>
      <c r="Q101" s="55"/>
      <c r="R101" s="55"/>
    </row>
    <row r="102" spans="5:18" ht="13.5" customHeight="1" x14ac:dyDescent="0.25">
      <c r="E102" s="55"/>
      <c r="F102" s="55"/>
      <c r="G102" s="55"/>
      <c r="H102" s="55"/>
      <c r="I102" s="55"/>
      <c r="J102" s="55"/>
      <c r="K102" s="55"/>
      <c r="L102" s="55"/>
      <c r="M102" s="55"/>
      <c r="N102" s="55"/>
      <c r="O102" s="55"/>
      <c r="P102" s="56"/>
      <c r="Q102" s="55"/>
      <c r="R102" s="55"/>
    </row>
    <row r="103" spans="5:18" ht="13.5" customHeight="1" x14ac:dyDescent="0.25">
      <c r="E103" s="55"/>
      <c r="F103" s="55"/>
      <c r="G103" s="55"/>
      <c r="H103" s="55"/>
      <c r="I103" s="55"/>
      <c r="J103" s="55"/>
      <c r="K103" s="55"/>
      <c r="L103" s="55"/>
      <c r="M103" s="55"/>
      <c r="N103" s="55"/>
      <c r="O103" s="55"/>
      <c r="P103" s="56"/>
      <c r="Q103" s="55"/>
      <c r="R103" s="55"/>
    </row>
    <row r="104" spans="5:18" ht="13.5" customHeight="1" x14ac:dyDescent="0.25">
      <c r="E104" s="55"/>
      <c r="F104" s="55"/>
      <c r="G104" s="55"/>
      <c r="H104" s="55"/>
      <c r="I104" s="55"/>
      <c r="J104" s="55"/>
      <c r="K104" s="55"/>
      <c r="L104" s="55"/>
      <c r="M104" s="55"/>
      <c r="N104" s="55"/>
      <c r="O104" s="55"/>
      <c r="P104" s="56"/>
      <c r="Q104" s="55"/>
      <c r="R104" s="55"/>
    </row>
    <row r="105" spans="5:18" ht="13.5" customHeight="1" x14ac:dyDescent="0.25">
      <c r="E105" s="55"/>
      <c r="F105" s="55"/>
      <c r="G105" s="55"/>
      <c r="H105" s="55"/>
      <c r="I105" s="55"/>
      <c r="J105" s="55"/>
      <c r="K105" s="55"/>
      <c r="L105" s="55"/>
      <c r="M105" s="55"/>
      <c r="N105" s="55"/>
      <c r="O105" s="55"/>
      <c r="P105" s="56"/>
      <c r="Q105" s="55"/>
      <c r="R105" s="55"/>
    </row>
    <row r="106" spans="5:18" ht="13.5" customHeight="1" x14ac:dyDescent="0.25">
      <c r="E106" s="55"/>
      <c r="F106" s="55"/>
      <c r="G106" s="55"/>
      <c r="H106" s="55"/>
      <c r="I106" s="55"/>
      <c r="J106" s="55"/>
      <c r="K106" s="55"/>
      <c r="L106" s="55"/>
      <c r="M106" s="55"/>
      <c r="N106" s="55"/>
      <c r="O106" s="55"/>
      <c r="P106" s="56"/>
      <c r="Q106" s="55"/>
      <c r="R106" s="55"/>
    </row>
    <row r="107" spans="5:18" ht="13.5" customHeight="1" x14ac:dyDescent="0.25">
      <c r="E107" s="55"/>
      <c r="F107" s="55"/>
      <c r="G107" s="55"/>
      <c r="H107" s="55"/>
      <c r="I107" s="55"/>
      <c r="J107" s="55"/>
      <c r="K107" s="55"/>
      <c r="L107" s="55"/>
      <c r="M107" s="55"/>
      <c r="N107" s="55"/>
      <c r="O107" s="55"/>
      <c r="P107" s="56"/>
      <c r="Q107" s="55"/>
      <c r="R107" s="55"/>
    </row>
    <row r="108" spans="5:18" ht="13.5" customHeight="1" x14ac:dyDescent="0.25">
      <c r="E108" s="55"/>
      <c r="F108" s="55"/>
      <c r="G108" s="55"/>
      <c r="H108" s="55"/>
      <c r="I108" s="55"/>
      <c r="J108" s="55"/>
      <c r="K108" s="55"/>
      <c r="L108" s="55"/>
      <c r="M108" s="55"/>
      <c r="N108" s="55"/>
      <c r="O108" s="55"/>
      <c r="P108" s="56"/>
      <c r="Q108" s="55"/>
      <c r="R108" s="55"/>
    </row>
    <row r="109" spans="5:18" ht="13.5" customHeight="1" x14ac:dyDescent="0.25">
      <c r="E109" s="55"/>
      <c r="F109" s="55"/>
      <c r="G109" s="55"/>
      <c r="H109" s="55"/>
      <c r="I109" s="55"/>
      <c r="J109" s="55"/>
      <c r="K109" s="55"/>
      <c r="L109" s="55"/>
      <c r="M109" s="55"/>
      <c r="N109" s="55"/>
      <c r="O109" s="55"/>
      <c r="P109" s="56"/>
      <c r="Q109" s="55"/>
      <c r="R109" s="55"/>
    </row>
    <row r="110" spans="5:18" ht="13.5" customHeight="1" x14ac:dyDescent="0.25">
      <c r="E110" s="55"/>
      <c r="F110" s="55"/>
      <c r="G110" s="55"/>
      <c r="H110" s="55"/>
      <c r="I110" s="55"/>
      <c r="J110" s="55"/>
      <c r="K110" s="55"/>
      <c r="L110" s="55"/>
      <c r="M110" s="55"/>
      <c r="N110" s="55"/>
      <c r="O110" s="55"/>
      <c r="P110" s="56"/>
      <c r="Q110" s="55"/>
      <c r="R110" s="55"/>
    </row>
    <row r="111" spans="5:18" ht="13.5" customHeight="1" x14ac:dyDescent="0.25">
      <c r="E111" s="55"/>
      <c r="F111" s="55"/>
      <c r="G111" s="55"/>
      <c r="H111" s="55"/>
      <c r="I111" s="55"/>
      <c r="J111" s="55"/>
      <c r="K111" s="55"/>
      <c r="L111" s="55"/>
      <c r="M111" s="55"/>
      <c r="N111" s="55"/>
      <c r="O111" s="55"/>
      <c r="P111" s="56"/>
      <c r="Q111" s="55"/>
      <c r="R111" s="55"/>
    </row>
    <row r="112" spans="5:18" ht="13.5" customHeight="1" x14ac:dyDescent="0.25">
      <c r="E112" s="55"/>
      <c r="F112" s="55"/>
      <c r="G112" s="55"/>
      <c r="H112" s="55"/>
      <c r="I112" s="55"/>
      <c r="J112" s="55"/>
      <c r="K112" s="55"/>
      <c r="L112" s="55"/>
      <c r="M112" s="55"/>
      <c r="N112" s="55"/>
      <c r="O112" s="55"/>
      <c r="P112" s="56"/>
      <c r="Q112" s="55"/>
      <c r="R112" s="55"/>
    </row>
    <row r="113" spans="5:18" ht="13.5" customHeight="1" x14ac:dyDescent="0.25">
      <c r="E113" s="55"/>
      <c r="F113" s="55"/>
      <c r="G113" s="55"/>
      <c r="H113" s="55"/>
      <c r="I113" s="55"/>
      <c r="J113" s="55"/>
      <c r="K113" s="55"/>
      <c r="L113" s="55"/>
      <c r="M113" s="55"/>
      <c r="N113" s="55"/>
      <c r="O113" s="55"/>
      <c r="P113" s="56"/>
      <c r="Q113" s="55"/>
      <c r="R113" s="55"/>
    </row>
    <row r="114" spans="5:18" ht="13.5" customHeight="1" x14ac:dyDescent="0.25">
      <c r="E114" s="55"/>
      <c r="F114" s="55"/>
      <c r="G114" s="55"/>
      <c r="H114" s="55"/>
      <c r="I114" s="55"/>
      <c r="J114" s="55"/>
      <c r="K114" s="55"/>
      <c r="L114" s="55"/>
      <c r="M114" s="55"/>
      <c r="N114" s="55"/>
      <c r="O114" s="55"/>
      <c r="P114" s="56"/>
      <c r="Q114" s="55"/>
      <c r="R114" s="55"/>
    </row>
    <row r="115" spans="5:18" ht="13.5" customHeight="1" x14ac:dyDescent="0.25">
      <c r="E115" s="55"/>
      <c r="F115" s="55"/>
      <c r="G115" s="55"/>
      <c r="H115" s="55"/>
      <c r="I115" s="55"/>
      <c r="J115" s="55"/>
      <c r="K115" s="55"/>
      <c r="L115" s="55"/>
      <c r="M115" s="55"/>
      <c r="N115" s="55"/>
      <c r="O115" s="55"/>
      <c r="P115" s="56"/>
      <c r="Q115" s="55"/>
      <c r="R115" s="55"/>
    </row>
    <row r="116" spans="5:18" ht="13.5" customHeight="1" x14ac:dyDescent="0.25">
      <c r="E116" s="55"/>
      <c r="F116" s="55"/>
      <c r="G116" s="55"/>
      <c r="H116" s="55"/>
      <c r="I116" s="55"/>
      <c r="J116" s="55"/>
      <c r="K116" s="55"/>
      <c r="L116" s="55"/>
      <c r="M116" s="55"/>
      <c r="N116" s="55"/>
      <c r="O116" s="55"/>
      <c r="P116" s="56"/>
      <c r="Q116" s="55"/>
      <c r="R116" s="55"/>
    </row>
    <row r="117" spans="5:18" ht="13.5" customHeight="1" x14ac:dyDescent="0.25">
      <c r="E117" s="55"/>
      <c r="F117" s="55"/>
      <c r="G117" s="55"/>
      <c r="H117" s="55"/>
      <c r="I117" s="55"/>
      <c r="J117" s="55"/>
      <c r="K117" s="55"/>
      <c r="L117" s="55"/>
      <c r="M117" s="55"/>
      <c r="N117" s="55"/>
      <c r="O117" s="55"/>
      <c r="P117" s="56"/>
      <c r="Q117" s="55"/>
      <c r="R117" s="55"/>
    </row>
    <row r="118" spans="5:18" ht="13.5" customHeight="1" x14ac:dyDescent="0.25">
      <c r="E118" s="55"/>
      <c r="F118" s="55"/>
      <c r="G118" s="55"/>
      <c r="H118" s="55"/>
      <c r="I118" s="55"/>
      <c r="J118" s="55"/>
      <c r="K118" s="55"/>
      <c r="L118" s="55"/>
      <c r="M118" s="55"/>
      <c r="N118" s="55"/>
      <c r="O118" s="55"/>
      <c r="P118" s="56"/>
      <c r="Q118" s="55"/>
      <c r="R118" s="55"/>
    </row>
    <row r="119" spans="5:18" ht="13.5" customHeight="1" x14ac:dyDescent="0.25">
      <c r="E119" s="55"/>
      <c r="F119" s="55"/>
      <c r="G119" s="55"/>
      <c r="H119" s="55"/>
      <c r="I119" s="55"/>
      <c r="J119" s="55"/>
      <c r="K119" s="55"/>
      <c r="L119" s="55"/>
      <c r="M119" s="55"/>
      <c r="N119" s="55"/>
      <c r="O119" s="55"/>
      <c r="P119" s="56"/>
      <c r="Q119" s="55"/>
      <c r="R119" s="55"/>
    </row>
    <row r="120" spans="5:18" ht="13.5" customHeight="1" x14ac:dyDescent="0.25">
      <c r="E120" s="55"/>
      <c r="F120" s="55"/>
      <c r="G120" s="55"/>
      <c r="H120" s="55"/>
      <c r="I120" s="55"/>
      <c r="J120" s="55"/>
      <c r="K120" s="55"/>
      <c r="L120" s="55"/>
      <c r="M120" s="55"/>
      <c r="N120" s="55"/>
      <c r="O120" s="55"/>
      <c r="P120" s="56"/>
      <c r="Q120" s="55"/>
      <c r="R120" s="55"/>
    </row>
    <row r="121" spans="5:18" ht="13.5" customHeight="1" x14ac:dyDescent="0.25">
      <c r="E121" s="55"/>
      <c r="F121" s="55"/>
      <c r="G121" s="55"/>
      <c r="H121" s="55"/>
      <c r="I121" s="55"/>
      <c r="J121" s="55"/>
      <c r="K121" s="55"/>
      <c r="L121" s="55"/>
      <c r="M121" s="55"/>
      <c r="N121" s="55"/>
      <c r="O121" s="55"/>
      <c r="P121" s="56"/>
      <c r="Q121" s="55"/>
      <c r="R121" s="55"/>
    </row>
    <row r="122" spans="5:18" ht="13.5" customHeight="1" x14ac:dyDescent="0.25">
      <c r="E122" s="55"/>
      <c r="F122" s="55"/>
      <c r="G122" s="55"/>
      <c r="H122" s="55"/>
      <c r="I122" s="55"/>
      <c r="J122" s="55"/>
      <c r="K122" s="55"/>
      <c r="L122" s="55"/>
      <c r="M122" s="55"/>
      <c r="N122" s="55"/>
      <c r="O122" s="55"/>
      <c r="P122" s="56"/>
      <c r="Q122" s="55"/>
      <c r="R122" s="55"/>
    </row>
    <row r="123" spans="5:18" ht="13.5" customHeight="1" x14ac:dyDescent="0.25">
      <c r="E123" s="55"/>
      <c r="F123" s="55"/>
      <c r="G123" s="55"/>
      <c r="H123" s="55"/>
      <c r="I123" s="55"/>
      <c r="J123" s="55"/>
      <c r="K123" s="55"/>
      <c r="L123" s="55"/>
      <c r="M123" s="55"/>
      <c r="N123" s="55"/>
      <c r="O123" s="55"/>
      <c r="P123" s="56"/>
      <c r="Q123" s="55"/>
      <c r="R123" s="55"/>
    </row>
    <row r="124" spans="5:18" ht="13.5" customHeight="1" x14ac:dyDescent="0.25">
      <c r="E124" s="55"/>
      <c r="F124" s="55"/>
      <c r="G124" s="55"/>
      <c r="H124" s="55"/>
      <c r="I124" s="55"/>
      <c r="J124" s="55"/>
      <c r="K124" s="55"/>
      <c r="L124" s="55"/>
      <c r="M124" s="55"/>
      <c r="N124" s="55"/>
      <c r="O124" s="55"/>
      <c r="P124" s="56"/>
      <c r="Q124" s="55"/>
      <c r="R124" s="55"/>
    </row>
    <row r="125" spans="5:18" ht="13.5" customHeight="1" x14ac:dyDescent="0.25">
      <c r="E125" s="55"/>
      <c r="F125" s="55"/>
      <c r="G125" s="55"/>
      <c r="H125" s="55"/>
      <c r="I125" s="55"/>
      <c r="J125" s="55"/>
      <c r="K125" s="55"/>
      <c r="L125" s="55"/>
      <c r="M125" s="55"/>
      <c r="N125" s="55"/>
      <c r="O125" s="55"/>
      <c r="P125" s="56"/>
      <c r="Q125" s="55"/>
      <c r="R125" s="55"/>
    </row>
    <row r="126" spans="5:18" ht="13.5" customHeight="1" x14ac:dyDescent="0.25">
      <c r="E126" s="55"/>
      <c r="F126" s="55"/>
      <c r="G126" s="55"/>
      <c r="H126" s="55"/>
      <c r="I126" s="55"/>
      <c r="J126" s="55"/>
      <c r="K126" s="55"/>
      <c r="L126" s="55"/>
      <c r="M126" s="55"/>
      <c r="N126" s="55"/>
      <c r="O126" s="55"/>
      <c r="P126" s="56"/>
      <c r="Q126" s="55"/>
      <c r="R126" s="55"/>
    </row>
    <row r="127" spans="5:18" ht="13.5" customHeight="1" x14ac:dyDescent="0.25">
      <c r="E127" s="55"/>
      <c r="F127" s="55"/>
      <c r="G127" s="55"/>
      <c r="H127" s="55"/>
      <c r="I127" s="55"/>
      <c r="J127" s="55"/>
      <c r="K127" s="55"/>
      <c r="L127" s="55"/>
      <c r="M127" s="55"/>
      <c r="N127" s="55"/>
      <c r="O127" s="55"/>
      <c r="P127" s="56"/>
      <c r="Q127" s="55"/>
      <c r="R127" s="55"/>
    </row>
    <row r="128" spans="5:18" ht="13.5" customHeight="1" x14ac:dyDescent="0.25">
      <c r="E128" s="55"/>
      <c r="F128" s="55"/>
      <c r="G128" s="55"/>
      <c r="H128" s="55"/>
      <c r="I128" s="55"/>
      <c r="J128" s="55"/>
      <c r="K128" s="55"/>
      <c r="L128" s="55"/>
      <c r="M128" s="55"/>
      <c r="N128" s="55"/>
      <c r="O128" s="55"/>
      <c r="P128" s="56"/>
      <c r="Q128" s="55"/>
      <c r="R128" s="55"/>
    </row>
    <row r="129" spans="5:18" ht="13.5" customHeight="1" x14ac:dyDescent="0.25">
      <c r="E129" s="55"/>
      <c r="F129" s="55"/>
      <c r="G129" s="55"/>
      <c r="H129" s="55"/>
      <c r="I129" s="55"/>
      <c r="J129" s="55"/>
      <c r="K129" s="55"/>
      <c r="L129" s="55"/>
      <c r="M129" s="55"/>
      <c r="N129" s="55"/>
      <c r="O129" s="55"/>
      <c r="P129" s="56"/>
      <c r="Q129" s="55"/>
      <c r="R129" s="55"/>
    </row>
    <row r="130" spans="5:18" ht="13.5" customHeight="1" x14ac:dyDescent="0.25">
      <c r="E130" s="55"/>
      <c r="F130" s="55"/>
      <c r="G130" s="55"/>
      <c r="H130" s="55"/>
      <c r="I130" s="55"/>
      <c r="J130" s="55"/>
      <c r="K130" s="55"/>
      <c r="L130" s="55"/>
      <c r="M130" s="55"/>
      <c r="N130" s="55"/>
      <c r="O130" s="55"/>
      <c r="P130" s="56"/>
      <c r="Q130" s="55"/>
      <c r="R130" s="55"/>
    </row>
    <row r="131" spans="5:18" ht="13.5" customHeight="1" x14ac:dyDescent="0.25">
      <c r="E131" s="55"/>
      <c r="F131" s="55"/>
      <c r="G131" s="55"/>
      <c r="H131" s="55"/>
      <c r="I131" s="55"/>
      <c r="J131" s="55"/>
      <c r="K131" s="55"/>
      <c r="L131" s="55"/>
      <c r="M131" s="55"/>
      <c r="N131" s="55"/>
      <c r="O131" s="55"/>
      <c r="P131" s="56"/>
      <c r="Q131" s="55"/>
      <c r="R131" s="55"/>
    </row>
    <row r="132" spans="5:18" ht="13.5" customHeight="1" x14ac:dyDescent="0.25">
      <c r="E132" s="55"/>
      <c r="F132" s="55"/>
      <c r="G132" s="55"/>
      <c r="H132" s="55"/>
      <c r="I132" s="55"/>
      <c r="J132" s="55"/>
      <c r="K132" s="55"/>
      <c r="L132" s="55"/>
      <c r="M132" s="55"/>
      <c r="N132" s="55"/>
      <c r="O132" s="55"/>
      <c r="P132" s="56"/>
      <c r="Q132" s="55"/>
      <c r="R132" s="55"/>
    </row>
    <row r="133" spans="5:18" ht="13.5" customHeight="1" x14ac:dyDescent="0.25">
      <c r="E133" s="55"/>
      <c r="F133" s="55"/>
      <c r="G133" s="55"/>
      <c r="H133" s="55"/>
      <c r="I133" s="55"/>
      <c r="J133" s="55"/>
      <c r="K133" s="55"/>
      <c r="L133" s="55"/>
      <c r="M133" s="55"/>
      <c r="N133" s="55"/>
      <c r="O133" s="55"/>
      <c r="P133" s="56"/>
      <c r="Q133" s="55"/>
      <c r="R133" s="55"/>
    </row>
    <row r="134" spans="5:18" ht="13.5" customHeight="1" x14ac:dyDescent="0.25">
      <c r="E134" s="55"/>
      <c r="F134" s="55"/>
      <c r="G134" s="55"/>
      <c r="H134" s="55"/>
      <c r="I134" s="55"/>
      <c r="J134" s="55"/>
      <c r="K134" s="55"/>
      <c r="L134" s="55"/>
      <c r="M134" s="55"/>
      <c r="N134" s="55"/>
      <c r="O134" s="55"/>
      <c r="P134" s="56"/>
      <c r="Q134" s="55"/>
      <c r="R134" s="55"/>
    </row>
    <row r="135" spans="5:18" ht="13.5" customHeight="1" x14ac:dyDescent="0.25">
      <c r="E135" s="55"/>
      <c r="F135" s="55"/>
      <c r="G135" s="55"/>
      <c r="H135" s="55"/>
      <c r="I135" s="55"/>
      <c r="J135" s="55"/>
      <c r="K135" s="55"/>
      <c r="L135" s="55"/>
      <c r="M135" s="55"/>
      <c r="N135" s="55"/>
      <c r="O135" s="55"/>
      <c r="P135" s="56"/>
      <c r="Q135" s="55"/>
      <c r="R135" s="55"/>
    </row>
    <row r="136" spans="5:18" ht="13.5" customHeight="1" x14ac:dyDescent="0.25">
      <c r="E136" s="55"/>
      <c r="F136" s="55"/>
      <c r="G136" s="55"/>
      <c r="H136" s="55"/>
      <c r="I136" s="55"/>
      <c r="J136" s="55"/>
      <c r="K136" s="55"/>
      <c r="L136" s="55"/>
      <c r="M136" s="55"/>
      <c r="N136" s="55"/>
      <c r="O136" s="55"/>
      <c r="P136" s="56"/>
      <c r="Q136" s="55"/>
      <c r="R136" s="55"/>
    </row>
    <row r="137" spans="5:18" ht="13.5" customHeight="1" x14ac:dyDescent="0.25">
      <c r="E137" s="55"/>
      <c r="F137" s="55"/>
      <c r="G137" s="55"/>
      <c r="H137" s="55"/>
      <c r="I137" s="55"/>
      <c r="J137" s="55"/>
      <c r="K137" s="55"/>
      <c r="L137" s="55"/>
      <c r="M137" s="55"/>
      <c r="N137" s="55"/>
      <c r="O137" s="55"/>
      <c r="P137" s="56"/>
      <c r="Q137" s="55"/>
      <c r="R137" s="55"/>
    </row>
    <row r="138" spans="5:18" ht="13.5" customHeight="1" x14ac:dyDescent="0.25">
      <c r="E138" s="55"/>
      <c r="F138" s="55"/>
      <c r="G138" s="55"/>
      <c r="H138" s="55"/>
      <c r="I138" s="55"/>
      <c r="J138" s="55"/>
      <c r="K138" s="55"/>
      <c r="L138" s="55"/>
      <c r="M138" s="55"/>
      <c r="N138" s="55"/>
      <c r="O138" s="55"/>
      <c r="P138" s="56"/>
      <c r="Q138" s="55"/>
      <c r="R138" s="55"/>
    </row>
    <row r="139" spans="5:18" ht="13.5" customHeight="1" x14ac:dyDescent="0.25">
      <c r="E139" s="55"/>
      <c r="F139" s="55"/>
      <c r="G139" s="55"/>
      <c r="H139" s="55"/>
      <c r="I139" s="55"/>
      <c r="J139" s="55"/>
      <c r="K139" s="55"/>
      <c r="L139" s="55"/>
      <c r="M139" s="55"/>
      <c r="N139" s="55"/>
      <c r="O139" s="55"/>
      <c r="P139" s="56"/>
      <c r="Q139" s="55"/>
      <c r="R139" s="55"/>
    </row>
    <row r="140" spans="5:18" ht="13.5" customHeight="1" x14ac:dyDescent="0.25">
      <c r="E140" s="55"/>
      <c r="F140" s="55"/>
      <c r="G140" s="55"/>
      <c r="H140" s="55"/>
      <c r="I140" s="55"/>
      <c r="J140" s="55"/>
      <c r="K140" s="55"/>
      <c r="L140" s="55"/>
      <c r="M140" s="55"/>
      <c r="N140" s="55"/>
      <c r="O140" s="55"/>
      <c r="P140" s="56"/>
      <c r="Q140" s="55"/>
      <c r="R140" s="55"/>
    </row>
    <row r="141" spans="5:18" ht="13.5" customHeight="1" x14ac:dyDescent="0.25">
      <c r="E141" s="55"/>
      <c r="F141" s="55"/>
      <c r="G141" s="55"/>
      <c r="H141" s="55"/>
      <c r="I141" s="55"/>
      <c r="J141" s="55"/>
      <c r="K141" s="55"/>
      <c r="L141" s="55"/>
      <c r="M141" s="55"/>
      <c r="N141" s="55"/>
      <c r="O141" s="55"/>
      <c r="P141" s="56"/>
      <c r="Q141" s="55"/>
      <c r="R141" s="55"/>
    </row>
    <row r="142" spans="5:18" ht="13.5" customHeight="1" x14ac:dyDescent="0.25">
      <c r="E142" s="55"/>
      <c r="F142" s="55"/>
      <c r="G142" s="55"/>
      <c r="H142" s="55"/>
      <c r="I142" s="55"/>
      <c r="J142" s="55"/>
      <c r="K142" s="55"/>
      <c r="L142" s="55"/>
      <c r="M142" s="55"/>
      <c r="N142" s="55"/>
      <c r="O142" s="55"/>
      <c r="P142" s="56"/>
      <c r="Q142" s="55"/>
      <c r="R142" s="55"/>
    </row>
    <row r="143" spans="5:18" ht="13.5" customHeight="1" x14ac:dyDescent="0.25">
      <c r="E143" s="55"/>
      <c r="F143" s="55"/>
      <c r="G143" s="55"/>
      <c r="H143" s="55"/>
      <c r="I143" s="55"/>
      <c r="J143" s="55"/>
      <c r="K143" s="55"/>
      <c r="L143" s="55"/>
      <c r="M143" s="55"/>
      <c r="N143" s="55"/>
      <c r="O143" s="55"/>
      <c r="P143" s="56"/>
      <c r="Q143" s="55"/>
      <c r="R143" s="55"/>
    </row>
    <row r="144" spans="5:18" ht="13.5" customHeight="1" x14ac:dyDescent="0.25">
      <c r="E144" s="55"/>
      <c r="F144" s="55"/>
      <c r="G144" s="55"/>
      <c r="H144" s="55"/>
      <c r="I144" s="55"/>
      <c r="J144" s="55"/>
      <c r="K144" s="55"/>
      <c r="L144" s="55"/>
      <c r="M144" s="55"/>
      <c r="N144" s="55"/>
      <c r="O144" s="55"/>
      <c r="P144" s="56"/>
      <c r="Q144" s="55"/>
      <c r="R144" s="55"/>
    </row>
    <row r="145" spans="5:18" ht="13.5" customHeight="1" x14ac:dyDescent="0.25">
      <c r="E145" s="55"/>
      <c r="F145" s="55"/>
      <c r="G145" s="55"/>
      <c r="H145" s="55"/>
      <c r="I145" s="55"/>
      <c r="J145" s="55"/>
      <c r="K145" s="55"/>
      <c r="L145" s="55"/>
      <c r="M145" s="55"/>
      <c r="N145" s="55"/>
      <c r="O145" s="55"/>
      <c r="P145" s="56"/>
      <c r="Q145" s="55"/>
      <c r="R145" s="55"/>
    </row>
    <row r="146" spans="5:18" ht="13.5" customHeight="1" x14ac:dyDescent="0.25">
      <c r="E146" s="55"/>
      <c r="F146" s="55"/>
      <c r="G146" s="55"/>
      <c r="H146" s="55"/>
      <c r="I146" s="55"/>
      <c r="J146" s="55"/>
      <c r="K146" s="55"/>
      <c r="L146" s="55"/>
      <c r="M146" s="55"/>
      <c r="N146" s="55"/>
      <c r="O146" s="55"/>
      <c r="P146" s="56"/>
      <c r="Q146" s="55"/>
      <c r="R146" s="55"/>
    </row>
    <row r="147" spans="5:18" ht="13.5" customHeight="1" x14ac:dyDescent="0.25">
      <c r="E147" s="55"/>
      <c r="F147" s="55"/>
      <c r="G147" s="55"/>
      <c r="H147" s="55"/>
      <c r="I147" s="55"/>
      <c r="J147" s="55"/>
      <c r="K147" s="55"/>
      <c r="L147" s="55"/>
      <c r="M147" s="55"/>
      <c r="N147" s="55"/>
      <c r="O147" s="55"/>
      <c r="P147" s="56"/>
      <c r="Q147" s="55"/>
      <c r="R147" s="55"/>
    </row>
    <row r="148" spans="5:18" ht="13.5" customHeight="1" x14ac:dyDescent="0.25">
      <c r="E148" s="55"/>
      <c r="F148" s="55"/>
      <c r="G148" s="55"/>
      <c r="H148" s="55"/>
      <c r="I148" s="55"/>
      <c r="J148" s="55"/>
      <c r="K148" s="55"/>
      <c r="L148" s="55"/>
      <c r="M148" s="55"/>
      <c r="N148" s="55"/>
      <c r="O148" s="55"/>
      <c r="P148" s="56"/>
      <c r="Q148" s="55"/>
      <c r="R148" s="55"/>
    </row>
    <row r="149" spans="5:18" ht="13.5" customHeight="1" x14ac:dyDescent="0.25">
      <c r="E149" s="55"/>
      <c r="F149" s="55"/>
      <c r="G149" s="55"/>
      <c r="H149" s="55"/>
      <c r="I149" s="55"/>
      <c r="J149" s="55"/>
      <c r="K149" s="55"/>
      <c r="L149" s="55"/>
      <c r="M149" s="55"/>
      <c r="N149" s="55"/>
      <c r="O149" s="55"/>
      <c r="P149" s="56"/>
      <c r="Q149" s="55"/>
      <c r="R149" s="55"/>
    </row>
    <row r="150" spans="5:18" ht="13.5" customHeight="1" x14ac:dyDescent="0.25">
      <c r="E150" s="55"/>
      <c r="F150" s="55"/>
      <c r="G150" s="55"/>
      <c r="H150" s="55"/>
      <c r="I150" s="55"/>
      <c r="J150" s="55"/>
      <c r="K150" s="55"/>
      <c r="L150" s="55"/>
      <c r="M150" s="55"/>
      <c r="N150" s="55"/>
      <c r="O150" s="55"/>
      <c r="P150" s="56"/>
      <c r="Q150" s="55"/>
      <c r="R150" s="55"/>
    </row>
    <row r="151" spans="5:18" ht="13.5" customHeight="1" x14ac:dyDescent="0.25">
      <c r="E151" s="55"/>
      <c r="F151" s="55"/>
      <c r="G151" s="55"/>
      <c r="H151" s="55"/>
      <c r="I151" s="55"/>
      <c r="J151" s="55"/>
      <c r="K151" s="55"/>
      <c r="L151" s="55"/>
      <c r="M151" s="55"/>
      <c r="N151" s="55"/>
      <c r="O151" s="55"/>
      <c r="P151" s="56"/>
      <c r="Q151" s="55"/>
      <c r="R151" s="55"/>
    </row>
    <row r="152" spans="5:18" ht="13.5" customHeight="1" x14ac:dyDescent="0.25">
      <c r="E152" s="55"/>
      <c r="F152" s="55"/>
      <c r="G152" s="55"/>
      <c r="H152" s="55"/>
      <c r="I152" s="55"/>
      <c r="J152" s="55"/>
      <c r="K152" s="55"/>
      <c r="L152" s="55"/>
      <c r="M152" s="55"/>
      <c r="N152" s="55"/>
      <c r="O152" s="55"/>
      <c r="P152" s="56"/>
      <c r="Q152" s="55"/>
      <c r="R152" s="55"/>
    </row>
    <row r="153" spans="5:18" ht="13.5" customHeight="1" x14ac:dyDescent="0.25">
      <c r="E153" s="55"/>
      <c r="F153" s="55"/>
      <c r="G153" s="55"/>
      <c r="H153" s="55"/>
      <c r="I153" s="55"/>
      <c r="J153" s="55"/>
      <c r="K153" s="55"/>
      <c r="L153" s="55"/>
      <c r="M153" s="55"/>
      <c r="N153" s="55"/>
      <c r="O153" s="55"/>
      <c r="P153" s="56"/>
      <c r="Q153" s="55"/>
      <c r="R153" s="55"/>
    </row>
    <row r="154" spans="5:18" ht="13.5" customHeight="1" x14ac:dyDescent="0.25">
      <c r="E154" s="55"/>
      <c r="F154" s="55"/>
      <c r="G154" s="55"/>
      <c r="H154" s="55"/>
      <c r="I154" s="55"/>
      <c r="J154" s="55"/>
      <c r="K154" s="55"/>
      <c r="L154" s="55"/>
      <c r="M154" s="55"/>
      <c r="N154" s="55"/>
      <c r="O154" s="55"/>
      <c r="P154" s="56"/>
      <c r="Q154" s="55"/>
      <c r="R154" s="55"/>
    </row>
    <row r="155" spans="5:18" ht="13.5" customHeight="1" x14ac:dyDescent="0.25">
      <c r="E155" s="55"/>
      <c r="F155" s="55"/>
      <c r="G155" s="55"/>
      <c r="H155" s="55"/>
      <c r="I155" s="55"/>
      <c r="J155" s="55"/>
      <c r="K155" s="55"/>
      <c r="L155" s="55"/>
      <c r="M155" s="55"/>
      <c r="N155" s="55"/>
      <c r="O155" s="55"/>
      <c r="P155" s="56"/>
      <c r="Q155" s="55"/>
      <c r="R155" s="55"/>
    </row>
    <row r="156" spans="5:18" ht="13.5" customHeight="1" x14ac:dyDescent="0.25">
      <c r="E156" s="55"/>
      <c r="F156" s="55"/>
      <c r="G156" s="55"/>
      <c r="H156" s="55"/>
      <c r="I156" s="55"/>
      <c r="J156" s="55"/>
      <c r="K156" s="55"/>
      <c r="L156" s="55"/>
      <c r="M156" s="55"/>
      <c r="N156" s="55"/>
      <c r="O156" s="55"/>
      <c r="P156" s="56"/>
      <c r="Q156" s="55"/>
      <c r="R156" s="55"/>
    </row>
    <row r="157" spans="5:18" ht="13.5" customHeight="1" x14ac:dyDescent="0.25">
      <c r="E157" s="55"/>
      <c r="F157" s="55"/>
      <c r="G157" s="55"/>
      <c r="H157" s="55"/>
      <c r="I157" s="55"/>
      <c r="J157" s="55"/>
      <c r="K157" s="55"/>
      <c r="L157" s="55"/>
      <c r="M157" s="55"/>
      <c r="N157" s="55"/>
      <c r="O157" s="55"/>
      <c r="P157" s="56"/>
      <c r="Q157" s="55"/>
      <c r="R157" s="55"/>
    </row>
    <row r="158" spans="5:18" ht="13.5" customHeight="1" x14ac:dyDescent="0.25">
      <c r="E158" s="55"/>
      <c r="F158" s="55"/>
      <c r="G158" s="55"/>
      <c r="H158" s="55"/>
      <c r="I158" s="55"/>
      <c r="J158" s="55"/>
      <c r="K158" s="55"/>
      <c r="L158" s="55"/>
      <c r="M158" s="55"/>
      <c r="N158" s="55"/>
      <c r="O158" s="55"/>
      <c r="P158" s="56"/>
      <c r="Q158" s="55"/>
      <c r="R158" s="55"/>
    </row>
    <row r="159" spans="5:18" ht="13.5" customHeight="1" x14ac:dyDescent="0.25">
      <c r="E159" s="55"/>
      <c r="F159" s="55"/>
      <c r="G159" s="55"/>
      <c r="H159" s="55"/>
      <c r="I159" s="55"/>
      <c r="J159" s="55"/>
      <c r="K159" s="55"/>
      <c r="L159" s="55"/>
      <c r="M159" s="55"/>
      <c r="N159" s="55"/>
      <c r="O159" s="55"/>
      <c r="P159" s="56"/>
      <c r="Q159" s="55"/>
      <c r="R159" s="55"/>
    </row>
    <row r="160" spans="5:18" ht="13.5" customHeight="1" x14ac:dyDescent="0.25">
      <c r="E160" s="55"/>
      <c r="F160" s="55"/>
      <c r="G160" s="55"/>
      <c r="H160" s="55"/>
      <c r="I160" s="55"/>
      <c r="J160" s="55"/>
      <c r="K160" s="55"/>
      <c r="L160" s="55"/>
      <c r="M160" s="55"/>
      <c r="N160" s="55"/>
      <c r="O160" s="55"/>
      <c r="P160" s="56"/>
      <c r="Q160" s="55"/>
      <c r="R160" s="55"/>
    </row>
    <row r="161" spans="5:18" ht="13.5" customHeight="1" x14ac:dyDescent="0.25">
      <c r="E161" s="55"/>
      <c r="F161" s="55"/>
      <c r="G161" s="55"/>
      <c r="H161" s="55"/>
      <c r="I161" s="55"/>
      <c r="J161" s="55"/>
      <c r="K161" s="55"/>
      <c r="L161" s="55"/>
      <c r="M161" s="55"/>
      <c r="N161" s="55"/>
      <c r="O161" s="55"/>
      <c r="P161" s="56"/>
      <c r="Q161" s="55"/>
      <c r="R161" s="55"/>
    </row>
    <row r="162" spans="5:18" ht="13.5" customHeight="1" x14ac:dyDescent="0.25">
      <c r="E162" s="55"/>
      <c r="F162" s="55"/>
      <c r="G162" s="55"/>
      <c r="H162" s="55"/>
      <c r="I162" s="55"/>
      <c r="J162" s="55"/>
      <c r="K162" s="55"/>
      <c r="L162" s="55"/>
      <c r="M162" s="55"/>
      <c r="N162" s="55"/>
      <c r="O162" s="55"/>
      <c r="P162" s="56"/>
      <c r="Q162" s="55"/>
      <c r="R162" s="55"/>
    </row>
    <row r="163" spans="5:18" ht="13.5" customHeight="1" x14ac:dyDescent="0.25">
      <c r="E163" s="55"/>
      <c r="F163" s="55"/>
      <c r="G163" s="55"/>
      <c r="H163" s="55"/>
      <c r="I163" s="55"/>
      <c r="J163" s="55"/>
      <c r="K163" s="55"/>
      <c r="L163" s="55"/>
      <c r="M163" s="55"/>
      <c r="N163" s="55"/>
      <c r="O163" s="55"/>
      <c r="P163" s="56"/>
      <c r="Q163" s="55"/>
      <c r="R163" s="55"/>
    </row>
    <row r="164" spans="5:18" ht="13.5" customHeight="1" x14ac:dyDescent="0.25">
      <c r="E164" s="55"/>
      <c r="F164" s="55"/>
      <c r="G164" s="55"/>
      <c r="H164" s="55"/>
      <c r="I164" s="55"/>
      <c r="J164" s="55"/>
      <c r="K164" s="55"/>
      <c r="L164" s="55"/>
      <c r="M164" s="55"/>
      <c r="N164" s="55"/>
      <c r="O164" s="55"/>
      <c r="P164" s="56"/>
      <c r="Q164" s="55"/>
      <c r="R164" s="55"/>
    </row>
    <row r="165" spans="5:18" ht="13.5" customHeight="1" x14ac:dyDescent="0.25">
      <c r="E165" s="55"/>
      <c r="F165" s="55"/>
      <c r="G165" s="55"/>
      <c r="H165" s="55"/>
      <c r="I165" s="55"/>
      <c r="J165" s="55"/>
      <c r="K165" s="55"/>
      <c r="L165" s="55"/>
      <c r="M165" s="55"/>
      <c r="N165" s="55"/>
      <c r="O165" s="55"/>
      <c r="P165" s="56"/>
      <c r="Q165" s="55"/>
      <c r="R165" s="55"/>
    </row>
    <row r="166" spans="5:18" ht="13.5" customHeight="1" x14ac:dyDescent="0.25">
      <c r="E166" s="55"/>
      <c r="F166" s="55"/>
      <c r="G166" s="55"/>
      <c r="H166" s="55"/>
      <c r="I166" s="55"/>
      <c r="J166" s="55"/>
      <c r="K166" s="55"/>
      <c r="L166" s="55"/>
      <c r="M166" s="55"/>
      <c r="N166" s="55"/>
      <c r="O166" s="55"/>
      <c r="P166" s="56"/>
      <c r="Q166" s="55"/>
      <c r="R166" s="55"/>
    </row>
    <row r="167" spans="5:18" ht="13.5" customHeight="1" x14ac:dyDescent="0.25">
      <c r="E167" s="55"/>
      <c r="F167" s="55"/>
      <c r="G167" s="55"/>
      <c r="H167" s="55"/>
      <c r="I167" s="55"/>
      <c r="J167" s="55"/>
      <c r="K167" s="55"/>
      <c r="L167" s="55"/>
      <c r="M167" s="55"/>
      <c r="N167" s="55"/>
      <c r="O167" s="55"/>
      <c r="P167" s="56"/>
      <c r="Q167" s="55"/>
      <c r="R167" s="55"/>
    </row>
    <row r="168" spans="5:18" ht="13.5" customHeight="1" x14ac:dyDescent="0.25">
      <c r="E168" s="55"/>
      <c r="F168" s="55"/>
      <c r="G168" s="55"/>
      <c r="H168" s="55"/>
      <c r="I168" s="55"/>
      <c r="J168" s="55"/>
      <c r="K168" s="55"/>
      <c r="L168" s="55"/>
      <c r="M168" s="55"/>
      <c r="N168" s="55"/>
      <c r="O168" s="55"/>
      <c r="P168" s="56"/>
      <c r="Q168" s="55"/>
      <c r="R168" s="55"/>
    </row>
    <row r="169" spans="5:18" ht="13.5" customHeight="1" x14ac:dyDescent="0.25">
      <c r="E169" s="55"/>
      <c r="F169" s="55"/>
      <c r="G169" s="55"/>
      <c r="H169" s="55"/>
      <c r="I169" s="55"/>
      <c r="J169" s="55"/>
      <c r="K169" s="55"/>
      <c r="L169" s="55"/>
      <c r="M169" s="55"/>
      <c r="N169" s="55"/>
      <c r="O169" s="55"/>
      <c r="P169" s="56"/>
      <c r="Q169" s="55"/>
      <c r="R169" s="55"/>
    </row>
    <row r="170" spans="5:18" ht="13.5" customHeight="1" x14ac:dyDescent="0.25">
      <c r="E170" s="55"/>
      <c r="F170" s="55"/>
      <c r="G170" s="55"/>
      <c r="H170" s="55"/>
      <c r="I170" s="55"/>
      <c r="J170" s="55"/>
      <c r="K170" s="55"/>
      <c r="L170" s="55"/>
      <c r="M170" s="55"/>
      <c r="N170" s="55"/>
      <c r="O170" s="55"/>
      <c r="P170" s="56"/>
      <c r="Q170" s="55"/>
      <c r="R170" s="55"/>
    </row>
    <row r="171" spans="5:18" ht="13.5" customHeight="1" x14ac:dyDescent="0.25">
      <c r="E171" s="55"/>
      <c r="F171" s="55"/>
      <c r="G171" s="55"/>
      <c r="H171" s="55"/>
      <c r="I171" s="55"/>
      <c r="J171" s="55"/>
      <c r="K171" s="55"/>
      <c r="L171" s="55"/>
      <c r="M171" s="55"/>
      <c r="N171" s="55"/>
      <c r="O171" s="55"/>
      <c r="P171" s="56"/>
      <c r="Q171" s="55"/>
      <c r="R171" s="55"/>
    </row>
    <row r="172" spans="5:18" ht="13.5" customHeight="1" x14ac:dyDescent="0.25">
      <c r="E172" s="55"/>
      <c r="F172" s="55"/>
      <c r="G172" s="55"/>
      <c r="H172" s="55"/>
      <c r="I172" s="55"/>
      <c r="J172" s="55"/>
      <c r="K172" s="55"/>
      <c r="L172" s="55"/>
      <c r="M172" s="55"/>
      <c r="N172" s="55"/>
      <c r="O172" s="55"/>
      <c r="P172" s="56"/>
      <c r="Q172" s="55"/>
      <c r="R172" s="55"/>
    </row>
    <row r="173" spans="5:18" ht="13.5" customHeight="1" x14ac:dyDescent="0.25">
      <c r="E173" s="55"/>
      <c r="F173" s="55"/>
      <c r="G173" s="55"/>
      <c r="H173" s="55"/>
      <c r="I173" s="55"/>
      <c r="J173" s="55"/>
      <c r="K173" s="55"/>
      <c r="L173" s="55"/>
      <c r="M173" s="55"/>
      <c r="N173" s="55"/>
      <c r="O173" s="55"/>
      <c r="P173" s="56"/>
      <c r="Q173" s="55"/>
      <c r="R173" s="55"/>
    </row>
    <row r="174" spans="5:18" ht="13.5" customHeight="1" x14ac:dyDescent="0.25">
      <c r="E174" s="55"/>
      <c r="F174" s="55"/>
      <c r="G174" s="55"/>
      <c r="H174" s="55"/>
      <c r="I174" s="55"/>
      <c r="J174" s="55"/>
      <c r="K174" s="55"/>
      <c r="L174" s="55"/>
      <c r="M174" s="55"/>
      <c r="N174" s="55"/>
      <c r="O174" s="55"/>
      <c r="P174" s="56"/>
      <c r="Q174" s="55"/>
      <c r="R174" s="55"/>
    </row>
    <row r="175" spans="5:18" ht="13.5" customHeight="1" x14ac:dyDescent="0.25">
      <c r="E175" s="55"/>
      <c r="F175" s="55"/>
      <c r="G175" s="55"/>
      <c r="H175" s="55"/>
      <c r="I175" s="55"/>
      <c r="J175" s="55"/>
      <c r="K175" s="55"/>
      <c r="L175" s="55"/>
      <c r="M175" s="55"/>
      <c r="N175" s="55"/>
      <c r="O175" s="55"/>
      <c r="P175" s="56"/>
      <c r="Q175" s="55"/>
      <c r="R175" s="55"/>
    </row>
    <row r="176" spans="5:18" ht="13.5" customHeight="1" x14ac:dyDescent="0.25">
      <c r="E176" s="55"/>
      <c r="F176" s="55"/>
      <c r="G176" s="55"/>
      <c r="H176" s="55"/>
      <c r="I176" s="55"/>
      <c r="J176" s="55"/>
      <c r="K176" s="55"/>
      <c r="L176" s="55"/>
      <c r="M176" s="55"/>
      <c r="N176" s="55"/>
      <c r="O176" s="55"/>
      <c r="P176" s="56"/>
      <c r="Q176" s="55"/>
      <c r="R176" s="55"/>
    </row>
    <row r="177" spans="5:18" ht="13.5" customHeight="1" x14ac:dyDescent="0.25">
      <c r="E177" s="55"/>
      <c r="F177" s="55"/>
      <c r="G177" s="55"/>
      <c r="H177" s="55"/>
      <c r="I177" s="55"/>
      <c r="J177" s="55"/>
      <c r="K177" s="55"/>
      <c r="L177" s="55"/>
      <c r="M177" s="55"/>
      <c r="N177" s="55"/>
      <c r="O177" s="55"/>
      <c r="P177" s="56"/>
      <c r="Q177" s="55"/>
      <c r="R177" s="55"/>
    </row>
    <row r="178" spans="5:18" ht="13.5" customHeight="1" x14ac:dyDescent="0.25">
      <c r="E178" s="55"/>
      <c r="F178" s="55"/>
      <c r="G178" s="55"/>
      <c r="H178" s="55"/>
      <c r="I178" s="55"/>
      <c r="J178" s="55"/>
      <c r="K178" s="55"/>
      <c r="L178" s="55"/>
      <c r="M178" s="55"/>
      <c r="N178" s="55"/>
      <c r="O178" s="55"/>
      <c r="P178" s="56"/>
      <c r="Q178" s="55"/>
      <c r="R178" s="55"/>
    </row>
    <row r="179" spans="5:18" ht="13.5" customHeight="1" x14ac:dyDescent="0.25">
      <c r="E179" s="55"/>
      <c r="F179" s="55"/>
      <c r="G179" s="55"/>
      <c r="H179" s="55"/>
      <c r="I179" s="55"/>
      <c r="J179" s="55"/>
      <c r="K179" s="55"/>
      <c r="L179" s="55"/>
      <c r="M179" s="55"/>
      <c r="N179" s="55"/>
      <c r="O179" s="55"/>
      <c r="P179" s="56"/>
      <c r="Q179" s="55"/>
      <c r="R179" s="55"/>
    </row>
    <row r="180" spans="5:18" ht="13.5" customHeight="1" x14ac:dyDescent="0.25">
      <c r="E180" s="55"/>
      <c r="F180" s="55"/>
      <c r="G180" s="55"/>
      <c r="H180" s="55"/>
      <c r="I180" s="55"/>
      <c r="J180" s="55"/>
      <c r="K180" s="55"/>
      <c r="L180" s="55"/>
      <c r="M180" s="55"/>
      <c r="N180" s="55"/>
      <c r="O180" s="55"/>
      <c r="P180" s="56"/>
      <c r="Q180" s="55"/>
      <c r="R180" s="55"/>
    </row>
    <row r="181" spans="5:18" ht="13.5" customHeight="1" x14ac:dyDescent="0.25">
      <c r="E181" s="55"/>
      <c r="F181" s="55"/>
      <c r="G181" s="55"/>
      <c r="H181" s="55"/>
      <c r="I181" s="55"/>
      <c r="J181" s="55"/>
      <c r="K181" s="55"/>
      <c r="L181" s="55"/>
      <c r="M181" s="55"/>
      <c r="N181" s="55"/>
      <c r="O181" s="55"/>
      <c r="P181" s="56"/>
      <c r="Q181" s="55"/>
      <c r="R181" s="55"/>
    </row>
    <row r="182" spans="5:18" ht="13.5" customHeight="1" x14ac:dyDescent="0.25">
      <c r="E182" s="55"/>
      <c r="F182" s="55"/>
      <c r="G182" s="55"/>
      <c r="H182" s="55"/>
      <c r="I182" s="55"/>
      <c r="J182" s="55"/>
      <c r="K182" s="55"/>
      <c r="L182" s="55"/>
      <c r="M182" s="55"/>
      <c r="N182" s="55"/>
      <c r="O182" s="55"/>
      <c r="P182" s="56"/>
      <c r="Q182" s="55"/>
      <c r="R182" s="55"/>
    </row>
    <row r="183" spans="5:18" ht="13.5" customHeight="1" x14ac:dyDescent="0.25">
      <c r="E183" s="55"/>
      <c r="F183" s="55"/>
      <c r="G183" s="55"/>
      <c r="H183" s="55"/>
      <c r="I183" s="55"/>
      <c r="J183" s="55"/>
      <c r="K183" s="55"/>
      <c r="L183" s="55"/>
      <c r="M183" s="55"/>
      <c r="N183" s="55"/>
      <c r="O183" s="55"/>
      <c r="P183" s="56"/>
      <c r="Q183" s="55"/>
      <c r="R183" s="55"/>
    </row>
    <row r="184" spans="5:18" ht="13.5" customHeight="1" x14ac:dyDescent="0.25">
      <c r="E184" s="55"/>
      <c r="F184" s="55"/>
      <c r="G184" s="55"/>
      <c r="H184" s="55"/>
      <c r="I184" s="55"/>
      <c r="J184" s="55"/>
      <c r="K184" s="55"/>
      <c r="L184" s="55"/>
      <c r="M184" s="55"/>
      <c r="N184" s="55"/>
      <c r="O184" s="55"/>
      <c r="P184" s="56"/>
      <c r="Q184" s="55"/>
      <c r="R184" s="55"/>
    </row>
    <row r="185" spans="5:18" ht="13.5" customHeight="1" x14ac:dyDescent="0.25">
      <c r="E185" s="55"/>
      <c r="F185" s="55"/>
      <c r="G185" s="55"/>
      <c r="H185" s="55"/>
      <c r="I185" s="55"/>
      <c r="J185" s="55"/>
      <c r="K185" s="55"/>
      <c r="L185" s="55"/>
      <c r="M185" s="55"/>
      <c r="N185" s="55"/>
      <c r="O185" s="55"/>
      <c r="P185" s="56"/>
      <c r="Q185" s="55"/>
      <c r="R185" s="55"/>
    </row>
    <row r="186" spans="5:18" ht="13.5" customHeight="1" x14ac:dyDescent="0.25">
      <c r="E186" s="55"/>
      <c r="F186" s="55"/>
      <c r="G186" s="55"/>
      <c r="H186" s="55"/>
      <c r="I186" s="55"/>
      <c r="J186" s="55"/>
      <c r="K186" s="55"/>
      <c r="L186" s="55"/>
      <c r="M186" s="55"/>
      <c r="N186" s="55"/>
      <c r="O186" s="55"/>
      <c r="P186" s="56"/>
      <c r="Q186" s="55"/>
      <c r="R186" s="55"/>
    </row>
    <row r="187" spans="5:18" ht="13.5" customHeight="1" x14ac:dyDescent="0.25">
      <c r="E187" s="55"/>
      <c r="F187" s="55"/>
      <c r="G187" s="55"/>
      <c r="H187" s="55"/>
      <c r="I187" s="55"/>
      <c r="J187" s="55"/>
      <c r="K187" s="55"/>
      <c r="L187" s="55"/>
      <c r="M187" s="55"/>
      <c r="N187" s="55"/>
      <c r="O187" s="55"/>
      <c r="P187" s="56"/>
      <c r="Q187" s="55"/>
      <c r="R187" s="55"/>
    </row>
    <row r="188" spans="5:18" ht="13.5" customHeight="1" x14ac:dyDescent="0.25">
      <c r="E188" s="55"/>
      <c r="F188" s="55"/>
      <c r="G188" s="55"/>
      <c r="H188" s="55"/>
      <c r="I188" s="55"/>
      <c r="J188" s="55"/>
      <c r="K188" s="55"/>
      <c r="L188" s="55"/>
      <c r="M188" s="55"/>
      <c r="N188" s="55"/>
      <c r="O188" s="55"/>
      <c r="P188" s="56"/>
      <c r="Q188" s="55"/>
      <c r="R188" s="55"/>
    </row>
    <row r="189" spans="5:18" ht="13.5" customHeight="1" x14ac:dyDescent="0.25">
      <c r="E189" s="55"/>
      <c r="F189" s="55"/>
      <c r="G189" s="55"/>
      <c r="H189" s="55"/>
      <c r="I189" s="55"/>
      <c r="J189" s="55"/>
      <c r="K189" s="55"/>
      <c r="L189" s="55"/>
      <c r="M189" s="55"/>
      <c r="N189" s="55"/>
      <c r="O189" s="55"/>
      <c r="P189" s="56"/>
      <c r="Q189" s="55"/>
      <c r="R189" s="55"/>
    </row>
    <row r="190" spans="5:18" ht="13.5" customHeight="1" x14ac:dyDescent="0.25">
      <c r="E190" s="55"/>
      <c r="F190" s="55"/>
      <c r="G190" s="55"/>
      <c r="H190" s="55"/>
      <c r="I190" s="55"/>
      <c r="J190" s="55"/>
      <c r="K190" s="55"/>
      <c r="L190" s="55"/>
      <c r="M190" s="55"/>
      <c r="N190" s="55"/>
      <c r="O190" s="55"/>
      <c r="P190" s="56"/>
      <c r="Q190" s="55"/>
      <c r="R190" s="55"/>
    </row>
    <row r="191" spans="5:18" ht="13.5" customHeight="1" x14ac:dyDescent="0.25">
      <c r="E191" s="55"/>
      <c r="F191" s="55"/>
      <c r="G191" s="55"/>
      <c r="H191" s="55"/>
      <c r="I191" s="55"/>
      <c r="J191" s="55"/>
      <c r="K191" s="55"/>
      <c r="L191" s="55"/>
      <c r="M191" s="55"/>
      <c r="N191" s="55"/>
      <c r="O191" s="55"/>
      <c r="P191" s="56"/>
      <c r="Q191" s="55"/>
      <c r="R191" s="55"/>
    </row>
    <row r="192" spans="5:18" ht="13.5" customHeight="1" x14ac:dyDescent="0.25">
      <c r="E192" s="55"/>
      <c r="F192" s="55"/>
      <c r="G192" s="55"/>
      <c r="H192" s="55"/>
      <c r="I192" s="55"/>
      <c r="J192" s="55"/>
      <c r="K192" s="55"/>
      <c r="L192" s="55"/>
      <c r="M192" s="55"/>
      <c r="N192" s="55"/>
      <c r="O192" s="55"/>
      <c r="P192" s="56"/>
      <c r="Q192" s="55"/>
      <c r="R192" s="55"/>
    </row>
    <row r="193" spans="5:18" ht="13.5" customHeight="1" x14ac:dyDescent="0.25">
      <c r="E193" s="55"/>
      <c r="F193" s="55"/>
      <c r="G193" s="55"/>
      <c r="H193" s="55"/>
      <c r="I193" s="55"/>
      <c r="J193" s="55"/>
      <c r="K193" s="55"/>
      <c r="L193" s="55"/>
      <c r="M193" s="55"/>
      <c r="N193" s="55"/>
      <c r="O193" s="55"/>
      <c r="P193" s="56"/>
      <c r="Q193" s="55"/>
      <c r="R193" s="55"/>
    </row>
    <row r="194" spans="5:18" ht="13.5" customHeight="1" x14ac:dyDescent="0.25">
      <c r="E194" s="55"/>
      <c r="F194" s="55"/>
      <c r="G194" s="55"/>
      <c r="H194" s="55"/>
      <c r="I194" s="55"/>
      <c r="J194" s="55"/>
      <c r="K194" s="55"/>
      <c r="L194" s="55"/>
      <c r="M194" s="55"/>
      <c r="N194" s="55"/>
      <c r="O194" s="55"/>
      <c r="P194" s="56"/>
      <c r="Q194" s="55"/>
      <c r="R194" s="55"/>
    </row>
    <row r="195" spans="5:18" ht="13.5" customHeight="1" x14ac:dyDescent="0.25">
      <c r="E195" s="55"/>
      <c r="F195" s="55"/>
      <c r="G195" s="55"/>
      <c r="H195" s="55"/>
      <c r="I195" s="55"/>
      <c r="J195" s="55"/>
      <c r="K195" s="55"/>
      <c r="L195" s="55"/>
      <c r="M195" s="55"/>
      <c r="N195" s="55"/>
      <c r="O195" s="55"/>
      <c r="P195" s="56"/>
      <c r="Q195" s="55"/>
      <c r="R195" s="55"/>
    </row>
    <row r="196" spans="5:18" ht="13.5" customHeight="1" x14ac:dyDescent="0.25">
      <c r="E196" s="55"/>
      <c r="F196" s="55"/>
      <c r="G196" s="55"/>
      <c r="H196" s="55"/>
      <c r="I196" s="55"/>
      <c r="J196" s="55"/>
      <c r="K196" s="55"/>
      <c r="L196" s="55"/>
      <c r="M196" s="55"/>
      <c r="N196" s="55"/>
      <c r="O196" s="55"/>
      <c r="P196" s="56"/>
      <c r="Q196" s="55"/>
      <c r="R196" s="55"/>
    </row>
    <row r="197" spans="5:18" ht="13.5" customHeight="1" x14ac:dyDescent="0.25">
      <c r="E197" s="55"/>
      <c r="F197" s="55"/>
      <c r="G197" s="55"/>
      <c r="H197" s="55"/>
      <c r="I197" s="55"/>
      <c r="J197" s="55"/>
      <c r="K197" s="55"/>
      <c r="L197" s="55"/>
      <c r="M197" s="55"/>
      <c r="N197" s="55"/>
      <c r="O197" s="55"/>
      <c r="P197" s="56"/>
      <c r="Q197" s="55"/>
      <c r="R197" s="55"/>
    </row>
    <row r="198" spans="5:18" ht="13.5" customHeight="1" x14ac:dyDescent="0.25">
      <c r="E198" s="55"/>
      <c r="F198" s="55"/>
      <c r="G198" s="55"/>
      <c r="H198" s="55"/>
      <c r="I198" s="55"/>
      <c r="J198" s="55"/>
      <c r="K198" s="55"/>
      <c r="L198" s="55"/>
      <c r="M198" s="55"/>
      <c r="N198" s="55"/>
      <c r="O198" s="55"/>
      <c r="P198" s="56"/>
      <c r="Q198" s="55"/>
      <c r="R198" s="55"/>
    </row>
    <row r="199" spans="5:18" ht="13.5" customHeight="1" x14ac:dyDescent="0.25">
      <c r="E199" s="55"/>
      <c r="F199" s="55"/>
      <c r="G199" s="55"/>
      <c r="H199" s="55"/>
      <c r="I199" s="55"/>
      <c r="J199" s="55"/>
      <c r="K199" s="55"/>
      <c r="L199" s="55"/>
      <c r="M199" s="55"/>
      <c r="N199" s="55"/>
      <c r="O199" s="55"/>
      <c r="P199" s="56"/>
      <c r="Q199" s="55"/>
      <c r="R199" s="55"/>
    </row>
    <row r="200" spans="5:18" ht="13.5" customHeight="1" x14ac:dyDescent="0.25">
      <c r="E200" s="55"/>
      <c r="F200" s="55"/>
      <c r="G200" s="55"/>
      <c r="H200" s="55"/>
      <c r="I200" s="55"/>
      <c r="J200" s="55"/>
      <c r="K200" s="55"/>
      <c r="L200" s="55"/>
      <c r="M200" s="55"/>
      <c r="N200" s="55"/>
      <c r="O200" s="55"/>
      <c r="P200" s="56"/>
      <c r="Q200" s="55"/>
      <c r="R200" s="55"/>
    </row>
    <row r="201" spans="5:18" ht="13.5" customHeight="1" x14ac:dyDescent="0.25">
      <c r="E201" s="55"/>
      <c r="F201" s="55"/>
      <c r="G201" s="55"/>
      <c r="H201" s="55"/>
      <c r="I201" s="55"/>
      <c r="J201" s="55"/>
      <c r="K201" s="55"/>
      <c r="L201" s="55"/>
      <c r="M201" s="55"/>
      <c r="N201" s="55"/>
      <c r="O201" s="55"/>
      <c r="P201" s="56"/>
      <c r="Q201" s="55"/>
      <c r="R201" s="55"/>
    </row>
    <row r="202" spans="5:18" ht="13.5" customHeight="1" x14ac:dyDescent="0.25">
      <c r="E202" s="55"/>
      <c r="F202" s="55"/>
      <c r="G202" s="55"/>
      <c r="H202" s="55"/>
      <c r="I202" s="55"/>
      <c r="J202" s="55"/>
      <c r="K202" s="55"/>
      <c r="L202" s="55"/>
      <c r="M202" s="55"/>
      <c r="N202" s="55"/>
      <c r="O202" s="55"/>
      <c r="P202" s="56"/>
      <c r="Q202" s="55"/>
      <c r="R202" s="55"/>
    </row>
    <row r="203" spans="5:18" ht="13.5" customHeight="1" x14ac:dyDescent="0.25">
      <c r="E203" s="55"/>
      <c r="F203" s="55"/>
      <c r="G203" s="55"/>
      <c r="H203" s="55"/>
      <c r="I203" s="55"/>
      <c r="J203" s="55"/>
      <c r="K203" s="55"/>
      <c r="L203" s="55"/>
      <c r="M203" s="55"/>
      <c r="N203" s="55"/>
      <c r="O203" s="55"/>
      <c r="P203" s="56"/>
      <c r="Q203" s="55"/>
      <c r="R203" s="55"/>
    </row>
    <row r="204" spans="5:18" ht="13.5" customHeight="1" x14ac:dyDescent="0.25">
      <c r="E204" s="55"/>
      <c r="F204" s="55"/>
      <c r="G204" s="55"/>
      <c r="H204" s="55"/>
      <c r="I204" s="55"/>
      <c r="J204" s="55"/>
      <c r="K204" s="55"/>
      <c r="L204" s="55"/>
      <c r="M204" s="55"/>
      <c r="N204" s="55"/>
      <c r="O204" s="55"/>
      <c r="P204" s="56"/>
      <c r="Q204" s="55"/>
      <c r="R204" s="55"/>
    </row>
    <row r="205" spans="5:18" ht="13.5" customHeight="1" x14ac:dyDescent="0.25">
      <c r="E205" s="55"/>
      <c r="F205" s="55"/>
      <c r="G205" s="55"/>
      <c r="H205" s="55"/>
      <c r="I205" s="55"/>
      <c r="J205" s="55"/>
      <c r="K205" s="55"/>
      <c r="L205" s="55"/>
      <c r="M205" s="55"/>
      <c r="N205" s="55"/>
      <c r="O205" s="55"/>
      <c r="P205" s="56"/>
      <c r="Q205" s="55"/>
      <c r="R205" s="55"/>
    </row>
    <row r="206" spans="5:18" ht="13.5" customHeight="1" x14ac:dyDescent="0.25">
      <c r="E206" s="55"/>
      <c r="F206" s="55"/>
      <c r="G206" s="55"/>
      <c r="H206" s="55"/>
      <c r="I206" s="55"/>
      <c r="J206" s="55"/>
      <c r="K206" s="55"/>
      <c r="L206" s="55"/>
      <c r="M206" s="55"/>
      <c r="N206" s="55"/>
      <c r="O206" s="55"/>
      <c r="P206" s="56"/>
      <c r="Q206" s="55"/>
      <c r="R206" s="55"/>
    </row>
    <row r="207" spans="5:18" ht="13.5" customHeight="1" x14ac:dyDescent="0.25">
      <c r="E207" s="55"/>
      <c r="F207" s="55"/>
      <c r="G207" s="55"/>
      <c r="H207" s="55"/>
      <c r="I207" s="55"/>
      <c r="J207" s="55"/>
      <c r="K207" s="55"/>
      <c r="L207" s="55"/>
      <c r="M207" s="55"/>
      <c r="N207" s="55"/>
      <c r="O207" s="55"/>
      <c r="P207" s="56"/>
      <c r="Q207" s="55"/>
      <c r="R207" s="55"/>
    </row>
    <row r="208" spans="5:18" ht="13.5" customHeight="1" x14ac:dyDescent="0.25">
      <c r="E208" s="55"/>
      <c r="F208" s="55"/>
      <c r="G208" s="55"/>
      <c r="H208" s="55"/>
      <c r="I208" s="55"/>
      <c r="J208" s="55"/>
      <c r="K208" s="55"/>
      <c r="L208" s="55"/>
      <c r="M208" s="55"/>
      <c r="N208" s="55"/>
      <c r="O208" s="55"/>
      <c r="P208" s="56"/>
      <c r="Q208" s="55"/>
      <c r="R208" s="55"/>
    </row>
    <row r="209" spans="5:18" ht="13.5" customHeight="1" x14ac:dyDescent="0.25">
      <c r="E209" s="55"/>
      <c r="F209" s="55"/>
      <c r="G209" s="55"/>
      <c r="H209" s="55"/>
      <c r="I209" s="55"/>
      <c r="J209" s="55"/>
      <c r="K209" s="55"/>
      <c r="L209" s="55"/>
      <c r="M209" s="55"/>
      <c r="N209" s="55"/>
      <c r="O209" s="55"/>
      <c r="P209" s="56"/>
      <c r="Q209" s="55"/>
      <c r="R209" s="55"/>
    </row>
    <row r="210" spans="5:18" ht="13.5" customHeight="1" x14ac:dyDescent="0.25">
      <c r="E210" s="55"/>
      <c r="F210" s="55"/>
      <c r="G210" s="55"/>
      <c r="H210" s="55"/>
      <c r="I210" s="55"/>
      <c r="J210" s="55"/>
      <c r="K210" s="55"/>
      <c r="L210" s="55"/>
      <c r="M210" s="55"/>
      <c r="N210" s="55"/>
      <c r="O210" s="55"/>
      <c r="P210" s="56"/>
      <c r="Q210" s="55"/>
      <c r="R210" s="55"/>
    </row>
    <row r="211" spans="5:18" ht="13.5" customHeight="1" x14ac:dyDescent="0.25">
      <c r="E211" s="55"/>
      <c r="F211" s="55"/>
      <c r="G211" s="55"/>
      <c r="H211" s="55"/>
      <c r="I211" s="55"/>
      <c r="J211" s="55"/>
      <c r="K211" s="55"/>
      <c r="L211" s="55"/>
      <c r="M211" s="55"/>
      <c r="N211" s="55"/>
      <c r="O211" s="55"/>
      <c r="P211" s="56"/>
      <c r="Q211" s="55"/>
      <c r="R211" s="55"/>
    </row>
    <row r="212" spans="5:18" ht="13.5" customHeight="1" x14ac:dyDescent="0.25">
      <c r="E212" s="55"/>
      <c r="F212" s="55"/>
      <c r="G212" s="55"/>
      <c r="H212" s="55"/>
      <c r="I212" s="55"/>
      <c r="J212" s="55"/>
      <c r="K212" s="55"/>
      <c r="L212" s="55"/>
      <c r="M212" s="55"/>
      <c r="N212" s="55"/>
      <c r="O212" s="55"/>
      <c r="P212" s="56"/>
      <c r="Q212" s="55"/>
      <c r="R212" s="55"/>
    </row>
    <row r="213" spans="5:18" ht="13.5" customHeight="1" x14ac:dyDescent="0.25">
      <c r="E213" s="55"/>
      <c r="F213" s="55"/>
      <c r="G213" s="55"/>
      <c r="H213" s="55"/>
      <c r="I213" s="55"/>
      <c r="J213" s="55"/>
      <c r="K213" s="55"/>
      <c r="L213" s="55"/>
      <c r="M213" s="55"/>
      <c r="N213" s="55"/>
      <c r="O213" s="55"/>
      <c r="P213" s="56"/>
      <c r="Q213" s="55"/>
      <c r="R213" s="55"/>
    </row>
    <row r="214" spans="5:18" ht="13.5" customHeight="1" x14ac:dyDescent="0.25">
      <c r="E214" s="55"/>
      <c r="F214" s="55"/>
      <c r="G214" s="55"/>
      <c r="H214" s="55"/>
      <c r="I214" s="55"/>
      <c r="J214" s="55"/>
      <c r="K214" s="55"/>
      <c r="L214" s="55"/>
      <c r="M214" s="55"/>
      <c r="N214" s="55"/>
      <c r="O214" s="55"/>
      <c r="P214" s="56"/>
      <c r="Q214" s="55"/>
      <c r="R214" s="55"/>
    </row>
    <row r="215" spans="5:18" ht="13.5" customHeight="1" x14ac:dyDescent="0.25">
      <c r="E215" s="55"/>
      <c r="F215" s="55"/>
      <c r="G215" s="55"/>
      <c r="H215" s="55"/>
      <c r="I215" s="55"/>
      <c r="J215" s="55"/>
      <c r="K215" s="55"/>
      <c r="L215" s="55"/>
      <c r="M215" s="55"/>
      <c r="N215" s="55"/>
      <c r="O215" s="55"/>
      <c r="P215" s="56"/>
      <c r="Q215" s="55"/>
      <c r="R215" s="55"/>
    </row>
    <row r="216" spans="5:18" ht="13.5" customHeight="1" x14ac:dyDescent="0.25">
      <c r="E216" s="55"/>
      <c r="F216" s="55"/>
      <c r="G216" s="55"/>
      <c r="H216" s="55"/>
      <c r="I216" s="55"/>
      <c r="J216" s="55"/>
      <c r="K216" s="55"/>
      <c r="L216" s="55"/>
      <c r="M216" s="55"/>
      <c r="N216" s="55"/>
      <c r="O216" s="55"/>
      <c r="P216" s="56"/>
      <c r="Q216" s="55"/>
      <c r="R216" s="55"/>
    </row>
    <row r="217" spans="5:18" ht="13.5" customHeight="1" x14ac:dyDescent="0.25">
      <c r="E217" s="55"/>
      <c r="F217" s="55"/>
      <c r="G217" s="55"/>
      <c r="H217" s="55"/>
      <c r="I217" s="55"/>
      <c r="J217" s="55"/>
      <c r="K217" s="55"/>
      <c r="L217" s="55"/>
      <c r="M217" s="55"/>
      <c r="N217" s="55"/>
      <c r="O217" s="55"/>
      <c r="P217" s="56"/>
      <c r="Q217" s="55"/>
      <c r="R217" s="55"/>
    </row>
    <row r="218" spans="5:18" ht="13.5" customHeight="1" x14ac:dyDescent="0.25">
      <c r="E218" s="55"/>
      <c r="F218" s="55"/>
      <c r="G218" s="55"/>
      <c r="H218" s="55"/>
      <c r="I218" s="55"/>
      <c r="J218" s="55"/>
      <c r="K218" s="55"/>
      <c r="L218" s="55"/>
      <c r="M218" s="55"/>
      <c r="N218" s="55"/>
      <c r="O218" s="55"/>
      <c r="P218" s="56"/>
      <c r="Q218" s="55"/>
      <c r="R218" s="55"/>
    </row>
    <row r="219" spans="5:18" ht="13.5" customHeight="1" x14ac:dyDescent="0.25">
      <c r="E219" s="55"/>
      <c r="F219" s="55"/>
      <c r="G219" s="55"/>
      <c r="H219" s="55"/>
      <c r="I219" s="55"/>
      <c r="J219" s="55"/>
      <c r="K219" s="55"/>
      <c r="L219" s="55"/>
      <c r="M219" s="55"/>
      <c r="N219" s="55"/>
      <c r="O219" s="55"/>
      <c r="P219" s="56"/>
      <c r="Q219" s="55"/>
      <c r="R219" s="55"/>
    </row>
    <row r="220" spans="5:18" ht="13.5" customHeight="1" x14ac:dyDescent="0.25">
      <c r="E220" s="55"/>
      <c r="F220" s="55"/>
      <c r="G220" s="55"/>
      <c r="H220" s="55"/>
      <c r="I220" s="55"/>
      <c r="J220" s="55"/>
      <c r="K220" s="55"/>
      <c r="L220" s="55"/>
      <c r="M220" s="55"/>
      <c r="N220" s="55"/>
      <c r="O220" s="55"/>
      <c r="P220" s="56"/>
      <c r="Q220" s="55"/>
      <c r="R220" s="55"/>
    </row>
    <row r="221" spans="5:18" ht="13.5" customHeight="1" x14ac:dyDescent="0.25">
      <c r="E221" s="55"/>
      <c r="F221" s="55"/>
      <c r="G221" s="55"/>
      <c r="H221" s="55"/>
      <c r="I221" s="55"/>
      <c r="J221" s="55"/>
      <c r="K221" s="55"/>
      <c r="L221" s="55"/>
      <c r="M221" s="55"/>
      <c r="N221" s="55"/>
      <c r="O221" s="55"/>
      <c r="P221" s="56"/>
      <c r="Q221" s="55"/>
      <c r="R221" s="55"/>
    </row>
    <row r="222" spans="5:18" ht="13.5" customHeight="1" x14ac:dyDescent="0.25">
      <c r="E222" s="55"/>
      <c r="F222" s="55"/>
      <c r="G222" s="55"/>
      <c r="H222" s="55"/>
      <c r="I222" s="55"/>
      <c r="J222" s="55"/>
      <c r="K222" s="55"/>
      <c r="L222" s="55"/>
      <c r="M222" s="55"/>
      <c r="N222" s="55"/>
      <c r="O222" s="55"/>
      <c r="P222" s="56"/>
      <c r="Q222" s="55"/>
      <c r="R222" s="55"/>
    </row>
    <row r="223" spans="5:18" ht="13.5" customHeight="1" x14ac:dyDescent="0.25">
      <c r="E223" s="55"/>
      <c r="F223" s="55"/>
      <c r="G223" s="55"/>
      <c r="H223" s="55"/>
      <c r="I223" s="55"/>
      <c r="J223" s="55"/>
      <c r="K223" s="55"/>
      <c r="L223" s="55"/>
      <c r="M223" s="55"/>
      <c r="N223" s="55"/>
      <c r="O223" s="55"/>
      <c r="P223" s="56"/>
      <c r="Q223" s="55"/>
      <c r="R223" s="55"/>
    </row>
    <row r="224" spans="5:18" ht="13.5" customHeight="1" x14ac:dyDescent="0.25">
      <c r="E224" s="55"/>
      <c r="F224" s="55"/>
      <c r="G224" s="55"/>
      <c r="H224" s="55"/>
      <c r="I224" s="55"/>
      <c r="J224" s="55"/>
      <c r="K224" s="55"/>
      <c r="L224" s="55"/>
      <c r="M224" s="55"/>
      <c r="N224" s="55"/>
      <c r="O224" s="55"/>
      <c r="P224" s="56"/>
      <c r="Q224" s="55"/>
      <c r="R224" s="55"/>
    </row>
    <row r="225" spans="5:18" ht="13.5" customHeight="1" x14ac:dyDescent="0.25">
      <c r="E225" s="55"/>
      <c r="F225" s="55"/>
      <c r="G225" s="55"/>
      <c r="H225" s="55"/>
      <c r="I225" s="55"/>
      <c r="J225" s="55"/>
      <c r="K225" s="55"/>
      <c r="L225" s="55"/>
      <c r="M225" s="55"/>
      <c r="N225" s="55"/>
      <c r="O225" s="55"/>
      <c r="P225" s="56"/>
      <c r="Q225" s="55"/>
      <c r="R225" s="55"/>
    </row>
    <row r="226" spans="5:18" ht="13.5" customHeight="1" x14ac:dyDescent="0.25">
      <c r="E226" s="55"/>
      <c r="F226" s="55"/>
      <c r="G226" s="55"/>
      <c r="H226" s="55"/>
      <c r="I226" s="55"/>
      <c r="J226" s="55"/>
      <c r="K226" s="55"/>
      <c r="L226" s="55"/>
      <c r="M226" s="55"/>
      <c r="N226" s="55"/>
      <c r="O226" s="55"/>
      <c r="P226" s="56"/>
      <c r="Q226" s="55"/>
      <c r="R226" s="55"/>
    </row>
    <row r="227" spans="5:18" ht="13.5" customHeight="1" x14ac:dyDescent="0.25">
      <c r="E227" s="55"/>
      <c r="F227" s="55"/>
      <c r="G227" s="55"/>
      <c r="H227" s="55"/>
      <c r="I227" s="55"/>
      <c r="J227" s="55"/>
      <c r="K227" s="55"/>
      <c r="L227" s="55"/>
      <c r="M227" s="55"/>
      <c r="N227" s="55"/>
      <c r="O227" s="55"/>
      <c r="P227" s="56"/>
      <c r="Q227" s="55"/>
      <c r="R227" s="55"/>
    </row>
    <row r="228" spans="5:18" ht="13.5" customHeight="1" x14ac:dyDescent="0.25">
      <c r="E228" s="55"/>
      <c r="F228" s="55"/>
      <c r="G228" s="55"/>
      <c r="H228" s="55"/>
      <c r="I228" s="55"/>
      <c r="J228" s="55"/>
      <c r="K228" s="55"/>
      <c r="L228" s="55"/>
      <c r="M228" s="55"/>
      <c r="N228" s="55"/>
      <c r="O228" s="55"/>
      <c r="P228" s="56"/>
      <c r="Q228" s="55"/>
      <c r="R228" s="55"/>
    </row>
    <row r="229" spans="5:18" ht="13.5" customHeight="1" x14ac:dyDescent="0.25">
      <c r="E229" s="55"/>
      <c r="F229" s="55"/>
      <c r="G229" s="55"/>
      <c r="H229" s="55"/>
      <c r="I229" s="55"/>
      <c r="J229" s="55"/>
      <c r="K229" s="55"/>
      <c r="L229" s="55"/>
      <c r="M229" s="55"/>
      <c r="N229" s="55"/>
      <c r="O229" s="55"/>
      <c r="P229" s="56"/>
      <c r="Q229" s="55"/>
      <c r="R229" s="55"/>
    </row>
    <row r="230" spans="5:18" ht="13.5" customHeight="1" x14ac:dyDescent="0.25">
      <c r="E230" s="55"/>
      <c r="F230" s="55"/>
      <c r="G230" s="55"/>
      <c r="H230" s="55"/>
      <c r="I230" s="55"/>
      <c r="J230" s="55"/>
      <c r="K230" s="55"/>
      <c r="L230" s="55"/>
      <c r="M230" s="55"/>
      <c r="N230" s="55"/>
      <c r="O230" s="55"/>
      <c r="P230" s="56"/>
      <c r="Q230" s="55"/>
      <c r="R230" s="55"/>
    </row>
    <row r="231" spans="5:18" ht="13.5" customHeight="1" x14ac:dyDescent="0.25">
      <c r="E231" s="55"/>
      <c r="F231" s="55"/>
      <c r="G231" s="55"/>
      <c r="H231" s="55"/>
      <c r="I231" s="55"/>
      <c r="J231" s="55"/>
      <c r="K231" s="55"/>
      <c r="L231" s="55"/>
      <c r="M231" s="55"/>
      <c r="N231" s="55"/>
      <c r="O231" s="55"/>
      <c r="P231" s="56"/>
      <c r="Q231" s="55"/>
      <c r="R231" s="55"/>
    </row>
    <row r="232" spans="5:18" ht="13.5" customHeight="1" x14ac:dyDescent="0.25">
      <c r="E232" s="55"/>
      <c r="F232" s="55"/>
      <c r="G232" s="55"/>
      <c r="H232" s="55"/>
      <c r="I232" s="55"/>
      <c r="J232" s="55"/>
      <c r="K232" s="55"/>
      <c r="L232" s="55"/>
      <c r="M232" s="55"/>
      <c r="N232" s="55"/>
      <c r="O232" s="55"/>
      <c r="P232" s="56"/>
      <c r="Q232" s="55"/>
      <c r="R232" s="55"/>
    </row>
    <row r="233" spans="5:18" ht="13.5" customHeight="1" x14ac:dyDescent="0.25">
      <c r="E233" s="55"/>
      <c r="F233" s="55"/>
      <c r="G233" s="55"/>
      <c r="H233" s="55"/>
      <c r="I233" s="55"/>
      <c r="J233" s="55"/>
      <c r="K233" s="55"/>
      <c r="L233" s="55"/>
      <c r="M233" s="55"/>
      <c r="N233" s="55"/>
      <c r="O233" s="55"/>
      <c r="P233" s="56"/>
      <c r="Q233" s="55"/>
      <c r="R233" s="55"/>
    </row>
    <row r="234" spans="5:18" ht="13.5" customHeight="1" x14ac:dyDescent="0.25">
      <c r="E234" s="55"/>
      <c r="F234" s="55"/>
      <c r="G234" s="55"/>
      <c r="H234" s="55"/>
      <c r="I234" s="55"/>
      <c r="J234" s="55"/>
      <c r="K234" s="55"/>
      <c r="L234" s="55"/>
      <c r="M234" s="55"/>
      <c r="N234" s="55"/>
      <c r="O234" s="55"/>
      <c r="P234" s="56"/>
      <c r="Q234" s="55"/>
      <c r="R234" s="55"/>
    </row>
    <row r="235" spans="5:18" ht="13.5" customHeight="1" x14ac:dyDescent="0.25">
      <c r="E235" s="55"/>
      <c r="F235" s="55"/>
      <c r="G235" s="55"/>
      <c r="H235" s="55"/>
      <c r="I235" s="55"/>
      <c r="J235" s="55"/>
      <c r="K235" s="55"/>
      <c r="L235" s="55"/>
      <c r="M235" s="55"/>
      <c r="N235" s="55"/>
      <c r="O235" s="55"/>
      <c r="P235" s="56"/>
      <c r="Q235" s="55"/>
      <c r="R235" s="55"/>
    </row>
    <row r="236" spans="5:18" ht="13.5" customHeight="1" x14ac:dyDescent="0.25">
      <c r="E236" s="55"/>
      <c r="F236" s="55"/>
      <c r="G236" s="55"/>
      <c r="H236" s="55"/>
      <c r="I236" s="55"/>
      <c r="J236" s="55"/>
      <c r="K236" s="55"/>
      <c r="L236" s="55"/>
      <c r="M236" s="55"/>
      <c r="N236" s="55"/>
      <c r="O236" s="55"/>
      <c r="P236" s="56"/>
      <c r="Q236" s="55"/>
      <c r="R236" s="55"/>
    </row>
    <row r="237" spans="5:18" ht="13.5" customHeight="1" x14ac:dyDescent="0.25">
      <c r="E237" s="55"/>
      <c r="F237" s="55"/>
      <c r="G237" s="55"/>
      <c r="H237" s="55"/>
      <c r="I237" s="55"/>
      <c r="J237" s="55"/>
      <c r="K237" s="55"/>
      <c r="L237" s="55"/>
      <c r="M237" s="55"/>
      <c r="N237" s="55"/>
      <c r="O237" s="55"/>
      <c r="P237" s="56"/>
      <c r="Q237" s="55"/>
      <c r="R237" s="55"/>
    </row>
    <row r="238" spans="5:18" ht="13.5" customHeight="1" x14ac:dyDescent="0.25">
      <c r="E238" s="55"/>
      <c r="F238" s="55"/>
      <c r="G238" s="55"/>
      <c r="H238" s="55"/>
      <c r="I238" s="55"/>
      <c r="J238" s="55"/>
      <c r="K238" s="55"/>
      <c r="L238" s="55"/>
      <c r="M238" s="55"/>
      <c r="N238" s="55"/>
      <c r="O238" s="55"/>
      <c r="P238" s="56"/>
      <c r="Q238" s="55"/>
      <c r="R238" s="55"/>
    </row>
    <row r="239" spans="5:18" ht="13.5" customHeight="1" x14ac:dyDescent="0.25">
      <c r="E239" s="55"/>
      <c r="F239" s="55"/>
      <c r="G239" s="55"/>
      <c r="H239" s="55"/>
      <c r="I239" s="55"/>
      <c r="J239" s="55"/>
      <c r="K239" s="55"/>
      <c r="L239" s="55"/>
      <c r="M239" s="55"/>
      <c r="N239" s="55"/>
      <c r="O239" s="55"/>
      <c r="P239" s="56"/>
      <c r="Q239" s="55"/>
      <c r="R239" s="55"/>
    </row>
    <row r="240" spans="5:18" ht="13.5" customHeight="1" x14ac:dyDescent="0.25">
      <c r="E240" s="55"/>
      <c r="F240" s="55"/>
      <c r="G240" s="55"/>
      <c r="H240" s="55"/>
      <c r="I240" s="55"/>
      <c r="J240" s="55"/>
      <c r="K240" s="55"/>
      <c r="L240" s="55"/>
      <c r="M240" s="55"/>
      <c r="N240" s="55"/>
      <c r="O240" s="55"/>
      <c r="P240" s="56"/>
      <c r="Q240" s="55"/>
      <c r="R240" s="55"/>
    </row>
    <row r="241" spans="5:18" ht="13.5" customHeight="1" x14ac:dyDescent="0.25">
      <c r="E241" s="55"/>
      <c r="F241" s="55"/>
      <c r="G241" s="55"/>
      <c r="H241" s="55"/>
      <c r="I241" s="55"/>
      <c r="J241" s="55"/>
      <c r="K241" s="55"/>
      <c r="L241" s="55"/>
      <c r="M241" s="55"/>
      <c r="N241" s="55"/>
      <c r="O241" s="55"/>
      <c r="P241" s="56"/>
      <c r="Q241" s="55"/>
      <c r="R241" s="55"/>
    </row>
    <row r="242" spans="5:18" ht="13.5" customHeight="1" x14ac:dyDescent="0.25">
      <c r="E242" s="55"/>
      <c r="F242" s="55"/>
      <c r="G242" s="55"/>
      <c r="H242" s="55"/>
      <c r="I242" s="55"/>
      <c r="J242" s="55"/>
      <c r="K242" s="55"/>
      <c r="L242" s="55"/>
      <c r="M242" s="55"/>
      <c r="N242" s="55"/>
      <c r="O242" s="55"/>
      <c r="P242" s="56"/>
      <c r="Q242" s="55"/>
      <c r="R242" s="55"/>
    </row>
    <row r="243" spans="5:18" ht="13.5" customHeight="1" x14ac:dyDescent="0.25">
      <c r="E243" s="55"/>
      <c r="F243" s="55"/>
      <c r="G243" s="55"/>
      <c r="H243" s="55"/>
      <c r="I243" s="55"/>
      <c r="J243" s="55"/>
      <c r="K243" s="55"/>
      <c r="L243" s="55"/>
      <c r="M243" s="55"/>
      <c r="N243" s="55"/>
      <c r="O243" s="55"/>
      <c r="P243" s="56"/>
      <c r="Q243" s="55"/>
      <c r="R243" s="55"/>
    </row>
  </sheetData>
  <hyperlinks>
    <hyperlink ref="E4" location="HarvestedAreas!A1" display="HarvestedAreas" xr:uid="{8DD821BC-183E-4E17-97CF-C9EBEBFBC2F0}"/>
  </hyperlinks>
  <pageMargins left="0.75" right="0.75" top="1" bottom="1" header="0.5" footer="0.5"/>
  <pageSetup orientation="portrait" r:id="rId3"/>
  <headerFooter alignWithMargins="0"/>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F746-AC73-414D-89B7-4F912D92B078}">
  <sheetPr>
    <tabColor theme="3" tint="0.79998168889431442"/>
  </sheetPr>
  <dimension ref="A1:T427"/>
  <sheetViews>
    <sheetView showGridLines="0" zoomScaleNormal="100" workbookViewId="0">
      <selection activeCell="Q40" sqref="Q40"/>
    </sheetView>
  </sheetViews>
  <sheetFormatPr defaultColWidth="9.21875" defaultRowHeight="13.5" customHeight="1" outlineLevelRow="1" x14ac:dyDescent="0.25"/>
  <cols>
    <col min="1" max="1" width="1.77734375" style="2" customWidth="1"/>
    <col min="2" max="2" width="2.77734375" style="2" customWidth="1"/>
    <col min="3" max="3" width="2" style="2" customWidth="1"/>
    <col min="4" max="4" width="37.21875" style="2" bestFit="1" customWidth="1"/>
    <col min="5" max="5" width="19.21875" style="2" bestFit="1" customWidth="1"/>
    <col min="6" max="6" width="30.5546875" style="2" bestFit="1" customWidth="1"/>
    <col min="7" max="13" width="14.21875" style="2" customWidth="1"/>
    <col min="14" max="14" width="9.21875" style="2"/>
    <col min="15" max="15" width="14.21875" style="2" customWidth="1"/>
    <col min="16" max="16" width="13.21875" style="2" bestFit="1" customWidth="1"/>
    <col min="17" max="17" width="26.77734375" style="2" customWidth="1"/>
    <col min="18" max="18" width="29.44140625" style="2" bestFit="1" customWidth="1"/>
    <col min="19" max="19" width="11.77734375" style="2" customWidth="1"/>
    <col min="20" max="16384" width="9.21875" style="2"/>
  </cols>
  <sheetData>
    <row r="1" spans="1:18" s="7" customFormat="1" ht="13.5" customHeight="1" x14ac:dyDescent="0.25">
      <c r="A1" s="5"/>
      <c r="B1" s="5"/>
      <c r="C1" s="5"/>
      <c r="D1" s="6"/>
      <c r="E1" s="25"/>
    </row>
    <row r="2" spans="1:18" s="7" customFormat="1" ht="13.5" customHeight="1" x14ac:dyDescent="0.25">
      <c r="A2" s="5"/>
      <c r="B2" s="5"/>
      <c r="C2" s="5"/>
      <c r="D2" s="6"/>
      <c r="E2" s="26" t="str">
        <f>Title</f>
        <v>OCP Africa - Nigeria P205 projections + backing analyses</v>
      </c>
    </row>
    <row r="3" spans="1:18" s="7" customFormat="1" ht="13.5" customHeight="1" x14ac:dyDescent="0.25">
      <c r="A3" s="5"/>
      <c r="B3" s="5"/>
      <c r="C3" s="5"/>
      <c r="D3" s="6"/>
      <c r="E3" s="27" t="str">
        <f ca="1">MID(CELL("filename",E3),FIND("]",CELL("filename",E3))+1,256)</f>
        <v>HarvestedAreas</v>
      </c>
    </row>
    <row r="4" spans="1:18" s="7" customFormat="1" ht="13.5" customHeight="1" x14ac:dyDescent="0.25">
      <c r="A4" s="5"/>
      <c r="B4" s="5"/>
      <c r="C4" s="5"/>
      <c r="D4" s="6"/>
      <c r="E4" s="27" t="s">
        <v>127</v>
      </c>
    </row>
    <row r="5" spans="1:18" s="11" customFormat="1" ht="13.5" customHeight="1" x14ac:dyDescent="0.25">
      <c r="A5" s="8"/>
      <c r="B5" s="8"/>
      <c r="C5" s="8"/>
      <c r="D5" s="9"/>
      <c r="E5" s="10"/>
    </row>
    <row r="6" spans="1:18" ht="13.5" customHeight="1" x14ac:dyDescent="0.25">
      <c r="B6" s="7"/>
      <c r="C6" s="7"/>
      <c r="D6" s="7"/>
      <c r="E6" s="7"/>
      <c r="F6" s="7"/>
      <c r="G6" s="7"/>
      <c r="H6" s="7"/>
      <c r="I6" s="7"/>
      <c r="J6" s="7"/>
      <c r="K6" s="7"/>
      <c r="L6" s="7"/>
      <c r="M6" s="7"/>
      <c r="N6" s="7"/>
    </row>
    <row r="7" spans="1:18" ht="13.5" customHeight="1" x14ac:dyDescent="0.3">
      <c r="B7" s="51"/>
      <c r="C7" s="7"/>
      <c r="D7" s="52"/>
      <c r="E7" s="176" t="s">
        <v>90</v>
      </c>
      <c r="F7" s="176" t="s">
        <v>91</v>
      </c>
      <c r="G7" s="176" t="s">
        <v>92</v>
      </c>
      <c r="H7" s="176" t="s">
        <v>93</v>
      </c>
      <c r="I7" s="176" t="s">
        <v>94</v>
      </c>
      <c r="J7" s="176" t="s">
        <v>95</v>
      </c>
      <c r="K7" s="176" t="s">
        <v>128</v>
      </c>
      <c r="L7" s="176" t="s">
        <v>97</v>
      </c>
      <c r="M7" s="176" t="s">
        <v>98</v>
      </c>
      <c r="N7" s="176" t="s">
        <v>99</v>
      </c>
      <c r="O7" s="176" t="s">
        <v>100</v>
      </c>
      <c r="P7" s="176" t="s">
        <v>101</v>
      </c>
      <c r="Q7" s="176" t="s">
        <v>102</v>
      </c>
      <c r="R7" s="176" t="s">
        <v>103</v>
      </c>
    </row>
    <row r="8" spans="1:18" ht="13.5" customHeight="1" x14ac:dyDescent="0.3">
      <c r="B8" s="7"/>
      <c r="C8" s="7"/>
      <c r="D8" s="7"/>
      <c r="E8" s="176" t="s">
        <v>129</v>
      </c>
      <c r="F8" s="176" t="s">
        <v>130</v>
      </c>
      <c r="G8" s="176">
        <v>566</v>
      </c>
      <c r="H8" s="176" t="s">
        <v>174</v>
      </c>
      <c r="I8" s="176">
        <v>5312</v>
      </c>
      <c r="J8" s="176" t="s">
        <v>131</v>
      </c>
      <c r="K8" s="176">
        <v>1251</v>
      </c>
      <c r="L8" s="176" t="s">
        <v>138</v>
      </c>
      <c r="M8" s="176">
        <v>2017</v>
      </c>
      <c r="N8" s="176">
        <v>2017</v>
      </c>
      <c r="O8" s="176" t="s">
        <v>23</v>
      </c>
      <c r="P8" s="196">
        <v>26809</v>
      </c>
      <c r="Q8" s="176" t="s">
        <v>132</v>
      </c>
      <c r="R8" s="176" t="s">
        <v>133</v>
      </c>
    </row>
    <row r="9" spans="1:18" ht="13.5" customHeight="1" x14ac:dyDescent="0.3">
      <c r="B9" s="7"/>
      <c r="C9" s="7"/>
      <c r="D9" s="35"/>
      <c r="E9" s="176" t="s">
        <v>129</v>
      </c>
      <c r="F9" s="176" t="s">
        <v>130</v>
      </c>
      <c r="G9" s="176">
        <v>566</v>
      </c>
      <c r="H9" s="176" t="s">
        <v>174</v>
      </c>
      <c r="I9" s="176">
        <v>5312</v>
      </c>
      <c r="J9" s="176" t="s">
        <v>131</v>
      </c>
      <c r="K9" s="176">
        <v>1251</v>
      </c>
      <c r="L9" s="176" t="s">
        <v>138</v>
      </c>
      <c r="M9" s="176">
        <v>2018</v>
      </c>
      <c r="N9" s="176">
        <v>2018</v>
      </c>
      <c r="O9" s="176" t="s">
        <v>23</v>
      </c>
      <c r="P9" s="196">
        <v>26678</v>
      </c>
      <c r="Q9" s="176" t="s">
        <v>132</v>
      </c>
      <c r="R9" s="176" t="s">
        <v>133</v>
      </c>
    </row>
    <row r="10" spans="1:18" ht="13.5" customHeight="1" x14ac:dyDescent="0.3">
      <c r="B10" s="7"/>
      <c r="C10" s="7"/>
      <c r="D10" s="36"/>
      <c r="E10" s="176" t="s">
        <v>129</v>
      </c>
      <c r="F10" s="176" t="s">
        <v>130</v>
      </c>
      <c r="G10" s="176">
        <v>566</v>
      </c>
      <c r="H10" s="176" t="s">
        <v>174</v>
      </c>
      <c r="I10" s="176">
        <v>5312</v>
      </c>
      <c r="J10" s="176" t="s">
        <v>131</v>
      </c>
      <c r="K10" s="176">
        <v>1251</v>
      </c>
      <c r="L10" s="176" t="s">
        <v>138</v>
      </c>
      <c r="M10" s="176">
        <v>2019</v>
      </c>
      <c r="N10" s="176">
        <v>2019</v>
      </c>
      <c r="O10" s="176" t="s">
        <v>23</v>
      </c>
      <c r="P10" s="196">
        <v>26587</v>
      </c>
      <c r="Q10" s="176" t="s">
        <v>132</v>
      </c>
      <c r="R10" s="176" t="s">
        <v>133</v>
      </c>
    </row>
    <row r="11" spans="1:18" ht="13.5" customHeight="1" x14ac:dyDescent="0.3">
      <c r="B11" s="7"/>
      <c r="C11" s="7"/>
      <c r="D11" s="7"/>
      <c r="E11" s="176" t="s">
        <v>129</v>
      </c>
      <c r="F11" s="176" t="s">
        <v>130</v>
      </c>
      <c r="G11" s="176">
        <v>566</v>
      </c>
      <c r="H11" s="176" t="s">
        <v>174</v>
      </c>
      <c r="I11" s="176">
        <v>5312</v>
      </c>
      <c r="J11" s="176" t="s">
        <v>131</v>
      </c>
      <c r="K11" s="176">
        <v>1251</v>
      </c>
      <c r="L11" s="176" t="s">
        <v>138</v>
      </c>
      <c r="M11" s="176">
        <v>2020</v>
      </c>
      <c r="N11" s="176">
        <v>2020</v>
      </c>
      <c r="O11" s="176" t="s">
        <v>23</v>
      </c>
      <c r="P11" s="196">
        <v>26576</v>
      </c>
      <c r="Q11" s="176" t="s">
        <v>132</v>
      </c>
      <c r="R11" s="176" t="s">
        <v>133</v>
      </c>
    </row>
    <row r="12" spans="1:18" ht="13.5" customHeight="1" x14ac:dyDescent="0.3">
      <c r="B12" s="7"/>
      <c r="C12" s="7"/>
      <c r="D12" s="35"/>
      <c r="E12" s="176" t="s">
        <v>129</v>
      </c>
      <c r="F12" s="176" t="s">
        <v>130</v>
      </c>
      <c r="G12" s="176">
        <v>566</v>
      </c>
      <c r="H12" s="176" t="s">
        <v>174</v>
      </c>
      <c r="I12" s="176">
        <v>5312</v>
      </c>
      <c r="J12" s="176" t="s">
        <v>131</v>
      </c>
      <c r="K12" s="176">
        <v>1251</v>
      </c>
      <c r="L12" s="176" t="s">
        <v>138</v>
      </c>
      <c r="M12" s="176">
        <v>2021</v>
      </c>
      <c r="N12" s="176">
        <v>2021</v>
      </c>
      <c r="O12" s="176" t="s">
        <v>23</v>
      </c>
      <c r="P12" s="196">
        <v>26566</v>
      </c>
      <c r="Q12" s="176" t="s">
        <v>132</v>
      </c>
      <c r="R12" s="176" t="s">
        <v>133</v>
      </c>
    </row>
    <row r="13" spans="1:18" ht="13.5" customHeight="1" outlineLevel="1" x14ac:dyDescent="0.3">
      <c r="B13" s="7"/>
      <c r="C13" s="7"/>
      <c r="D13" s="7"/>
      <c r="E13" s="176" t="s">
        <v>129</v>
      </c>
      <c r="F13" s="176" t="s">
        <v>130</v>
      </c>
      <c r="G13" s="176">
        <v>566</v>
      </c>
      <c r="H13" s="176" t="s">
        <v>174</v>
      </c>
      <c r="I13" s="176">
        <v>5312</v>
      </c>
      <c r="J13" s="176" t="s">
        <v>131</v>
      </c>
      <c r="K13" s="176">
        <v>1372</v>
      </c>
      <c r="L13" s="176" t="s">
        <v>139</v>
      </c>
      <c r="M13" s="176">
        <v>2017</v>
      </c>
      <c r="N13" s="176">
        <v>2017</v>
      </c>
      <c r="O13" s="176" t="s">
        <v>23</v>
      </c>
      <c r="P13" s="196">
        <v>140000</v>
      </c>
      <c r="Q13" s="176" t="s">
        <v>109</v>
      </c>
      <c r="R13" s="176" t="s">
        <v>110</v>
      </c>
    </row>
    <row r="14" spans="1:18" ht="13.5" customHeight="1" outlineLevel="1" x14ac:dyDescent="0.3">
      <c r="B14" s="7"/>
      <c r="C14" s="7"/>
      <c r="D14" s="7"/>
      <c r="E14" s="176" t="s">
        <v>129</v>
      </c>
      <c r="F14" s="176" t="s">
        <v>130</v>
      </c>
      <c r="G14" s="176">
        <v>566</v>
      </c>
      <c r="H14" s="176" t="s">
        <v>174</v>
      </c>
      <c r="I14" s="176">
        <v>5312</v>
      </c>
      <c r="J14" s="176" t="s">
        <v>131</v>
      </c>
      <c r="K14" s="176">
        <v>1372</v>
      </c>
      <c r="L14" s="176" t="s">
        <v>139</v>
      </c>
      <c r="M14" s="176">
        <v>2018</v>
      </c>
      <c r="N14" s="176">
        <v>2018</v>
      </c>
      <c r="O14" s="176" t="s">
        <v>23</v>
      </c>
      <c r="P14" s="196">
        <v>140000</v>
      </c>
      <c r="Q14" s="176" t="s">
        <v>109</v>
      </c>
      <c r="R14" s="176" t="s">
        <v>110</v>
      </c>
    </row>
    <row r="15" spans="1:18" ht="13.5" customHeight="1" outlineLevel="1" x14ac:dyDescent="0.3">
      <c r="B15" s="7"/>
      <c r="C15" s="7"/>
      <c r="D15" s="7"/>
      <c r="E15" s="176" t="s">
        <v>129</v>
      </c>
      <c r="F15" s="176" t="s">
        <v>130</v>
      </c>
      <c r="G15" s="176">
        <v>566</v>
      </c>
      <c r="H15" s="176" t="s">
        <v>174</v>
      </c>
      <c r="I15" s="176">
        <v>5312</v>
      </c>
      <c r="J15" s="176" t="s">
        <v>131</v>
      </c>
      <c r="K15" s="176">
        <v>1372</v>
      </c>
      <c r="L15" s="176" t="s">
        <v>139</v>
      </c>
      <c r="M15" s="176">
        <v>2019</v>
      </c>
      <c r="N15" s="176">
        <v>2019</v>
      </c>
      <c r="O15" s="176" t="s">
        <v>23</v>
      </c>
      <c r="P15" s="196">
        <v>140000</v>
      </c>
      <c r="Q15" s="176" t="s">
        <v>109</v>
      </c>
      <c r="R15" s="176" t="s">
        <v>110</v>
      </c>
    </row>
    <row r="16" spans="1:18" ht="13.5" customHeight="1" outlineLevel="1" x14ac:dyDescent="0.3">
      <c r="B16" s="7"/>
      <c r="C16" s="7"/>
      <c r="D16" s="7"/>
      <c r="E16" s="176" t="s">
        <v>129</v>
      </c>
      <c r="F16" s="176" t="s">
        <v>130</v>
      </c>
      <c r="G16" s="176">
        <v>566</v>
      </c>
      <c r="H16" s="176" t="s">
        <v>174</v>
      </c>
      <c r="I16" s="176">
        <v>5312</v>
      </c>
      <c r="J16" s="176" t="s">
        <v>131</v>
      </c>
      <c r="K16" s="176">
        <v>1372</v>
      </c>
      <c r="L16" s="176" t="s">
        <v>139</v>
      </c>
      <c r="M16" s="176">
        <v>2020</v>
      </c>
      <c r="N16" s="176">
        <v>2020</v>
      </c>
      <c r="O16" s="176" t="s">
        <v>23</v>
      </c>
      <c r="P16" s="196">
        <v>159128</v>
      </c>
      <c r="Q16" s="176" t="s">
        <v>132</v>
      </c>
      <c r="R16" s="176" t="s">
        <v>133</v>
      </c>
    </row>
    <row r="17" spans="2:18" ht="13.5" customHeight="1" outlineLevel="1" x14ac:dyDescent="0.3">
      <c r="B17" s="7"/>
      <c r="C17" s="7"/>
      <c r="D17" s="7"/>
      <c r="E17" s="176" t="s">
        <v>129</v>
      </c>
      <c r="F17" s="176" t="s">
        <v>130</v>
      </c>
      <c r="G17" s="176">
        <v>566</v>
      </c>
      <c r="H17" s="176" t="s">
        <v>174</v>
      </c>
      <c r="I17" s="176">
        <v>5312</v>
      </c>
      <c r="J17" s="176" t="s">
        <v>131</v>
      </c>
      <c r="K17" s="176">
        <v>1372</v>
      </c>
      <c r="L17" s="176" t="s">
        <v>139</v>
      </c>
      <c r="M17" s="176">
        <v>2021</v>
      </c>
      <c r="N17" s="176">
        <v>2021</v>
      </c>
      <c r="O17" s="176" t="s">
        <v>23</v>
      </c>
      <c r="P17" s="196">
        <v>165247</v>
      </c>
      <c r="Q17" s="176" t="s">
        <v>109</v>
      </c>
      <c r="R17" s="176" t="s">
        <v>110</v>
      </c>
    </row>
    <row r="18" spans="2:18" ht="13.5" customHeight="1" outlineLevel="1" x14ac:dyDescent="0.3">
      <c r="B18" s="7"/>
      <c r="C18" s="7"/>
      <c r="D18" s="7"/>
      <c r="E18" s="176" t="s">
        <v>129</v>
      </c>
      <c r="F18" s="176" t="s">
        <v>130</v>
      </c>
      <c r="G18" s="176">
        <v>566</v>
      </c>
      <c r="H18" s="176" t="s">
        <v>174</v>
      </c>
      <c r="I18" s="176">
        <v>5312</v>
      </c>
      <c r="J18" s="176" t="s">
        <v>131</v>
      </c>
      <c r="K18" s="176">
        <v>1520.01</v>
      </c>
      <c r="L18" s="176" t="s">
        <v>125</v>
      </c>
      <c r="M18" s="176">
        <v>2017</v>
      </c>
      <c r="N18" s="176">
        <v>2017</v>
      </c>
      <c r="O18" s="176" t="s">
        <v>23</v>
      </c>
      <c r="P18" s="196">
        <v>6761350</v>
      </c>
      <c r="Q18" s="176" t="s">
        <v>134</v>
      </c>
      <c r="R18" s="176" t="s">
        <v>135</v>
      </c>
    </row>
    <row r="19" spans="2:18" ht="13.5" customHeight="1" outlineLevel="1" x14ac:dyDescent="0.3">
      <c r="B19" s="7"/>
      <c r="C19" s="7"/>
      <c r="D19" s="7"/>
      <c r="E19" s="176" t="s">
        <v>129</v>
      </c>
      <c r="F19" s="176" t="s">
        <v>130</v>
      </c>
      <c r="G19" s="176">
        <v>566</v>
      </c>
      <c r="H19" s="176" t="s">
        <v>174</v>
      </c>
      <c r="I19" s="176">
        <v>5312</v>
      </c>
      <c r="J19" s="176" t="s">
        <v>131</v>
      </c>
      <c r="K19" s="176">
        <v>1520.01</v>
      </c>
      <c r="L19" s="176" t="s">
        <v>125</v>
      </c>
      <c r="M19" s="176">
        <v>2018</v>
      </c>
      <c r="N19" s="176">
        <v>2018</v>
      </c>
      <c r="O19" s="176" t="s">
        <v>23</v>
      </c>
      <c r="P19" s="196">
        <v>6949400</v>
      </c>
      <c r="Q19" s="176" t="s">
        <v>134</v>
      </c>
      <c r="R19" s="176" t="s">
        <v>135</v>
      </c>
    </row>
    <row r="20" spans="2:18" ht="13.5" customHeight="1" outlineLevel="1" x14ac:dyDescent="0.3">
      <c r="B20" s="7"/>
      <c r="C20" s="7"/>
      <c r="D20" s="7"/>
      <c r="E20" s="176" t="s">
        <v>129</v>
      </c>
      <c r="F20" s="176" t="s">
        <v>130</v>
      </c>
      <c r="G20" s="176">
        <v>566</v>
      </c>
      <c r="H20" s="176" t="s">
        <v>174</v>
      </c>
      <c r="I20" s="176">
        <v>5312</v>
      </c>
      <c r="J20" s="176" t="s">
        <v>131</v>
      </c>
      <c r="K20" s="176">
        <v>1520.01</v>
      </c>
      <c r="L20" s="176" t="s">
        <v>125</v>
      </c>
      <c r="M20" s="176">
        <v>2019</v>
      </c>
      <c r="N20" s="176">
        <v>2019</v>
      </c>
      <c r="O20" s="176" t="s">
        <v>23</v>
      </c>
      <c r="P20" s="196">
        <v>9776650</v>
      </c>
      <c r="Q20" s="176" t="s">
        <v>134</v>
      </c>
      <c r="R20" s="176" t="s">
        <v>135</v>
      </c>
    </row>
    <row r="21" spans="2:18" ht="13.5" customHeight="1" outlineLevel="1" x14ac:dyDescent="0.3">
      <c r="B21" s="7"/>
      <c r="C21" s="7"/>
      <c r="D21" s="7"/>
      <c r="E21" s="176" t="s">
        <v>129</v>
      </c>
      <c r="F21" s="176" t="s">
        <v>130</v>
      </c>
      <c r="G21" s="176">
        <v>566</v>
      </c>
      <c r="H21" s="176" t="s">
        <v>174</v>
      </c>
      <c r="I21" s="176">
        <v>5312</v>
      </c>
      <c r="J21" s="176" t="s">
        <v>131</v>
      </c>
      <c r="K21" s="176">
        <v>1520.01</v>
      </c>
      <c r="L21" s="176" t="s">
        <v>125</v>
      </c>
      <c r="M21" s="176">
        <v>2020</v>
      </c>
      <c r="N21" s="176">
        <v>2020</v>
      </c>
      <c r="O21" s="176" t="s">
        <v>23</v>
      </c>
      <c r="P21" s="196">
        <v>7290381</v>
      </c>
      <c r="Q21" s="176" t="s">
        <v>109</v>
      </c>
      <c r="R21" s="176" t="s">
        <v>110</v>
      </c>
    </row>
    <row r="22" spans="2:18" ht="13.5" customHeight="1" outlineLevel="1" x14ac:dyDescent="0.3">
      <c r="B22" s="7"/>
      <c r="C22" s="7"/>
      <c r="D22" s="7"/>
      <c r="E22" s="176" t="s">
        <v>129</v>
      </c>
      <c r="F22" s="176" t="s">
        <v>130</v>
      </c>
      <c r="G22" s="176">
        <v>566</v>
      </c>
      <c r="H22" s="176" t="s">
        <v>174</v>
      </c>
      <c r="I22" s="176">
        <v>5312</v>
      </c>
      <c r="J22" s="176" t="s">
        <v>131</v>
      </c>
      <c r="K22" s="176">
        <v>1520.01</v>
      </c>
      <c r="L22" s="176" t="s">
        <v>125</v>
      </c>
      <c r="M22" s="176">
        <v>2021</v>
      </c>
      <c r="N22" s="176">
        <v>2021</v>
      </c>
      <c r="O22" s="176" t="s">
        <v>23</v>
      </c>
      <c r="P22" s="196">
        <v>9085736</v>
      </c>
      <c r="Q22" s="176" t="s">
        <v>132</v>
      </c>
      <c r="R22" s="176" t="s">
        <v>133</v>
      </c>
    </row>
    <row r="23" spans="2:18" ht="13.5" customHeight="1" outlineLevel="1" x14ac:dyDescent="0.3">
      <c r="B23" s="7"/>
      <c r="C23" s="7"/>
      <c r="D23" s="7"/>
      <c r="E23" s="176" t="s">
        <v>129</v>
      </c>
      <c r="F23" s="176" t="s">
        <v>130</v>
      </c>
      <c r="G23" s="176">
        <v>566</v>
      </c>
      <c r="H23" s="176" t="s">
        <v>174</v>
      </c>
      <c r="I23" s="176">
        <v>5312</v>
      </c>
      <c r="J23" s="176" t="s">
        <v>131</v>
      </c>
      <c r="K23" s="176">
        <v>1652</v>
      </c>
      <c r="L23" s="176" t="s">
        <v>142</v>
      </c>
      <c r="M23" s="176">
        <v>2017</v>
      </c>
      <c r="N23" s="176">
        <v>2017</v>
      </c>
      <c r="O23" s="176" t="s">
        <v>23</v>
      </c>
      <c r="P23" s="196">
        <v>36482</v>
      </c>
      <c r="Q23" s="176" t="s">
        <v>132</v>
      </c>
      <c r="R23" s="176" t="s">
        <v>133</v>
      </c>
    </row>
    <row r="24" spans="2:18" ht="13.5" customHeight="1" outlineLevel="1" x14ac:dyDescent="0.3">
      <c r="B24" s="51"/>
      <c r="C24" s="7"/>
      <c r="D24" s="52"/>
      <c r="E24" s="176" t="s">
        <v>129</v>
      </c>
      <c r="F24" s="176" t="s">
        <v>130</v>
      </c>
      <c r="G24" s="176">
        <v>566</v>
      </c>
      <c r="H24" s="176" t="s">
        <v>174</v>
      </c>
      <c r="I24" s="176">
        <v>5312</v>
      </c>
      <c r="J24" s="176" t="s">
        <v>131</v>
      </c>
      <c r="K24" s="176">
        <v>1652</v>
      </c>
      <c r="L24" s="176" t="s">
        <v>142</v>
      </c>
      <c r="M24" s="176">
        <v>2018</v>
      </c>
      <c r="N24" s="176">
        <v>2018</v>
      </c>
      <c r="O24" s="176" t="s">
        <v>23</v>
      </c>
      <c r="P24" s="196">
        <v>36811</v>
      </c>
      <c r="Q24" s="176" t="s">
        <v>109</v>
      </c>
      <c r="R24" s="176" t="s">
        <v>110</v>
      </c>
    </row>
    <row r="25" spans="2:18" ht="13.5" customHeight="1" outlineLevel="1" x14ac:dyDescent="0.3">
      <c r="B25" s="7"/>
      <c r="C25" s="7"/>
      <c r="D25" s="7"/>
      <c r="E25" s="176" t="s">
        <v>129</v>
      </c>
      <c r="F25" s="176" t="s">
        <v>130</v>
      </c>
      <c r="G25" s="176">
        <v>566</v>
      </c>
      <c r="H25" s="176" t="s">
        <v>174</v>
      </c>
      <c r="I25" s="176">
        <v>5312</v>
      </c>
      <c r="J25" s="176" t="s">
        <v>131</v>
      </c>
      <c r="K25" s="176">
        <v>1652</v>
      </c>
      <c r="L25" s="176" t="s">
        <v>142</v>
      </c>
      <c r="M25" s="176">
        <v>2019</v>
      </c>
      <c r="N25" s="176">
        <v>2019</v>
      </c>
      <c r="O25" s="176" t="s">
        <v>23</v>
      </c>
      <c r="P25" s="196">
        <v>36475</v>
      </c>
      <c r="Q25" s="176" t="s">
        <v>109</v>
      </c>
      <c r="R25" s="176" t="s">
        <v>110</v>
      </c>
    </row>
    <row r="26" spans="2:18" ht="13.5" customHeight="1" outlineLevel="1" x14ac:dyDescent="0.3">
      <c r="B26" s="7"/>
      <c r="C26" s="7"/>
      <c r="D26" s="7"/>
      <c r="E26" s="176" t="s">
        <v>129</v>
      </c>
      <c r="F26" s="176" t="s">
        <v>130</v>
      </c>
      <c r="G26" s="176">
        <v>566</v>
      </c>
      <c r="H26" s="176" t="s">
        <v>174</v>
      </c>
      <c r="I26" s="176">
        <v>5312</v>
      </c>
      <c r="J26" s="176" t="s">
        <v>131</v>
      </c>
      <c r="K26" s="176">
        <v>1652</v>
      </c>
      <c r="L26" s="176" t="s">
        <v>142</v>
      </c>
      <c r="M26" s="176">
        <v>2020</v>
      </c>
      <c r="N26" s="176">
        <v>2020</v>
      </c>
      <c r="O26" s="176" t="s">
        <v>23</v>
      </c>
      <c r="P26" s="196">
        <v>36589</v>
      </c>
      <c r="Q26" s="176" t="s">
        <v>109</v>
      </c>
      <c r="R26" s="176" t="s">
        <v>110</v>
      </c>
    </row>
    <row r="27" spans="2:18" ht="13.5" customHeight="1" outlineLevel="1" x14ac:dyDescent="0.3">
      <c r="B27" s="7"/>
      <c r="C27" s="7"/>
      <c r="D27" s="7"/>
      <c r="E27" s="176" t="s">
        <v>129</v>
      </c>
      <c r="F27" s="176" t="s">
        <v>130</v>
      </c>
      <c r="G27" s="176">
        <v>566</v>
      </c>
      <c r="H27" s="176" t="s">
        <v>174</v>
      </c>
      <c r="I27" s="176">
        <v>5312</v>
      </c>
      <c r="J27" s="176" t="s">
        <v>131</v>
      </c>
      <c r="K27" s="176">
        <v>1652</v>
      </c>
      <c r="L27" s="176" t="s">
        <v>142</v>
      </c>
      <c r="M27" s="176">
        <v>2021</v>
      </c>
      <c r="N27" s="176">
        <v>2021</v>
      </c>
      <c r="O27" s="176" t="s">
        <v>23</v>
      </c>
      <c r="P27" s="196">
        <v>36625</v>
      </c>
      <c r="Q27" s="176" t="s">
        <v>109</v>
      </c>
      <c r="R27" s="176" t="s">
        <v>110</v>
      </c>
    </row>
    <row r="28" spans="2:18" ht="13.5" customHeight="1" outlineLevel="1" x14ac:dyDescent="0.3">
      <c r="B28" s="7"/>
      <c r="C28" s="7"/>
      <c r="D28" s="7"/>
      <c r="E28" s="176" t="s">
        <v>129</v>
      </c>
      <c r="F28" s="176" t="s">
        <v>130</v>
      </c>
      <c r="G28" s="176">
        <v>566</v>
      </c>
      <c r="H28" s="176" t="s">
        <v>174</v>
      </c>
      <c r="I28" s="176">
        <v>5312</v>
      </c>
      <c r="J28" s="176" t="s">
        <v>131</v>
      </c>
      <c r="K28" s="176">
        <v>1231</v>
      </c>
      <c r="L28" s="176" t="s">
        <v>143</v>
      </c>
      <c r="M28" s="176">
        <v>2017</v>
      </c>
      <c r="N28" s="176">
        <v>2017</v>
      </c>
      <c r="O28" s="176" t="s">
        <v>23</v>
      </c>
      <c r="P28" s="196">
        <v>100792</v>
      </c>
      <c r="Q28" s="176" t="s">
        <v>132</v>
      </c>
      <c r="R28" s="176" t="s">
        <v>133</v>
      </c>
    </row>
    <row r="29" spans="2:18" ht="13.5" customHeight="1" outlineLevel="1" x14ac:dyDescent="0.3">
      <c r="B29" s="7"/>
      <c r="C29" s="7"/>
      <c r="D29" s="7"/>
      <c r="E29" s="176" t="s">
        <v>129</v>
      </c>
      <c r="F29" s="176" t="s">
        <v>130</v>
      </c>
      <c r="G29" s="176">
        <v>566</v>
      </c>
      <c r="H29" s="176" t="s">
        <v>174</v>
      </c>
      <c r="I29" s="176">
        <v>5312</v>
      </c>
      <c r="J29" s="176" t="s">
        <v>131</v>
      </c>
      <c r="K29" s="176">
        <v>1231</v>
      </c>
      <c r="L29" s="176" t="s">
        <v>143</v>
      </c>
      <c r="M29" s="176">
        <v>2018</v>
      </c>
      <c r="N29" s="176">
        <v>2018</v>
      </c>
      <c r="O29" s="176" t="s">
        <v>23</v>
      </c>
      <c r="P29" s="196">
        <v>100736</v>
      </c>
      <c r="Q29" s="176" t="s">
        <v>132</v>
      </c>
      <c r="R29" s="176" t="s">
        <v>133</v>
      </c>
    </row>
    <row r="30" spans="2:18" ht="13.5" customHeight="1" outlineLevel="1" x14ac:dyDescent="0.3">
      <c r="B30" s="7"/>
      <c r="C30" s="7"/>
      <c r="D30" s="7"/>
      <c r="E30" s="176" t="s">
        <v>129</v>
      </c>
      <c r="F30" s="176" t="s">
        <v>130</v>
      </c>
      <c r="G30" s="176">
        <v>566</v>
      </c>
      <c r="H30" s="176" t="s">
        <v>174</v>
      </c>
      <c r="I30" s="176">
        <v>5312</v>
      </c>
      <c r="J30" s="176" t="s">
        <v>131</v>
      </c>
      <c r="K30" s="176">
        <v>1231</v>
      </c>
      <c r="L30" s="176" t="s">
        <v>143</v>
      </c>
      <c r="M30" s="176">
        <v>2019</v>
      </c>
      <c r="N30" s="176">
        <v>2019</v>
      </c>
      <c r="O30" s="176" t="s">
        <v>23</v>
      </c>
      <c r="P30" s="196">
        <v>100334</v>
      </c>
      <c r="Q30" s="176" t="s">
        <v>132</v>
      </c>
      <c r="R30" s="176" t="s">
        <v>133</v>
      </c>
    </row>
    <row r="31" spans="2:18" ht="13.5" customHeight="1" outlineLevel="1" x14ac:dyDescent="0.3">
      <c r="B31" s="7"/>
      <c r="C31" s="7"/>
      <c r="D31" s="7"/>
      <c r="E31" s="176" t="s">
        <v>129</v>
      </c>
      <c r="F31" s="176" t="s">
        <v>130</v>
      </c>
      <c r="G31" s="176">
        <v>566</v>
      </c>
      <c r="H31" s="176" t="s">
        <v>174</v>
      </c>
      <c r="I31" s="176">
        <v>5312</v>
      </c>
      <c r="J31" s="176" t="s">
        <v>131</v>
      </c>
      <c r="K31" s="176">
        <v>1231</v>
      </c>
      <c r="L31" s="176" t="s">
        <v>143</v>
      </c>
      <c r="M31" s="176">
        <v>2020</v>
      </c>
      <c r="N31" s="176">
        <v>2020</v>
      </c>
      <c r="O31" s="176" t="s">
        <v>23</v>
      </c>
      <c r="P31" s="196">
        <v>100833</v>
      </c>
      <c r="Q31" s="176" t="s">
        <v>132</v>
      </c>
      <c r="R31" s="176" t="s">
        <v>133</v>
      </c>
    </row>
    <row r="32" spans="2:18" ht="13.5" customHeight="1" x14ac:dyDescent="0.3">
      <c r="B32" s="7"/>
      <c r="C32" s="7"/>
      <c r="D32" s="7"/>
      <c r="E32" s="176" t="s">
        <v>129</v>
      </c>
      <c r="F32" s="176" t="s">
        <v>130</v>
      </c>
      <c r="G32" s="176">
        <v>566</v>
      </c>
      <c r="H32" s="176" t="s">
        <v>174</v>
      </c>
      <c r="I32" s="176">
        <v>5312</v>
      </c>
      <c r="J32" s="176" t="s">
        <v>131</v>
      </c>
      <c r="K32" s="176">
        <v>1231</v>
      </c>
      <c r="L32" s="176" t="s">
        <v>143</v>
      </c>
      <c r="M32" s="176">
        <v>2021</v>
      </c>
      <c r="N32" s="176">
        <v>2021</v>
      </c>
      <c r="O32" s="176" t="s">
        <v>23</v>
      </c>
      <c r="P32" s="196">
        <v>101335</v>
      </c>
      <c r="Q32" s="176" t="s">
        <v>132</v>
      </c>
      <c r="R32" s="176" t="s">
        <v>133</v>
      </c>
    </row>
    <row r="33" spans="2:18" ht="13.5" customHeight="1" x14ac:dyDescent="0.3">
      <c r="B33" s="7"/>
      <c r="C33" s="7"/>
      <c r="D33" s="7"/>
      <c r="E33" s="176" t="s">
        <v>129</v>
      </c>
      <c r="F33" s="176" t="s">
        <v>130</v>
      </c>
      <c r="G33" s="176">
        <v>566</v>
      </c>
      <c r="H33" s="176" t="s">
        <v>174</v>
      </c>
      <c r="I33" s="176">
        <v>5312</v>
      </c>
      <c r="J33" s="176" t="s">
        <v>131</v>
      </c>
      <c r="K33" s="176">
        <v>1640</v>
      </c>
      <c r="L33" s="176" t="s">
        <v>180</v>
      </c>
      <c r="M33" s="176">
        <v>2017</v>
      </c>
      <c r="N33" s="176">
        <v>2017</v>
      </c>
      <c r="O33" s="176" t="s">
        <v>23</v>
      </c>
      <c r="P33" s="196">
        <v>892101</v>
      </c>
      <c r="Q33" s="176" t="s">
        <v>132</v>
      </c>
      <c r="R33" s="176" t="s">
        <v>133</v>
      </c>
    </row>
    <row r="34" spans="2:18" ht="13.5" customHeight="1" x14ac:dyDescent="0.3">
      <c r="E34" s="176" t="s">
        <v>129</v>
      </c>
      <c r="F34" s="176" t="s">
        <v>130</v>
      </c>
      <c r="G34" s="176">
        <v>566</v>
      </c>
      <c r="H34" s="176" t="s">
        <v>174</v>
      </c>
      <c r="I34" s="176">
        <v>5312</v>
      </c>
      <c r="J34" s="176" t="s">
        <v>131</v>
      </c>
      <c r="K34" s="176">
        <v>1640</v>
      </c>
      <c r="L34" s="176" t="s">
        <v>180</v>
      </c>
      <c r="M34" s="176">
        <v>2018</v>
      </c>
      <c r="N34" s="176">
        <v>2018</v>
      </c>
      <c r="O34" s="176" t="s">
        <v>23</v>
      </c>
      <c r="P34" s="196">
        <v>974173</v>
      </c>
      <c r="Q34" s="176" t="s">
        <v>132</v>
      </c>
      <c r="R34" s="176" t="s">
        <v>133</v>
      </c>
    </row>
    <row r="35" spans="2:18" ht="13.5" customHeight="1" x14ac:dyDescent="0.3">
      <c r="E35" s="176" t="s">
        <v>129</v>
      </c>
      <c r="F35" s="176" t="s">
        <v>130</v>
      </c>
      <c r="G35" s="176">
        <v>566</v>
      </c>
      <c r="H35" s="176" t="s">
        <v>174</v>
      </c>
      <c r="I35" s="176">
        <v>5312</v>
      </c>
      <c r="J35" s="176" t="s">
        <v>131</v>
      </c>
      <c r="K35" s="176">
        <v>1640</v>
      </c>
      <c r="L35" s="176" t="s">
        <v>180</v>
      </c>
      <c r="M35" s="176">
        <v>2019</v>
      </c>
      <c r="N35" s="176">
        <v>2019</v>
      </c>
      <c r="O35" s="176" t="s">
        <v>23</v>
      </c>
      <c r="P35" s="196">
        <v>913097</v>
      </c>
      <c r="Q35" s="176" t="s">
        <v>132</v>
      </c>
      <c r="R35" s="176" t="s">
        <v>133</v>
      </c>
    </row>
    <row r="36" spans="2:18" ht="13.5" customHeight="1" x14ac:dyDescent="0.3">
      <c r="E36" s="176" t="s">
        <v>129</v>
      </c>
      <c r="F36" s="176" t="s">
        <v>130</v>
      </c>
      <c r="G36" s="176">
        <v>566</v>
      </c>
      <c r="H36" s="176" t="s">
        <v>174</v>
      </c>
      <c r="I36" s="176">
        <v>5312</v>
      </c>
      <c r="J36" s="176" t="s">
        <v>131</v>
      </c>
      <c r="K36" s="176">
        <v>1640</v>
      </c>
      <c r="L36" s="176" t="s">
        <v>180</v>
      </c>
      <c r="M36" s="176">
        <v>2020</v>
      </c>
      <c r="N36" s="176">
        <v>2020</v>
      </c>
      <c r="O36" s="176" t="s">
        <v>23</v>
      </c>
      <c r="P36" s="196">
        <v>1076093</v>
      </c>
      <c r="Q36" s="176" t="s">
        <v>132</v>
      </c>
      <c r="R36" s="176" t="s">
        <v>133</v>
      </c>
    </row>
    <row r="37" spans="2:18" ht="13.5" customHeight="1" x14ac:dyDescent="0.3">
      <c r="E37" s="176" t="s">
        <v>129</v>
      </c>
      <c r="F37" s="176" t="s">
        <v>130</v>
      </c>
      <c r="G37" s="176">
        <v>566</v>
      </c>
      <c r="H37" s="176" t="s">
        <v>174</v>
      </c>
      <c r="I37" s="176">
        <v>5312</v>
      </c>
      <c r="J37" s="176" t="s">
        <v>131</v>
      </c>
      <c r="K37" s="176">
        <v>1640</v>
      </c>
      <c r="L37" s="176" t="s">
        <v>180</v>
      </c>
      <c r="M37" s="176">
        <v>2021</v>
      </c>
      <c r="N37" s="176">
        <v>2021</v>
      </c>
      <c r="O37" s="176" t="s">
        <v>23</v>
      </c>
      <c r="P37" s="196">
        <v>1055833</v>
      </c>
      <c r="Q37" s="176" t="s">
        <v>132</v>
      </c>
      <c r="R37" s="176" t="s">
        <v>133</v>
      </c>
    </row>
    <row r="38" spans="2:18" ht="13.5" customHeight="1" x14ac:dyDescent="0.3">
      <c r="E38" s="176" t="s">
        <v>129</v>
      </c>
      <c r="F38" s="176" t="s">
        <v>130</v>
      </c>
      <c r="G38" s="176">
        <v>566</v>
      </c>
      <c r="H38" s="176" t="s">
        <v>174</v>
      </c>
      <c r="I38" s="176">
        <v>5312</v>
      </c>
      <c r="J38" s="176" t="s">
        <v>131</v>
      </c>
      <c r="K38" s="176">
        <v>1460</v>
      </c>
      <c r="L38" s="176" t="s">
        <v>123</v>
      </c>
      <c r="M38" s="176">
        <v>2017</v>
      </c>
      <c r="N38" s="176">
        <v>2017</v>
      </c>
      <c r="O38" s="176" t="s">
        <v>23</v>
      </c>
      <c r="P38" s="196">
        <v>31459</v>
      </c>
      <c r="Q38" s="176" t="s">
        <v>132</v>
      </c>
      <c r="R38" s="176" t="s">
        <v>133</v>
      </c>
    </row>
    <row r="39" spans="2:18" ht="13.5" customHeight="1" x14ac:dyDescent="0.3">
      <c r="E39" s="176" t="s">
        <v>129</v>
      </c>
      <c r="F39" s="176" t="s">
        <v>130</v>
      </c>
      <c r="G39" s="176">
        <v>566</v>
      </c>
      <c r="H39" s="176" t="s">
        <v>174</v>
      </c>
      <c r="I39" s="176">
        <v>5312</v>
      </c>
      <c r="J39" s="176" t="s">
        <v>131</v>
      </c>
      <c r="K39" s="176">
        <v>1460</v>
      </c>
      <c r="L39" s="176" t="s">
        <v>123</v>
      </c>
      <c r="M39" s="176">
        <v>2018</v>
      </c>
      <c r="N39" s="176">
        <v>2018</v>
      </c>
      <c r="O39" s="176" t="s">
        <v>23</v>
      </c>
      <c r="P39" s="196">
        <v>30267</v>
      </c>
      <c r="Q39" s="176" t="s">
        <v>132</v>
      </c>
      <c r="R39" s="176" t="s">
        <v>133</v>
      </c>
    </row>
    <row r="40" spans="2:18" ht="13.5" customHeight="1" x14ac:dyDescent="0.3">
      <c r="E40" s="176" t="s">
        <v>129</v>
      </c>
      <c r="F40" s="176" t="s">
        <v>130</v>
      </c>
      <c r="G40" s="176">
        <v>566</v>
      </c>
      <c r="H40" s="176" t="s">
        <v>174</v>
      </c>
      <c r="I40" s="176">
        <v>5312</v>
      </c>
      <c r="J40" s="176" t="s">
        <v>131</v>
      </c>
      <c r="K40" s="176">
        <v>1460</v>
      </c>
      <c r="L40" s="176" t="s">
        <v>123</v>
      </c>
      <c r="M40" s="176">
        <v>2019</v>
      </c>
      <c r="N40" s="176">
        <v>2019</v>
      </c>
      <c r="O40" s="176" t="s">
        <v>23</v>
      </c>
      <c r="P40" s="196">
        <v>30093</v>
      </c>
      <c r="Q40" s="176" t="s">
        <v>132</v>
      </c>
      <c r="R40" s="176" t="s">
        <v>133</v>
      </c>
    </row>
    <row r="41" spans="2:18" ht="13.5" customHeight="1" x14ac:dyDescent="0.3">
      <c r="E41" s="176" t="s">
        <v>129</v>
      </c>
      <c r="F41" s="176" t="s">
        <v>130</v>
      </c>
      <c r="G41" s="176">
        <v>566</v>
      </c>
      <c r="H41" s="176" t="s">
        <v>174</v>
      </c>
      <c r="I41" s="176">
        <v>5312</v>
      </c>
      <c r="J41" s="176" t="s">
        <v>131</v>
      </c>
      <c r="K41" s="176">
        <v>1460</v>
      </c>
      <c r="L41" s="176" t="s">
        <v>123</v>
      </c>
      <c r="M41" s="176">
        <v>2020</v>
      </c>
      <c r="N41" s="176">
        <v>2020</v>
      </c>
      <c r="O41" s="176" t="s">
        <v>23</v>
      </c>
      <c r="P41" s="196">
        <v>29274</v>
      </c>
      <c r="Q41" s="176" t="s">
        <v>132</v>
      </c>
      <c r="R41" s="176" t="s">
        <v>133</v>
      </c>
    </row>
    <row r="42" spans="2:18" ht="13.5" customHeight="1" x14ac:dyDescent="0.3">
      <c r="E42" s="176" t="s">
        <v>129</v>
      </c>
      <c r="F42" s="176" t="s">
        <v>130</v>
      </c>
      <c r="G42" s="176">
        <v>566</v>
      </c>
      <c r="H42" s="176" t="s">
        <v>174</v>
      </c>
      <c r="I42" s="176">
        <v>5312</v>
      </c>
      <c r="J42" s="176" t="s">
        <v>131</v>
      </c>
      <c r="K42" s="176">
        <v>1460</v>
      </c>
      <c r="L42" s="176" t="s">
        <v>123</v>
      </c>
      <c r="M42" s="176">
        <v>2021</v>
      </c>
      <c r="N42" s="176">
        <v>2021</v>
      </c>
      <c r="O42" s="176" t="s">
        <v>23</v>
      </c>
      <c r="P42" s="196">
        <v>28629</v>
      </c>
      <c r="Q42" s="176" t="s">
        <v>132</v>
      </c>
      <c r="R42" s="176" t="s">
        <v>133</v>
      </c>
    </row>
    <row r="43" spans="2:18" ht="13.5" customHeight="1" x14ac:dyDescent="0.3">
      <c r="E43" s="176" t="s">
        <v>129</v>
      </c>
      <c r="F43" s="176" t="s">
        <v>130</v>
      </c>
      <c r="G43" s="176">
        <v>566</v>
      </c>
      <c r="H43" s="176" t="s">
        <v>174</v>
      </c>
      <c r="I43" s="176">
        <v>5312</v>
      </c>
      <c r="J43" s="176" t="s">
        <v>131</v>
      </c>
      <c r="K43" s="176">
        <v>1610</v>
      </c>
      <c r="L43" s="176" t="s">
        <v>119</v>
      </c>
      <c r="M43" s="176">
        <v>2017</v>
      </c>
      <c r="N43" s="176">
        <v>2017</v>
      </c>
      <c r="O43" s="176" t="s">
        <v>23</v>
      </c>
      <c r="P43" s="196">
        <v>1455</v>
      </c>
      <c r="Q43" s="176" t="s">
        <v>109</v>
      </c>
      <c r="R43" s="176" t="s">
        <v>110</v>
      </c>
    </row>
    <row r="44" spans="2:18" ht="13.5" customHeight="1" x14ac:dyDescent="0.3">
      <c r="E44" s="176" t="s">
        <v>129</v>
      </c>
      <c r="F44" s="176" t="s">
        <v>130</v>
      </c>
      <c r="G44" s="176">
        <v>566</v>
      </c>
      <c r="H44" s="176" t="s">
        <v>174</v>
      </c>
      <c r="I44" s="176">
        <v>5312</v>
      </c>
      <c r="J44" s="176" t="s">
        <v>131</v>
      </c>
      <c r="K44" s="176">
        <v>1610</v>
      </c>
      <c r="L44" s="176" t="s">
        <v>119</v>
      </c>
      <c r="M44" s="176">
        <v>2018</v>
      </c>
      <c r="N44" s="176">
        <v>2018</v>
      </c>
      <c r="O44" s="176" t="s">
        <v>23</v>
      </c>
      <c r="P44" s="196">
        <v>1495</v>
      </c>
      <c r="Q44" s="176" t="s">
        <v>132</v>
      </c>
      <c r="R44" s="176" t="s">
        <v>133</v>
      </c>
    </row>
    <row r="45" spans="2:18" ht="13.5" customHeight="1" x14ac:dyDescent="0.3">
      <c r="E45" s="176" t="s">
        <v>129</v>
      </c>
      <c r="F45" s="176" t="s">
        <v>130</v>
      </c>
      <c r="G45" s="176">
        <v>566</v>
      </c>
      <c r="H45" s="176" t="s">
        <v>174</v>
      </c>
      <c r="I45" s="176">
        <v>5312</v>
      </c>
      <c r="J45" s="176" t="s">
        <v>131</v>
      </c>
      <c r="K45" s="176">
        <v>1610</v>
      </c>
      <c r="L45" s="176" t="s">
        <v>119</v>
      </c>
      <c r="M45" s="176">
        <v>2019</v>
      </c>
      <c r="N45" s="176">
        <v>2019</v>
      </c>
      <c r="O45" s="176" t="s">
        <v>23</v>
      </c>
      <c r="P45" s="196">
        <v>1466</v>
      </c>
      <c r="Q45" s="176" t="s">
        <v>132</v>
      </c>
      <c r="R45" s="176" t="s">
        <v>133</v>
      </c>
    </row>
    <row r="46" spans="2:18" ht="13.5" customHeight="1" x14ac:dyDescent="0.3">
      <c r="E46" s="176" t="s">
        <v>129</v>
      </c>
      <c r="F46" s="176" t="s">
        <v>130</v>
      </c>
      <c r="G46" s="176">
        <v>566</v>
      </c>
      <c r="H46" s="176" t="s">
        <v>174</v>
      </c>
      <c r="I46" s="176">
        <v>5312</v>
      </c>
      <c r="J46" s="176" t="s">
        <v>131</v>
      </c>
      <c r="K46" s="176">
        <v>1610</v>
      </c>
      <c r="L46" s="176" t="s">
        <v>119</v>
      </c>
      <c r="M46" s="176">
        <v>2020</v>
      </c>
      <c r="N46" s="176">
        <v>2020</v>
      </c>
      <c r="O46" s="176" t="s">
        <v>23</v>
      </c>
      <c r="P46" s="196">
        <v>1432</v>
      </c>
      <c r="Q46" s="176" t="s">
        <v>132</v>
      </c>
      <c r="R46" s="176" t="s">
        <v>133</v>
      </c>
    </row>
    <row r="47" spans="2:18" ht="13.5" customHeight="1" x14ac:dyDescent="0.3">
      <c r="E47" s="176" t="s">
        <v>129</v>
      </c>
      <c r="F47" s="176" t="s">
        <v>130</v>
      </c>
      <c r="G47" s="176">
        <v>566</v>
      </c>
      <c r="H47" s="176" t="s">
        <v>174</v>
      </c>
      <c r="I47" s="176">
        <v>5312</v>
      </c>
      <c r="J47" s="176" t="s">
        <v>131</v>
      </c>
      <c r="K47" s="176">
        <v>1610</v>
      </c>
      <c r="L47" s="176" t="s">
        <v>119</v>
      </c>
      <c r="M47" s="176">
        <v>2021</v>
      </c>
      <c r="N47" s="176">
        <v>2021</v>
      </c>
      <c r="O47" s="176" t="s">
        <v>23</v>
      </c>
      <c r="P47" s="196">
        <v>1398</v>
      </c>
      <c r="Q47" s="176" t="s">
        <v>132</v>
      </c>
      <c r="R47" s="176" t="s">
        <v>133</v>
      </c>
    </row>
    <row r="48" spans="2:18" ht="13.5" customHeight="1" x14ac:dyDescent="0.3">
      <c r="E48" s="176" t="s">
        <v>129</v>
      </c>
      <c r="F48" s="176" t="s">
        <v>130</v>
      </c>
      <c r="G48" s="176">
        <v>566</v>
      </c>
      <c r="H48" s="176" t="s">
        <v>174</v>
      </c>
      <c r="I48" s="176">
        <v>5312</v>
      </c>
      <c r="J48" s="176" t="s">
        <v>131</v>
      </c>
      <c r="K48" s="176">
        <v>1706</v>
      </c>
      <c r="L48" s="176" t="s">
        <v>116</v>
      </c>
      <c r="M48" s="176">
        <v>2017</v>
      </c>
      <c r="N48" s="176">
        <v>2017</v>
      </c>
      <c r="O48" s="176" t="s">
        <v>23</v>
      </c>
      <c r="P48" s="196">
        <v>5008440</v>
      </c>
      <c r="Q48" s="176" t="s">
        <v>134</v>
      </c>
      <c r="R48" s="176" t="s">
        <v>135</v>
      </c>
    </row>
    <row r="49" spans="5:20" ht="13.5" customHeight="1" x14ac:dyDescent="0.3">
      <c r="E49" s="176" t="s">
        <v>129</v>
      </c>
      <c r="F49" s="176" t="s">
        <v>130</v>
      </c>
      <c r="G49" s="176">
        <v>566</v>
      </c>
      <c r="H49" s="176" t="s">
        <v>174</v>
      </c>
      <c r="I49" s="176">
        <v>5312</v>
      </c>
      <c r="J49" s="176" t="s">
        <v>131</v>
      </c>
      <c r="K49" s="176">
        <v>1706</v>
      </c>
      <c r="L49" s="176" t="s">
        <v>116</v>
      </c>
      <c r="M49" s="176">
        <v>2018</v>
      </c>
      <c r="N49" s="176">
        <v>2018</v>
      </c>
      <c r="O49" s="176" t="s">
        <v>23</v>
      </c>
      <c r="P49" s="196">
        <v>4282797</v>
      </c>
      <c r="Q49" s="176" t="s">
        <v>132</v>
      </c>
      <c r="R49" s="176" t="s">
        <v>133</v>
      </c>
    </row>
    <row r="50" spans="5:20" ht="13.5" customHeight="1" x14ac:dyDescent="0.3">
      <c r="E50" s="176" t="s">
        <v>129</v>
      </c>
      <c r="F50" s="176" t="s">
        <v>130</v>
      </c>
      <c r="G50" s="176">
        <v>566</v>
      </c>
      <c r="H50" s="176" t="s">
        <v>174</v>
      </c>
      <c r="I50" s="176">
        <v>5312</v>
      </c>
      <c r="J50" s="176" t="s">
        <v>131</v>
      </c>
      <c r="K50" s="176">
        <v>1706</v>
      </c>
      <c r="L50" s="176" t="s">
        <v>116</v>
      </c>
      <c r="M50" s="176">
        <v>2019</v>
      </c>
      <c r="N50" s="176">
        <v>2019</v>
      </c>
      <c r="O50" s="176" t="s">
        <v>23</v>
      </c>
      <c r="P50" s="196">
        <v>4410336</v>
      </c>
      <c r="Q50" s="176" t="s">
        <v>132</v>
      </c>
      <c r="R50" s="176" t="s">
        <v>133</v>
      </c>
    </row>
    <row r="51" spans="5:20" ht="13.5" customHeight="1" x14ac:dyDescent="0.3">
      <c r="E51" s="176" t="s">
        <v>129</v>
      </c>
      <c r="F51" s="176" t="s">
        <v>130</v>
      </c>
      <c r="G51" s="176">
        <v>566</v>
      </c>
      <c r="H51" s="176" t="s">
        <v>174</v>
      </c>
      <c r="I51" s="176">
        <v>5312</v>
      </c>
      <c r="J51" s="176" t="s">
        <v>131</v>
      </c>
      <c r="K51" s="176">
        <v>1706</v>
      </c>
      <c r="L51" s="176" t="s">
        <v>116</v>
      </c>
      <c r="M51" s="176">
        <v>2020</v>
      </c>
      <c r="N51" s="176">
        <v>2020</v>
      </c>
      <c r="O51" s="176" t="s">
        <v>23</v>
      </c>
      <c r="P51" s="196">
        <v>4688231</v>
      </c>
      <c r="Q51" s="176" t="s">
        <v>132</v>
      </c>
      <c r="R51" s="176" t="s">
        <v>133</v>
      </c>
    </row>
    <row r="52" spans="5:20" ht="13.5" customHeight="1" x14ac:dyDescent="0.3">
      <c r="E52" s="176" t="s">
        <v>129</v>
      </c>
      <c r="F52" s="176" t="s">
        <v>130</v>
      </c>
      <c r="G52" s="176">
        <v>566</v>
      </c>
      <c r="H52" s="176" t="s">
        <v>174</v>
      </c>
      <c r="I52" s="176">
        <v>5312</v>
      </c>
      <c r="J52" s="176" t="s">
        <v>131</v>
      </c>
      <c r="K52" s="176">
        <v>1706</v>
      </c>
      <c r="L52" s="176" t="s">
        <v>116</v>
      </c>
      <c r="M52" s="176">
        <v>2021</v>
      </c>
      <c r="N52" s="176">
        <v>2021</v>
      </c>
      <c r="O52" s="176" t="s">
        <v>23</v>
      </c>
      <c r="P52" s="196">
        <v>4701992</v>
      </c>
      <c r="Q52" s="176" t="s">
        <v>132</v>
      </c>
      <c r="R52" s="176" t="s">
        <v>133</v>
      </c>
    </row>
    <row r="53" spans="5:20" ht="13.5" customHeight="1" x14ac:dyDescent="0.3">
      <c r="E53" s="176" t="s">
        <v>129</v>
      </c>
      <c r="F53" s="176" t="s">
        <v>130</v>
      </c>
      <c r="G53" s="176">
        <v>566</v>
      </c>
      <c r="H53" s="176" t="s">
        <v>174</v>
      </c>
      <c r="I53" s="176">
        <v>5312</v>
      </c>
      <c r="J53" s="176" t="s">
        <v>131</v>
      </c>
      <c r="K53" s="176">
        <v>1193</v>
      </c>
      <c r="L53" s="176" t="s">
        <v>181</v>
      </c>
      <c r="M53" s="176">
        <v>2017</v>
      </c>
      <c r="N53" s="176">
        <v>2017</v>
      </c>
      <c r="O53" s="176" t="s">
        <v>23</v>
      </c>
      <c r="P53" s="196">
        <v>170905</v>
      </c>
      <c r="Q53" s="176" t="s">
        <v>132</v>
      </c>
      <c r="R53" s="176" t="s">
        <v>133</v>
      </c>
    </row>
    <row r="54" spans="5:20" ht="13.5" customHeight="1" x14ac:dyDescent="0.3">
      <c r="E54" s="176" t="s">
        <v>129</v>
      </c>
      <c r="F54" s="176" t="s">
        <v>130</v>
      </c>
      <c r="G54" s="176">
        <v>566</v>
      </c>
      <c r="H54" s="176" t="s">
        <v>174</v>
      </c>
      <c r="I54" s="176">
        <v>5312</v>
      </c>
      <c r="J54" s="176" t="s">
        <v>131</v>
      </c>
      <c r="K54" s="176">
        <v>1193</v>
      </c>
      <c r="L54" s="176" t="s">
        <v>181</v>
      </c>
      <c r="M54" s="176">
        <v>2018</v>
      </c>
      <c r="N54" s="176">
        <v>2018</v>
      </c>
      <c r="O54" s="176" t="s">
        <v>23</v>
      </c>
      <c r="P54" s="196">
        <v>175794</v>
      </c>
      <c r="Q54" s="176" t="s">
        <v>132</v>
      </c>
      <c r="R54" s="176" t="s">
        <v>133</v>
      </c>
    </row>
    <row r="55" spans="5:20" ht="13.5" customHeight="1" x14ac:dyDescent="0.3">
      <c r="E55" s="176" t="s">
        <v>129</v>
      </c>
      <c r="F55" s="176" t="s">
        <v>130</v>
      </c>
      <c r="G55" s="176">
        <v>566</v>
      </c>
      <c r="H55" s="176" t="s">
        <v>174</v>
      </c>
      <c r="I55" s="176">
        <v>5312</v>
      </c>
      <c r="J55" s="176" t="s">
        <v>131</v>
      </c>
      <c r="K55" s="176">
        <v>1193</v>
      </c>
      <c r="L55" s="176" t="s">
        <v>181</v>
      </c>
      <c r="M55" s="176">
        <v>2019</v>
      </c>
      <c r="N55" s="176">
        <v>2019</v>
      </c>
      <c r="O55" s="176" t="s">
        <v>23</v>
      </c>
      <c r="P55" s="196">
        <v>174961</v>
      </c>
      <c r="Q55" s="176" t="s">
        <v>132</v>
      </c>
      <c r="R55" s="176" t="s">
        <v>133</v>
      </c>
    </row>
    <row r="56" spans="5:20" ht="13.5" customHeight="1" x14ac:dyDescent="0.3">
      <c r="E56" s="176" t="s">
        <v>129</v>
      </c>
      <c r="F56" s="176" t="s">
        <v>130</v>
      </c>
      <c r="G56" s="176">
        <v>566</v>
      </c>
      <c r="H56" s="176" t="s">
        <v>174</v>
      </c>
      <c r="I56" s="176">
        <v>5312</v>
      </c>
      <c r="J56" s="176" t="s">
        <v>131</v>
      </c>
      <c r="K56" s="176">
        <v>1193</v>
      </c>
      <c r="L56" s="176" t="s">
        <v>181</v>
      </c>
      <c r="M56" s="176">
        <v>2020</v>
      </c>
      <c r="N56" s="176">
        <v>2020</v>
      </c>
      <c r="O56" s="176" t="s">
        <v>23</v>
      </c>
      <c r="P56" s="196">
        <v>176694</v>
      </c>
      <c r="Q56" s="176" t="s">
        <v>132</v>
      </c>
      <c r="R56" s="176" t="s">
        <v>133</v>
      </c>
    </row>
    <row r="57" spans="5:20" ht="13.5" customHeight="1" x14ac:dyDescent="0.3">
      <c r="E57" s="176" t="s">
        <v>129</v>
      </c>
      <c r="F57" s="176" t="s">
        <v>130</v>
      </c>
      <c r="G57" s="176">
        <v>566</v>
      </c>
      <c r="H57" s="176" t="s">
        <v>174</v>
      </c>
      <c r="I57" s="176">
        <v>5312</v>
      </c>
      <c r="J57" s="176" t="s">
        <v>131</v>
      </c>
      <c r="K57" s="176">
        <v>1193</v>
      </c>
      <c r="L57" s="176" t="s">
        <v>181</v>
      </c>
      <c r="M57" s="176">
        <v>2021</v>
      </c>
      <c r="N57" s="176">
        <v>2021</v>
      </c>
      <c r="O57" s="176" t="s">
        <v>23</v>
      </c>
      <c r="P57" s="196">
        <v>175816</v>
      </c>
      <c r="Q57" s="176" t="s">
        <v>109</v>
      </c>
      <c r="R57" s="176" t="s">
        <v>110</v>
      </c>
    </row>
    <row r="58" spans="5:20" ht="13.5" customHeight="1" x14ac:dyDescent="0.3">
      <c r="E58" s="176" t="s">
        <v>129</v>
      </c>
      <c r="F58" s="176" t="s">
        <v>130</v>
      </c>
      <c r="G58" s="176">
        <v>566</v>
      </c>
      <c r="H58" s="176" t="s">
        <v>174</v>
      </c>
      <c r="I58" s="176">
        <v>5312</v>
      </c>
      <c r="J58" s="176" t="s">
        <v>131</v>
      </c>
      <c r="K58" s="176">
        <v>1657</v>
      </c>
      <c r="L58" s="176" t="s">
        <v>144</v>
      </c>
      <c r="M58" s="176">
        <v>2017</v>
      </c>
      <c r="N58" s="176">
        <v>2017</v>
      </c>
      <c r="O58" s="176" t="s">
        <v>23</v>
      </c>
      <c r="P58" s="196">
        <v>96059</v>
      </c>
      <c r="Q58" s="176" t="s">
        <v>134</v>
      </c>
      <c r="R58" s="176" t="s">
        <v>135</v>
      </c>
    </row>
    <row r="59" spans="5:20" ht="13.5" customHeight="1" x14ac:dyDescent="0.3">
      <c r="E59" s="176" t="s">
        <v>129</v>
      </c>
      <c r="F59" s="176" t="s">
        <v>130</v>
      </c>
      <c r="G59" s="176">
        <v>566</v>
      </c>
      <c r="H59" s="176" t="s">
        <v>174</v>
      </c>
      <c r="I59" s="176">
        <v>5312</v>
      </c>
      <c r="J59" s="176" t="s">
        <v>131</v>
      </c>
      <c r="K59" s="176">
        <v>1657</v>
      </c>
      <c r="L59" s="176" t="s">
        <v>144</v>
      </c>
      <c r="M59" s="176">
        <v>2018</v>
      </c>
      <c r="N59" s="176">
        <v>2018</v>
      </c>
      <c r="O59" s="176" t="s">
        <v>23</v>
      </c>
      <c r="P59" s="196">
        <v>87125</v>
      </c>
      <c r="Q59" s="176" t="s">
        <v>132</v>
      </c>
      <c r="R59" s="176" t="s">
        <v>133</v>
      </c>
    </row>
    <row r="60" spans="5:20" ht="13.5" customHeight="1" x14ac:dyDescent="0.3">
      <c r="E60" s="176" t="s">
        <v>129</v>
      </c>
      <c r="F60" s="176" t="s">
        <v>130</v>
      </c>
      <c r="G60" s="176">
        <v>566</v>
      </c>
      <c r="H60" s="176" t="s">
        <v>174</v>
      </c>
      <c r="I60" s="176">
        <v>5312</v>
      </c>
      <c r="J60" s="176" t="s">
        <v>131</v>
      </c>
      <c r="K60" s="176">
        <v>1657</v>
      </c>
      <c r="L60" s="176" t="s">
        <v>144</v>
      </c>
      <c r="M60" s="176">
        <v>2019</v>
      </c>
      <c r="N60" s="176">
        <v>2019</v>
      </c>
      <c r="O60" s="176" t="s">
        <v>23</v>
      </c>
      <c r="P60" s="196">
        <v>81027</v>
      </c>
      <c r="Q60" s="176" t="s">
        <v>132</v>
      </c>
      <c r="R60" s="176" t="s">
        <v>133</v>
      </c>
    </row>
    <row r="61" spans="5:20" ht="13.5" customHeight="1" x14ac:dyDescent="0.3">
      <c r="E61" s="176" t="s">
        <v>129</v>
      </c>
      <c r="F61" s="176" t="s">
        <v>130</v>
      </c>
      <c r="G61" s="176">
        <v>566</v>
      </c>
      <c r="H61" s="176" t="s">
        <v>174</v>
      </c>
      <c r="I61" s="176">
        <v>5312</v>
      </c>
      <c r="J61" s="176" t="s">
        <v>131</v>
      </c>
      <c r="K61" s="176">
        <v>1657</v>
      </c>
      <c r="L61" s="176" t="s">
        <v>144</v>
      </c>
      <c r="M61" s="176">
        <v>2020</v>
      </c>
      <c r="N61" s="176">
        <v>2020</v>
      </c>
      <c r="O61" s="176" t="s">
        <v>23</v>
      </c>
      <c r="P61" s="196">
        <v>85685</v>
      </c>
      <c r="Q61" s="176" t="s">
        <v>132</v>
      </c>
      <c r="R61" s="176" t="s">
        <v>133</v>
      </c>
    </row>
    <row r="62" spans="5:20" ht="13.5" customHeight="1" x14ac:dyDescent="0.3">
      <c r="E62" s="176" t="s">
        <v>129</v>
      </c>
      <c r="F62" s="176" t="s">
        <v>130</v>
      </c>
      <c r="G62" s="176">
        <v>566</v>
      </c>
      <c r="H62" s="176" t="s">
        <v>174</v>
      </c>
      <c r="I62" s="176">
        <v>5312</v>
      </c>
      <c r="J62" s="176" t="s">
        <v>131</v>
      </c>
      <c r="K62" s="176">
        <v>1657</v>
      </c>
      <c r="L62" s="176" t="s">
        <v>144</v>
      </c>
      <c r="M62" s="176">
        <v>2021</v>
      </c>
      <c r="N62" s="176">
        <v>2021</v>
      </c>
      <c r="O62" s="176" t="s">
        <v>23</v>
      </c>
      <c r="P62" s="196">
        <v>86911</v>
      </c>
      <c r="Q62" s="176" t="s">
        <v>132</v>
      </c>
      <c r="R62" s="176" t="s">
        <v>133</v>
      </c>
    </row>
    <row r="63" spans="5:20" ht="13.5" customHeight="1" x14ac:dyDescent="0.3">
      <c r="E63" s="176" t="s">
        <v>129</v>
      </c>
      <c r="F63" s="176" t="s">
        <v>130</v>
      </c>
      <c r="G63" s="176">
        <v>566</v>
      </c>
      <c r="H63" s="176" t="s">
        <v>174</v>
      </c>
      <c r="I63" s="176">
        <v>5312</v>
      </c>
      <c r="J63" s="176" t="s">
        <v>131</v>
      </c>
      <c r="K63" s="176">
        <v>1290.01</v>
      </c>
      <c r="L63" s="176" t="s">
        <v>182</v>
      </c>
      <c r="M63" s="176">
        <v>2017</v>
      </c>
      <c r="N63" s="176">
        <v>2017</v>
      </c>
      <c r="O63" s="176" t="s">
        <v>23</v>
      </c>
      <c r="P63" s="196">
        <v>199241</v>
      </c>
      <c r="Q63" s="176" t="s">
        <v>132</v>
      </c>
      <c r="R63" s="176" t="s">
        <v>133</v>
      </c>
      <c r="T63" s="7"/>
    </row>
    <row r="64" spans="5:20" ht="13.5" customHeight="1" x14ac:dyDescent="0.3">
      <c r="E64" s="176" t="s">
        <v>129</v>
      </c>
      <c r="F64" s="176" t="s">
        <v>130</v>
      </c>
      <c r="G64" s="176">
        <v>566</v>
      </c>
      <c r="H64" s="176" t="s">
        <v>174</v>
      </c>
      <c r="I64" s="176">
        <v>5312</v>
      </c>
      <c r="J64" s="176" t="s">
        <v>131</v>
      </c>
      <c r="K64" s="176">
        <v>1290.01</v>
      </c>
      <c r="L64" s="176" t="s">
        <v>182</v>
      </c>
      <c r="M64" s="176">
        <v>2018</v>
      </c>
      <c r="N64" s="176">
        <v>2018</v>
      </c>
      <c r="O64" s="176" t="s">
        <v>23</v>
      </c>
      <c r="P64" s="196">
        <v>199787</v>
      </c>
      <c r="Q64" s="176" t="s">
        <v>132</v>
      </c>
      <c r="R64" s="176" t="s">
        <v>133</v>
      </c>
      <c r="T64" s="7"/>
    </row>
    <row r="65" spans="5:20" ht="13.5" customHeight="1" x14ac:dyDescent="0.3">
      <c r="E65" s="176" t="s">
        <v>129</v>
      </c>
      <c r="F65" s="176" t="s">
        <v>130</v>
      </c>
      <c r="G65" s="176">
        <v>566</v>
      </c>
      <c r="H65" s="176" t="s">
        <v>174</v>
      </c>
      <c r="I65" s="176">
        <v>5312</v>
      </c>
      <c r="J65" s="176" t="s">
        <v>131</v>
      </c>
      <c r="K65" s="176">
        <v>1290.01</v>
      </c>
      <c r="L65" s="176" t="s">
        <v>182</v>
      </c>
      <c r="M65" s="176">
        <v>2019</v>
      </c>
      <c r="N65" s="176">
        <v>2019</v>
      </c>
      <c r="O65" s="176" t="s">
        <v>23</v>
      </c>
      <c r="P65" s="196">
        <v>201849</v>
      </c>
      <c r="Q65" s="176" t="s">
        <v>132</v>
      </c>
      <c r="R65" s="176" t="s">
        <v>133</v>
      </c>
      <c r="T65" s="7"/>
    </row>
    <row r="66" spans="5:20" ht="13.5" customHeight="1" x14ac:dyDescent="0.3">
      <c r="E66" s="176" t="s">
        <v>129</v>
      </c>
      <c r="F66" s="176" t="s">
        <v>130</v>
      </c>
      <c r="G66" s="176">
        <v>566</v>
      </c>
      <c r="H66" s="176" t="s">
        <v>174</v>
      </c>
      <c r="I66" s="176">
        <v>5312</v>
      </c>
      <c r="J66" s="176" t="s">
        <v>131</v>
      </c>
      <c r="K66" s="176">
        <v>1290.01</v>
      </c>
      <c r="L66" s="176" t="s">
        <v>182</v>
      </c>
      <c r="M66" s="176">
        <v>2020</v>
      </c>
      <c r="N66" s="176">
        <v>2020</v>
      </c>
      <c r="O66" s="176" t="s">
        <v>23</v>
      </c>
      <c r="P66" s="196">
        <v>203145</v>
      </c>
      <c r="Q66" s="176" t="s">
        <v>132</v>
      </c>
      <c r="R66" s="176" t="s">
        <v>133</v>
      </c>
      <c r="T66" s="7"/>
    </row>
    <row r="67" spans="5:20" ht="13.5" customHeight="1" x14ac:dyDescent="0.3">
      <c r="E67" s="176" t="s">
        <v>129</v>
      </c>
      <c r="F67" s="176" t="s">
        <v>130</v>
      </c>
      <c r="G67" s="176">
        <v>566</v>
      </c>
      <c r="H67" s="176" t="s">
        <v>174</v>
      </c>
      <c r="I67" s="176">
        <v>5312</v>
      </c>
      <c r="J67" s="176" t="s">
        <v>131</v>
      </c>
      <c r="K67" s="176">
        <v>1290.01</v>
      </c>
      <c r="L67" s="176" t="s">
        <v>182</v>
      </c>
      <c r="M67" s="176">
        <v>2021</v>
      </c>
      <c r="N67" s="176">
        <v>2021</v>
      </c>
      <c r="O67" s="176" t="s">
        <v>23</v>
      </c>
      <c r="P67" s="196">
        <v>204527</v>
      </c>
      <c r="Q67" s="176" t="s">
        <v>132</v>
      </c>
      <c r="R67" s="176" t="s">
        <v>133</v>
      </c>
      <c r="T67" s="7"/>
    </row>
    <row r="68" spans="5:20" ht="13.5" customHeight="1" x14ac:dyDescent="0.3">
      <c r="E68" s="176" t="s">
        <v>129</v>
      </c>
      <c r="F68" s="176" t="s">
        <v>130</v>
      </c>
      <c r="G68" s="176">
        <v>566</v>
      </c>
      <c r="H68" s="176" t="s">
        <v>174</v>
      </c>
      <c r="I68" s="176">
        <v>5312</v>
      </c>
      <c r="J68" s="176" t="s">
        <v>131</v>
      </c>
      <c r="K68" s="176">
        <v>1252</v>
      </c>
      <c r="L68" s="176" t="s">
        <v>145</v>
      </c>
      <c r="M68" s="176">
        <v>2017</v>
      </c>
      <c r="N68" s="176">
        <v>2017</v>
      </c>
      <c r="O68" s="176" t="s">
        <v>23</v>
      </c>
      <c r="P68" s="196">
        <v>176</v>
      </c>
      <c r="Q68" s="176" t="s">
        <v>132</v>
      </c>
      <c r="R68" s="176" t="s">
        <v>133</v>
      </c>
      <c r="T68" s="7"/>
    </row>
    <row r="69" spans="5:20" ht="13.5" customHeight="1" x14ac:dyDescent="0.3">
      <c r="E69" s="176" t="s">
        <v>129</v>
      </c>
      <c r="F69" s="176" t="s">
        <v>130</v>
      </c>
      <c r="G69" s="176">
        <v>566</v>
      </c>
      <c r="H69" s="176" t="s">
        <v>174</v>
      </c>
      <c r="I69" s="176">
        <v>5312</v>
      </c>
      <c r="J69" s="176" t="s">
        <v>131</v>
      </c>
      <c r="K69" s="176">
        <v>1252</v>
      </c>
      <c r="L69" s="176" t="s">
        <v>145</v>
      </c>
      <c r="M69" s="176">
        <v>2018</v>
      </c>
      <c r="N69" s="176">
        <v>2018</v>
      </c>
      <c r="O69" s="176" t="s">
        <v>23</v>
      </c>
      <c r="P69" s="196">
        <v>138</v>
      </c>
      <c r="Q69" s="176" t="s">
        <v>132</v>
      </c>
      <c r="R69" s="176" t="s">
        <v>133</v>
      </c>
      <c r="T69" s="7"/>
    </row>
    <row r="70" spans="5:20" ht="13.5" customHeight="1" x14ac:dyDescent="0.3">
      <c r="E70" s="176" t="s">
        <v>129</v>
      </c>
      <c r="F70" s="176" t="s">
        <v>130</v>
      </c>
      <c r="G70" s="176">
        <v>566</v>
      </c>
      <c r="H70" s="176" t="s">
        <v>174</v>
      </c>
      <c r="I70" s="176">
        <v>5312</v>
      </c>
      <c r="J70" s="176" t="s">
        <v>131</v>
      </c>
      <c r="K70" s="176">
        <v>1252</v>
      </c>
      <c r="L70" s="176" t="s">
        <v>145</v>
      </c>
      <c r="M70" s="176">
        <v>2019</v>
      </c>
      <c r="N70" s="176">
        <v>2019</v>
      </c>
      <c r="O70" s="176" t="s">
        <v>23</v>
      </c>
      <c r="P70" s="196">
        <v>98</v>
      </c>
      <c r="Q70" s="176" t="s">
        <v>132</v>
      </c>
      <c r="R70" s="176" t="s">
        <v>133</v>
      </c>
      <c r="T70" s="7"/>
    </row>
    <row r="71" spans="5:20" ht="13.5" customHeight="1" x14ac:dyDescent="0.3">
      <c r="E71" s="176" t="s">
        <v>129</v>
      </c>
      <c r="F71" s="176" t="s">
        <v>130</v>
      </c>
      <c r="G71" s="176">
        <v>566</v>
      </c>
      <c r="H71" s="176" t="s">
        <v>174</v>
      </c>
      <c r="I71" s="176">
        <v>5312</v>
      </c>
      <c r="J71" s="176" t="s">
        <v>131</v>
      </c>
      <c r="K71" s="176">
        <v>1252</v>
      </c>
      <c r="L71" s="176" t="s">
        <v>145</v>
      </c>
      <c r="M71" s="176">
        <v>2020</v>
      </c>
      <c r="N71" s="176">
        <v>2020</v>
      </c>
      <c r="O71" s="176" t="s">
        <v>23</v>
      </c>
      <c r="P71" s="196">
        <v>170</v>
      </c>
      <c r="Q71" s="176" t="s">
        <v>132</v>
      </c>
      <c r="R71" s="176" t="s">
        <v>133</v>
      </c>
      <c r="T71" s="7"/>
    </row>
    <row r="72" spans="5:20" ht="13.5" customHeight="1" x14ac:dyDescent="0.3">
      <c r="E72" s="176" t="s">
        <v>129</v>
      </c>
      <c r="F72" s="176" t="s">
        <v>130</v>
      </c>
      <c r="G72" s="176">
        <v>566</v>
      </c>
      <c r="H72" s="176" t="s">
        <v>174</v>
      </c>
      <c r="I72" s="176">
        <v>5312</v>
      </c>
      <c r="J72" s="176" t="s">
        <v>131</v>
      </c>
      <c r="K72" s="176">
        <v>1252</v>
      </c>
      <c r="L72" s="176" t="s">
        <v>145</v>
      </c>
      <c r="M72" s="176">
        <v>2021</v>
      </c>
      <c r="N72" s="176">
        <v>2021</v>
      </c>
      <c r="O72" s="176" t="s">
        <v>23</v>
      </c>
      <c r="P72" s="196">
        <v>167</v>
      </c>
      <c r="Q72" s="176" t="s">
        <v>132</v>
      </c>
      <c r="R72" s="176" t="s">
        <v>133</v>
      </c>
      <c r="T72" s="7"/>
    </row>
    <row r="73" spans="5:20" ht="13.5" customHeight="1" x14ac:dyDescent="0.3">
      <c r="E73" s="176" t="s">
        <v>129</v>
      </c>
      <c r="F73" s="176" t="s">
        <v>130</v>
      </c>
      <c r="G73" s="176">
        <v>566</v>
      </c>
      <c r="H73" s="176" t="s">
        <v>174</v>
      </c>
      <c r="I73" s="176">
        <v>5312</v>
      </c>
      <c r="J73" s="176" t="s">
        <v>131</v>
      </c>
      <c r="K73" s="176">
        <v>142</v>
      </c>
      <c r="L73" s="176" t="s">
        <v>146</v>
      </c>
      <c r="M73" s="176">
        <v>2017</v>
      </c>
      <c r="N73" s="176">
        <v>2017</v>
      </c>
      <c r="O73" s="176" t="s">
        <v>23</v>
      </c>
      <c r="P73" s="196">
        <v>3596850</v>
      </c>
      <c r="Q73" s="176" t="s">
        <v>134</v>
      </c>
      <c r="R73" s="176" t="s">
        <v>135</v>
      </c>
      <c r="T73" s="7"/>
    </row>
    <row r="74" spans="5:20" ht="13.5" customHeight="1" x14ac:dyDescent="0.3">
      <c r="E74" s="176" t="s">
        <v>129</v>
      </c>
      <c r="F74" s="176" t="s">
        <v>130</v>
      </c>
      <c r="G74" s="176">
        <v>566</v>
      </c>
      <c r="H74" s="176" t="s">
        <v>174</v>
      </c>
      <c r="I74" s="176">
        <v>5312</v>
      </c>
      <c r="J74" s="176" t="s">
        <v>131</v>
      </c>
      <c r="K74" s="176">
        <v>142</v>
      </c>
      <c r="L74" s="176" t="s">
        <v>146</v>
      </c>
      <c r="M74" s="176">
        <v>2018</v>
      </c>
      <c r="N74" s="176">
        <v>2018</v>
      </c>
      <c r="O74" s="176" t="s">
        <v>23</v>
      </c>
      <c r="P74" s="196">
        <v>3757889</v>
      </c>
      <c r="Q74" s="176" t="s">
        <v>132</v>
      </c>
      <c r="R74" s="176" t="s">
        <v>133</v>
      </c>
      <c r="T74" s="7"/>
    </row>
    <row r="75" spans="5:20" ht="13.5" customHeight="1" x14ac:dyDescent="0.3">
      <c r="E75" s="176" t="s">
        <v>129</v>
      </c>
      <c r="F75" s="176" t="s">
        <v>130</v>
      </c>
      <c r="G75" s="176">
        <v>566</v>
      </c>
      <c r="H75" s="176" t="s">
        <v>174</v>
      </c>
      <c r="I75" s="176">
        <v>5312</v>
      </c>
      <c r="J75" s="176" t="s">
        <v>131</v>
      </c>
      <c r="K75" s="176">
        <v>142</v>
      </c>
      <c r="L75" s="176" t="s">
        <v>146</v>
      </c>
      <c r="M75" s="176">
        <v>2019</v>
      </c>
      <c r="N75" s="176">
        <v>2019</v>
      </c>
      <c r="O75" s="176" t="s">
        <v>23</v>
      </c>
      <c r="P75" s="196">
        <v>3941360</v>
      </c>
      <c r="Q75" s="176" t="s">
        <v>132</v>
      </c>
      <c r="R75" s="176" t="s">
        <v>133</v>
      </c>
      <c r="T75" s="7"/>
    </row>
    <row r="76" spans="5:20" ht="13.5" customHeight="1" x14ac:dyDescent="0.3">
      <c r="E76" s="176" t="s">
        <v>129</v>
      </c>
      <c r="F76" s="176" t="s">
        <v>130</v>
      </c>
      <c r="G76" s="176">
        <v>566</v>
      </c>
      <c r="H76" s="176" t="s">
        <v>174</v>
      </c>
      <c r="I76" s="176">
        <v>5312</v>
      </c>
      <c r="J76" s="176" t="s">
        <v>131</v>
      </c>
      <c r="K76" s="176">
        <v>142</v>
      </c>
      <c r="L76" s="176" t="s">
        <v>146</v>
      </c>
      <c r="M76" s="176">
        <v>2020</v>
      </c>
      <c r="N76" s="176">
        <v>2020</v>
      </c>
      <c r="O76" s="176" t="s">
        <v>23</v>
      </c>
      <c r="P76" s="196">
        <v>4119066</v>
      </c>
      <c r="Q76" s="176" t="s">
        <v>132</v>
      </c>
      <c r="R76" s="176" t="s">
        <v>133</v>
      </c>
      <c r="T76" s="7"/>
    </row>
    <row r="77" spans="5:20" ht="13.5" customHeight="1" x14ac:dyDescent="0.3">
      <c r="E77" s="176" t="s">
        <v>129</v>
      </c>
      <c r="F77" s="176" t="s">
        <v>130</v>
      </c>
      <c r="G77" s="176">
        <v>566</v>
      </c>
      <c r="H77" s="176" t="s">
        <v>174</v>
      </c>
      <c r="I77" s="176">
        <v>5312</v>
      </c>
      <c r="J77" s="176" t="s">
        <v>131</v>
      </c>
      <c r="K77" s="176">
        <v>142</v>
      </c>
      <c r="L77" s="176" t="s">
        <v>146</v>
      </c>
      <c r="M77" s="176">
        <v>2021</v>
      </c>
      <c r="N77" s="176">
        <v>2021</v>
      </c>
      <c r="O77" s="176" t="s">
        <v>23</v>
      </c>
      <c r="P77" s="196">
        <v>4271859</v>
      </c>
      <c r="Q77" s="176" t="s">
        <v>109</v>
      </c>
      <c r="R77" s="176" t="s">
        <v>110</v>
      </c>
      <c r="T77" s="7"/>
    </row>
    <row r="78" spans="5:20" ht="13.5" customHeight="1" x14ac:dyDescent="0.3">
      <c r="E78" s="176" t="s">
        <v>129</v>
      </c>
      <c r="F78" s="176" t="s">
        <v>130</v>
      </c>
      <c r="G78" s="176">
        <v>566</v>
      </c>
      <c r="H78" s="176" t="s">
        <v>174</v>
      </c>
      <c r="I78" s="176">
        <v>5312</v>
      </c>
      <c r="J78" s="176" t="s">
        <v>131</v>
      </c>
      <c r="K78" s="176">
        <v>1499.01</v>
      </c>
      <c r="L78" s="176" t="s">
        <v>183</v>
      </c>
      <c r="M78" s="176">
        <v>2017</v>
      </c>
      <c r="N78" s="176">
        <v>2017</v>
      </c>
      <c r="O78" s="176" t="s">
        <v>23</v>
      </c>
      <c r="P78" s="196">
        <v>403911</v>
      </c>
      <c r="Q78" s="176" t="s">
        <v>132</v>
      </c>
      <c r="R78" s="176" t="s">
        <v>133</v>
      </c>
    </row>
    <row r="79" spans="5:20" ht="13.5" customHeight="1" x14ac:dyDescent="0.3">
      <c r="E79" s="176" t="s">
        <v>129</v>
      </c>
      <c r="F79" s="176" t="s">
        <v>130</v>
      </c>
      <c r="G79" s="176">
        <v>566</v>
      </c>
      <c r="H79" s="176" t="s">
        <v>174</v>
      </c>
      <c r="I79" s="176">
        <v>5312</v>
      </c>
      <c r="J79" s="176" t="s">
        <v>131</v>
      </c>
      <c r="K79" s="176">
        <v>1499.01</v>
      </c>
      <c r="L79" s="176" t="s">
        <v>183</v>
      </c>
      <c r="M79" s="176">
        <v>2018</v>
      </c>
      <c r="N79" s="176">
        <v>2018</v>
      </c>
      <c r="O79" s="176" t="s">
        <v>23</v>
      </c>
      <c r="P79" s="196">
        <v>400345</v>
      </c>
      <c r="Q79" s="176" t="s">
        <v>109</v>
      </c>
      <c r="R79" s="176" t="s">
        <v>110</v>
      </c>
    </row>
    <row r="80" spans="5:20" ht="13.5" customHeight="1" x14ac:dyDescent="0.3">
      <c r="E80" s="176" t="s">
        <v>129</v>
      </c>
      <c r="F80" s="176" t="s">
        <v>130</v>
      </c>
      <c r="G80" s="176">
        <v>566</v>
      </c>
      <c r="H80" s="176" t="s">
        <v>174</v>
      </c>
      <c r="I80" s="176">
        <v>5312</v>
      </c>
      <c r="J80" s="176" t="s">
        <v>131</v>
      </c>
      <c r="K80" s="176">
        <v>1499.01</v>
      </c>
      <c r="L80" s="176" t="s">
        <v>183</v>
      </c>
      <c r="M80" s="176">
        <v>2019</v>
      </c>
      <c r="N80" s="176">
        <v>2019</v>
      </c>
      <c r="O80" s="176" t="s">
        <v>23</v>
      </c>
      <c r="P80" s="196">
        <v>397969</v>
      </c>
      <c r="Q80" s="176" t="s">
        <v>109</v>
      </c>
      <c r="R80" s="176" t="s">
        <v>110</v>
      </c>
    </row>
    <row r="81" spans="5:18" ht="13.5" customHeight="1" x14ac:dyDescent="0.3">
      <c r="E81" s="176" t="s">
        <v>129</v>
      </c>
      <c r="F81" s="176" t="s">
        <v>130</v>
      </c>
      <c r="G81" s="176">
        <v>566</v>
      </c>
      <c r="H81" s="176" t="s">
        <v>174</v>
      </c>
      <c r="I81" s="176">
        <v>5312</v>
      </c>
      <c r="J81" s="176" t="s">
        <v>131</v>
      </c>
      <c r="K81" s="176">
        <v>1499.01</v>
      </c>
      <c r="L81" s="176" t="s">
        <v>183</v>
      </c>
      <c r="M81" s="176">
        <v>2020</v>
      </c>
      <c r="N81" s="176">
        <v>2020</v>
      </c>
      <c r="O81" s="176" t="s">
        <v>23</v>
      </c>
      <c r="P81" s="196">
        <v>400742</v>
      </c>
      <c r="Q81" s="176" t="s">
        <v>109</v>
      </c>
      <c r="R81" s="176" t="s">
        <v>110</v>
      </c>
    </row>
    <row r="82" spans="5:18" ht="13.5" customHeight="1" x14ac:dyDescent="0.3">
      <c r="E82" s="176" t="s">
        <v>129</v>
      </c>
      <c r="F82" s="176" t="s">
        <v>130</v>
      </c>
      <c r="G82" s="176">
        <v>566</v>
      </c>
      <c r="H82" s="176" t="s">
        <v>174</v>
      </c>
      <c r="I82" s="176">
        <v>5312</v>
      </c>
      <c r="J82" s="176" t="s">
        <v>131</v>
      </c>
      <c r="K82" s="176">
        <v>1499.01</v>
      </c>
      <c r="L82" s="176" t="s">
        <v>183</v>
      </c>
      <c r="M82" s="176">
        <v>2021</v>
      </c>
      <c r="N82" s="176">
        <v>2021</v>
      </c>
      <c r="O82" s="176" t="s">
        <v>23</v>
      </c>
      <c r="P82" s="196">
        <v>399685</v>
      </c>
      <c r="Q82" s="176" t="s">
        <v>109</v>
      </c>
      <c r="R82" s="176" t="s">
        <v>110</v>
      </c>
    </row>
    <row r="83" spans="5:18" ht="13.5" customHeight="1" x14ac:dyDescent="0.3">
      <c r="E83" s="176" t="s">
        <v>129</v>
      </c>
      <c r="F83" s="176" t="s">
        <v>130</v>
      </c>
      <c r="G83" s="176">
        <v>566</v>
      </c>
      <c r="H83" s="176" t="s">
        <v>174</v>
      </c>
      <c r="I83" s="176">
        <v>5312</v>
      </c>
      <c r="J83" s="176" t="s">
        <v>131</v>
      </c>
      <c r="K83" s="176">
        <v>1922.02</v>
      </c>
      <c r="L83" s="176" t="s">
        <v>184</v>
      </c>
      <c r="M83" s="176">
        <v>2017</v>
      </c>
      <c r="N83" s="176">
        <v>2017</v>
      </c>
      <c r="O83" s="176" t="s">
        <v>23</v>
      </c>
      <c r="P83" s="196">
        <v>1012</v>
      </c>
      <c r="Q83" s="176" t="s">
        <v>132</v>
      </c>
      <c r="R83" s="176" t="s">
        <v>133</v>
      </c>
    </row>
    <row r="84" spans="5:18" ht="13.5" customHeight="1" x14ac:dyDescent="0.3">
      <c r="E84" s="176" t="s">
        <v>129</v>
      </c>
      <c r="F84" s="176" t="s">
        <v>130</v>
      </c>
      <c r="G84" s="176">
        <v>566</v>
      </c>
      <c r="H84" s="176" t="s">
        <v>174</v>
      </c>
      <c r="I84" s="176">
        <v>5312</v>
      </c>
      <c r="J84" s="176" t="s">
        <v>131</v>
      </c>
      <c r="K84" s="176">
        <v>1922.02</v>
      </c>
      <c r="L84" s="176" t="s">
        <v>184</v>
      </c>
      <c r="M84" s="176">
        <v>2018</v>
      </c>
      <c r="N84" s="176">
        <v>2018</v>
      </c>
      <c r="O84" s="176" t="s">
        <v>23</v>
      </c>
      <c r="P84" s="196">
        <v>1007</v>
      </c>
      <c r="Q84" s="176" t="s">
        <v>132</v>
      </c>
      <c r="R84" s="176" t="s">
        <v>133</v>
      </c>
    </row>
    <row r="85" spans="5:18" ht="13.5" customHeight="1" x14ac:dyDescent="0.3">
      <c r="E85" s="176" t="s">
        <v>129</v>
      </c>
      <c r="F85" s="176" t="s">
        <v>130</v>
      </c>
      <c r="G85" s="176">
        <v>566</v>
      </c>
      <c r="H85" s="176" t="s">
        <v>174</v>
      </c>
      <c r="I85" s="176">
        <v>5312</v>
      </c>
      <c r="J85" s="176" t="s">
        <v>131</v>
      </c>
      <c r="K85" s="176">
        <v>1922.02</v>
      </c>
      <c r="L85" s="176" t="s">
        <v>184</v>
      </c>
      <c r="M85" s="176">
        <v>2019</v>
      </c>
      <c r="N85" s="176">
        <v>2019</v>
      </c>
      <c r="O85" s="176" t="s">
        <v>23</v>
      </c>
      <c r="P85" s="196">
        <v>1015</v>
      </c>
      <c r="Q85" s="176" t="s">
        <v>132</v>
      </c>
      <c r="R85" s="176" t="s">
        <v>133</v>
      </c>
    </row>
    <row r="86" spans="5:18" ht="13.5" customHeight="1" x14ac:dyDescent="0.3">
      <c r="E86" s="176" t="s">
        <v>129</v>
      </c>
      <c r="F86" s="176" t="s">
        <v>130</v>
      </c>
      <c r="G86" s="176">
        <v>566</v>
      </c>
      <c r="H86" s="176" t="s">
        <v>174</v>
      </c>
      <c r="I86" s="176">
        <v>5312</v>
      </c>
      <c r="J86" s="176" t="s">
        <v>131</v>
      </c>
      <c r="K86" s="176">
        <v>1922.02</v>
      </c>
      <c r="L86" s="176" t="s">
        <v>184</v>
      </c>
      <c r="M86" s="176">
        <v>2020</v>
      </c>
      <c r="N86" s="176">
        <v>2020</v>
      </c>
      <c r="O86" s="176" t="s">
        <v>23</v>
      </c>
      <c r="P86" s="196">
        <v>1018</v>
      </c>
      <c r="Q86" s="176" t="s">
        <v>132</v>
      </c>
      <c r="R86" s="176" t="s">
        <v>133</v>
      </c>
    </row>
    <row r="87" spans="5:18" ht="13.5" customHeight="1" x14ac:dyDescent="0.3">
      <c r="E87" s="176" t="s">
        <v>129</v>
      </c>
      <c r="F87" s="176" t="s">
        <v>130</v>
      </c>
      <c r="G87" s="176">
        <v>566</v>
      </c>
      <c r="H87" s="176" t="s">
        <v>174</v>
      </c>
      <c r="I87" s="176">
        <v>5312</v>
      </c>
      <c r="J87" s="176" t="s">
        <v>131</v>
      </c>
      <c r="K87" s="176">
        <v>1922.02</v>
      </c>
      <c r="L87" s="176" t="s">
        <v>184</v>
      </c>
      <c r="M87" s="176">
        <v>2021</v>
      </c>
      <c r="N87" s="176">
        <v>2021</v>
      </c>
      <c r="O87" s="176" t="s">
        <v>23</v>
      </c>
      <c r="P87" s="196">
        <v>1020</v>
      </c>
      <c r="Q87" s="176" t="s">
        <v>132</v>
      </c>
      <c r="R87" s="176" t="s">
        <v>133</v>
      </c>
    </row>
    <row r="88" spans="5:18" ht="13.5" customHeight="1" x14ac:dyDescent="0.3">
      <c r="E88" s="176" t="s">
        <v>129</v>
      </c>
      <c r="F88" s="176" t="s">
        <v>130</v>
      </c>
      <c r="G88" s="176">
        <v>566</v>
      </c>
      <c r="H88" s="176" t="s">
        <v>174</v>
      </c>
      <c r="I88" s="176">
        <v>5312</v>
      </c>
      <c r="J88" s="176" t="s">
        <v>131</v>
      </c>
      <c r="K88" s="176">
        <v>1379.02</v>
      </c>
      <c r="L88" s="176" t="s">
        <v>185</v>
      </c>
      <c r="M88" s="176">
        <v>2017</v>
      </c>
      <c r="N88" s="176">
        <v>2017</v>
      </c>
      <c r="O88" s="176" t="s">
        <v>23</v>
      </c>
      <c r="P88" s="196">
        <v>258790</v>
      </c>
      <c r="Q88" s="176" t="s">
        <v>132</v>
      </c>
      <c r="R88" s="176" t="s">
        <v>133</v>
      </c>
    </row>
    <row r="89" spans="5:18" ht="13.5" customHeight="1" x14ac:dyDescent="0.3">
      <c r="E89" s="176" t="s">
        <v>129</v>
      </c>
      <c r="F89" s="176" t="s">
        <v>130</v>
      </c>
      <c r="G89" s="176">
        <v>566</v>
      </c>
      <c r="H89" s="176" t="s">
        <v>174</v>
      </c>
      <c r="I89" s="176">
        <v>5312</v>
      </c>
      <c r="J89" s="176" t="s">
        <v>131</v>
      </c>
      <c r="K89" s="176">
        <v>1379.02</v>
      </c>
      <c r="L89" s="176" t="s">
        <v>185</v>
      </c>
      <c r="M89" s="176">
        <v>2018</v>
      </c>
      <c r="N89" s="176">
        <v>2018</v>
      </c>
      <c r="O89" s="176" t="s">
        <v>23</v>
      </c>
      <c r="P89" s="196">
        <v>258750</v>
      </c>
      <c r="Q89" s="176" t="s">
        <v>109</v>
      </c>
      <c r="R89" s="176" t="s">
        <v>110</v>
      </c>
    </row>
    <row r="90" spans="5:18" ht="13.5" customHeight="1" x14ac:dyDescent="0.3">
      <c r="E90" s="176" t="s">
        <v>129</v>
      </c>
      <c r="F90" s="176" t="s">
        <v>130</v>
      </c>
      <c r="G90" s="176">
        <v>566</v>
      </c>
      <c r="H90" s="176" t="s">
        <v>174</v>
      </c>
      <c r="I90" s="176">
        <v>5312</v>
      </c>
      <c r="J90" s="176" t="s">
        <v>131</v>
      </c>
      <c r="K90" s="176">
        <v>1379.02</v>
      </c>
      <c r="L90" s="176" t="s">
        <v>185</v>
      </c>
      <c r="M90" s="176">
        <v>2019</v>
      </c>
      <c r="N90" s="176">
        <v>2019</v>
      </c>
      <c r="O90" s="176" t="s">
        <v>23</v>
      </c>
      <c r="P90" s="196">
        <v>255059</v>
      </c>
      <c r="Q90" s="176" t="s">
        <v>109</v>
      </c>
      <c r="R90" s="176" t="s">
        <v>110</v>
      </c>
    </row>
    <row r="91" spans="5:18" ht="13.5" customHeight="1" x14ac:dyDescent="0.3">
      <c r="E91" s="176" t="s">
        <v>129</v>
      </c>
      <c r="F91" s="176" t="s">
        <v>130</v>
      </c>
      <c r="G91" s="176">
        <v>566</v>
      </c>
      <c r="H91" s="176" t="s">
        <v>174</v>
      </c>
      <c r="I91" s="176">
        <v>5312</v>
      </c>
      <c r="J91" s="176" t="s">
        <v>131</v>
      </c>
      <c r="K91" s="176">
        <v>1379.02</v>
      </c>
      <c r="L91" s="176" t="s">
        <v>185</v>
      </c>
      <c r="M91" s="176">
        <v>2020</v>
      </c>
      <c r="N91" s="176">
        <v>2020</v>
      </c>
      <c r="O91" s="176" t="s">
        <v>23</v>
      </c>
      <c r="P91" s="196">
        <v>257533</v>
      </c>
      <c r="Q91" s="176" t="s">
        <v>109</v>
      </c>
      <c r="R91" s="176" t="s">
        <v>110</v>
      </c>
    </row>
    <row r="92" spans="5:18" ht="13.5" customHeight="1" x14ac:dyDescent="0.3">
      <c r="E92" s="176" t="s">
        <v>129</v>
      </c>
      <c r="F92" s="176" t="s">
        <v>130</v>
      </c>
      <c r="G92" s="176">
        <v>566</v>
      </c>
      <c r="H92" s="176" t="s">
        <v>174</v>
      </c>
      <c r="I92" s="176">
        <v>5312</v>
      </c>
      <c r="J92" s="176" t="s">
        <v>131</v>
      </c>
      <c r="K92" s="176">
        <v>1379.02</v>
      </c>
      <c r="L92" s="176" t="s">
        <v>185</v>
      </c>
      <c r="M92" s="176">
        <v>2021</v>
      </c>
      <c r="N92" s="176">
        <v>2021</v>
      </c>
      <c r="O92" s="176" t="s">
        <v>23</v>
      </c>
      <c r="P92" s="196">
        <v>257114</v>
      </c>
      <c r="Q92" s="176" t="s">
        <v>109</v>
      </c>
      <c r="R92" s="176" t="s">
        <v>110</v>
      </c>
    </row>
    <row r="93" spans="5:18" ht="13.5" customHeight="1" x14ac:dyDescent="0.3">
      <c r="E93" s="176" t="s">
        <v>129</v>
      </c>
      <c r="F93" s="176" t="s">
        <v>130</v>
      </c>
      <c r="G93" s="176">
        <v>566</v>
      </c>
      <c r="H93" s="176" t="s">
        <v>174</v>
      </c>
      <c r="I93" s="176">
        <v>5312</v>
      </c>
      <c r="J93" s="176" t="s">
        <v>131</v>
      </c>
      <c r="K93" s="176">
        <v>112</v>
      </c>
      <c r="L93" s="176" t="s">
        <v>115</v>
      </c>
      <c r="M93" s="176">
        <v>2017</v>
      </c>
      <c r="N93" s="176">
        <v>2017</v>
      </c>
      <c r="O93" s="176" t="s">
        <v>23</v>
      </c>
      <c r="P93" s="196">
        <v>6389296</v>
      </c>
      <c r="Q93" s="176" t="s">
        <v>134</v>
      </c>
      <c r="R93" s="176" t="s">
        <v>135</v>
      </c>
    </row>
    <row r="94" spans="5:18" ht="13.5" customHeight="1" x14ac:dyDescent="0.3">
      <c r="E94" s="176" t="s">
        <v>129</v>
      </c>
      <c r="F94" s="176" t="s">
        <v>130</v>
      </c>
      <c r="G94" s="176">
        <v>566</v>
      </c>
      <c r="H94" s="176" t="s">
        <v>174</v>
      </c>
      <c r="I94" s="176">
        <v>5312</v>
      </c>
      <c r="J94" s="176" t="s">
        <v>131</v>
      </c>
      <c r="K94" s="176">
        <v>112</v>
      </c>
      <c r="L94" s="176" t="s">
        <v>115</v>
      </c>
      <c r="M94" s="176">
        <v>2018</v>
      </c>
      <c r="N94" s="176">
        <v>2018</v>
      </c>
      <c r="O94" s="176" t="s">
        <v>23</v>
      </c>
      <c r="P94" s="196">
        <v>6541183</v>
      </c>
      <c r="Q94" s="176" t="s">
        <v>134</v>
      </c>
      <c r="R94" s="176" t="s">
        <v>135</v>
      </c>
    </row>
    <row r="95" spans="5:18" ht="13.5" customHeight="1" x14ac:dyDescent="0.3">
      <c r="E95" s="176" t="s">
        <v>129</v>
      </c>
      <c r="F95" s="176" t="s">
        <v>130</v>
      </c>
      <c r="G95" s="176">
        <v>566</v>
      </c>
      <c r="H95" s="176" t="s">
        <v>174</v>
      </c>
      <c r="I95" s="176">
        <v>5312</v>
      </c>
      <c r="J95" s="176" t="s">
        <v>131</v>
      </c>
      <c r="K95" s="176">
        <v>112</v>
      </c>
      <c r="L95" s="176" t="s">
        <v>115</v>
      </c>
      <c r="M95" s="176">
        <v>2019</v>
      </c>
      <c r="N95" s="176">
        <v>2019</v>
      </c>
      <c r="O95" s="176" t="s">
        <v>23</v>
      </c>
      <c r="P95" s="196">
        <v>6543376</v>
      </c>
      <c r="Q95" s="176" t="s">
        <v>132</v>
      </c>
      <c r="R95" s="176" t="s">
        <v>133</v>
      </c>
    </row>
    <row r="96" spans="5:18" ht="13.5" customHeight="1" x14ac:dyDescent="0.3">
      <c r="E96" s="176" t="s">
        <v>129</v>
      </c>
      <c r="F96" s="176" t="s">
        <v>130</v>
      </c>
      <c r="G96" s="176">
        <v>566</v>
      </c>
      <c r="H96" s="176" t="s">
        <v>174</v>
      </c>
      <c r="I96" s="176">
        <v>5312</v>
      </c>
      <c r="J96" s="176" t="s">
        <v>131</v>
      </c>
      <c r="K96" s="176">
        <v>112</v>
      </c>
      <c r="L96" s="176" t="s">
        <v>115</v>
      </c>
      <c r="M96" s="176">
        <v>2020</v>
      </c>
      <c r="N96" s="176">
        <v>2020</v>
      </c>
      <c r="O96" s="176" t="s">
        <v>23</v>
      </c>
      <c r="P96" s="196">
        <v>5500000</v>
      </c>
      <c r="Q96" s="176" t="s">
        <v>136</v>
      </c>
      <c r="R96" s="176" t="s">
        <v>137</v>
      </c>
    </row>
    <row r="97" spans="5:18" ht="13.5" customHeight="1" x14ac:dyDescent="0.3">
      <c r="E97" s="176" t="s">
        <v>129</v>
      </c>
      <c r="F97" s="176" t="s">
        <v>130</v>
      </c>
      <c r="G97" s="176">
        <v>566</v>
      </c>
      <c r="H97" s="176" t="s">
        <v>174</v>
      </c>
      <c r="I97" s="176">
        <v>5312</v>
      </c>
      <c r="J97" s="176" t="s">
        <v>131</v>
      </c>
      <c r="K97" s="176">
        <v>112</v>
      </c>
      <c r="L97" s="176" t="s">
        <v>115</v>
      </c>
      <c r="M97" s="176">
        <v>2021</v>
      </c>
      <c r="N97" s="176">
        <v>2021</v>
      </c>
      <c r="O97" s="176" t="s">
        <v>23</v>
      </c>
      <c r="P97" s="196">
        <v>6000000</v>
      </c>
      <c r="Q97" s="176" t="s">
        <v>136</v>
      </c>
      <c r="R97" s="176" t="s">
        <v>137</v>
      </c>
    </row>
    <row r="98" spans="5:18" ht="13.5" customHeight="1" x14ac:dyDescent="0.3">
      <c r="E98" s="176" t="s">
        <v>129</v>
      </c>
      <c r="F98" s="176" t="s">
        <v>130</v>
      </c>
      <c r="G98" s="176">
        <v>566</v>
      </c>
      <c r="H98" s="176" t="s">
        <v>174</v>
      </c>
      <c r="I98" s="176">
        <v>5312</v>
      </c>
      <c r="J98" s="176" t="s">
        <v>131</v>
      </c>
      <c r="K98" s="176">
        <v>1316</v>
      </c>
      <c r="L98" s="176" t="s">
        <v>126</v>
      </c>
      <c r="M98" s="176">
        <v>2017</v>
      </c>
      <c r="N98" s="176">
        <v>2017</v>
      </c>
      <c r="O98" s="176" t="s">
        <v>23</v>
      </c>
      <c r="P98" s="196">
        <v>130775</v>
      </c>
      <c r="Q98" s="176" t="s">
        <v>132</v>
      </c>
      <c r="R98" s="176" t="s">
        <v>133</v>
      </c>
    </row>
    <row r="99" spans="5:18" ht="13.5" customHeight="1" x14ac:dyDescent="0.3">
      <c r="E99" s="176" t="s">
        <v>129</v>
      </c>
      <c r="F99" s="176" t="s">
        <v>130</v>
      </c>
      <c r="G99" s="176">
        <v>566</v>
      </c>
      <c r="H99" s="176" t="s">
        <v>174</v>
      </c>
      <c r="I99" s="176">
        <v>5312</v>
      </c>
      <c r="J99" s="176" t="s">
        <v>131</v>
      </c>
      <c r="K99" s="176">
        <v>1316</v>
      </c>
      <c r="L99" s="176" t="s">
        <v>126</v>
      </c>
      <c r="M99" s="176">
        <v>2018</v>
      </c>
      <c r="N99" s="176">
        <v>2018</v>
      </c>
      <c r="O99" s="176" t="s">
        <v>23</v>
      </c>
      <c r="P99" s="196">
        <v>130868</v>
      </c>
      <c r="Q99" s="176" t="s">
        <v>132</v>
      </c>
      <c r="R99" s="176" t="s">
        <v>133</v>
      </c>
    </row>
    <row r="100" spans="5:18" ht="13.5" customHeight="1" x14ac:dyDescent="0.3">
      <c r="E100" s="176" t="s">
        <v>129</v>
      </c>
      <c r="F100" s="176" t="s">
        <v>130</v>
      </c>
      <c r="G100" s="176">
        <v>566</v>
      </c>
      <c r="H100" s="176" t="s">
        <v>174</v>
      </c>
      <c r="I100" s="176">
        <v>5312</v>
      </c>
      <c r="J100" s="176" t="s">
        <v>131</v>
      </c>
      <c r="K100" s="176">
        <v>1316</v>
      </c>
      <c r="L100" s="176" t="s">
        <v>126</v>
      </c>
      <c r="M100" s="176">
        <v>2019</v>
      </c>
      <c r="N100" s="176">
        <v>2019</v>
      </c>
      <c r="O100" s="176" t="s">
        <v>23</v>
      </c>
      <c r="P100" s="196">
        <v>130249</v>
      </c>
      <c r="Q100" s="176" t="s">
        <v>132</v>
      </c>
      <c r="R100" s="176" t="s">
        <v>133</v>
      </c>
    </row>
    <row r="101" spans="5:18" ht="13.5" customHeight="1" x14ac:dyDescent="0.3">
      <c r="E101" s="176" t="s">
        <v>129</v>
      </c>
      <c r="F101" s="176" t="s">
        <v>130</v>
      </c>
      <c r="G101" s="176">
        <v>566</v>
      </c>
      <c r="H101" s="176" t="s">
        <v>174</v>
      </c>
      <c r="I101" s="176">
        <v>5312</v>
      </c>
      <c r="J101" s="176" t="s">
        <v>131</v>
      </c>
      <c r="K101" s="176">
        <v>1316</v>
      </c>
      <c r="L101" s="176" t="s">
        <v>126</v>
      </c>
      <c r="M101" s="176">
        <v>2020</v>
      </c>
      <c r="N101" s="176">
        <v>2020</v>
      </c>
      <c r="O101" s="176" t="s">
        <v>23</v>
      </c>
      <c r="P101" s="196">
        <v>129998</v>
      </c>
      <c r="Q101" s="176" t="s">
        <v>132</v>
      </c>
      <c r="R101" s="176" t="s">
        <v>133</v>
      </c>
    </row>
    <row r="102" spans="5:18" ht="13.5" customHeight="1" x14ac:dyDescent="0.3">
      <c r="E102" s="176" t="s">
        <v>129</v>
      </c>
      <c r="F102" s="176" t="s">
        <v>130</v>
      </c>
      <c r="G102" s="176">
        <v>566</v>
      </c>
      <c r="H102" s="176" t="s">
        <v>174</v>
      </c>
      <c r="I102" s="176">
        <v>5312</v>
      </c>
      <c r="J102" s="176" t="s">
        <v>131</v>
      </c>
      <c r="K102" s="176">
        <v>1316</v>
      </c>
      <c r="L102" s="176" t="s">
        <v>126</v>
      </c>
      <c r="M102" s="176">
        <v>2021</v>
      </c>
      <c r="N102" s="176">
        <v>2021</v>
      </c>
      <c r="O102" s="176" t="s">
        <v>23</v>
      </c>
      <c r="P102" s="196">
        <v>129710</v>
      </c>
      <c r="Q102" s="176" t="s">
        <v>132</v>
      </c>
      <c r="R102" s="176" t="s">
        <v>133</v>
      </c>
    </row>
    <row r="103" spans="5:18" ht="13.5" customHeight="1" x14ac:dyDescent="0.3">
      <c r="E103" s="176" t="s">
        <v>129</v>
      </c>
      <c r="F103" s="176" t="s">
        <v>130</v>
      </c>
      <c r="G103" s="176">
        <v>566</v>
      </c>
      <c r="H103" s="176" t="s">
        <v>174</v>
      </c>
      <c r="I103" s="176">
        <v>5312</v>
      </c>
      <c r="J103" s="176" t="s">
        <v>131</v>
      </c>
      <c r="K103" s="176">
        <v>1449.01</v>
      </c>
      <c r="L103" s="176" t="s">
        <v>186</v>
      </c>
      <c r="M103" s="176">
        <v>2017</v>
      </c>
      <c r="N103" s="176">
        <v>2017</v>
      </c>
      <c r="O103" s="176" t="s">
        <v>23</v>
      </c>
      <c r="P103" s="196">
        <v>954189</v>
      </c>
      <c r="Q103" s="176" t="s">
        <v>132</v>
      </c>
      <c r="R103" s="176" t="s">
        <v>133</v>
      </c>
    </row>
    <row r="104" spans="5:18" ht="13.5" customHeight="1" x14ac:dyDescent="0.3">
      <c r="E104" s="176" t="s">
        <v>129</v>
      </c>
      <c r="F104" s="176" t="s">
        <v>130</v>
      </c>
      <c r="G104" s="176">
        <v>566</v>
      </c>
      <c r="H104" s="176" t="s">
        <v>174</v>
      </c>
      <c r="I104" s="176">
        <v>5312</v>
      </c>
      <c r="J104" s="176" t="s">
        <v>131</v>
      </c>
      <c r="K104" s="176">
        <v>1449.01</v>
      </c>
      <c r="L104" s="176" t="s">
        <v>186</v>
      </c>
      <c r="M104" s="176">
        <v>2018</v>
      </c>
      <c r="N104" s="176">
        <v>2018</v>
      </c>
      <c r="O104" s="176" t="s">
        <v>23</v>
      </c>
      <c r="P104" s="196">
        <v>901068</v>
      </c>
      <c r="Q104" s="176" t="s">
        <v>109</v>
      </c>
      <c r="R104" s="176" t="s">
        <v>110</v>
      </c>
    </row>
    <row r="105" spans="5:18" ht="13.5" customHeight="1" x14ac:dyDescent="0.3">
      <c r="E105" s="176" t="s">
        <v>129</v>
      </c>
      <c r="F105" s="176" t="s">
        <v>130</v>
      </c>
      <c r="G105" s="176">
        <v>566</v>
      </c>
      <c r="H105" s="176" t="s">
        <v>174</v>
      </c>
      <c r="I105" s="176">
        <v>5312</v>
      </c>
      <c r="J105" s="176" t="s">
        <v>131</v>
      </c>
      <c r="K105" s="176">
        <v>1449.01</v>
      </c>
      <c r="L105" s="176" t="s">
        <v>186</v>
      </c>
      <c r="M105" s="176">
        <v>2019</v>
      </c>
      <c r="N105" s="176">
        <v>2019</v>
      </c>
      <c r="O105" s="176" t="s">
        <v>23</v>
      </c>
      <c r="P105" s="196">
        <v>919875</v>
      </c>
      <c r="Q105" s="176" t="s">
        <v>109</v>
      </c>
      <c r="R105" s="176" t="s">
        <v>110</v>
      </c>
    </row>
    <row r="106" spans="5:18" ht="13.5" customHeight="1" x14ac:dyDescent="0.3">
      <c r="E106" s="176" t="s">
        <v>129</v>
      </c>
      <c r="F106" s="176" t="s">
        <v>130</v>
      </c>
      <c r="G106" s="176">
        <v>566</v>
      </c>
      <c r="H106" s="176" t="s">
        <v>174</v>
      </c>
      <c r="I106" s="176">
        <v>5312</v>
      </c>
      <c r="J106" s="176" t="s">
        <v>131</v>
      </c>
      <c r="K106" s="176">
        <v>1449.01</v>
      </c>
      <c r="L106" s="176" t="s">
        <v>186</v>
      </c>
      <c r="M106" s="176">
        <v>2020</v>
      </c>
      <c r="N106" s="176">
        <v>2020</v>
      </c>
      <c r="O106" s="176" t="s">
        <v>23</v>
      </c>
      <c r="P106" s="196">
        <v>925044</v>
      </c>
      <c r="Q106" s="176" t="s">
        <v>109</v>
      </c>
      <c r="R106" s="176" t="s">
        <v>110</v>
      </c>
    </row>
    <row r="107" spans="5:18" ht="13.5" customHeight="1" x14ac:dyDescent="0.3">
      <c r="E107" s="176" t="s">
        <v>129</v>
      </c>
      <c r="F107" s="176" t="s">
        <v>130</v>
      </c>
      <c r="G107" s="176">
        <v>566</v>
      </c>
      <c r="H107" s="176" t="s">
        <v>174</v>
      </c>
      <c r="I107" s="176">
        <v>5312</v>
      </c>
      <c r="J107" s="176" t="s">
        <v>131</v>
      </c>
      <c r="K107" s="176">
        <v>1449.01</v>
      </c>
      <c r="L107" s="176" t="s">
        <v>186</v>
      </c>
      <c r="M107" s="176">
        <v>2021</v>
      </c>
      <c r="N107" s="176">
        <v>2021</v>
      </c>
      <c r="O107" s="176" t="s">
        <v>23</v>
      </c>
      <c r="P107" s="196">
        <v>915329</v>
      </c>
      <c r="Q107" s="176" t="s">
        <v>109</v>
      </c>
      <c r="R107" s="176" t="s">
        <v>110</v>
      </c>
    </row>
    <row r="108" spans="5:18" ht="13.5" customHeight="1" x14ac:dyDescent="0.3">
      <c r="E108" s="176" t="s">
        <v>129</v>
      </c>
      <c r="F108" s="176" t="s">
        <v>130</v>
      </c>
      <c r="G108" s="176">
        <v>566</v>
      </c>
      <c r="H108" s="176" t="s">
        <v>174</v>
      </c>
      <c r="I108" s="176">
        <v>5312</v>
      </c>
      <c r="J108" s="176" t="s">
        <v>131</v>
      </c>
      <c r="K108" s="176">
        <v>118</v>
      </c>
      <c r="L108" s="176" t="s">
        <v>57</v>
      </c>
      <c r="M108" s="176">
        <v>2017</v>
      </c>
      <c r="N108" s="176">
        <v>2017</v>
      </c>
      <c r="O108" s="176" t="s">
        <v>23</v>
      </c>
      <c r="P108" s="196">
        <v>1800069</v>
      </c>
      <c r="Q108" s="176" t="s">
        <v>134</v>
      </c>
      <c r="R108" s="176" t="s">
        <v>135</v>
      </c>
    </row>
    <row r="109" spans="5:18" ht="13.5" customHeight="1" x14ac:dyDescent="0.3">
      <c r="E109" s="176" t="s">
        <v>129</v>
      </c>
      <c r="F109" s="176" t="s">
        <v>130</v>
      </c>
      <c r="G109" s="176">
        <v>566</v>
      </c>
      <c r="H109" s="176" t="s">
        <v>174</v>
      </c>
      <c r="I109" s="176">
        <v>5312</v>
      </c>
      <c r="J109" s="176" t="s">
        <v>131</v>
      </c>
      <c r="K109" s="176">
        <v>118</v>
      </c>
      <c r="L109" s="176" t="s">
        <v>57</v>
      </c>
      <c r="M109" s="176">
        <v>2018</v>
      </c>
      <c r="N109" s="176">
        <v>2018</v>
      </c>
      <c r="O109" s="176" t="s">
        <v>23</v>
      </c>
      <c r="P109" s="196">
        <v>1734330</v>
      </c>
      <c r="Q109" s="176" t="s">
        <v>134</v>
      </c>
      <c r="R109" s="176" t="s">
        <v>135</v>
      </c>
    </row>
    <row r="110" spans="5:18" ht="13.5" customHeight="1" x14ac:dyDescent="0.3">
      <c r="E110" s="176" t="s">
        <v>129</v>
      </c>
      <c r="F110" s="176" t="s">
        <v>130</v>
      </c>
      <c r="G110" s="176">
        <v>566</v>
      </c>
      <c r="H110" s="176" t="s">
        <v>174</v>
      </c>
      <c r="I110" s="176">
        <v>5312</v>
      </c>
      <c r="J110" s="176" t="s">
        <v>131</v>
      </c>
      <c r="K110" s="176">
        <v>118</v>
      </c>
      <c r="L110" s="176" t="s">
        <v>57</v>
      </c>
      <c r="M110" s="176">
        <v>2019</v>
      </c>
      <c r="N110" s="176">
        <v>2019</v>
      </c>
      <c r="O110" s="176" t="s">
        <v>23</v>
      </c>
      <c r="P110" s="196">
        <v>1747800</v>
      </c>
      <c r="Q110" s="176" t="s">
        <v>134</v>
      </c>
      <c r="R110" s="176" t="s">
        <v>135</v>
      </c>
    </row>
    <row r="111" spans="5:18" ht="13.5" customHeight="1" x14ac:dyDescent="0.3">
      <c r="E111" s="176" t="s">
        <v>129</v>
      </c>
      <c r="F111" s="176" t="s">
        <v>130</v>
      </c>
      <c r="G111" s="176">
        <v>566</v>
      </c>
      <c r="H111" s="176" t="s">
        <v>174</v>
      </c>
      <c r="I111" s="176">
        <v>5312</v>
      </c>
      <c r="J111" s="176" t="s">
        <v>131</v>
      </c>
      <c r="K111" s="176">
        <v>118</v>
      </c>
      <c r="L111" s="176" t="s">
        <v>57</v>
      </c>
      <c r="M111" s="176">
        <v>2020</v>
      </c>
      <c r="N111" s="176">
        <v>2020</v>
      </c>
      <c r="O111" s="176" t="s">
        <v>23</v>
      </c>
      <c r="P111" s="196">
        <v>2000000</v>
      </c>
      <c r="Q111" s="176" t="s">
        <v>136</v>
      </c>
      <c r="R111" s="176" t="s">
        <v>137</v>
      </c>
    </row>
    <row r="112" spans="5:18" ht="13.5" customHeight="1" x14ac:dyDescent="0.3">
      <c r="E112" s="176" t="s">
        <v>129</v>
      </c>
      <c r="F112" s="176" t="s">
        <v>130</v>
      </c>
      <c r="G112" s="176">
        <v>566</v>
      </c>
      <c r="H112" s="176" t="s">
        <v>174</v>
      </c>
      <c r="I112" s="176">
        <v>5312</v>
      </c>
      <c r="J112" s="176" t="s">
        <v>131</v>
      </c>
      <c r="K112" s="176">
        <v>118</v>
      </c>
      <c r="L112" s="176" t="s">
        <v>57</v>
      </c>
      <c r="M112" s="176">
        <v>2021</v>
      </c>
      <c r="N112" s="176">
        <v>2021</v>
      </c>
      <c r="O112" s="176" t="s">
        <v>23</v>
      </c>
      <c r="P112" s="196">
        <v>2000000</v>
      </c>
      <c r="Q112" s="176" t="s">
        <v>136</v>
      </c>
      <c r="R112" s="176" t="s">
        <v>137</v>
      </c>
    </row>
    <row r="113" spans="5:18" ht="13.5" customHeight="1" x14ac:dyDescent="0.3">
      <c r="E113" s="176" t="s">
        <v>129</v>
      </c>
      <c r="F113" s="176" t="s">
        <v>130</v>
      </c>
      <c r="G113" s="176">
        <v>566</v>
      </c>
      <c r="H113" s="176" t="s">
        <v>174</v>
      </c>
      <c r="I113" s="176">
        <v>5312</v>
      </c>
      <c r="J113" s="176" t="s">
        <v>131</v>
      </c>
      <c r="K113" s="176">
        <v>1950.01</v>
      </c>
      <c r="L113" s="176" t="s">
        <v>187</v>
      </c>
      <c r="M113" s="176">
        <v>2017</v>
      </c>
      <c r="N113" s="176">
        <v>2017</v>
      </c>
      <c r="O113" s="176" t="s">
        <v>23</v>
      </c>
      <c r="P113" s="196">
        <v>361237</v>
      </c>
      <c r="Q113" s="176" t="s">
        <v>132</v>
      </c>
      <c r="R113" s="176" t="s">
        <v>133</v>
      </c>
    </row>
    <row r="114" spans="5:18" ht="13.5" customHeight="1" x14ac:dyDescent="0.3">
      <c r="E114" s="176" t="s">
        <v>129</v>
      </c>
      <c r="F114" s="176" t="s">
        <v>130</v>
      </c>
      <c r="G114" s="176">
        <v>566</v>
      </c>
      <c r="H114" s="176" t="s">
        <v>174</v>
      </c>
      <c r="I114" s="176">
        <v>5312</v>
      </c>
      <c r="J114" s="176" t="s">
        <v>131</v>
      </c>
      <c r="K114" s="176">
        <v>1950.01</v>
      </c>
      <c r="L114" s="176" t="s">
        <v>187</v>
      </c>
      <c r="M114" s="176">
        <v>2018</v>
      </c>
      <c r="N114" s="176">
        <v>2018</v>
      </c>
      <c r="O114" s="176" t="s">
        <v>23</v>
      </c>
      <c r="P114" s="196">
        <v>361269</v>
      </c>
      <c r="Q114" s="176" t="s">
        <v>132</v>
      </c>
      <c r="R114" s="176" t="s">
        <v>133</v>
      </c>
    </row>
    <row r="115" spans="5:18" ht="13.5" customHeight="1" x14ac:dyDescent="0.3">
      <c r="E115" s="176" t="s">
        <v>129</v>
      </c>
      <c r="F115" s="176" t="s">
        <v>130</v>
      </c>
      <c r="G115" s="176">
        <v>566</v>
      </c>
      <c r="H115" s="176" t="s">
        <v>174</v>
      </c>
      <c r="I115" s="176">
        <v>5312</v>
      </c>
      <c r="J115" s="176" t="s">
        <v>131</v>
      </c>
      <c r="K115" s="176">
        <v>1950.01</v>
      </c>
      <c r="L115" s="176" t="s">
        <v>187</v>
      </c>
      <c r="M115" s="176">
        <v>2019</v>
      </c>
      <c r="N115" s="176">
        <v>2019</v>
      </c>
      <c r="O115" s="176" t="s">
        <v>23</v>
      </c>
      <c r="P115" s="196">
        <v>358239</v>
      </c>
      <c r="Q115" s="176" t="s">
        <v>132</v>
      </c>
      <c r="R115" s="176" t="s">
        <v>133</v>
      </c>
    </row>
    <row r="116" spans="5:18" ht="13.5" customHeight="1" x14ac:dyDescent="0.3">
      <c r="E116" s="176" t="s">
        <v>129</v>
      </c>
      <c r="F116" s="176" t="s">
        <v>130</v>
      </c>
      <c r="G116" s="176">
        <v>566</v>
      </c>
      <c r="H116" s="176" t="s">
        <v>174</v>
      </c>
      <c r="I116" s="176">
        <v>5312</v>
      </c>
      <c r="J116" s="176" t="s">
        <v>131</v>
      </c>
      <c r="K116" s="176">
        <v>1950.01</v>
      </c>
      <c r="L116" s="176" t="s">
        <v>187</v>
      </c>
      <c r="M116" s="176">
        <v>2020</v>
      </c>
      <c r="N116" s="176">
        <v>2020</v>
      </c>
      <c r="O116" s="176" t="s">
        <v>23</v>
      </c>
      <c r="P116" s="196">
        <v>358807</v>
      </c>
      <c r="Q116" s="176" t="s">
        <v>132</v>
      </c>
      <c r="R116" s="176" t="s">
        <v>133</v>
      </c>
    </row>
    <row r="117" spans="5:18" ht="13.5" customHeight="1" x14ac:dyDescent="0.3">
      <c r="E117" s="176" t="s">
        <v>129</v>
      </c>
      <c r="F117" s="176" t="s">
        <v>130</v>
      </c>
      <c r="G117" s="176">
        <v>566</v>
      </c>
      <c r="H117" s="176" t="s">
        <v>174</v>
      </c>
      <c r="I117" s="176">
        <v>5312</v>
      </c>
      <c r="J117" s="176" t="s">
        <v>131</v>
      </c>
      <c r="K117" s="176">
        <v>1950.01</v>
      </c>
      <c r="L117" s="176" t="s">
        <v>187</v>
      </c>
      <c r="M117" s="176">
        <v>2021</v>
      </c>
      <c r="N117" s="176">
        <v>2021</v>
      </c>
      <c r="O117" s="176" t="s">
        <v>23</v>
      </c>
      <c r="P117" s="196">
        <v>359111</v>
      </c>
      <c r="Q117" s="176" t="s">
        <v>132</v>
      </c>
      <c r="R117" s="176" t="s">
        <v>133</v>
      </c>
    </row>
    <row r="118" spans="5:18" ht="13.5" customHeight="1" x14ac:dyDescent="0.3">
      <c r="E118" s="176" t="s">
        <v>129</v>
      </c>
      <c r="F118" s="176" t="s">
        <v>130</v>
      </c>
      <c r="G118" s="176">
        <v>566</v>
      </c>
      <c r="H118" s="176" t="s">
        <v>174</v>
      </c>
      <c r="I118" s="176">
        <v>5312</v>
      </c>
      <c r="J118" s="176" t="s">
        <v>131</v>
      </c>
      <c r="K118" s="176">
        <v>1491.01</v>
      </c>
      <c r="L118" s="176" t="s">
        <v>188</v>
      </c>
      <c r="M118" s="176">
        <v>2017</v>
      </c>
      <c r="N118" s="176">
        <v>2017</v>
      </c>
      <c r="O118" s="176" t="s">
        <v>23</v>
      </c>
      <c r="P118" s="196">
        <v>3545307</v>
      </c>
      <c r="Q118" s="176" t="s">
        <v>132</v>
      </c>
      <c r="R118" s="176" t="s">
        <v>133</v>
      </c>
    </row>
    <row r="119" spans="5:18" ht="13.5" customHeight="1" x14ac:dyDescent="0.3">
      <c r="E119" s="176" t="s">
        <v>129</v>
      </c>
      <c r="F119" s="176" t="s">
        <v>130</v>
      </c>
      <c r="G119" s="176">
        <v>566</v>
      </c>
      <c r="H119" s="176" t="s">
        <v>174</v>
      </c>
      <c r="I119" s="176">
        <v>5312</v>
      </c>
      <c r="J119" s="176" t="s">
        <v>131</v>
      </c>
      <c r="K119" s="176">
        <v>1491.01</v>
      </c>
      <c r="L119" s="176" t="s">
        <v>188</v>
      </c>
      <c r="M119" s="176">
        <v>2018</v>
      </c>
      <c r="N119" s="176">
        <v>2018</v>
      </c>
      <c r="O119" s="176" t="s">
        <v>23</v>
      </c>
      <c r="P119" s="196">
        <v>3736228</v>
      </c>
      <c r="Q119" s="176" t="s">
        <v>132</v>
      </c>
      <c r="R119" s="176" t="s">
        <v>133</v>
      </c>
    </row>
    <row r="120" spans="5:18" ht="13.5" customHeight="1" x14ac:dyDescent="0.3">
      <c r="E120" s="176" t="s">
        <v>129</v>
      </c>
      <c r="F120" s="176" t="s">
        <v>130</v>
      </c>
      <c r="G120" s="176">
        <v>566</v>
      </c>
      <c r="H120" s="176" t="s">
        <v>174</v>
      </c>
      <c r="I120" s="176">
        <v>5312</v>
      </c>
      <c r="J120" s="176" t="s">
        <v>131</v>
      </c>
      <c r="K120" s="176">
        <v>1491.01</v>
      </c>
      <c r="L120" s="176" t="s">
        <v>188</v>
      </c>
      <c r="M120" s="176">
        <v>2019</v>
      </c>
      <c r="N120" s="176">
        <v>2019</v>
      </c>
      <c r="O120" s="176" t="s">
        <v>23</v>
      </c>
      <c r="P120" s="196">
        <v>3784800</v>
      </c>
      <c r="Q120" s="176" t="s">
        <v>132</v>
      </c>
      <c r="R120" s="176" t="s">
        <v>133</v>
      </c>
    </row>
    <row r="121" spans="5:18" ht="13.5" customHeight="1" x14ac:dyDescent="0.3">
      <c r="E121" s="176" t="s">
        <v>129</v>
      </c>
      <c r="F121" s="176" t="s">
        <v>130</v>
      </c>
      <c r="G121" s="176">
        <v>566</v>
      </c>
      <c r="H121" s="176" t="s">
        <v>174</v>
      </c>
      <c r="I121" s="176">
        <v>5312</v>
      </c>
      <c r="J121" s="176" t="s">
        <v>131</v>
      </c>
      <c r="K121" s="176">
        <v>1491.01</v>
      </c>
      <c r="L121" s="176" t="s">
        <v>188</v>
      </c>
      <c r="M121" s="176">
        <v>2020</v>
      </c>
      <c r="N121" s="176">
        <v>2020</v>
      </c>
      <c r="O121" s="176" t="s">
        <v>23</v>
      </c>
      <c r="P121" s="196">
        <v>3878183</v>
      </c>
      <c r="Q121" s="176" t="s">
        <v>132</v>
      </c>
      <c r="R121" s="176" t="s">
        <v>133</v>
      </c>
    </row>
    <row r="122" spans="5:18" ht="13.5" customHeight="1" x14ac:dyDescent="0.3">
      <c r="E122" s="176" t="s">
        <v>129</v>
      </c>
      <c r="F122" s="176" t="s">
        <v>130</v>
      </c>
      <c r="G122" s="176">
        <v>566</v>
      </c>
      <c r="H122" s="176" t="s">
        <v>174</v>
      </c>
      <c r="I122" s="176">
        <v>5312</v>
      </c>
      <c r="J122" s="176" t="s">
        <v>131</v>
      </c>
      <c r="K122" s="176">
        <v>1491.01</v>
      </c>
      <c r="L122" s="176" t="s">
        <v>188</v>
      </c>
      <c r="M122" s="176">
        <v>2021</v>
      </c>
      <c r="N122" s="176">
        <v>2021</v>
      </c>
      <c r="O122" s="176" t="s">
        <v>23</v>
      </c>
      <c r="P122" s="196">
        <v>3937865</v>
      </c>
      <c r="Q122" s="176" t="s">
        <v>132</v>
      </c>
      <c r="R122" s="176" t="s">
        <v>133</v>
      </c>
    </row>
    <row r="123" spans="5:18" ht="13.5" customHeight="1" x14ac:dyDescent="0.3">
      <c r="E123" s="176" t="s">
        <v>129</v>
      </c>
      <c r="F123" s="176" t="s">
        <v>130</v>
      </c>
      <c r="G123" s="176">
        <v>566</v>
      </c>
      <c r="H123" s="176" t="s">
        <v>174</v>
      </c>
      <c r="I123" s="176">
        <v>5312</v>
      </c>
      <c r="J123" s="176" t="s">
        <v>131</v>
      </c>
      <c r="K123" s="176">
        <v>1239.01</v>
      </c>
      <c r="L123" s="176" t="s">
        <v>147</v>
      </c>
      <c r="M123" s="176">
        <v>2017</v>
      </c>
      <c r="N123" s="176">
        <v>2017</v>
      </c>
      <c r="O123" s="176" t="s">
        <v>23</v>
      </c>
      <c r="P123" s="196">
        <v>1301600</v>
      </c>
      <c r="Q123" s="176" t="s">
        <v>134</v>
      </c>
      <c r="R123" s="176" t="s">
        <v>135</v>
      </c>
    </row>
    <row r="124" spans="5:18" ht="13.5" customHeight="1" x14ac:dyDescent="0.3">
      <c r="E124" s="176" t="s">
        <v>129</v>
      </c>
      <c r="F124" s="176" t="s">
        <v>130</v>
      </c>
      <c r="G124" s="176">
        <v>566</v>
      </c>
      <c r="H124" s="176" t="s">
        <v>174</v>
      </c>
      <c r="I124" s="176">
        <v>5312</v>
      </c>
      <c r="J124" s="176" t="s">
        <v>131</v>
      </c>
      <c r="K124" s="176">
        <v>1239.01</v>
      </c>
      <c r="L124" s="176" t="s">
        <v>147</v>
      </c>
      <c r="M124" s="176">
        <v>2018</v>
      </c>
      <c r="N124" s="176">
        <v>2018</v>
      </c>
      <c r="O124" s="176" t="s">
        <v>23</v>
      </c>
      <c r="P124" s="196">
        <v>1526657</v>
      </c>
      <c r="Q124" s="176" t="s">
        <v>132</v>
      </c>
      <c r="R124" s="176" t="s">
        <v>133</v>
      </c>
    </row>
    <row r="125" spans="5:18" ht="13.5" customHeight="1" x14ac:dyDescent="0.3">
      <c r="E125" s="176" t="s">
        <v>129</v>
      </c>
      <c r="F125" s="176" t="s">
        <v>130</v>
      </c>
      <c r="G125" s="176">
        <v>566</v>
      </c>
      <c r="H125" s="176" t="s">
        <v>174</v>
      </c>
      <c r="I125" s="176">
        <v>5312</v>
      </c>
      <c r="J125" s="176" t="s">
        <v>131</v>
      </c>
      <c r="K125" s="176">
        <v>1239.01</v>
      </c>
      <c r="L125" s="176" t="s">
        <v>147</v>
      </c>
      <c r="M125" s="176">
        <v>2019</v>
      </c>
      <c r="N125" s="176">
        <v>2019</v>
      </c>
      <c r="O125" s="176" t="s">
        <v>23</v>
      </c>
      <c r="P125" s="196">
        <v>1922771</v>
      </c>
      <c r="Q125" s="176" t="s">
        <v>132</v>
      </c>
      <c r="R125" s="176" t="s">
        <v>133</v>
      </c>
    </row>
    <row r="126" spans="5:18" ht="13.5" customHeight="1" x14ac:dyDescent="0.3">
      <c r="E126" s="176" t="s">
        <v>129</v>
      </c>
      <c r="F126" s="176" t="s">
        <v>130</v>
      </c>
      <c r="G126" s="176">
        <v>566</v>
      </c>
      <c r="H126" s="176" t="s">
        <v>174</v>
      </c>
      <c r="I126" s="176">
        <v>5312</v>
      </c>
      <c r="J126" s="176" t="s">
        <v>131</v>
      </c>
      <c r="K126" s="176">
        <v>1239.01</v>
      </c>
      <c r="L126" s="176" t="s">
        <v>147</v>
      </c>
      <c r="M126" s="176">
        <v>2020</v>
      </c>
      <c r="N126" s="176">
        <v>2020</v>
      </c>
      <c r="O126" s="176" t="s">
        <v>23</v>
      </c>
      <c r="P126" s="196">
        <v>1460341</v>
      </c>
      <c r="Q126" s="176" t="s">
        <v>109</v>
      </c>
      <c r="R126" s="176" t="s">
        <v>110</v>
      </c>
    </row>
    <row r="127" spans="5:18" ht="13.5" customHeight="1" x14ac:dyDescent="0.3">
      <c r="E127" s="176" t="s">
        <v>129</v>
      </c>
      <c r="F127" s="176" t="s">
        <v>130</v>
      </c>
      <c r="G127" s="176">
        <v>566</v>
      </c>
      <c r="H127" s="176" t="s">
        <v>174</v>
      </c>
      <c r="I127" s="176">
        <v>5312</v>
      </c>
      <c r="J127" s="176" t="s">
        <v>131</v>
      </c>
      <c r="K127" s="176">
        <v>1239.01</v>
      </c>
      <c r="L127" s="176" t="s">
        <v>147</v>
      </c>
      <c r="M127" s="176">
        <v>2021</v>
      </c>
      <c r="N127" s="176">
        <v>2021</v>
      </c>
      <c r="O127" s="176" t="s">
        <v>23</v>
      </c>
      <c r="P127" s="196">
        <v>1496501</v>
      </c>
      <c r="Q127" s="176" t="s">
        <v>109</v>
      </c>
      <c r="R127" s="176" t="s">
        <v>110</v>
      </c>
    </row>
    <row r="128" spans="5:18" ht="13.5" customHeight="1" x14ac:dyDescent="0.3">
      <c r="E128" s="176" t="s">
        <v>129</v>
      </c>
      <c r="F128" s="176" t="s">
        <v>130</v>
      </c>
      <c r="G128" s="176">
        <v>566</v>
      </c>
      <c r="H128" s="176" t="s">
        <v>174</v>
      </c>
      <c r="I128" s="176">
        <v>5312</v>
      </c>
      <c r="J128" s="176" t="s">
        <v>131</v>
      </c>
      <c r="K128" s="176">
        <v>1253.02</v>
      </c>
      <c r="L128" s="176" t="s">
        <v>148</v>
      </c>
      <c r="M128" s="176">
        <v>2017</v>
      </c>
      <c r="N128" s="176">
        <v>2017</v>
      </c>
      <c r="O128" s="176" t="s">
        <v>23</v>
      </c>
      <c r="P128" s="196">
        <v>550399</v>
      </c>
      <c r="Q128" s="176" t="s">
        <v>134</v>
      </c>
      <c r="R128" s="176" t="s">
        <v>135</v>
      </c>
    </row>
    <row r="129" spans="5:18" ht="13.5" customHeight="1" x14ac:dyDescent="0.3">
      <c r="E129" s="176" t="s">
        <v>129</v>
      </c>
      <c r="F129" s="176" t="s">
        <v>130</v>
      </c>
      <c r="G129" s="176">
        <v>566</v>
      </c>
      <c r="H129" s="176" t="s">
        <v>174</v>
      </c>
      <c r="I129" s="176">
        <v>5312</v>
      </c>
      <c r="J129" s="176" t="s">
        <v>131</v>
      </c>
      <c r="K129" s="176">
        <v>1253.02</v>
      </c>
      <c r="L129" s="176" t="s">
        <v>148</v>
      </c>
      <c r="M129" s="176">
        <v>2018</v>
      </c>
      <c r="N129" s="176">
        <v>2018</v>
      </c>
      <c r="O129" s="176" t="s">
        <v>23</v>
      </c>
      <c r="P129" s="196">
        <v>577229</v>
      </c>
      <c r="Q129" s="176" t="s">
        <v>132</v>
      </c>
      <c r="R129" s="176" t="s">
        <v>133</v>
      </c>
    </row>
    <row r="130" spans="5:18" ht="13.5" customHeight="1" x14ac:dyDescent="0.3">
      <c r="E130" s="176" t="s">
        <v>129</v>
      </c>
      <c r="F130" s="176" t="s">
        <v>130</v>
      </c>
      <c r="G130" s="176">
        <v>566</v>
      </c>
      <c r="H130" s="176" t="s">
        <v>174</v>
      </c>
      <c r="I130" s="176">
        <v>5312</v>
      </c>
      <c r="J130" s="176" t="s">
        <v>131</v>
      </c>
      <c r="K130" s="176">
        <v>1253.02</v>
      </c>
      <c r="L130" s="176" t="s">
        <v>148</v>
      </c>
      <c r="M130" s="176">
        <v>2019</v>
      </c>
      <c r="N130" s="176">
        <v>2019</v>
      </c>
      <c r="O130" s="176" t="s">
        <v>23</v>
      </c>
      <c r="P130" s="196">
        <v>618499</v>
      </c>
      <c r="Q130" s="176" t="s">
        <v>132</v>
      </c>
      <c r="R130" s="176" t="s">
        <v>133</v>
      </c>
    </row>
    <row r="131" spans="5:18" ht="13.5" customHeight="1" x14ac:dyDescent="0.3">
      <c r="E131" s="176" t="s">
        <v>129</v>
      </c>
      <c r="F131" s="176" t="s">
        <v>130</v>
      </c>
      <c r="G131" s="176">
        <v>566</v>
      </c>
      <c r="H131" s="176" t="s">
        <v>174</v>
      </c>
      <c r="I131" s="176">
        <v>5312</v>
      </c>
      <c r="J131" s="176" t="s">
        <v>131</v>
      </c>
      <c r="K131" s="176">
        <v>1253.02</v>
      </c>
      <c r="L131" s="176" t="s">
        <v>148</v>
      </c>
      <c r="M131" s="176">
        <v>2020</v>
      </c>
      <c r="N131" s="176">
        <v>2020</v>
      </c>
      <c r="O131" s="176" t="s">
        <v>23</v>
      </c>
      <c r="P131" s="196">
        <v>686088</v>
      </c>
      <c r="Q131" s="176" t="s">
        <v>132</v>
      </c>
      <c r="R131" s="176" t="s">
        <v>133</v>
      </c>
    </row>
    <row r="132" spans="5:18" ht="13.5" customHeight="1" x14ac:dyDescent="0.3">
      <c r="E132" s="176" t="s">
        <v>129</v>
      </c>
      <c r="F132" s="176" t="s">
        <v>130</v>
      </c>
      <c r="G132" s="176">
        <v>566</v>
      </c>
      <c r="H132" s="176" t="s">
        <v>174</v>
      </c>
      <c r="I132" s="176">
        <v>5312</v>
      </c>
      <c r="J132" s="176" t="s">
        <v>131</v>
      </c>
      <c r="K132" s="176">
        <v>1253.02</v>
      </c>
      <c r="L132" s="176" t="s">
        <v>148</v>
      </c>
      <c r="M132" s="176">
        <v>2021</v>
      </c>
      <c r="N132" s="176">
        <v>2021</v>
      </c>
      <c r="O132" s="176" t="s">
        <v>23</v>
      </c>
      <c r="P132" s="196">
        <v>704924</v>
      </c>
      <c r="Q132" s="176" t="s">
        <v>132</v>
      </c>
      <c r="R132" s="176" t="s">
        <v>133</v>
      </c>
    </row>
    <row r="133" spans="5:18" ht="13.5" customHeight="1" x14ac:dyDescent="0.3">
      <c r="E133" s="176" t="s">
        <v>129</v>
      </c>
      <c r="F133" s="176" t="s">
        <v>130</v>
      </c>
      <c r="G133" s="176">
        <v>566</v>
      </c>
      <c r="H133" s="176" t="s">
        <v>174</v>
      </c>
      <c r="I133" s="176">
        <v>5312</v>
      </c>
      <c r="J133" s="176" t="s">
        <v>131</v>
      </c>
      <c r="K133" s="176">
        <v>1253.01</v>
      </c>
      <c r="L133" s="176" t="s">
        <v>189</v>
      </c>
      <c r="M133" s="176">
        <v>2017</v>
      </c>
      <c r="N133" s="176">
        <v>2017</v>
      </c>
      <c r="O133" s="176" t="s">
        <v>23</v>
      </c>
      <c r="P133" s="196">
        <v>14091</v>
      </c>
      <c r="Q133" s="176" t="s">
        <v>132</v>
      </c>
      <c r="R133" s="176" t="s">
        <v>133</v>
      </c>
    </row>
    <row r="134" spans="5:18" ht="13.5" customHeight="1" x14ac:dyDescent="0.3">
      <c r="E134" s="176" t="s">
        <v>129</v>
      </c>
      <c r="F134" s="176" t="s">
        <v>130</v>
      </c>
      <c r="G134" s="176">
        <v>566</v>
      </c>
      <c r="H134" s="176" t="s">
        <v>174</v>
      </c>
      <c r="I134" s="176">
        <v>5312</v>
      </c>
      <c r="J134" s="176" t="s">
        <v>131</v>
      </c>
      <c r="K134" s="176">
        <v>1253.01</v>
      </c>
      <c r="L134" s="176" t="s">
        <v>189</v>
      </c>
      <c r="M134" s="176">
        <v>2018</v>
      </c>
      <c r="N134" s="176">
        <v>2018</v>
      </c>
      <c r="O134" s="176" t="s">
        <v>23</v>
      </c>
      <c r="P134" s="196">
        <v>14000</v>
      </c>
      <c r="Q134" s="176" t="s">
        <v>109</v>
      </c>
      <c r="R134" s="176" t="s">
        <v>110</v>
      </c>
    </row>
    <row r="135" spans="5:18" ht="13.5" customHeight="1" x14ac:dyDescent="0.3">
      <c r="E135" s="176" t="s">
        <v>129</v>
      </c>
      <c r="F135" s="176" t="s">
        <v>130</v>
      </c>
      <c r="G135" s="176">
        <v>566</v>
      </c>
      <c r="H135" s="176" t="s">
        <v>174</v>
      </c>
      <c r="I135" s="176">
        <v>5312</v>
      </c>
      <c r="J135" s="176" t="s">
        <v>131</v>
      </c>
      <c r="K135" s="176">
        <v>1253.01</v>
      </c>
      <c r="L135" s="176" t="s">
        <v>189</v>
      </c>
      <c r="M135" s="176">
        <v>2019</v>
      </c>
      <c r="N135" s="176">
        <v>2019</v>
      </c>
      <c r="O135" s="176" t="s">
        <v>23</v>
      </c>
      <c r="P135" s="196">
        <v>14019</v>
      </c>
      <c r="Q135" s="176" t="s">
        <v>109</v>
      </c>
      <c r="R135" s="176" t="s">
        <v>110</v>
      </c>
    </row>
    <row r="136" spans="5:18" ht="13.5" customHeight="1" x14ac:dyDescent="0.3">
      <c r="E136" s="176" t="s">
        <v>129</v>
      </c>
      <c r="F136" s="176" t="s">
        <v>130</v>
      </c>
      <c r="G136" s="176">
        <v>566</v>
      </c>
      <c r="H136" s="176" t="s">
        <v>174</v>
      </c>
      <c r="I136" s="176">
        <v>5312</v>
      </c>
      <c r="J136" s="176" t="s">
        <v>131</v>
      </c>
      <c r="K136" s="176">
        <v>1253.01</v>
      </c>
      <c r="L136" s="176" t="s">
        <v>189</v>
      </c>
      <c r="M136" s="176">
        <v>2020</v>
      </c>
      <c r="N136" s="176">
        <v>2020</v>
      </c>
      <c r="O136" s="176" t="s">
        <v>23</v>
      </c>
      <c r="P136" s="196">
        <v>14036</v>
      </c>
      <c r="Q136" s="176" t="s">
        <v>109</v>
      </c>
      <c r="R136" s="176" t="s">
        <v>110</v>
      </c>
    </row>
    <row r="137" spans="5:18" ht="13.5" customHeight="1" x14ac:dyDescent="0.3">
      <c r="E137" s="176" t="s">
        <v>129</v>
      </c>
      <c r="F137" s="176" t="s">
        <v>130</v>
      </c>
      <c r="G137" s="176">
        <v>566</v>
      </c>
      <c r="H137" s="176" t="s">
        <v>174</v>
      </c>
      <c r="I137" s="176">
        <v>5312</v>
      </c>
      <c r="J137" s="176" t="s">
        <v>131</v>
      </c>
      <c r="K137" s="176">
        <v>1253.01</v>
      </c>
      <c r="L137" s="176" t="s">
        <v>189</v>
      </c>
      <c r="M137" s="176">
        <v>2021</v>
      </c>
      <c r="N137" s="176">
        <v>2021</v>
      </c>
      <c r="O137" s="176" t="s">
        <v>23</v>
      </c>
      <c r="P137" s="196">
        <v>14018</v>
      </c>
      <c r="Q137" s="176" t="s">
        <v>109</v>
      </c>
      <c r="R137" s="176" t="s">
        <v>110</v>
      </c>
    </row>
    <row r="138" spans="5:18" ht="13.5" customHeight="1" x14ac:dyDescent="0.3">
      <c r="E138" s="176" t="s">
        <v>129</v>
      </c>
      <c r="F138" s="176" t="s">
        <v>130</v>
      </c>
      <c r="G138" s="176">
        <v>566</v>
      </c>
      <c r="H138" s="176" t="s">
        <v>174</v>
      </c>
      <c r="I138" s="176">
        <v>5312</v>
      </c>
      <c r="J138" s="176" t="s">
        <v>131</v>
      </c>
      <c r="K138" s="176">
        <v>1329</v>
      </c>
      <c r="L138" s="176" t="s">
        <v>149</v>
      </c>
      <c r="M138" s="176">
        <v>2017</v>
      </c>
      <c r="N138" s="176">
        <v>2017</v>
      </c>
      <c r="O138" s="176" t="s">
        <v>23</v>
      </c>
      <c r="P138" s="196">
        <v>823987</v>
      </c>
      <c r="Q138" s="176" t="s">
        <v>132</v>
      </c>
      <c r="R138" s="176" t="s">
        <v>133</v>
      </c>
    </row>
    <row r="139" spans="5:18" ht="13.5" customHeight="1" x14ac:dyDescent="0.3">
      <c r="E139" s="176" t="s">
        <v>129</v>
      </c>
      <c r="F139" s="176" t="s">
        <v>130</v>
      </c>
      <c r="G139" s="176">
        <v>566</v>
      </c>
      <c r="H139" s="176" t="s">
        <v>174</v>
      </c>
      <c r="I139" s="176">
        <v>5312</v>
      </c>
      <c r="J139" s="176" t="s">
        <v>131</v>
      </c>
      <c r="K139" s="176">
        <v>1329</v>
      </c>
      <c r="L139" s="176" t="s">
        <v>149</v>
      </c>
      <c r="M139" s="176">
        <v>2018</v>
      </c>
      <c r="N139" s="176">
        <v>2018</v>
      </c>
      <c r="O139" s="176" t="s">
        <v>23</v>
      </c>
      <c r="P139" s="196">
        <v>833377</v>
      </c>
      <c r="Q139" s="176" t="s">
        <v>132</v>
      </c>
      <c r="R139" s="176" t="s">
        <v>133</v>
      </c>
    </row>
    <row r="140" spans="5:18" ht="13.5" customHeight="1" x14ac:dyDescent="0.3">
      <c r="E140" s="176" t="s">
        <v>129</v>
      </c>
      <c r="F140" s="176" t="s">
        <v>130</v>
      </c>
      <c r="G140" s="176">
        <v>566</v>
      </c>
      <c r="H140" s="176" t="s">
        <v>174</v>
      </c>
      <c r="I140" s="176">
        <v>5312</v>
      </c>
      <c r="J140" s="176" t="s">
        <v>131</v>
      </c>
      <c r="K140" s="176">
        <v>1329</v>
      </c>
      <c r="L140" s="176" t="s">
        <v>149</v>
      </c>
      <c r="M140" s="176">
        <v>2019</v>
      </c>
      <c r="N140" s="176">
        <v>2019</v>
      </c>
      <c r="O140" s="176" t="s">
        <v>23</v>
      </c>
      <c r="P140" s="196">
        <v>837825</v>
      </c>
      <c r="Q140" s="176" t="s">
        <v>132</v>
      </c>
      <c r="R140" s="176" t="s">
        <v>133</v>
      </c>
    </row>
    <row r="141" spans="5:18" ht="13.5" customHeight="1" x14ac:dyDescent="0.3">
      <c r="E141" s="176" t="s">
        <v>129</v>
      </c>
      <c r="F141" s="176" t="s">
        <v>130</v>
      </c>
      <c r="G141" s="176">
        <v>566</v>
      </c>
      <c r="H141" s="176" t="s">
        <v>174</v>
      </c>
      <c r="I141" s="176">
        <v>5312</v>
      </c>
      <c r="J141" s="176" t="s">
        <v>131</v>
      </c>
      <c r="K141" s="176">
        <v>1329</v>
      </c>
      <c r="L141" s="176" t="s">
        <v>149</v>
      </c>
      <c r="M141" s="176">
        <v>2020</v>
      </c>
      <c r="N141" s="176">
        <v>2020</v>
      </c>
      <c r="O141" s="176" t="s">
        <v>23</v>
      </c>
      <c r="P141" s="196">
        <v>843604</v>
      </c>
      <c r="Q141" s="176" t="s">
        <v>132</v>
      </c>
      <c r="R141" s="176" t="s">
        <v>133</v>
      </c>
    </row>
    <row r="142" spans="5:18" ht="13.5" customHeight="1" x14ac:dyDescent="0.3">
      <c r="E142" s="176" t="s">
        <v>129</v>
      </c>
      <c r="F142" s="176" t="s">
        <v>130</v>
      </c>
      <c r="G142" s="176">
        <v>566</v>
      </c>
      <c r="H142" s="176" t="s">
        <v>174</v>
      </c>
      <c r="I142" s="176">
        <v>5312</v>
      </c>
      <c r="J142" s="176" t="s">
        <v>131</v>
      </c>
      <c r="K142" s="176">
        <v>1329</v>
      </c>
      <c r="L142" s="176" t="s">
        <v>149</v>
      </c>
      <c r="M142" s="176">
        <v>2021</v>
      </c>
      <c r="N142" s="176">
        <v>2021</v>
      </c>
      <c r="O142" s="176" t="s">
        <v>23</v>
      </c>
      <c r="P142" s="196">
        <v>849324</v>
      </c>
      <c r="Q142" s="176" t="s">
        <v>132</v>
      </c>
      <c r="R142" s="176" t="s">
        <v>133</v>
      </c>
    </row>
    <row r="143" spans="5:18" ht="13.5" customHeight="1" x14ac:dyDescent="0.3">
      <c r="E143" s="176" t="s">
        <v>129</v>
      </c>
      <c r="F143" s="176" t="s">
        <v>130</v>
      </c>
      <c r="G143" s="176">
        <v>566</v>
      </c>
      <c r="H143" s="176" t="s">
        <v>174</v>
      </c>
      <c r="I143" s="176">
        <v>5312</v>
      </c>
      <c r="J143" s="176" t="s">
        <v>131</v>
      </c>
      <c r="K143" s="176">
        <v>1929.9</v>
      </c>
      <c r="L143" s="176" t="s">
        <v>190</v>
      </c>
      <c r="M143" s="176">
        <v>2017</v>
      </c>
      <c r="N143" s="176">
        <v>2017</v>
      </c>
      <c r="O143" s="176" t="s">
        <v>23</v>
      </c>
      <c r="P143" s="196">
        <v>0</v>
      </c>
      <c r="Q143" s="176" t="s">
        <v>140</v>
      </c>
      <c r="R143" s="176" t="s">
        <v>141</v>
      </c>
    </row>
    <row r="144" spans="5:18" ht="13.5" customHeight="1" x14ac:dyDescent="0.3">
      <c r="E144" s="176" t="s">
        <v>129</v>
      </c>
      <c r="F144" s="176" t="s">
        <v>130</v>
      </c>
      <c r="G144" s="176">
        <v>566</v>
      </c>
      <c r="H144" s="176" t="s">
        <v>174</v>
      </c>
      <c r="I144" s="176">
        <v>5312</v>
      </c>
      <c r="J144" s="176" t="s">
        <v>131</v>
      </c>
      <c r="K144" s="176">
        <v>1929.9</v>
      </c>
      <c r="L144" s="176" t="s">
        <v>190</v>
      </c>
      <c r="M144" s="176">
        <v>2018</v>
      </c>
      <c r="N144" s="176">
        <v>2018</v>
      </c>
      <c r="O144" s="176" t="s">
        <v>23</v>
      </c>
      <c r="P144" s="196">
        <v>0</v>
      </c>
      <c r="Q144" s="176" t="s">
        <v>140</v>
      </c>
      <c r="R144" s="176" t="s">
        <v>141</v>
      </c>
    </row>
    <row r="145" spans="5:18" ht="13.5" customHeight="1" x14ac:dyDescent="0.3">
      <c r="E145" s="176" t="s">
        <v>129</v>
      </c>
      <c r="F145" s="176" t="s">
        <v>130</v>
      </c>
      <c r="G145" s="176">
        <v>566</v>
      </c>
      <c r="H145" s="176" t="s">
        <v>174</v>
      </c>
      <c r="I145" s="176">
        <v>5312</v>
      </c>
      <c r="J145" s="176" t="s">
        <v>131</v>
      </c>
      <c r="K145" s="176">
        <v>1929.9</v>
      </c>
      <c r="L145" s="176" t="s">
        <v>190</v>
      </c>
      <c r="M145" s="176">
        <v>2019</v>
      </c>
      <c r="N145" s="176">
        <v>2019</v>
      </c>
      <c r="O145" s="176" t="s">
        <v>23</v>
      </c>
      <c r="P145" s="196">
        <v>0</v>
      </c>
      <c r="Q145" s="176" t="s">
        <v>140</v>
      </c>
      <c r="R145" s="176" t="s">
        <v>141</v>
      </c>
    </row>
    <row r="146" spans="5:18" ht="13.5" customHeight="1" x14ac:dyDescent="0.3">
      <c r="E146" s="176" t="s">
        <v>129</v>
      </c>
      <c r="F146" s="176" t="s">
        <v>130</v>
      </c>
      <c r="G146" s="176">
        <v>566</v>
      </c>
      <c r="H146" s="176" t="s">
        <v>174</v>
      </c>
      <c r="I146" s="176">
        <v>5312</v>
      </c>
      <c r="J146" s="176" t="s">
        <v>131</v>
      </c>
      <c r="K146" s="176">
        <v>1929.9</v>
      </c>
      <c r="L146" s="176" t="s">
        <v>190</v>
      </c>
      <c r="M146" s="176">
        <v>2020</v>
      </c>
      <c r="N146" s="176">
        <v>2020</v>
      </c>
      <c r="O146" s="176" t="s">
        <v>23</v>
      </c>
      <c r="P146" s="196">
        <v>0</v>
      </c>
      <c r="Q146" s="176" t="s">
        <v>140</v>
      </c>
      <c r="R146" s="176" t="s">
        <v>141</v>
      </c>
    </row>
    <row r="147" spans="5:18" ht="13.5" customHeight="1" x14ac:dyDescent="0.3">
      <c r="E147" s="176" t="s">
        <v>129</v>
      </c>
      <c r="F147" s="176" t="s">
        <v>130</v>
      </c>
      <c r="G147" s="176">
        <v>566</v>
      </c>
      <c r="H147" s="176" t="s">
        <v>174</v>
      </c>
      <c r="I147" s="176">
        <v>5312</v>
      </c>
      <c r="J147" s="176" t="s">
        <v>131</v>
      </c>
      <c r="K147" s="176">
        <v>1929.9</v>
      </c>
      <c r="L147" s="176" t="s">
        <v>190</v>
      </c>
      <c r="M147" s="176">
        <v>2021</v>
      </c>
      <c r="N147" s="176">
        <v>2021</v>
      </c>
      <c r="O147" s="176" t="s">
        <v>23</v>
      </c>
      <c r="P147" s="196">
        <v>0</v>
      </c>
      <c r="Q147" s="176" t="s">
        <v>140</v>
      </c>
      <c r="R147" s="176" t="s">
        <v>141</v>
      </c>
    </row>
    <row r="148" spans="5:18" ht="13.5" customHeight="1" x14ac:dyDescent="0.3">
      <c r="E148" s="176" t="s">
        <v>129</v>
      </c>
      <c r="F148" s="176" t="s">
        <v>130</v>
      </c>
      <c r="G148" s="176">
        <v>566</v>
      </c>
      <c r="H148" s="176" t="s">
        <v>174</v>
      </c>
      <c r="I148" s="176">
        <v>5312</v>
      </c>
      <c r="J148" s="176" t="s">
        <v>131</v>
      </c>
      <c r="K148" s="176">
        <v>1359.9</v>
      </c>
      <c r="L148" s="176" t="s">
        <v>150</v>
      </c>
      <c r="M148" s="176">
        <v>2017</v>
      </c>
      <c r="N148" s="176">
        <v>2017</v>
      </c>
      <c r="O148" s="176" t="s">
        <v>23</v>
      </c>
      <c r="P148" s="196">
        <v>189171</v>
      </c>
      <c r="Q148" s="176" t="s">
        <v>132</v>
      </c>
      <c r="R148" s="176" t="s">
        <v>133</v>
      </c>
    </row>
    <row r="149" spans="5:18" ht="13.5" customHeight="1" x14ac:dyDescent="0.3">
      <c r="E149" s="176" t="s">
        <v>129</v>
      </c>
      <c r="F149" s="176" t="s">
        <v>130</v>
      </c>
      <c r="G149" s="176">
        <v>566</v>
      </c>
      <c r="H149" s="176" t="s">
        <v>174</v>
      </c>
      <c r="I149" s="176">
        <v>5312</v>
      </c>
      <c r="J149" s="176" t="s">
        <v>131</v>
      </c>
      <c r="K149" s="176">
        <v>1359.9</v>
      </c>
      <c r="L149" s="176" t="s">
        <v>150</v>
      </c>
      <c r="M149" s="176">
        <v>2018</v>
      </c>
      <c r="N149" s="176">
        <v>2018</v>
      </c>
      <c r="O149" s="176" t="s">
        <v>23</v>
      </c>
      <c r="P149" s="196">
        <v>191099</v>
      </c>
      <c r="Q149" s="176" t="s">
        <v>132</v>
      </c>
      <c r="R149" s="176" t="s">
        <v>133</v>
      </c>
    </row>
    <row r="150" spans="5:18" ht="13.5" customHeight="1" x14ac:dyDescent="0.3">
      <c r="E150" s="176" t="s">
        <v>129</v>
      </c>
      <c r="F150" s="176" t="s">
        <v>130</v>
      </c>
      <c r="G150" s="176">
        <v>566</v>
      </c>
      <c r="H150" s="176" t="s">
        <v>174</v>
      </c>
      <c r="I150" s="176">
        <v>5312</v>
      </c>
      <c r="J150" s="176" t="s">
        <v>131</v>
      </c>
      <c r="K150" s="176">
        <v>1359.9</v>
      </c>
      <c r="L150" s="176" t="s">
        <v>150</v>
      </c>
      <c r="M150" s="176">
        <v>2019</v>
      </c>
      <c r="N150" s="176">
        <v>2019</v>
      </c>
      <c r="O150" s="176" t="s">
        <v>23</v>
      </c>
      <c r="P150" s="196">
        <v>188326</v>
      </c>
      <c r="Q150" s="176" t="s">
        <v>109</v>
      </c>
      <c r="R150" s="176" t="s">
        <v>110</v>
      </c>
    </row>
    <row r="151" spans="5:18" ht="13.5" customHeight="1" x14ac:dyDescent="0.3">
      <c r="E151" s="176" t="s">
        <v>129</v>
      </c>
      <c r="F151" s="176" t="s">
        <v>130</v>
      </c>
      <c r="G151" s="176">
        <v>566</v>
      </c>
      <c r="H151" s="176" t="s">
        <v>174</v>
      </c>
      <c r="I151" s="176">
        <v>5312</v>
      </c>
      <c r="J151" s="176" t="s">
        <v>131</v>
      </c>
      <c r="K151" s="176">
        <v>1359.9</v>
      </c>
      <c r="L151" s="176" t="s">
        <v>150</v>
      </c>
      <c r="M151" s="176">
        <v>2020</v>
      </c>
      <c r="N151" s="176">
        <v>2020</v>
      </c>
      <c r="O151" s="176" t="s">
        <v>23</v>
      </c>
      <c r="P151" s="196">
        <v>189532</v>
      </c>
      <c r="Q151" s="176" t="s">
        <v>109</v>
      </c>
      <c r="R151" s="176" t="s">
        <v>110</v>
      </c>
    </row>
    <row r="152" spans="5:18" ht="13.5" customHeight="1" x14ac:dyDescent="0.3">
      <c r="E152" s="176" t="s">
        <v>129</v>
      </c>
      <c r="F152" s="176" t="s">
        <v>130</v>
      </c>
      <c r="G152" s="176">
        <v>566</v>
      </c>
      <c r="H152" s="176" t="s">
        <v>174</v>
      </c>
      <c r="I152" s="176">
        <v>5312</v>
      </c>
      <c r="J152" s="176" t="s">
        <v>131</v>
      </c>
      <c r="K152" s="176">
        <v>1359.9</v>
      </c>
      <c r="L152" s="176" t="s">
        <v>150</v>
      </c>
      <c r="M152" s="176">
        <v>2021</v>
      </c>
      <c r="N152" s="176">
        <v>2021</v>
      </c>
      <c r="O152" s="176" t="s">
        <v>23</v>
      </c>
      <c r="P152" s="196">
        <v>189652</v>
      </c>
      <c r="Q152" s="176" t="s">
        <v>109</v>
      </c>
      <c r="R152" s="176" t="s">
        <v>110</v>
      </c>
    </row>
    <row r="153" spans="5:18" ht="13.5" customHeight="1" x14ac:dyDescent="0.3">
      <c r="E153" s="176" t="s">
        <v>129</v>
      </c>
      <c r="F153" s="176" t="s">
        <v>130</v>
      </c>
      <c r="G153" s="176">
        <v>566</v>
      </c>
      <c r="H153" s="176" t="s">
        <v>174</v>
      </c>
      <c r="I153" s="176">
        <v>5312</v>
      </c>
      <c r="J153" s="176" t="s">
        <v>131</v>
      </c>
      <c r="K153" s="176">
        <v>1379.9</v>
      </c>
      <c r="L153" s="176" t="s">
        <v>151</v>
      </c>
      <c r="M153" s="176">
        <v>2017</v>
      </c>
      <c r="N153" s="176">
        <v>2017</v>
      </c>
      <c r="O153" s="176" t="s">
        <v>23</v>
      </c>
      <c r="P153" s="196">
        <v>2717</v>
      </c>
      <c r="Q153" s="176" t="s">
        <v>132</v>
      </c>
      <c r="R153" s="176" t="s">
        <v>133</v>
      </c>
    </row>
    <row r="154" spans="5:18" ht="13.5" customHeight="1" x14ac:dyDescent="0.3">
      <c r="E154" s="176" t="s">
        <v>129</v>
      </c>
      <c r="F154" s="176" t="s">
        <v>130</v>
      </c>
      <c r="G154" s="176">
        <v>566</v>
      </c>
      <c r="H154" s="176" t="s">
        <v>174</v>
      </c>
      <c r="I154" s="176">
        <v>5312</v>
      </c>
      <c r="J154" s="176" t="s">
        <v>131</v>
      </c>
      <c r="K154" s="176">
        <v>1379.9</v>
      </c>
      <c r="L154" s="176" t="s">
        <v>151</v>
      </c>
      <c r="M154" s="176">
        <v>2018</v>
      </c>
      <c r="N154" s="176">
        <v>2018</v>
      </c>
      <c r="O154" s="176" t="s">
        <v>23</v>
      </c>
      <c r="P154" s="196">
        <v>2786</v>
      </c>
      <c r="Q154" s="176" t="s">
        <v>132</v>
      </c>
      <c r="R154" s="176" t="s">
        <v>133</v>
      </c>
    </row>
    <row r="155" spans="5:18" ht="13.5" customHeight="1" x14ac:dyDescent="0.3">
      <c r="E155" s="176" t="s">
        <v>129</v>
      </c>
      <c r="F155" s="176" t="s">
        <v>130</v>
      </c>
      <c r="G155" s="176">
        <v>566</v>
      </c>
      <c r="H155" s="176" t="s">
        <v>174</v>
      </c>
      <c r="I155" s="176">
        <v>5312</v>
      </c>
      <c r="J155" s="176" t="s">
        <v>131</v>
      </c>
      <c r="K155" s="176">
        <v>1379.9</v>
      </c>
      <c r="L155" s="176" t="s">
        <v>151</v>
      </c>
      <c r="M155" s="176">
        <v>2019</v>
      </c>
      <c r="N155" s="176">
        <v>2019</v>
      </c>
      <c r="O155" s="176" t="s">
        <v>23</v>
      </c>
      <c r="P155" s="196">
        <v>2793</v>
      </c>
      <c r="Q155" s="176" t="s">
        <v>132</v>
      </c>
      <c r="R155" s="176" t="s">
        <v>133</v>
      </c>
    </row>
    <row r="156" spans="5:18" ht="13.5" customHeight="1" x14ac:dyDescent="0.3">
      <c r="E156" s="176" t="s">
        <v>129</v>
      </c>
      <c r="F156" s="176" t="s">
        <v>130</v>
      </c>
      <c r="G156" s="176">
        <v>566</v>
      </c>
      <c r="H156" s="176" t="s">
        <v>174</v>
      </c>
      <c r="I156" s="176">
        <v>5312</v>
      </c>
      <c r="J156" s="176" t="s">
        <v>131</v>
      </c>
      <c r="K156" s="176">
        <v>1379.9</v>
      </c>
      <c r="L156" s="176" t="s">
        <v>151</v>
      </c>
      <c r="M156" s="176">
        <v>2020</v>
      </c>
      <c r="N156" s="176">
        <v>2020</v>
      </c>
      <c r="O156" s="176" t="s">
        <v>23</v>
      </c>
      <c r="P156" s="196">
        <v>2805</v>
      </c>
      <c r="Q156" s="176" t="s">
        <v>132</v>
      </c>
      <c r="R156" s="176" t="s">
        <v>133</v>
      </c>
    </row>
    <row r="157" spans="5:18" ht="13.5" customHeight="1" x14ac:dyDescent="0.3">
      <c r="E157" s="176" t="s">
        <v>129</v>
      </c>
      <c r="F157" s="176" t="s">
        <v>130</v>
      </c>
      <c r="G157" s="176">
        <v>566</v>
      </c>
      <c r="H157" s="176" t="s">
        <v>174</v>
      </c>
      <c r="I157" s="176">
        <v>5312</v>
      </c>
      <c r="J157" s="176" t="s">
        <v>131</v>
      </c>
      <c r="K157" s="176">
        <v>1379.9</v>
      </c>
      <c r="L157" s="176" t="s">
        <v>151</v>
      </c>
      <c r="M157" s="176">
        <v>2021</v>
      </c>
      <c r="N157" s="176">
        <v>2021</v>
      </c>
      <c r="O157" s="176" t="s">
        <v>23</v>
      </c>
      <c r="P157" s="196">
        <v>2817</v>
      </c>
      <c r="Q157" s="176" t="s">
        <v>132</v>
      </c>
      <c r="R157" s="176" t="s">
        <v>133</v>
      </c>
    </row>
    <row r="158" spans="5:18" ht="13.5" customHeight="1" x14ac:dyDescent="0.3">
      <c r="E158" s="176" t="s">
        <v>129</v>
      </c>
      <c r="F158" s="176" t="s">
        <v>130</v>
      </c>
      <c r="G158" s="176">
        <v>566</v>
      </c>
      <c r="H158" s="176" t="s">
        <v>174</v>
      </c>
      <c r="I158" s="176">
        <v>5312</v>
      </c>
      <c r="J158" s="176" t="s">
        <v>131</v>
      </c>
      <c r="K158" s="176">
        <v>1449.9</v>
      </c>
      <c r="L158" s="176" t="s">
        <v>120</v>
      </c>
      <c r="M158" s="176">
        <v>2017</v>
      </c>
      <c r="N158" s="176">
        <v>2017</v>
      </c>
      <c r="O158" s="176" t="s">
        <v>23</v>
      </c>
      <c r="P158" s="196">
        <v>300</v>
      </c>
      <c r="Q158" s="176" t="s">
        <v>109</v>
      </c>
      <c r="R158" s="176" t="s">
        <v>110</v>
      </c>
    </row>
    <row r="159" spans="5:18" ht="13.5" customHeight="1" x14ac:dyDescent="0.3">
      <c r="E159" s="176" t="s">
        <v>129</v>
      </c>
      <c r="F159" s="176" t="s">
        <v>130</v>
      </c>
      <c r="G159" s="176">
        <v>566</v>
      </c>
      <c r="H159" s="176" t="s">
        <v>174</v>
      </c>
      <c r="I159" s="176">
        <v>5312</v>
      </c>
      <c r="J159" s="176" t="s">
        <v>131</v>
      </c>
      <c r="K159" s="176">
        <v>1449.9</v>
      </c>
      <c r="L159" s="176" t="s">
        <v>120</v>
      </c>
      <c r="M159" s="176">
        <v>2018</v>
      </c>
      <c r="N159" s="176">
        <v>2018</v>
      </c>
      <c r="O159" s="176" t="s">
        <v>23</v>
      </c>
      <c r="P159" s="196">
        <v>300</v>
      </c>
      <c r="Q159" s="176" t="s">
        <v>109</v>
      </c>
      <c r="R159" s="176" t="s">
        <v>110</v>
      </c>
    </row>
    <row r="160" spans="5:18" ht="13.5" customHeight="1" x14ac:dyDescent="0.3">
      <c r="E160" s="176" t="s">
        <v>129</v>
      </c>
      <c r="F160" s="176" t="s">
        <v>130</v>
      </c>
      <c r="G160" s="176">
        <v>566</v>
      </c>
      <c r="H160" s="176" t="s">
        <v>174</v>
      </c>
      <c r="I160" s="176">
        <v>5312</v>
      </c>
      <c r="J160" s="176" t="s">
        <v>131</v>
      </c>
      <c r="K160" s="176">
        <v>1449.9</v>
      </c>
      <c r="L160" s="176" t="s">
        <v>120</v>
      </c>
      <c r="M160" s="176">
        <v>2019</v>
      </c>
      <c r="N160" s="176">
        <v>2019</v>
      </c>
      <c r="O160" s="176" t="s">
        <v>23</v>
      </c>
      <c r="P160" s="196">
        <v>200</v>
      </c>
      <c r="Q160" s="176" t="s">
        <v>109</v>
      </c>
      <c r="R160" s="176" t="s">
        <v>110</v>
      </c>
    </row>
    <row r="161" spans="5:18" ht="13.5" customHeight="1" x14ac:dyDescent="0.3">
      <c r="E161" s="176" t="s">
        <v>129</v>
      </c>
      <c r="F161" s="176" t="s">
        <v>130</v>
      </c>
      <c r="G161" s="176">
        <v>566</v>
      </c>
      <c r="H161" s="176" t="s">
        <v>174</v>
      </c>
      <c r="I161" s="176">
        <v>5312</v>
      </c>
      <c r="J161" s="176" t="s">
        <v>131</v>
      </c>
      <c r="K161" s="176">
        <v>1449.9</v>
      </c>
      <c r="L161" s="176" t="s">
        <v>120</v>
      </c>
      <c r="M161" s="176">
        <v>2020</v>
      </c>
      <c r="N161" s="176">
        <v>2020</v>
      </c>
      <c r="O161" s="176" t="s">
        <v>23</v>
      </c>
      <c r="P161" s="196">
        <v>200</v>
      </c>
      <c r="Q161" s="176" t="s">
        <v>109</v>
      </c>
      <c r="R161" s="176" t="s">
        <v>110</v>
      </c>
    </row>
    <row r="162" spans="5:18" ht="13.5" customHeight="1" x14ac:dyDescent="0.3">
      <c r="E162" s="176" t="s">
        <v>129</v>
      </c>
      <c r="F162" s="176" t="s">
        <v>130</v>
      </c>
      <c r="G162" s="176">
        <v>566</v>
      </c>
      <c r="H162" s="176" t="s">
        <v>174</v>
      </c>
      <c r="I162" s="176">
        <v>5312</v>
      </c>
      <c r="J162" s="176" t="s">
        <v>131</v>
      </c>
      <c r="K162" s="176">
        <v>1449.9</v>
      </c>
      <c r="L162" s="176" t="s">
        <v>120</v>
      </c>
      <c r="M162" s="176">
        <v>2021</v>
      </c>
      <c r="N162" s="176">
        <v>2021</v>
      </c>
      <c r="O162" s="176" t="s">
        <v>23</v>
      </c>
      <c r="P162" s="196">
        <v>200</v>
      </c>
      <c r="Q162" s="176" t="s">
        <v>109</v>
      </c>
      <c r="R162" s="176" t="s">
        <v>110</v>
      </c>
    </row>
    <row r="163" spans="5:18" ht="13.5" customHeight="1" x14ac:dyDescent="0.3">
      <c r="E163" s="176" t="s">
        <v>129</v>
      </c>
      <c r="F163" s="176" t="s">
        <v>130</v>
      </c>
      <c r="G163" s="176">
        <v>566</v>
      </c>
      <c r="H163" s="176" t="s">
        <v>174</v>
      </c>
      <c r="I163" s="176">
        <v>5312</v>
      </c>
      <c r="J163" s="176" t="s">
        <v>131</v>
      </c>
      <c r="K163" s="176">
        <v>1709.9</v>
      </c>
      <c r="L163" s="176" t="s">
        <v>118</v>
      </c>
      <c r="M163" s="176">
        <v>2017</v>
      </c>
      <c r="N163" s="176">
        <v>2017</v>
      </c>
      <c r="O163" s="176" t="s">
        <v>23</v>
      </c>
      <c r="P163" s="196">
        <v>147496</v>
      </c>
      <c r="Q163" s="176" t="s">
        <v>132</v>
      </c>
      <c r="R163" s="176" t="s">
        <v>133</v>
      </c>
    </row>
    <row r="164" spans="5:18" ht="13.5" customHeight="1" x14ac:dyDescent="0.3">
      <c r="E164" s="176" t="s">
        <v>129</v>
      </c>
      <c r="F164" s="176" t="s">
        <v>130</v>
      </c>
      <c r="G164" s="176">
        <v>566</v>
      </c>
      <c r="H164" s="176" t="s">
        <v>174</v>
      </c>
      <c r="I164" s="176">
        <v>5312</v>
      </c>
      <c r="J164" s="176" t="s">
        <v>131</v>
      </c>
      <c r="K164" s="176">
        <v>1709.9</v>
      </c>
      <c r="L164" s="176" t="s">
        <v>118</v>
      </c>
      <c r="M164" s="176">
        <v>2018</v>
      </c>
      <c r="N164" s="176">
        <v>2018</v>
      </c>
      <c r="O164" s="176" t="s">
        <v>23</v>
      </c>
      <c r="P164" s="196">
        <v>145547</v>
      </c>
      <c r="Q164" s="176" t="s">
        <v>109</v>
      </c>
      <c r="R164" s="176" t="s">
        <v>110</v>
      </c>
    </row>
    <row r="165" spans="5:18" ht="13.5" customHeight="1" x14ac:dyDescent="0.3">
      <c r="E165" s="176" t="s">
        <v>129</v>
      </c>
      <c r="F165" s="176" t="s">
        <v>130</v>
      </c>
      <c r="G165" s="176">
        <v>566</v>
      </c>
      <c r="H165" s="176" t="s">
        <v>174</v>
      </c>
      <c r="I165" s="176">
        <v>5312</v>
      </c>
      <c r="J165" s="176" t="s">
        <v>131</v>
      </c>
      <c r="K165" s="176">
        <v>1709.9</v>
      </c>
      <c r="L165" s="176" t="s">
        <v>118</v>
      </c>
      <c r="M165" s="176">
        <v>2019</v>
      </c>
      <c r="N165" s="176">
        <v>2019</v>
      </c>
      <c r="O165" s="176" t="s">
        <v>23</v>
      </c>
      <c r="P165" s="196">
        <v>146259</v>
      </c>
      <c r="Q165" s="176" t="s">
        <v>109</v>
      </c>
      <c r="R165" s="176" t="s">
        <v>110</v>
      </c>
    </row>
    <row r="166" spans="5:18" ht="13.5" customHeight="1" x14ac:dyDescent="0.3">
      <c r="E166" s="176" t="s">
        <v>129</v>
      </c>
      <c r="F166" s="176" t="s">
        <v>130</v>
      </c>
      <c r="G166" s="176">
        <v>566</v>
      </c>
      <c r="H166" s="176" t="s">
        <v>174</v>
      </c>
      <c r="I166" s="176">
        <v>5312</v>
      </c>
      <c r="J166" s="176" t="s">
        <v>131</v>
      </c>
      <c r="K166" s="176">
        <v>1709.9</v>
      </c>
      <c r="L166" s="176" t="s">
        <v>118</v>
      </c>
      <c r="M166" s="176">
        <v>2020</v>
      </c>
      <c r="N166" s="176">
        <v>2020</v>
      </c>
      <c r="O166" s="176" t="s">
        <v>23</v>
      </c>
      <c r="P166" s="196">
        <v>146434</v>
      </c>
      <c r="Q166" s="176" t="s">
        <v>109</v>
      </c>
      <c r="R166" s="176" t="s">
        <v>110</v>
      </c>
    </row>
    <row r="167" spans="5:18" ht="13.5" customHeight="1" x14ac:dyDescent="0.3">
      <c r="E167" s="176" t="s">
        <v>129</v>
      </c>
      <c r="F167" s="176" t="s">
        <v>130</v>
      </c>
      <c r="G167" s="176">
        <v>566</v>
      </c>
      <c r="H167" s="176" t="s">
        <v>174</v>
      </c>
      <c r="I167" s="176">
        <v>5312</v>
      </c>
      <c r="J167" s="176" t="s">
        <v>131</v>
      </c>
      <c r="K167" s="176">
        <v>1709.9</v>
      </c>
      <c r="L167" s="176" t="s">
        <v>118</v>
      </c>
      <c r="M167" s="176">
        <v>2021</v>
      </c>
      <c r="N167" s="176">
        <v>2021</v>
      </c>
      <c r="O167" s="176" t="s">
        <v>23</v>
      </c>
      <c r="P167" s="196">
        <v>146080</v>
      </c>
      <c r="Q167" s="176" t="s">
        <v>109</v>
      </c>
      <c r="R167" s="176" t="s">
        <v>110</v>
      </c>
    </row>
    <row r="168" spans="5:18" ht="13.5" customHeight="1" x14ac:dyDescent="0.3">
      <c r="E168" s="176" t="s">
        <v>129</v>
      </c>
      <c r="F168" s="176" t="s">
        <v>130</v>
      </c>
      <c r="G168" s="176">
        <v>566</v>
      </c>
      <c r="H168" s="176" t="s">
        <v>174</v>
      </c>
      <c r="I168" s="176">
        <v>5312</v>
      </c>
      <c r="J168" s="176" t="s">
        <v>131</v>
      </c>
      <c r="K168" s="176">
        <v>1699</v>
      </c>
      <c r="L168" s="176" t="s">
        <v>152</v>
      </c>
      <c r="M168" s="176">
        <v>2017</v>
      </c>
      <c r="N168" s="176">
        <v>2017</v>
      </c>
      <c r="O168" s="176" t="s">
        <v>23</v>
      </c>
      <c r="P168" s="196">
        <v>4292</v>
      </c>
      <c r="Q168" s="176" t="s">
        <v>132</v>
      </c>
      <c r="R168" s="176" t="s">
        <v>133</v>
      </c>
    </row>
    <row r="169" spans="5:18" ht="13.5" customHeight="1" x14ac:dyDescent="0.3">
      <c r="E169" s="176" t="s">
        <v>129</v>
      </c>
      <c r="F169" s="176" t="s">
        <v>130</v>
      </c>
      <c r="G169" s="176">
        <v>566</v>
      </c>
      <c r="H169" s="176" t="s">
        <v>174</v>
      </c>
      <c r="I169" s="176">
        <v>5312</v>
      </c>
      <c r="J169" s="176" t="s">
        <v>131</v>
      </c>
      <c r="K169" s="176">
        <v>1699</v>
      </c>
      <c r="L169" s="176" t="s">
        <v>152</v>
      </c>
      <c r="M169" s="176">
        <v>2018</v>
      </c>
      <c r="N169" s="176">
        <v>2018</v>
      </c>
      <c r="O169" s="176" t="s">
        <v>23</v>
      </c>
      <c r="P169" s="196">
        <v>4188</v>
      </c>
      <c r="Q169" s="176" t="s">
        <v>109</v>
      </c>
      <c r="R169" s="176" t="s">
        <v>110</v>
      </c>
    </row>
    <row r="170" spans="5:18" ht="13.5" customHeight="1" x14ac:dyDescent="0.3">
      <c r="E170" s="176" t="s">
        <v>129</v>
      </c>
      <c r="F170" s="176" t="s">
        <v>130</v>
      </c>
      <c r="G170" s="176">
        <v>566</v>
      </c>
      <c r="H170" s="176" t="s">
        <v>174</v>
      </c>
      <c r="I170" s="176">
        <v>5312</v>
      </c>
      <c r="J170" s="176" t="s">
        <v>131</v>
      </c>
      <c r="K170" s="176">
        <v>1699</v>
      </c>
      <c r="L170" s="176" t="s">
        <v>152</v>
      </c>
      <c r="M170" s="176">
        <v>2019</v>
      </c>
      <c r="N170" s="176">
        <v>2019</v>
      </c>
      <c r="O170" s="176" t="s">
        <v>23</v>
      </c>
      <c r="P170" s="196">
        <v>4220</v>
      </c>
      <c r="Q170" s="176" t="s">
        <v>109</v>
      </c>
      <c r="R170" s="176" t="s">
        <v>110</v>
      </c>
    </row>
    <row r="171" spans="5:18" ht="13.5" customHeight="1" x14ac:dyDescent="0.3">
      <c r="E171" s="176" t="s">
        <v>129</v>
      </c>
      <c r="F171" s="176" t="s">
        <v>130</v>
      </c>
      <c r="G171" s="176">
        <v>566</v>
      </c>
      <c r="H171" s="176" t="s">
        <v>174</v>
      </c>
      <c r="I171" s="176">
        <v>5312</v>
      </c>
      <c r="J171" s="176" t="s">
        <v>131</v>
      </c>
      <c r="K171" s="176">
        <v>1699</v>
      </c>
      <c r="L171" s="176" t="s">
        <v>152</v>
      </c>
      <c r="M171" s="176">
        <v>2020</v>
      </c>
      <c r="N171" s="176">
        <v>2020</v>
      </c>
      <c r="O171" s="176" t="s">
        <v>23</v>
      </c>
      <c r="P171" s="196">
        <v>4234</v>
      </c>
      <c r="Q171" s="176" t="s">
        <v>109</v>
      </c>
      <c r="R171" s="176" t="s">
        <v>110</v>
      </c>
    </row>
    <row r="172" spans="5:18" ht="13.5" customHeight="1" x14ac:dyDescent="0.3">
      <c r="E172" s="176" t="s">
        <v>129</v>
      </c>
      <c r="F172" s="176" t="s">
        <v>130</v>
      </c>
      <c r="G172" s="176">
        <v>566</v>
      </c>
      <c r="H172" s="176" t="s">
        <v>174</v>
      </c>
      <c r="I172" s="176">
        <v>5312</v>
      </c>
      <c r="J172" s="176" t="s">
        <v>131</v>
      </c>
      <c r="K172" s="176">
        <v>1699</v>
      </c>
      <c r="L172" s="176" t="s">
        <v>152</v>
      </c>
      <c r="M172" s="176">
        <v>2021</v>
      </c>
      <c r="N172" s="176">
        <v>2021</v>
      </c>
      <c r="O172" s="176" t="s">
        <v>23</v>
      </c>
      <c r="P172" s="196">
        <v>4214</v>
      </c>
      <c r="Q172" s="176" t="s">
        <v>109</v>
      </c>
      <c r="R172" s="176" t="s">
        <v>110</v>
      </c>
    </row>
    <row r="173" spans="5:18" ht="13.5" customHeight="1" x14ac:dyDescent="0.3">
      <c r="E173" s="176" t="s">
        <v>129</v>
      </c>
      <c r="F173" s="176" t="s">
        <v>130</v>
      </c>
      <c r="G173" s="176">
        <v>566</v>
      </c>
      <c r="H173" s="176" t="s">
        <v>174</v>
      </c>
      <c r="I173" s="176">
        <v>5312</v>
      </c>
      <c r="J173" s="176" t="s">
        <v>131</v>
      </c>
      <c r="K173" s="176">
        <v>1290.9000000000001</v>
      </c>
      <c r="L173" s="176" t="s">
        <v>122</v>
      </c>
      <c r="M173" s="176">
        <v>2017</v>
      </c>
      <c r="N173" s="176">
        <v>2017</v>
      </c>
      <c r="O173" s="176" t="s">
        <v>23</v>
      </c>
      <c r="P173" s="196">
        <v>747456</v>
      </c>
      <c r="Q173" s="176" t="s">
        <v>109</v>
      </c>
      <c r="R173" s="176" t="s">
        <v>110</v>
      </c>
    </row>
    <row r="174" spans="5:18" ht="13.5" customHeight="1" x14ac:dyDescent="0.3">
      <c r="E174" s="176" t="s">
        <v>129</v>
      </c>
      <c r="F174" s="176" t="s">
        <v>130</v>
      </c>
      <c r="G174" s="176">
        <v>566</v>
      </c>
      <c r="H174" s="176" t="s">
        <v>174</v>
      </c>
      <c r="I174" s="176">
        <v>5312</v>
      </c>
      <c r="J174" s="176" t="s">
        <v>131</v>
      </c>
      <c r="K174" s="176">
        <v>1290.9000000000001</v>
      </c>
      <c r="L174" s="176" t="s">
        <v>122</v>
      </c>
      <c r="M174" s="176">
        <v>2018</v>
      </c>
      <c r="N174" s="176">
        <v>2018</v>
      </c>
      <c r="O174" s="176" t="s">
        <v>23</v>
      </c>
      <c r="P174" s="196">
        <v>748828</v>
      </c>
      <c r="Q174" s="176" t="s">
        <v>109</v>
      </c>
      <c r="R174" s="176" t="s">
        <v>110</v>
      </c>
    </row>
    <row r="175" spans="5:18" ht="13.5" customHeight="1" x14ac:dyDescent="0.3">
      <c r="E175" s="176" t="s">
        <v>129</v>
      </c>
      <c r="F175" s="176" t="s">
        <v>130</v>
      </c>
      <c r="G175" s="176">
        <v>566</v>
      </c>
      <c r="H175" s="176" t="s">
        <v>174</v>
      </c>
      <c r="I175" s="176">
        <v>5312</v>
      </c>
      <c r="J175" s="176" t="s">
        <v>131</v>
      </c>
      <c r="K175" s="176">
        <v>1290.9000000000001</v>
      </c>
      <c r="L175" s="176" t="s">
        <v>122</v>
      </c>
      <c r="M175" s="176">
        <v>2019</v>
      </c>
      <c r="N175" s="176">
        <v>2019</v>
      </c>
      <c r="O175" s="176" t="s">
        <v>23</v>
      </c>
      <c r="P175" s="196">
        <v>749466</v>
      </c>
      <c r="Q175" s="176" t="s">
        <v>109</v>
      </c>
      <c r="R175" s="176" t="s">
        <v>110</v>
      </c>
    </row>
    <row r="176" spans="5:18" ht="13.5" customHeight="1" x14ac:dyDescent="0.3">
      <c r="E176" s="176" t="s">
        <v>129</v>
      </c>
      <c r="F176" s="176" t="s">
        <v>130</v>
      </c>
      <c r="G176" s="176">
        <v>566</v>
      </c>
      <c r="H176" s="176" t="s">
        <v>174</v>
      </c>
      <c r="I176" s="176">
        <v>5312</v>
      </c>
      <c r="J176" s="176" t="s">
        <v>131</v>
      </c>
      <c r="K176" s="176">
        <v>1290.9000000000001</v>
      </c>
      <c r="L176" s="176" t="s">
        <v>122</v>
      </c>
      <c r="M176" s="176">
        <v>2020</v>
      </c>
      <c r="N176" s="176">
        <v>2020</v>
      </c>
      <c r="O176" s="176" t="s">
        <v>23</v>
      </c>
      <c r="P176" s="196">
        <v>748583</v>
      </c>
      <c r="Q176" s="176" t="s">
        <v>109</v>
      </c>
      <c r="R176" s="176" t="s">
        <v>110</v>
      </c>
    </row>
    <row r="177" spans="5:18" ht="13.5" customHeight="1" x14ac:dyDescent="0.3">
      <c r="E177" s="176" t="s">
        <v>129</v>
      </c>
      <c r="F177" s="176" t="s">
        <v>130</v>
      </c>
      <c r="G177" s="176">
        <v>566</v>
      </c>
      <c r="H177" s="176" t="s">
        <v>174</v>
      </c>
      <c r="I177" s="176">
        <v>5312</v>
      </c>
      <c r="J177" s="176" t="s">
        <v>131</v>
      </c>
      <c r="K177" s="176">
        <v>1290.9000000000001</v>
      </c>
      <c r="L177" s="176" t="s">
        <v>122</v>
      </c>
      <c r="M177" s="176">
        <v>2021</v>
      </c>
      <c r="N177" s="176">
        <v>2021</v>
      </c>
      <c r="O177" s="176" t="s">
        <v>23</v>
      </c>
      <c r="P177" s="196">
        <v>748959</v>
      </c>
      <c r="Q177" s="176" t="s">
        <v>109</v>
      </c>
      <c r="R177" s="176" t="s">
        <v>110</v>
      </c>
    </row>
    <row r="178" spans="5:18" ht="13.5" customHeight="1" x14ac:dyDescent="0.3">
      <c r="E178" s="176" t="s">
        <v>129</v>
      </c>
      <c r="F178" s="176" t="s">
        <v>130</v>
      </c>
      <c r="G178" s="176">
        <v>566</v>
      </c>
      <c r="H178" s="176" t="s">
        <v>174</v>
      </c>
      <c r="I178" s="176">
        <v>5312</v>
      </c>
      <c r="J178" s="176" t="s">
        <v>131</v>
      </c>
      <c r="K178" s="176">
        <v>1317</v>
      </c>
      <c r="L178" s="176" t="s">
        <v>153</v>
      </c>
      <c r="M178" s="176">
        <v>2017</v>
      </c>
      <c r="N178" s="176">
        <v>2017</v>
      </c>
      <c r="O178" s="176" t="s">
        <v>23</v>
      </c>
      <c r="P178" s="196">
        <v>91850</v>
      </c>
      <c r="Q178" s="176" t="s">
        <v>132</v>
      </c>
      <c r="R178" s="176" t="s">
        <v>133</v>
      </c>
    </row>
    <row r="179" spans="5:18" ht="13.5" customHeight="1" x14ac:dyDescent="0.3">
      <c r="E179" s="176" t="s">
        <v>129</v>
      </c>
      <c r="F179" s="176" t="s">
        <v>130</v>
      </c>
      <c r="G179" s="176">
        <v>566</v>
      </c>
      <c r="H179" s="176" t="s">
        <v>174</v>
      </c>
      <c r="I179" s="176">
        <v>5312</v>
      </c>
      <c r="J179" s="176" t="s">
        <v>131</v>
      </c>
      <c r="K179" s="176">
        <v>1317</v>
      </c>
      <c r="L179" s="176" t="s">
        <v>153</v>
      </c>
      <c r="M179" s="176">
        <v>2018</v>
      </c>
      <c r="N179" s="176">
        <v>2018</v>
      </c>
      <c r="O179" s="176" t="s">
        <v>23</v>
      </c>
      <c r="P179" s="196">
        <v>96234</v>
      </c>
      <c r="Q179" s="176" t="s">
        <v>132</v>
      </c>
      <c r="R179" s="176" t="s">
        <v>133</v>
      </c>
    </row>
    <row r="180" spans="5:18" ht="13.5" customHeight="1" x14ac:dyDescent="0.3">
      <c r="E180" s="176" t="s">
        <v>129</v>
      </c>
      <c r="F180" s="176" t="s">
        <v>130</v>
      </c>
      <c r="G180" s="176">
        <v>566</v>
      </c>
      <c r="H180" s="176" t="s">
        <v>174</v>
      </c>
      <c r="I180" s="176">
        <v>5312</v>
      </c>
      <c r="J180" s="176" t="s">
        <v>131</v>
      </c>
      <c r="K180" s="176">
        <v>1317</v>
      </c>
      <c r="L180" s="176" t="s">
        <v>153</v>
      </c>
      <c r="M180" s="176">
        <v>2019</v>
      </c>
      <c r="N180" s="176">
        <v>2019</v>
      </c>
      <c r="O180" s="176" t="s">
        <v>23</v>
      </c>
      <c r="P180" s="196">
        <v>96890</v>
      </c>
      <c r="Q180" s="176" t="s">
        <v>132</v>
      </c>
      <c r="R180" s="176" t="s">
        <v>133</v>
      </c>
    </row>
    <row r="181" spans="5:18" ht="13.5" customHeight="1" x14ac:dyDescent="0.3">
      <c r="E181" s="176" t="s">
        <v>129</v>
      </c>
      <c r="F181" s="176" t="s">
        <v>130</v>
      </c>
      <c r="G181" s="176">
        <v>566</v>
      </c>
      <c r="H181" s="176" t="s">
        <v>174</v>
      </c>
      <c r="I181" s="176">
        <v>5312</v>
      </c>
      <c r="J181" s="176" t="s">
        <v>131</v>
      </c>
      <c r="K181" s="176">
        <v>1317</v>
      </c>
      <c r="L181" s="176" t="s">
        <v>153</v>
      </c>
      <c r="M181" s="176">
        <v>2020</v>
      </c>
      <c r="N181" s="176">
        <v>2020</v>
      </c>
      <c r="O181" s="176" t="s">
        <v>23</v>
      </c>
      <c r="P181" s="196">
        <v>94991</v>
      </c>
      <c r="Q181" s="176" t="s">
        <v>109</v>
      </c>
      <c r="R181" s="176" t="s">
        <v>110</v>
      </c>
    </row>
    <row r="182" spans="5:18" ht="13.5" customHeight="1" x14ac:dyDescent="0.3">
      <c r="E182" s="176" t="s">
        <v>129</v>
      </c>
      <c r="F182" s="176" t="s">
        <v>130</v>
      </c>
      <c r="G182" s="176">
        <v>566</v>
      </c>
      <c r="H182" s="176" t="s">
        <v>174</v>
      </c>
      <c r="I182" s="176">
        <v>5312</v>
      </c>
      <c r="J182" s="176" t="s">
        <v>131</v>
      </c>
      <c r="K182" s="176">
        <v>1317</v>
      </c>
      <c r="L182" s="176" t="s">
        <v>153</v>
      </c>
      <c r="M182" s="176">
        <v>2021</v>
      </c>
      <c r="N182" s="176">
        <v>2021</v>
      </c>
      <c r="O182" s="176" t="s">
        <v>23</v>
      </c>
      <c r="P182" s="196">
        <v>96038</v>
      </c>
      <c r="Q182" s="176" t="s">
        <v>109</v>
      </c>
      <c r="R182" s="176" t="s">
        <v>110</v>
      </c>
    </row>
    <row r="183" spans="5:18" ht="13.5" customHeight="1" x14ac:dyDescent="0.3">
      <c r="E183" s="176" t="s">
        <v>129</v>
      </c>
      <c r="F183" s="176" t="s">
        <v>130</v>
      </c>
      <c r="G183" s="176">
        <v>566</v>
      </c>
      <c r="H183" s="176" t="s">
        <v>174</v>
      </c>
      <c r="I183" s="176">
        <v>5312</v>
      </c>
      <c r="J183" s="176" t="s">
        <v>131</v>
      </c>
      <c r="K183" s="176">
        <v>1318</v>
      </c>
      <c r="L183" s="176" t="s">
        <v>154</v>
      </c>
      <c r="M183" s="176">
        <v>2017</v>
      </c>
      <c r="N183" s="176">
        <v>2017</v>
      </c>
      <c r="O183" s="176" t="s">
        <v>23</v>
      </c>
      <c r="P183" s="196">
        <v>190314</v>
      </c>
      <c r="Q183" s="176" t="s">
        <v>132</v>
      </c>
      <c r="R183" s="176" t="s">
        <v>133</v>
      </c>
    </row>
    <row r="184" spans="5:18" ht="13.5" customHeight="1" x14ac:dyDescent="0.3">
      <c r="E184" s="176" t="s">
        <v>129</v>
      </c>
      <c r="F184" s="176" t="s">
        <v>130</v>
      </c>
      <c r="G184" s="176">
        <v>566</v>
      </c>
      <c r="H184" s="176" t="s">
        <v>174</v>
      </c>
      <c r="I184" s="176">
        <v>5312</v>
      </c>
      <c r="J184" s="176" t="s">
        <v>131</v>
      </c>
      <c r="K184" s="176">
        <v>1318</v>
      </c>
      <c r="L184" s="176" t="s">
        <v>154</v>
      </c>
      <c r="M184" s="176">
        <v>2018</v>
      </c>
      <c r="N184" s="176">
        <v>2018</v>
      </c>
      <c r="O184" s="176" t="s">
        <v>23</v>
      </c>
      <c r="P184" s="196">
        <v>186953</v>
      </c>
      <c r="Q184" s="176" t="s">
        <v>109</v>
      </c>
      <c r="R184" s="176" t="s">
        <v>110</v>
      </c>
    </row>
    <row r="185" spans="5:18" ht="13.5" customHeight="1" x14ac:dyDescent="0.3">
      <c r="E185" s="176" t="s">
        <v>129</v>
      </c>
      <c r="F185" s="176" t="s">
        <v>130</v>
      </c>
      <c r="G185" s="176">
        <v>566</v>
      </c>
      <c r="H185" s="176" t="s">
        <v>174</v>
      </c>
      <c r="I185" s="176">
        <v>5312</v>
      </c>
      <c r="J185" s="176" t="s">
        <v>131</v>
      </c>
      <c r="K185" s="176">
        <v>1318</v>
      </c>
      <c r="L185" s="176" t="s">
        <v>154</v>
      </c>
      <c r="M185" s="176">
        <v>2019</v>
      </c>
      <c r="N185" s="176">
        <v>2019</v>
      </c>
      <c r="O185" s="176" t="s">
        <v>23</v>
      </c>
      <c r="P185" s="196">
        <v>188083</v>
      </c>
      <c r="Q185" s="176" t="s">
        <v>109</v>
      </c>
      <c r="R185" s="176" t="s">
        <v>110</v>
      </c>
    </row>
    <row r="186" spans="5:18" ht="13.5" customHeight="1" x14ac:dyDescent="0.3">
      <c r="E186" s="176" t="s">
        <v>129</v>
      </c>
      <c r="F186" s="176" t="s">
        <v>130</v>
      </c>
      <c r="G186" s="176">
        <v>566</v>
      </c>
      <c r="H186" s="176" t="s">
        <v>174</v>
      </c>
      <c r="I186" s="176">
        <v>5312</v>
      </c>
      <c r="J186" s="176" t="s">
        <v>131</v>
      </c>
      <c r="K186" s="176">
        <v>1318</v>
      </c>
      <c r="L186" s="176" t="s">
        <v>154</v>
      </c>
      <c r="M186" s="176">
        <v>2020</v>
      </c>
      <c r="N186" s="176">
        <v>2020</v>
      </c>
      <c r="O186" s="176" t="s">
        <v>23</v>
      </c>
      <c r="P186" s="196">
        <v>188450</v>
      </c>
      <c r="Q186" s="176" t="s">
        <v>109</v>
      </c>
      <c r="R186" s="176" t="s">
        <v>110</v>
      </c>
    </row>
    <row r="187" spans="5:18" ht="13.5" customHeight="1" x14ac:dyDescent="0.3">
      <c r="E187" s="176" t="s">
        <v>129</v>
      </c>
      <c r="F187" s="176" t="s">
        <v>130</v>
      </c>
      <c r="G187" s="176">
        <v>566</v>
      </c>
      <c r="H187" s="176" t="s">
        <v>174</v>
      </c>
      <c r="I187" s="176">
        <v>5312</v>
      </c>
      <c r="J187" s="176" t="s">
        <v>131</v>
      </c>
      <c r="K187" s="176">
        <v>1318</v>
      </c>
      <c r="L187" s="176" t="s">
        <v>154</v>
      </c>
      <c r="M187" s="176">
        <v>2021</v>
      </c>
      <c r="N187" s="176">
        <v>2021</v>
      </c>
      <c r="O187" s="176" t="s">
        <v>23</v>
      </c>
      <c r="P187" s="196">
        <v>187829</v>
      </c>
      <c r="Q187" s="176" t="s">
        <v>109</v>
      </c>
      <c r="R187" s="176" t="s">
        <v>110</v>
      </c>
    </row>
    <row r="188" spans="5:18" ht="13.5" customHeight="1" x14ac:dyDescent="0.3">
      <c r="E188" s="176" t="s">
        <v>129</v>
      </c>
      <c r="F188" s="176" t="s">
        <v>130</v>
      </c>
      <c r="G188" s="176">
        <v>566</v>
      </c>
      <c r="H188" s="176" t="s">
        <v>174</v>
      </c>
      <c r="I188" s="176">
        <v>5312</v>
      </c>
      <c r="J188" s="176" t="s">
        <v>131</v>
      </c>
      <c r="K188" s="176">
        <v>1313</v>
      </c>
      <c r="L188" s="176" t="s">
        <v>155</v>
      </c>
      <c r="M188" s="176">
        <v>2017</v>
      </c>
      <c r="N188" s="176">
        <v>2017</v>
      </c>
      <c r="O188" s="176" t="s">
        <v>23</v>
      </c>
      <c r="P188" s="196">
        <v>495582</v>
      </c>
      <c r="Q188" s="176" t="s">
        <v>132</v>
      </c>
      <c r="R188" s="176" t="s">
        <v>133</v>
      </c>
    </row>
    <row r="189" spans="5:18" ht="13.5" customHeight="1" x14ac:dyDescent="0.3">
      <c r="E189" s="176" t="s">
        <v>129</v>
      </c>
      <c r="F189" s="176" t="s">
        <v>130</v>
      </c>
      <c r="G189" s="176">
        <v>566</v>
      </c>
      <c r="H189" s="176" t="s">
        <v>174</v>
      </c>
      <c r="I189" s="176">
        <v>5312</v>
      </c>
      <c r="J189" s="176" t="s">
        <v>131</v>
      </c>
      <c r="K189" s="176">
        <v>1313</v>
      </c>
      <c r="L189" s="176" t="s">
        <v>155</v>
      </c>
      <c r="M189" s="176">
        <v>2018</v>
      </c>
      <c r="N189" s="176">
        <v>2018</v>
      </c>
      <c r="O189" s="176" t="s">
        <v>23</v>
      </c>
      <c r="P189" s="196">
        <v>495102</v>
      </c>
      <c r="Q189" s="176" t="s">
        <v>109</v>
      </c>
      <c r="R189" s="176" t="s">
        <v>110</v>
      </c>
    </row>
    <row r="190" spans="5:18" ht="13.5" customHeight="1" x14ac:dyDescent="0.3">
      <c r="E190" s="176" t="s">
        <v>129</v>
      </c>
      <c r="F190" s="176" t="s">
        <v>130</v>
      </c>
      <c r="G190" s="176">
        <v>566</v>
      </c>
      <c r="H190" s="176" t="s">
        <v>174</v>
      </c>
      <c r="I190" s="176">
        <v>5312</v>
      </c>
      <c r="J190" s="176" t="s">
        <v>131</v>
      </c>
      <c r="K190" s="176">
        <v>1313</v>
      </c>
      <c r="L190" s="176" t="s">
        <v>155</v>
      </c>
      <c r="M190" s="176">
        <v>2019</v>
      </c>
      <c r="N190" s="176">
        <v>2019</v>
      </c>
      <c r="O190" s="176" t="s">
        <v>23</v>
      </c>
      <c r="P190" s="196">
        <v>493203</v>
      </c>
      <c r="Q190" s="176" t="s">
        <v>109</v>
      </c>
      <c r="R190" s="176" t="s">
        <v>110</v>
      </c>
    </row>
    <row r="191" spans="5:18" ht="13.5" customHeight="1" x14ac:dyDescent="0.3">
      <c r="E191" s="176" t="s">
        <v>129</v>
      </c>
      <c r="F191" s="176" t="s">
        <v>130</v>
      </c>
      <c r="G191" s="176">
        <v>566</v>
      </c>
      <c r="H191" s="176" t="s">
        <v>174</v>
      </c>
      <c r="I191" s="176">
        <v>5312</v>
      </c>
      <c r="J191" s="176" t="s">
        <v>131</v>
      </c>
      <c r="K191" s="176">
        <v>1313</v>
      </c>
      <c r="L191" s="176" t="s">
        <v>155</v>
      </c>
      <c r="M191" s="176">
        <v>2020</v>
      </c>
      <c r="N191" s="176">
        <v>2020</v>
      </c>
      <c r="O191" s="176" t="s">
        <v>23</v>
      </c>
      <c r="P191" s="196">
        <v>494629</v>
      </c>
      <c r="Q191" s="176" t="s">
        <v>109</v>
      </c>
      <c r="R191" s="176" t="s">
        <v>110</v>
      </c>
    </row>
    <row r="192" spans="5:18" ht="13.5" customHeight="1" x14ac:dyDescent="0.3">
      <c r="E192" s="176" t="s">
        <v>129</v>
      </c>
      <c r="F192" s="176" t="s">
        <v>130</v>
      </c>
      <c r="G192" s="176">
        <v>566</v>
      </c>
      <c r="H192" s="176" t="s">
        <v>174</v>
      </c>
      <c r="I192" s="176">
        <v>5312</v>
      </c>
      <c r="J192" s="176" t="s">
        <v>131</v>
      </c>
      <c r="K192" s="176">
        <v>1313</v>
      </c>
      <c r="L192" s="176" t="s">
        <v>155</v>
      </c>
      <c r="M192" s="176">
        <v>2021</v>
      </c>
      <c r="N192" s="176">
        <v>2021</v>
      </c>
      <c r="O192" s="176" t="s">
        <v>23</v>
      </c>
      <c r="P192" s="196">
        <v>494311</v>
      </c>
      <c r="Q192" s="176" t="s">
        <v>109</v>
      </c>
      <c r="R192" s="176" t="s">
        <v>110</v>
      </c>
    </row>
    <row r="193" spans="5:18" ht="13.5" customHeight="1" x14ac:dyDescent="0.3">
      <c r="E193" s="176" t="s">
        <v>129</v>
      </c>
      <c r="F193" s="176" t="s">
        <v>130</v>
      </c>
      <c r="G193" s="176">
        <v>566</v>
      </c>
      <c r="H193" s="176" t="s">
        <v>174</v>
      </c>
      <c r="I193" s="176">
        <v>5312</v>
      </c>
      <c r="J193" s="176" t="s">
        <v>131</v>
      </c>
      <c r="K193" s="176">
        <v>1510</v>
      </c>
      <c r="L193" s="176" t="s">
        <v>117</v>
      </c>
      <c r="M193" s="176">
        <v>2017</v>
      </c>
      <c r="N193" s="176">
        <v>2017</v>
      </c>
      <c r="O193" s="176" t="s">
        <v>23</v>
      </c>
      <c r="P193" s="196">
        <v>318556</v>
      </c>
      <c r="Q193" s="176" t="s">
        <v>109</v>
      </c>
      <c r="R193" s="176" t="s">
        <v>110</v>
      </c>
    </row>
    <row r="194" spans="5:18" ht="13.5" customHeight="1" x14ac:dyDescent="0.3">
      <c r="E194" s="176" t="s">
        <v>129</v>
      </c>
      <c r="F194" s="176" t="s">
        <v>130</v>
      </c>
      <c r="G194" s="176">
        <v>566</v>
      </c>
      <c r="H194" s="176" t="s">
        <v>174</v>
      </c>
      <c r="I194" s="176">
        <v>5312</v>
      </c>
      <c r="J194" s="176" t="s">
        <v>131</v>
      </c>
      <c r="K194" s="176">
        <v>1510</v>
      </c>
      <c r="L194" s="176" t="s">
        <v>117</v>
      </c>
      <c r="M194" s="176">
        <v>2018</v>
      </c>
      <c r="N194" s="176">
        <v>2018</v>
      </c>
      <c r="O194" s="176" t="s">
        <v>23</v>
      </c>
      <c r="P194" s="196">
        <v>319164</v>
      </c>
      <c r="Q194" s="176" t="s">
        <v>109</v>
      </c>
      <c r="R194" s="176" t="s">
        <v>110</v>
      </c>
    </row>
    <row r="195" spans="5:18" ht="13.5" customHeight="1" x14ac:dyDescent="0.3">
      <c r="E195" s="176" t="s">
        <v>129</v>
      </c>
      <c r="F195" s="176" t="s">
        <v>130</v>
      </c>
      <c r="G195" s="176">
        <v>566</v>
      </c>
      <c r="H195" s="176" t="s">
        <v>174</v>
      </c>
      <c r="I195" s="176">
        <v>5312</v>
      </c>
      <c r="J195" s="176" t="s">
        <v>131</v>
      </c>
      <c r="K195" s="176">
        <v>1510</v>
      </c>
      <c r="L195" s="176" t="s">
        <v>117</v>
      </c>
      <c r="M195" s="176">
        <v>2019</v>
      </c>
      <c r="N195" s="176">
        <v>2019</v>
      </c>
      <c r="O195" s="176" t="s">
        <v>23</v>
      </c>
      <c r="P195" s="196">
        <v>319352</v>
      </c>
      <c r="Q195" s="176" t="s">
        <v>109</v>
      </c>
      <c r="R195" s="176" t="s">
        <v>110</v>
      </c>
    </row>
    <row r="196" spans="5:18" ht="13.5" customHeight="1" x14ac:dyDescent="0.3">
      <c r="E196" s="176" t="s">
        <v>129</v>
      </c>
      <c r="F196" s="176" t="s">
        <v>130</v>
      </c>
      <c r="G196" s="176">
        <v>566</v>
      </c>
      <c r="H196" s="176" t="s">
        <v>174</v>
      </c>
      <c r="I196" s="176">
        <v>5312</v>
      </c>
      <c r="J196" s="176" t="s">
        <v>131</v>
      </c>
      <c r="K196" s="176">
        <v>1510</v>
      </c>
      <c r="L196" s="176" t="s">
        <v>117</v>
      </c>
      <c r="M196" s="176">
        <v>2020</v>
      </c>
      <c r="N196" s="176">
        <v>2020</v>
      </c>
      <c r="O196" s="176" t="s">
        <v>23</v>
      </c>
      <c r="P196" s="196">
        <v>319024</v>
      </c>
      <c r="Q196" s="176" t="s">
        <v>109</v>
      </c>
      <c r="R196" s="176" t="s">
        <v>110</v>
      </c>
    </row>
    <row r="197" spans="5:18" ht="13.5" customHeight="1" x14ac:dyDescent="0.3">
      <c r="E197" s="176" t="s">
        <v>129</v>
      </c>
      <c r="F197" s="176" t="s">
        <v>130</v>
      </c>
      <c r="G197" s="176">
        <v>566</v>
      </c>
      <c r="H197" s="176" t="s">
        <v>174</v>
      </c>
      <c r="I197" s="176">
        <v>5312</v>
      </c>
      <c r="J197" s="176" t="s">
        <v>131</v>
      </c>
      <c r="K197" s="176">
        <v>1510</v>
      </c>
      <c r="L197" s="176" t="s">
        <v>117</v>
      </c>
      <c r="M197" s="176">
        <v>2021</v>
      </c>
      <c r="N197" s="176">
        <v>2021</v>
      </c>
      <c r="O197" s="176" t="s">
        <v>23</v>
      </c>
      <c r="P197" s="196">
        <v>319180</v>
      </c>
      <c r="Q197" s="176" t="s">
        <v>109</v>
      </c>
      <c r="R197" s="176" t="s">
        <v>110</v>
      </c>
    </row>
    <row r="198" spans="5:18" ht="13.5" customHeight="1" x14ac:dyDescent="0.3">
      <c r="E198" s="176" t="s">
        <v>129</v>
      </c>
      <c r="F198" s="176" t="s">
        <v>130</v>
      </c>
      <c r="G198" s="176">
        <v>566</v>
      </c>
      <c r="H198" s="176" t="s">
        <v>174</v>
      </c>
      <c r="I198" s="176">
        <v>5312</v>
      </c>
      <c r="J198" s="176" t="s">
        <v>131</v>
      </c>
      <c r="K198" s="176">
        <v>113</v>
      </c>
      <c r="L198" s="176" t="s">
        <v>64</v>
      </c>
      <c r="M198" s="176">
        <v>2017</v>
      </c>
      <c r="N198" s="176">
        <v>2017</v>
      </c>
      <c r="O198" s="176" t="s">
        <v>23</v>
      </c>
      <c r="P198" s="196">
        <v>4446980</v>
      </c>
      <c r="Q198" s="176" t="s">
        <v>134</v>
      </c>
      <c r="R198" s="176" t="s">
        <v>135</v>
      </c>
    </row>
    <row r="199" spans="5:18" ht="13.5" customHeight="1" x14ac:dyDescent="0.3">
      <c r="E199" s="176" t="s">
        <v>129</v>
      </c>
      <c r="F199" s="176" t="s">
        <v>130</v>
      </c>
      <c r="G199" s="176">
        <v>566</v>
      </c>
      <c r="H199" s="176" t="s">
        <v>174</v>
      </c>
      <c r="I199" s="176">
        <v>5312</v>
      </c>
      <c r="J199" s="176" t="s">
        <v>131</v>
      </c>
      <c r="K199" s="176">
        <v>113</v>
      </c>
      <c r="L199" s="176" t="s">
        <v>64</v>
      </c>
      <c r="M199" s="176">
        <v>2018</v>
      </c>
      <c r="N199" s="176">
        <v>2018</v>
      </c>
      <c r="O199" s="176" t="s">
        <v>23</v>
      </c>
      <c r="P199" s="196">
        <v>4065510</v>
      </c>
      <c r="Q199" s="176" t="s">
        <v>134</v>
      </c>
      <c r="R199" s="176" t="s">
        <v>135</v>
      </c>
    </row>
    <row r="200" spans="5:18" ht="13.5" customHeight="1" x14ac:dyDescent="0.3">
      <c r="E200" s="176" t="s">
        <v>129</v>
      </c>
      <c r="F200" s="176" t="s">
        <v>130</v>
      </c>
      <c r="G200" s="176">
        <v>566</v>
      </c>
      <c r="H200" s="176" t="s">
        <v>174</v>
      </c>
      <c r="I200" s="176">
        <v>5312</v>
      </c>
      <c r="J200" s="176" t="s">
        <v>131</v>
      </c>
      <c r="K200" s="176">
        <v>113</v>
      </c>
      <c r="L200" s="176" t="s">
        <v>64</v>
      </c>
      <c r="M200" s="176">
        <v>2019</v>
      </c>
      <c r="N200" s="176">
        <v>2019</v>
      </c>
      <c r="O200" s="176" t="s">
        <v>23</v>
      </c>
      <c r="P200" s="196">
        <v>4126670</v>
      </c>
      <c r="Q200" s="176" t="s">
        <v>134</v>
      </c>
      <c r="R200" s="176" t="s">
        <v>135</v>
      </c>
    </row>
    <row r="201" spans="5:18" ht="13.5" customHeight="1" x14ac:dyDescent="0.3">
      <c r="E201" s="176" t="s">
        <v>129</v>
      </c>
      <c r="F201" s="176" t="s">
        <v>130</v>
      </c>
      <c r="G201" s="176">
        <v>566</v>
      </c>
      <c r="H201" s="176" t="s">
        <v>174</v>
      </c>
      <c r="I201" s="176">
        <v>5312</v>
      </c>
      <c r="J201" s="176" t="s">
        <v>131</v>
      </c>
      <c r="K201" s="176">
        <v>113</v>
      </c>
      <c r="L201" s="176" t="s">
        <v>64</v>
      </c>
      <c r="M201" s="176">
        <v>2020</v>
      </c>
      <c r="N201" s="176">
        <v>2020</v>
      </c>
      <c r="O201" s="176" t="s">
        <v>23</v>
      </c>
      <c r="P201" s="196">
        <v>4195100</v>
      </c>
      <c r="Q201" s="176" t="s">
        <v>134</v>
      </c>
      <c r="R201" s="176" t="s">
        <v>135</v>
      </c>
    </row>
    <row r="202" spans="5:18" ht="13.5" customHeight="1" x14ac:dyDescent="0.3">
      <c r="E202" s="176" t="s">
        <v>129</v>
      </c>
      <c r="F202" s="176" t="s">
        <v>130</v>
      </c>
      <c r="G202" s="176">
        <v>566</v>
      </c>
      <c r="H202" s="176" t="s">
        <v>174</v>
      </c>
      <c r="I202" s="176">
        <v>5312</v>
      </c>
      <c r="J202" s="176" t="s">
        <v>131</v>
      </c>
      <c r="K202" s="176">
        <v>113</v>
      </c>
      <c r="L202" s="176" t="s">
        <v>64</v>
      </c>
      <c r="M202" s="176">
        <v>2021</v>
      </c>
      <c r="N202" s="176">
        <v>2021</v>
      </c>
      <c r="O202" s="176" t="s">
        <v>23</v>
      </c>
      <c r="P202" s="196">
        <v>4320100</v>
      </c>
      <c r="Q202" s="176" t="s">
        <v>134</v>
      </c>
      <c r="R202" s="176" t="s">
        <v>135</v>
      </c>
    </row>
    <row r="203" spans="5:18" ht="13.5" customHeight="1" x14ac:dyDescent="0.3">
      <c r="E203" s="176" t="s">
        <v>129</v>
      </c>
      <c r="F203" s="176" t="s">
        <v>130</v>
      </c>
      <c r="G203" s="176">
        <v>566</v>
      </c>
      <c r="H203" s="176" t="s">
        <v>174</v>
      </c>
      <c r="I203" s="176">
        <v>5312</v>
      </c>
      <c r="J203" s="176" t="s">
        <v>131</v>
      </c>
      <c r="K203" s="176">
        <v>1921.01</v>
      </c>
      <c r="L203" s="176" t="s">
        <v>156</v>
      </c>
      <c r="M203" s="176">
        <v>2017</v>
      </c>
      <c r="N203" s="176">
        <v>2017</v>
      </c>
      <c r="O203" s="176" t="s">
        <v>23</v>
      </c>
      <c r="P203" s="196">
        <v>380643</v>
      </c>
      <c r="Q203" s="176" t="s">
        <v>109</v>
      </c>
      <c r="R203" s="176" t="s">
        <v>110</v>
      </c>
    </row>
    <row r="204" spans="5:18" ht="13.5" customHeight="1" x14ac:dyDescent="0.3">
      <c r="E204" s="176" t="s">
        <v>129</v>
      </c>
      <c r="F204" s="176" t="s">
        <v>130</v>
      </c>
      <c r="G204" s="176">
        <v>566</v>
      </c>
      <c r="H204" s="176" t="s">
        <v>174</v>
      </c>
      <c r="I204" s="176">
        <v>5312</v>
      </c>
      <c r="J204" s="176" t="s">
        <v>131</v>
      </c>
      <c r="K204" s="176">
        <v>1921.01</v>
      </c>
      <c r="L204" s="176" t="s">
        <v>156</v>
      </c>
      <c r="M204" s="176">
        <v>2018</v>
      </c>
      <c r="N204" s="176">
        <v>2018</v>
      </c>
      <c r="O204" s="176" t="s">
        <v>23</v>
      </c>
      <c r="P204" s="196">
        <v>374620</v>
      </c>
      <c r="Q204" s="176" t="s">
        <v>109</v>
      </c>
      <c r="R204" s="176" t="s">
        <v>110</v>
      </c>
    </row>
    <row r="205" spans="5:18" ht="13.5" customHeight="1" x14ac:dyDescent="0.3">
      <c r="E205" s="176" t="s">
        <v>129</v>
      </c>
      <c r="F205" s="176" t="s">
        <v>130</v>
      </c>
      <c r="G205" s="176">
        <v>566</v>
      </c>
      <c r="H205" s="176" t="s">
        <v>174</v>
      </c>
      <c r="I205" s="176">
        <v>5312</v>
      </c>
      <c r="J205" s="176" t="s">
        <v>131</v>
      </c>
      <c r="K205" s="176">
        <v>1921.01</v>
      </c>
      <c r="L205" s="176" t="s">
        <v>156</v>
      </c>
      <c r="M205" s="176">
        <v>2019</v>
      </c>
      <c r="N205" s="176">
        <v>2019</v>
      </c>
      <c r="O205" s="176" t="s">
        <v>23</v>
      </c>
      <c r="P205" s="196">
        <v>365680</v>
      </c>
      <c r="Q205" s="176" t="s">
        <v>109</v>
      </c>
      <c r="R205" s="176" t="s">
        <v>110</v>
      </c>
    </row>
    <row r="206" spans="5:18" ht="13.5" customHeight="1" x14ac:dyDescent="0.3">
      <c r="E206" s="176" t="s">
        <v>129</v>
      </c>
      <c r="F206" s="176" t="s">
        <v>130</v>
      </c>
      <c r="G206" s="176">
        <v>566</v>
      </c>
      <c r="H206" s="176" t="s">
        <v>174</v>
      </c>
      <c r="I206" s="176">
        <v>5312</v>
      </c>
      <c r="J206" s="176" t="s">
        <v>131</v>
      </c>
      <c r="K206" s="176">
        <v>1921.01</v>
      </c>
      <c r="L206" s="176" t="s">
        <v>156</v>
      </c>
      <c r="M206" s="176">
        <v>2020</v>
      </c>
      <c r="N206" s="176">
        <v>2020</v>
      </c>
      <c r="O206" s="176" t="s">
        <v>23</v>
      </c>
      <c r="P206" s="196">
        <v>373648</v>
      </c>
      <c r="Q206" s="176" t="s">
        <v>109</v>
      </c>
      <c r="R206" s="176" t="s">
        <v>110</v>
      </c>
    </row>
    <row r="207" spans="5:18" ht="13.5" customHeight="1" x14ac:dyDescent="0.3">
      <c r="E207" s="176" t="s">
        <v>129</v>
      </c>
      <c r="F207" s="176" t="s">
        <v>130</v>
      </c>
      <c r="G207" s="176">
        <v>566</v>
      </c>
      <c r="H207" s="176" t="s">
        <v>174</v>
      </c>
      <c r="I207" s="176">
        <v>5312</v>
      </c>
      <c r="J207" s="176" t="s">
        <v>131</v>
      </c>
      <c r="K207" s="176">
        <v>1921.01</v>
      </c>
      <c r="L207" s="176" t="s">
        <v>156</v>
      </c>
      <c r="M207" s="176">
        <v>2021</v>
      </c>
      <c r="N207" s="176">
        <v>2021</v>
      </c>
      <c r="O207" s="176" t="s">
        <v>23</v>
      </c>
      <c r="P207" s="196">
        <v>371316</v>
      </c>
      <c r="Q207" s="176" t="s">
        <v>109</v>
      </c>
      <c r="R207" s="176" t="s">
        <v>110</v>
      </c>
    </row>
    <row r="208" spans="5:18" ht="13.5" customHeight="1" x14ac:dyDescent="0.3">
      <c r="E208" s="176" t="s">
        <v>129</v>
      </c>
      <c r="F208" s="176" t="s">
        <v>130</v>
      </c>
      <c r="G208" s="176">
        <v>566</v>
      </c>
      <c r="H208" s="176" t="s">
        <v>174</v>
      </c>
      <c r="I208" s="176">
        <v>5312</v>
      </c>
      <c r="J208" s="176" t="s">
        <v>131</v>
      </c>
      <c r="K208" s="176">
        <v>1444</v>
      </c>
      <c r="L208" s="176" t="s">
        <v>157</v>
      </c>
      <c r="M208" s="176">
        <v>2017</v>
      </c>
      <c r="N208" s="176">
        <v>2017</v>
      </c>
      <c r="O208" s="176" t="s">
        <v>23</v>
      </c>
      <c r="P208" s="196">
        <v>1012730</v>
      </c>
      <c r="Q208" s="176" t="s">
        <v>134</v>
      </c>
      <c r="R208" s="176" t="s">
        <v>135</v>
      </c>
    </row>
    <row r="209" spans="5:18" ht="13.5" customHeight="1" x14ac:dyDescent="0.3">
      <c r="E209" s="176" t="s">
        <v>129</v>
      </c>
      <c r="F209" s="176" t="s">
        <v>130</v>
      </c>
      <c r="G209" s="176">
        <v>566</v>
      </c>
      <c r="H209" s="176" t="s">
        <v>174</v>
      </c>
      <c r="I209" s="176">
        <v>5312</v>
      </c>
      <c r="J209" s="176" t="s">
        <v>131</v>
      </c>
      <c r="K209" s="176">
        <v>1444</v>
      </c>
      <c r="L209" s="176" t="s">
        <v>157</v>
      </c>
      <c r="M209" s="176">
        <v>2018</v>
      </c>
      <c r="N209" s="176">
        <v>2018</v>
      </c>
      <c r="O209" s="176" t="s">
        <v>23</v>
      </c>
      <c r="P209" s="196">
        <v>632591</v>
      </c>
      <c r="Q209" s="176" t="s">
        <v>132</v>
      </c>
      <c r="R209" s="176" t="s">
        <v>133</v>
      </c>
    </row>
    <row r="210" spans="5:18" ht="13.5" customHeight="1" x14ac:dyDescent="0.3">
      <c r="E210" s="176" t="s">
        <v>129</v>
      </c>
      <c r="F210" s="176" t="s">
        <v>130</v>
      </c>
      <c r="G210" s="176">
        <v>566</v>
      </c>
      <c r="H210" s="176" t="s">
        <v>174</v>
      </c>
      <c r="I210" s="176">
        <v>5312</v>
      </c>
      <c r="J210" s="176" t="s">
        <v>131</v>
      </c>
      <c r="K210" s="176">
        <v>1444</v>
      </c>
      <c r="L210" s="176" t="s">
        <v>157</v>
      </c>
      <c r="M210" s="176">
        <v>2019</v>
      </c>
      <c r="N210" s="176">
        <v>2019</v>
      </c>
      <c r="O210" s="176" t="s">
        <v>23</v>
      </c>
      <c r="P210" s="196">
        <v>602201</v>
      </c>
      <c r="Q210" s="176" t="s">
        <v>132</v>
      </c>
      <c r="R210" s="176" t="s">
        <v>133</v>
      </c>
    </row>
    <row r="211" spans="5:18" ht="13.5" customHeight="1" x14ac:dyDescent="0.3">
      <c r="E211" s="176" t="s">
        <v>129</v>
      </c>
      <c r="F211" s="176" t="s">
        <v>130</v>
      </c>
      <c r="G211" s="176">
        <v>566</v>
      </c>
      <c r="H211" s="176" t="s">
        <v>174</v>
      </c>
      <c r="I211" s="176">
        <v>5312</v>
      </c>
      <c r="J211" s="176" t="s">
        <v>131</v>
      </c>
      <c r="K211" s="176">
        <v>1444</v>
      </c>
      <c r="L211" s="176" t="s">
        <v>157</v>
      </c>
      <c r="M211" s="176">
        <v>2020</v>
      </c>
      <c r="N211" s="176">
        <v>2020</v>
      </c>
      <c r="O211" s="176" t="s">
        <v>23</v>
      </c>
      <c r="P211" s="196">
        <v>508181</v>
      </c>
      <c r="Q211" s="176" t="s">
        <v>132</v>
      </c>
      <c r="R211" s="176" t="s">
        <v>133</v>
      </c>
    </row>
    <row r="212" spans="5:18" ht="13.5" customHeight="1" x14ac:dyDescent="0.3">
      <c r="E212" s="176" t="s">
        <v>129</v>
      </c>
      <c r="F212" s="176" t="s">
        <v>130</v>
      </c>
      <c r="G212" s="176">
        <v>566</v>
      </c>
      <c r="H212" s="176" t="s">
        <v>174</v>
      </c>
      <c r="I212" s="176">
        <v>5312</v>
      </c>
      <c r="J212" s="176" t="s">
        <v>131</v>
      </c>
      <c r="K212" s="176">
        <v>1444</v>
      </c>
      <c r="L212" s="176" t="s">
        <v>157</v>
      </c>
      <c r="M212" s="176">
        <v>2021</v>
      </c>
      <c r="N212" s="176">
        <v>2021</v>
      </c>
      <c r="O212" s="176" t="s">
        <v>23</v>
      </c>
      <c r="P212" s="196">
        <v>496710</v>
      </c>
      <c r="Q212" s="176" t="s">
        <v>132</v>
      </c>
      <c r="R212" s="176" t="s">
        <v>133</v>
      </c>
    </row>
    <row r="213" spans="5:18" ht="13.5" customHeight="1" x14ac:dyDescent="0.3">
      <c r="E213" s="176" t="s">
        <v>129</v>
      </c>
      <c r="F213" s="176" t="s">
        <v>130</v>
      </c>
      <c r="G213" s="176">
        <v>566</v>
      </c>
      <c r="H213" s="176" t="s">
        <v>174</v>
      </c>
      <c r="I213" s="176">
        <v>5312</v>
      </c>
      <c r="J213" s="176" t="s">
        <v>131</v>
      </c>
      <c r="K213" s="176">
        <v>114</v>
      </c>
      <c r="L213" s="176" t="s">
        <v>61</v>
      </c>
      <c r="M213" s="176">
        <v>2017</v>
      </c>
      <c r="N213" s="176">
        <v>2017</v>
      </c>
      <c r="O213" s="176" t="s">
        <v>23</v>
      </c>
      <c r="P213" s="196">
        <v>5820000</v>
      </c>
      <c r="Q213" s="176" t="s">
        <v>134</v>
      </c>
      <c r="R213" s="176" t="s">
        <v>135</v>
      </c>
    </row>
    <row r="214" spans="5:18" ht="13.5" customHeight="1" x14ac:dyDescent="0.3">
      <c r="E214" s="176" t="s">
        <v>129</v>
      </c>
      <c r="F214" s="176" t="s">
        <v>130</v>
      </c>
      <c r="G214" s="176">
        <v>566</v>
      </c>
      <c r="H214" s="176" t="s">
        <v>174</v>
      </c>
      <c r="I214" s="176">
        <v>5312</v>
      </c>
      <c r="J214" s="176" t="s">
        <v>131</v>
      </c>
      <c r="K214" s="176">
        <v>114</v>
      </c>
      <c r="L214" s="176" t="s">
        <v>61</v>
      </c>
      <c r="M214" s="176">
        <v>2018</v>
      </c>
      <c r="N214" s="176">
        <v>2018</v>
      </c>
      <c r="O214" s="176" t="s">
        <v>23</v>
      </c>
      <c r="P214" s="196">
        <v>5590557</v>
      </c>
      <c r="Q214" s="176" t="s">
        <v>132</v>
      </c>
      <c r="R214" s="176" t="s">
        <v>133</v>
      </c>
    </row>
    <row r="215" spans="5:18" ht="13.5" customHeight="1" x14ac:dyDescent="0.3">
      <c r="E215" s="176" t="s">
        <v>129</v>
      </c>
      <c r="F215" s="176" t="s">
        <v>130</v>
      </c>
      <c r="G215" s="176">
        <v>566</v>
      </c>
      <c r="H215" s="176" t="s">
        <v>174</v>
      </c>
      <c r="I215" s="176">
        <v>5312</v>
      </c>
      <c r="J215" s="176" t="s">
        <v>131</v>
      </c>
      <c r="K215" s="176">
        <v>114</v>
      </c>
      <c r="L215" s="176" t="s">
        <v>61</v>
      </c>
      <c r="M215" s="176">
        <v>2019</v>
      </c>
      <c r="N215" s="176">
        <v>2019</v>
      </c>
      <c r="O215" s="176" t="s">
        <v>23</v>
      </c>
      <c r="P215" s="196">
        <v>5397000</v>
      </c>
      <c r="Q215" s="176" t="s">
        <v>136</v>
      </c>
      <c r="R215" s="176" t="s">
        <v>137</v>
      </c>
    </row>
    <row r="216" spans="5:18" ht="13.5" customHeight="1" x14ac:dyDescent="0.3">
      <c r="E216" s="176" t="s">
        <v>129</v>
      </c>
      <c r="F216" s="176" t="s">
        <v>130</v>
      </c>
      <c r="G216" s="176">
        <v>566</v>
      </c>
      <c r="H216" s="176" t="s">
        <v>174</v>
      </c>
      <c r="I216" s="176">
        <v>5312</v>
      </c>
      <c r="J216" s="176" t="s">
        <v>131</v>
      </c>
      <c r="K216" s="176">
        <v>114</v>
      </c>
      <c r="L216" s="176" t="s">
        <v>61</v>
      </c>
      <c r="M216" s="176">
        <v>2020</v>
      </c>
      <c r="N216" s="176">
        <v>2020</v>
      </c>
      <c r="O216" s="176" t="s">
        <v>23</v>
      </c>
      <c r="P216" s="196">
        <v>5600000</v>
      </c>
      <c r="Q216" s="176" t="s">
        <v>136</v>
      </c>
      <c r="R216" s="176" t="s">
        <v>137</v>
      </c>
    </row>
    <row r="217" spans="5:18" ht="13.5" customHeight="1" x14ac:dyDescent="0.3">
      <c r="E217" s="176" t="s">
        <v>129</v>
      </c>
      <c r="F217" s="176" t="s">
        <v>130</v>
      </c>
      <c r="G217" s="176">
        <v>566</v>
      </c>
      <c r="H217" s="176" t="s">
        <v>174</v>
      </c>
      <c r="I217" s="176">
        <v>5312</v>
      </c>
      <c r="J217" s="176" t="s">
        <v>131</v>
      </c>
      <c r="K217" s="176">
        <v>114</v>
      </c>
      <c r="L217" s="176" t="s">
        <v>61</v>
      </c>
      <c r="M217" s="176">
        <v>2021</v>
      </c>
      <c r="N217" s="176">
        <v>2021</v>
      </c>
      <c r="O217" s="176" t="s">
        <v>23</v>
      </c>
      <c r="P217" s="196">
        <v>5700000</v>
      </c>
      <c r="Q217" s="176" t="s">
        <v>136</v>
      </c>
      <c r="R217" s="176" t="s">
        <v>137</v>
      </c>
    </row>
    <row r="218" spans="5:18" ht="13.5" customHeight="1" x14ac:dyDescent="0.3">
      <c r="E218" s="176" t="s">
        <v>129</v>
      </c>
      <c r="F218" s="176" t="s">
        <v>130</v>
      </c>
      <c r="G218" s="176">
        <v>566</v>
      </c>
      <c r="H218" s="176" t="s">
        <v>174</v>
      </c>
      <c r="I218" s="176">
        <v>5312</v>
      </c>
      <c r="J218" s="176" t="s">
        <v>131</v>
      </c>
      <c r="K218" s="176">
        <v>141</v>
      </c>
      <c r="L218" s="176" t="s">
        <v>158</v>
      </c>
      <c r="M218" s="176">
        <v>2017</v>
      </c>
      <c r="N218" s="176">
        <v>2017</v>
      </c>
      <c r="O218" s="176" t="s">
        <v>23</v>
      </c>
      <c r="P218" s="196">
        <v>1119660</v>
      </c>
      <c r="Q218" s="176" t="s">
        <v>134</v>
      </c>
      <c r="R218" s="176" t="s">
        <v>135</v>
      </c>
    </row>
    <row r="219" spans="5:18" ht="13.5" customHeight="1" x14ac:dyDescent="0.3">
      <c r="E219" s="176" t="s">
        <v>129</v>
      </c>
      <c r="F219" s="176" t="s">
        <v>130</v>
      </c>
      <c r="G219" s="176">
        <v>566</v>
      </c>
      <c r="H219" s="176" t="s">
        <v>174</v>
      </c>
      <c r="I219" s="176">
        <v>5312</v>
      </c>
      <c r="J219" s="176" t="s">
        <v>131</v>
      </c>
      <c r="K219" s="176">
        <v>141</v>
      </c>
      <c r="L219" s="176" t="s">
        <v>158</v>
      </c>
      <c r="M219" s="176">
        <v>2018</v>
      </c>
      <c r="N219" s="176">
        <v>2018</v>
      </c>
      <c r="O219" s="176" t="s">
        <v>23</v>
      </c>
      <c r="P219" s="196">
        <v>710792</v>
      </c>
      <c r="Q219" s="176" t="s">
        <v>132</v>
      </c>
      <c r="R219" s="176" t="s">
        <v>133</v>
      </c>
    </row>
    <row r="220" spans="5:18" ht="13.5" customHeight="1" x14ac:dyDescent="0.3">
      <c r="E220" s="176" t="s">
        <v>129</v>
      </c>
      <c r="F220" s="176" t="s">
        <v>130</v>
      </c>
      <c r="G220" s="176">
        <v>566</v>
      </c>
      <c r="H220" s="176" t="s">
        <v>174</v>
      </c>
      <c r="I220" s="176">
        <v>5312</v>
      </c>
      <c r="J220" s="176" t="s">
        <v>131</v>
      </c>
      <c r="K220" s="176">
        <v>141</v>
      </c>
      <c r="L220" s="176" t="s">
        <v>158</v>
      </c>
      <c r="M220" s="176">
        <v>2019</v>
      </c>
      <c r="N220" s="176">
        <v>2019</v>
      </c>
      <c r="O220" s="176" t="s">
        <v>23</v>
      </c>
      <c r="P220" s="196">
        <v>847647</v>
      </c>
      <c r="Q220" s="176" t="s">
        <v>132</v>
      </c>
      <c r="R220" s="176" t="s">
        <v>133</v>
      </c>
    </row>
    <row r="221" spans="5:18" ht="13.5" customHeight="1" x14ac:dyDescent="0.3">
      <c r="E221" s="176" t="s">
        <v>129</v>
      </c>
      <c r="F221" s="176" t="s">
        <v>130</v>
      </c>
      <c r="G221" s="176">
        <v>566</v>
      </c>
      <c r="H221" s="176" t="s">
        <v>174</v>
      </c>
      <c r="I221" s="176">
        <v>5312</v>
      </c>
      <c r="J221" s="176" t="s">
        <v>131</v>
      </c>
      <c r="K221" s="176">
        <v>141</v>
      </c>
      <c r="L221" s="176" t="s">
        <v>158</v>
      </c>
      <c r="M221" s="176">
        <v>2020</v>
      </c>
      <c r="N221" s="176">
        <v>2020</v>
      </c>
      <c r="O221" s="176" t="s">
        <v>23</v>
      </c>
      <c r="P221" s="196">
        <v>972053</v>
      </c>
      <c r="Q221" s="176" t="s">
        <v>132</v>
      </c>
      <c r="R221" s="176" t="s">
        <v>133</v>
      </c>
    </row>
    <row r="222" spans="5:18" ht="13.5" customHeight="1" x14ac:dyDescent="0.3">
      <c r="E222" s="176" t="s">
        <v>129</v>
      </c>
      <c r="F222" s="176" t="s">
        <v>130</v>
      </c>
      <c r="G222" s="176">
        <v>566</v>
      </c>
      <c r="H222" s="176" t="s">
        <v>174</v>
      </c>
      <c r="I222" s="176">
        <v>5312</v>
      </c>
      <c r="J222" s="176" t="s">
        <v>131</v>
      </c>
      <c r="K222" s="176">
        <v>141</v>
      </c>
      <c r="L222" s="176" t="s">
        <v>158</v>
      </c>
      <c r="M222" s="176">
        <v>2021</v>
      </c>
      <c r="N222" s="176">
        <v>2021</v>
      </c>
      <c r="O222" s="176" t="s">
        <v>23</v>
      </c>
      <c r="P222" s="196">
        <v>1057861</v>
      </c>
      <c r="Q222" s="176" t="s">
        <v>132</v>
      </c>
      <c r="R222" s="176" t="s">
        <v>133</v>
      </c>
    </row>
    <row r="223" spans="5:18" ht="13.5" customHeight="1" x14ac:dyDescent="0.3">
      <c r="E223" s="176" t="s">
        <v>129</v>
      </c>
      <c r="F223" s="176" t="s">
        <v>130</v>
      </c>
      <c r="G223" s="176">
        <v>566</v>
      </c>
      <c r="H223" s="176" t="s">
        <v>174</v>
      </c>
      <c r="I223" s="176">
        <v>5312</v>
      </c>
      <c r="J223" s="176" t="s">
        <v>131</v>
      </c>
      <c r="K223" s="176">
        <v>1802</v>
      </c>
      <c r="L223" s="176" t="s">
        <v>121</v>
      </c>
      <c r="M223" s="176">
        <v>2017</v>
      </c>
      <c r="N223" s="176">
        <v>2017</v>
      </c>
      <c r="O223" s="176" t="s">
        <v>23</v>
      </c>
      <c r="P223" s="196">
        <v>84421</v>
      </c>
      <c r="Q223" s="176" t="s">
        <v>109</v>
      </c>
      <c r="R223" s="176" t="s">
        <v>110</v>
      </c>
    </row>
    <row r="224" spans="5:18" ht="13.5" customHeight="1" x14ac:dyDescent="0.3">
      <c r="E224" s="176" t="s">
        <v>129</v>
      </c>
      <c r="F224" s="176" t="s">
        <v>130</v>
      </c>
      <c r="G224" s="176">
        <v>566</v>
      </c>
      <c r="H224" s="176" t="s">
        <v>174</v>
      </c>
      <c r="I224" s="176">
        <v>5312</v>
      </c>
      <c r="J224" s="176" t="s">
        <v>131</v>
      </c>
      <c r="K224" s="176">
        <v>1802</v>
      </c>
      <c r="L224" s="176" t="s">
        <v>121</v>
      </c>
      <c r="M224" s="176">
        <v>2018</v>
      </c>
      <c r="N224" s="176">
        <v>2018</v>
      </c>
      <c r="O224" s="176" t="s">
        <v>23</v>
      </c>
      <c r="P224" s="196">
        <v>85271</v>
      </c>
      <c r="Q224" s="176" t="s">
        <v>109</v>
      </c>
      <c r="R224" s="176" t="s">
        <v>110</v>
      </c>
    </row>
    <row r="225" spans="5:18" ht="13.5" customHeight="1" x14ac:dyDescent="0.3">
      <c r="E225" s="176" t="s">
        <v>129</v>
      </c>
      <c r="F225" s="176" t="s">
        <v>130</v>
      </c>
      <c r="G225" s="176">
        <v>566</v>
      </c>
      <c r="H225" s="176" t="s">
        <v>174</v>
      </c>
      <c r="I225" s="176">
        <v>5312</v>
      </c>
      <c r="J225" s="176" t="s">
        <v>131</v>
      </c>
      <c r="K225" s="176">
        <v>1802</v>
      </c>
      <c r="L225" s="176" t="s">
        <v>121</v>
      </c>
      <c r="M225" s="176">
        <v>2019</v>
      </c>
      <c r="N225" s="176">
        <v>2019</v>
      </c>
      <c r="O225" s="176" t="s">
        <v>23</v>
      </c>
      <c r="P225" s="196">
        <v>85355</v>
      </c>
      <c r="Q225" s="176" t="s">
        <v>109</v>
      </c>
      <c r="R225" s="176" t="s">
        <v>110</v>
      </c>
    </row>
    <row r="226" spans="5:18" ht="13.5" customHeight="1" x14ac:dyDescent="0.3">
      <c r="E226" s="176" t="s">
        <v>129</v>
      </c>
      <c r="F226" s="176" t="s">
        <v>130</v>
      </c>
      <c r="G226" s="176">
        <v>566</v>
      </c>
      <c r="H226" s="176" t="s">
        <v>174</v>
      </c>
      <c r="I226" s="176">
        <v>5312</v>
      </c>
      <c r="J226" s="176" t="s">
        <v>131</v>
      </c>
      <c r="K226" s="176">
        <v>1802</v>
      </c>
      <c r="L226" s="176" t="s">
        <v>121</v>
      </c>
      <c r="M226" s="176">
        <v>2020</v>
      </c>
      <c r="N226" s="176">
        <v>2020</v>
      </c>
      <c r="O226" s="176" t="s">
        <v>23</v>
      </c>
      <c r="P226" s="196">
        <v>85016</v>
      </c>
      <c r="Q226" s="176" t="s">
        <v>109</v>
      </c>
      <c r="R226" s="176" t="s">
        <v>110</v>
      </c>
    </row>
    <row r="227" spans="5:18" ht="13.5" customHeight="1" x14ac:dyDescent="0.3">
      <c r="E227" s="176" t="s">
        <v>129</v>
      </c>
      <c r="F227" s="176" t="s">
        <v>130</v>
      </c>
      <c r="G227" s="176">
        <v>566</v>
      </c>
      <c r="H227" s="176" t="s">
        <v>174</v>
      </c>
      <c r="I227" s="176">
        <v>5312</v>
      </c>
      <c r="J227" s="176" t="s">
        <v>131</v>
      </c>
      <c r="K227" s="176">
        <v>1802</v>
      </c>
      <c r="L227" s="176" t="s">
        <v>121</v>
      </c>
      <c r="M227" s="176">
        <v>2021</v>
      </c>
      <c r="N227" s="176">
        <v>2021</v>
      </c>
      <c r="O227" s="176" t="s">
        <v>23</v>
      </c>
      <c r="P227" s="196">
        <v>85214</v>
      </c>
      <c r="Q227" s="176" t="s">
        <v>109</v>
      </c>
      <c r="R227" s="176" t="s">
        <v>110</v>
      </c>
    </row>
    <row r="228" spans="5:18" ht="13.5" customHeight="1" x14ac:dyDescent="0.3">
      <c r="E228" s="176" t="s">
        <v>129</v>
      </c>
      <c r="F228" s="176" t="s">
        <v>130</v>
      </c>
      <c r="G228" s="176">
        <v>566</v>
      </c>
      <c r="H228" s="176" t="s">
        <v>174</v>
      </c>
      <c r="I228" s="176">
        <v>5312</v>
      </c>
      <c r="J228" s="176" t="s">
        <v>131</v>
      </c>
      <c r="K228" s="176">
        <v>1530</v>
      </c>
      <c r="L228" s="176" t="s">
        <v>124</v>
      </c>
      <c r="M228" s="176">
        <v>2017</v>
      </c>
      <c r="N228" s="176">
        <v>2017</v>
      </c>
      <c r="O228" s="176" t="s">
        <v>23</v>
      </c>
      <c r="P228" s="196">
        <v>1513745</v>
      </c>
      <c r="Q228" s="176" t="s">
        <v>109</v>
      </c>
      <c r="R228" s="176" t="s">
        <v>110</v>
      </c>
    </row>
    <row r="229" spans="5:18" ht="13.5" customHeight="1" x14ac:dyDescent="0.3">
      <c r="E229" s="176" t="s">
        <v>129</v>
      </c>
      <c r="F229" s="176" t="s">
        <v>130</v>
      </c>
      <c r="G229" s="176">
        <v>566</v>
      </c>
      <c r="H229" s="176" t="s">
        <v>174</v>
      </c>
      <c r="I229" s="176">
        <v>5312</v>
      </c>
      <c r="J229" s="176" t="s">
        <v>131</v>
      </c>
      <c r="K229" s="176">
        <v>1530</v>
      </c>
      <c r="L229" s="176" t="s">
        <v>124</v>
      </c>
      <c r="M229" s="176">
        <v>2018</v>
      </c>
      <c r="N229" s="176">
        <v>2018</v>
      </c>
      <c r="O229" s="176" t="s">
        <v>23</v>
      </c>
      <c r="P229" s="196">
        <v>1516091</v>
      </c>
      <c r="Q229" s="176" t="s">
        <v>109</v>
      </c>
      <c r="R229" s="176" t="s">
        <v>110</v>
      </c>
    </row>
    <row r="230" spans="5:18" ht="13.5" customHeight="1" x14ac:dyDescent="0.3">
      <c r="E230" s="176" t="s">
        <v>129</v>
      </c>
      <c r="F230" s="176" t="s">
        <v>130</v>
      </c>
      <c r="G230" s="176">
        <v>566</v>
      </c>
      <c r="H230" s="176" t="s">
        <v>174</v>
      </c>
      <c r="I230" s="176">
        <v>5312</v>
      </c>
      <c r="J230" s="176" t="s">
        <v>131</v>
      </c>
      <c r="K230" s="176">
        <v>1530</v>
      </c>
      <c r="L230" s="176" t="s">
        <v>124</v>
      </c>
      <c r="M230" s="176">
        <v>2019</v>
      </c>
      <c r="N230" s="176">
        <v>2019</v>
      </c>
      <c r="O230" s="176" t="s">
        <v>23</v>
      </c>
      <c r="P230" s="196">
        <v>1503891</v>
      </c>
      <c r="Q230" s="176" t="s">
        <v>109</v>
      </c>
      <c r="R230" s="176" t="s">
        <v>110</v>
      </c>
    </row>
    <row r="231" spans="5:18" ht="13.5" customHeight="1" x14ac:dyDescent="0.3">
      <c r="E231" s="176" t="s">
        <v>129</v>
      </c>
      <c r="F231" s="176" t="s">
        <v>130</v>
      </c>
      <c r="G231" s="176">
        <v>566</v>
      </c>
      <c r="H231" s="176" t="s">
        <v>174</v>
      </c>
      <c r="I231" s="176">
        <v>5312</v>
      </c>
      <c r="J231" s="176" t="s">
        <v>131</v>
      </c>
      <c r="K231" s="176">
        <v>1530</v>
      </c>
      <c r="L231" s="176" t="s">
        <v>124</v>
      </c>
      <c r="M231" s="176">
        <v>2020</v>
      </c>
      <c r="N231" s="176">
        <v>2020</v>
      </c>
      <c r="O231" s="176" t="s">
        <v>23</v>
      </c>
      <c r="P231" s="196">
        <v>1511243</v>
      </c>
      <c r="Q231" s="176" t="s">
        <v>109</v>
      </c>
      <c r="R231" s="176" t="s">
        <v>110</v>
      </c>
    </row>
    <row r="232" spans="5:18" ht="13.5" customHeight="1" x14ac:dyDescent="0.3">
      <c r="E232" s="176" t="s">
        <v>129</v>
      </c>
      <c r="F232" s="176" t="s">
        <v>130</v>
      </c>
      <c r="G232" s="176">
        <v>566</v>
      </c>
      <c r="H232" s="176" t="s">
        <v>174</v>
      </c>
      <c r="I232" s="176">
        <v>5312</v>
      </c>
      <c r="J232" s="176" t="s">
        <v>131</v>
      </c>
      <c r="K232" s="176">
        <v>1530</v>
      </c>
      <c r="L232" s="176" t="s">
        <v>124</v>
      </c>
      <c r="M232" s="176">
        <v>2021</v>
      </c>
      <c r="N232" s="176">
        <v>2021</v>
      </c>
      <c r="O232" s="176" t="s">
        <v>23</v>
      </c>
      <c r="P232" s="196">
        <v>1510408</v>
      </c>
      <c r="Q232" s="176" t="s">
        <v>109</v>
      </c>
      <c r="R232" s="176" t="s">
        <v>110</v>
      </c>
    </row>
    <row r="233" spans="5:18" ht="13.5" customHeight="1" x14ac:dyDescent="0.3">
      <c r="E233" s="176" t="s">
        <v>129</v>
      </c>
      <c r="F233" s="176" t="s">
        <v>130</v>
      </c>
      <c r="G233" s="176">
        <v>566</v>
      </c>
      <c r="H233" s="176" t="s">
        <v>174</v>
      </c>
      <c r="I233" s="176">
        <v>5312</v>
      </c>
      <c r="J233" s="176" t="s">
        <v>131</v>
      </c>
      <c r="K233" s="176">
        <v>1550</v>
      </c>
      <c r="L233" s="176" t="s">
        <v>191</v>
      </c>
      <c r="M233" s="176">
        <v>2017</v>
      </c>
      <c r="N233" s="176">
        <v>2017</v>
      </c>
      <c r="O233" s="176" t="s">
        <v>23</v>
      </c>
      <c r="P233" s="196">
        <v>776405</v>
      </c>
      <c r="Q233" s="176" t="s">
        <v>109</v>
      </c>
      <c r="R233" s="176" t="s">
        <v>110</v>
      </c>
    </row>
    <row r="234" spans="5:18" ht="13.5" customHeight="1" x14ac:dyDescent="0.3">
      <c r="E234" s="176" t="s">
        <v>129</v>
      </c>
      <c r="F234" s="176" t="s">
        <v>130</v>
      </c>
      <c r="G234" s="176">
        <v>566</v>
      </c>
      <c r="H234" s="176" t="s">
        <v>174</v>
      </c>
      <c r="I234" s="176">
        <v>5312</v>
      </c>
      <c r="J234" s="176" t="s">
        <v>131</v>
      </c>
      <c r="K234" s="176">
        <v>1550</v>
      </c>
      <c r="L234" s="176" t="s">
        <v>191</v>
      </c>
      <c r="M234" s="176">
        <v>2018</v>
      </c>
      <c r="N234" s="176">
        <v>2018</v>
      </c>
      <c r="O234" s="176" t="s">
        <v>23</v>
      </c>
      <c r="P234" s="196">
        <v>821880</v>
      </c>
      <c r="Q234" s="176" t="s">
        <v>109</v>
      </c>
      <c r="R234" s="176" t="s">
        <v>110</v>
      </c>
    </row>
    <row r="235" spans="5:18" ht="13.5" customHeight="1" x14ac:dyDescent="0.3">
      <c r="E235" s="176" t="s">
        <v>129</v>
      </c>
      <c r="F235" s="176" t="s">
        <v>130</v>
      </c>
      <c r="G235" s="176">
        <v>566</v>
      </c>
      <c r="H235" s="176" t="s">
        <v>174</v>
      </c>
      <c r="I235" s="176">
        <v>5312</v>
      </c>
      <c r="J235" s="176" t="s">
        <v>131</v>
      </c>
      <c r="K235" s="176">
        <v>1550</v>
      </c>
      <c r="L235" s="176" t="s">
        <v>191</v>
      </c>
      <c r="M235" s="176">
        <v>2019</v>
      </c>
      <c r="N235" s="176">
        <v>2019</v>
      </c>
      <c r="O235" s="176" t="s">
        <v>23</v>
      </c>
      <c r="P235" s="196">
        <v>820239</v>
      </c>
      <c r="Q235" s="176" t="s">
        <v>109</v>
      </c>
      <c r="R235" s="176" t="s">
        <v>110</v>
      </c>
    </row>
    <row r="236" spans="5:18" ht="13.5" customHeight="1" x14ac:dyDescent="0.3">
      <c r="E236" s="176" t="s">
        <v>129</v>
      </c>
      <c r="F236" s="176" t="s">
        <v>130</v>
      </c>
      <c r="G236" s="176">
        <v>566</v>
      </c>
      <c r="H236" s="176" t="s">
        <v>174</v>
      </c>
      <c r="I236" s="176">
        <v>5312</v>
      </c>
      <c r="J236" s="176" t="s">
        <v>131</v>
      </c>
      <c r="K236" s="176">
        <v>1550</v>
      </c>
      <c r="L236" s="176" t="s">
        <v>191</v>
      </c>
      <c r="M236" s="176">
        <v>2020</v>
      </c>
      <c r="N236" s="176">
        <v>2020</v>
      </c>
      <c r="O236" s="176" t="s">
        <v>23</v>
      </c>
      <c r="P236" s="196">
        <v>806175</v>
      </c>
      <c r="Q236" s="176" t="s">
        <v>109</v>
      </c>
      <c r="R236" s="176" t="s">
        <v>110</v>
      </c>
    </row>
    <row r="237" spans="5:18" ht="13.5" customHeight="1" x14ac:dyDescent="0.3">
      <c r="E237" s="176" t="s">
        <v>129</v>
      </c>
      <c r="F237" s="176" t="s">
        <v>130</v>
      </c>
      <c r="G237" s="176">
        <v>566</v>
      </c>
      <c r="H237" s="176" t="s">
        <v>174</v>
      </c>
      <c r="I237" s="176">
        <v>5312</v>
      </c>
      <c r="J237" s="176" t="s">
        <v>131</v>
      </c>
      <c r="K237" s="176">
        <v>1550</v>
      </c>
      <c r="L237" s="176" t="s">
        <v>191</v>
      </c>
      <c r="M237" s="176">
        <v>2021</v>
      </c>
      <c r="N237" s="176">
        <v>2021</v>
      </c>
      <c r="O237" s="176" t="s">
        <v>23</v>
      </c>
      <c r="P237" s="196">
        <v>816098</v>
      </c>
      <c r="Q237" s="176" t="s">
        <v>109</v>
      </c>
      <c r="R237" s="176" t="s">
        <v>110</v>
      </c>
    </row>
    <row r="238" spans="5:18" ht="13.5" customHeight="1" x14ac:dyDescent="0.3">
      <c r="E238" s="176" t="s">
        <v>129</v>
      </c>
      <c r="F238" s="176" t="s">
        <v>130</v>
      </c>
      <c r="G238" s="176">
        <v>566</v>
      </c>
      <c r="H238" s="176" t="s">
        <v>174</v>
      </c>
      <c r="I238" s="176">
        <v>5312</v>
      </c>
      <c r="J238" s="176" t="s">
        <v>131</v>
      </c>
      <c r="K238" s="176">
        <v>1234</v>
      </c>
      <c r="L238" s="176" t="s">
        <v>159</v>
      </c>
      <c r="M238" s="176">
        <v>2017</v>
      </c>
      <c r="N238" s="176">
        <v>2017</v>
      </c>
      <c r="O238" s="176" t="s">
        <v>23</v>
      </c>
      <c r="P238" s="196">
        <v>701300</v>
      </c>
      <c r="Q238" s="176" t="s">
        <v>134</v>
      </c>
      <c r="R238" s="176" t="s">
        <v>135</v>
      </c>
    </row>
    <row r="239" spans="5:18" ht="13.5" customHeight="1" x14ac:dyDescent="0.3">
      <c r="E239" s="176" t="s">
        <v>129</v>
      </c>
      <c r="F239" s="176" t="s">
        <v>130</v>
      </c>
      <c r="G239" s="176">
        <v>566</v>
      </c>
      <c r="H239" s="176" t="s">
        <v>174</v>
      </c>
      <c r="I239" s="176">
        <v>5312</v>
      </c>
      <c r="J239" s="176" t="s">
        <v>131</v>
      </c>
      <c r="K239" s="176">
        <v>1234</v>
      </c>
      <c r="L239" s="176" t="s">
        <v>159</v>
      </c>
      <c r="M239" s="176">
        <v>2018</v>
      </c>
      <c r="N239" s="176">
        <v>2018</v>
      </c>
      <c r="O239" s="176" t="s">
        <v>23</v>
      </c>
      <c r="P239" s="196">
        <v>869271</v>
      </c>
      <c r="Q239" s="176" t="s">
        <v>132</v>
      </c>
      <c r="R239" s="176" t="s">
        <v>133</v>
      </c>
    </row>
    <row r="240" spans="5:18" ht="13.5" customHeight="1" x14ac:dyDescent="0.3">
      <c r="E240" s="176" t="s">
        <v>129</v>
      </c>
      <c r="F240" s="176" t="s">
        <v>130</v>
      </c>
      <c r="G240" s="176">
        <v>566</v>
      </c>
      <c r="H240" s="176" t="s">
        <v>174</v>
      </c>
      <c r="I240" s="176">
        <v>5312</v>
      </c>
      <c r="J240" s="176" t="s">
        <v>131</v>
      </c>
      <c r="K240" s="176">
        <v>1234</v>
      </c>
      <c r="L240" s="176" t="s">
        <v>159</v>
      </c>
      <c r="M240" s="176">
        <v>2019</v>
      </c>
      <c r="N240" s="176">
        <v>2019</v>
      </c>
      <c r="O240" s="176" t="s">
        <v>23</v>
      </c>
      <c r="P240" s="196">
        <v>859441</v>
      </c>
      <c r="Q240" s="176" t="s">
        <v>132</v>
      </c>
      <c r="R240" s="176" t="s">
        <v>133</v>
      </c>
    </row>
    <row r="241" spans="5:18" ht="13.5" customHeight="1" x14ac:dyDescent="0.3">
      <c r="E241" s="176" t="s">
        <v>129</v>
      </c>
      <c r="F241" s="176" t="s">
        <v>130</v>
      </c>
      <c r="G241" s="176">
        <v>566</v>
      </c>
      <c r="H241" s="176" t="s">
        <v>174</v>
      </c>
      <c r="I241" s="176">
        <v>5312</v>
      </c>
      <c r="J241" s="176" t="s">
        <v>131</v>
      </c>
      <c r="K241" s="176">
        <v>1234</v>
      </c>
      <c r="L241" s="176" t="s">
        <v>159</v>
      </c>
      <c r="M241" s="176">
        <v>2020</v>
      </c>
      <c r="N241" s="176">
        <v>2020</v>
      </c>
      <c r="O241" s="176" t="s">
        <v>23</v>
      </c>
      <c r="P241" s="196">
        <v>849427</v>
      </c>
      <c r="Q241" s="176" t="s">
        <v>132</v>
      </c>
      <c r="R241" s="176" t="s">
        <v>133</v>
      </c>
    </row>
    <row r="242" spans="5:18" ht="13.5" customHeight="1" x14ac:dyDescent="0.3">
      <c r="E242" s="176" t="s">
        <v>129</v>
      </c>
      <c r="F242" s="176" t="s">
        <v>130</v>
      </c>
      <c r="G242" s="176">
        <v>566</v>
      </c>
      <c r="H242" s="176" t="s">
        <v>174</v>
      </c>
      <c r="I242" s="176">
        <v>5312</v>
      </c>
      <c r="J242" s="176" t="s">
        <v>131</v>
      </c>
      <c r="K242" s="176">
        <v>1234</v>
      </c>
      <c r="L242" s="176" t="s">
        <v>159</v>
      </c>
      <c r="M242" s="176">
        <v>2021</v>
      </c>
      <c r="N242" s="176">
        <v>2021</v>
      </c>
      <c r="O242" s="176" t="s">
        <v>23</v>
      </c>
      <c r="P242" s="196">
        <v>844633</v>
      </c>
      <c r="Q242" s="176" t="s">
        <v>132</v>
      </c>
      <c r="R242" s="176" t="s">
        <v>133</v>
      </c>
    </row>
    <row r="243" spans="5:18" ht="13.5" customHeight="1" x14ac:dyDescent="0.3">
      <c r="E243" s="176" t="s">
        <v>129</v>
      </c>
      <c r="F243" s="176" t="s">
        <v>130</v>
      </c>
      <c r="G243" s="176">
        <v>566</v>
      </c>
      <c r="H243" s="176" t="s">
        <v>174</v>
      </c>
      <c r="I243" s="176">
        <v>5312</v>
      </c>
      <c r="J243" s="176" t="s">
        <v>131</v>
      </c>
      <c r="K243" s="176">
        <v>1970</v>
      </c>
      <c r="L243" s="176" t="s">
        <v>160</v>
      </c>
      <c r="M243" s="176">
        <v>2017</v>
      </c>
      <c r="N243" s="176">
        <v>2017</v>
      </c>
      <c r="O243" s="176" t="s">
        <v>23</v>
      </c>
      <c r="P243" s="196">
        <v>9800</v>
      </c>
      <c r="Q243" s="176" t="s">
        <v>109</v>
      </c>
      <c r="R243" s="176" t="s">
        <v>110</v>
      </c>
    </row>
    <row r="244" spans="5:18" ht="13.5" customHeight="1" x14ac:dyDescent="0.3">
      <c r="E244" s="176" t="s">
        <v>129</v>
      </c>
      <c r="F244" s="176" t="s">
        <v>130</v>
      </c>
      <c r="G244" s="176">
        <v>566</v>
      </c>
      <c r="H244" s="176" t="s">
        <v>174</v>
      </c>
      <c r="I244" s="176">
        <v>5312</v>
      </c>
      <c r="J244" s="176" t="s">
        <v>131</v>
      </c>
      <c r="K244" s="176">
        <v>1970</v>
      </c>
      <c r="L244" s="176" t="s">
        <v>160</v>
      </c>
      <c r="M244" s="176">
        <v>2018</v>
      </c>
      <c r="N244" s="176">
        <v>2018</v>
      </c>
      <c r="O244" s="176" t="s">
        <v>23</v>
      </c>
      <c r="P244" s="196">
        <v>10364</v>
      </c>
      <c r="Q244" s="176" t="s">
        <v>132</v>
      </c>
      <c r="R244" s="176" t="s">
        <v>133</v>
      </c>
    </row>
    <row r="245" spans="5:18" ht="13.5" customHeight="1" x14ac:dyDescent="0.3">
      <c r="E245" s="176" t="s">
        <v>129</v>
      </c>
      <c r="F245" s="176" t="s">
        <v>130</v>
      </c>
      <c r="G245" s="176">
        <v>566</v>
      </c>
      <c r="H245" s="176" t="s">
        <v>174</v>
      </c>
      <c r="I245" s="176">
        <v>5312</v>
      </c>
      <c r="J245" s="176" t="s">
        <v>131</v>
      </c>
      <c r="K245" s="176">
        <v>1970</v>
      </c>
      <c r="L245" s="176" t="s">
        <v>160</v>
      </c>
      <c r="M245" s="176">
        <v>2019</v>
      </c>
      <c r="N245" s="176">
        <v>2019</v>
      </c>
      <c r="O245" s="176" t="s">
        <v>23</v>
      </c>
      <c r="P245" s="196">
        <v>8718</v>
      </c>
      <c r="Q245" s="176" t="s">
        <v>132</v>
      </c>
      <c r="R245" s="176" t="s">
        <v>133</v>
      </c>
    </row>
    <row r="246" spans="5:18" ht="13.5" customHeight="1" x14ac:dyDescent="0.3">
      <c r="E246" s="176" t="s">
        <v>129</v>
      </c>
      <c r="F246" s="176" t="s">
        <v>130</v>
      </c>
      <c r="G246" s="176">
        <v>566</v>
      </c>
      <c r="H246" s="176" t="s">
        <v>174</v>
      </c>
      <c r="I246" s="176">
        <v>5312</v>
      </c>
      <c r="J246" s="176" t="s">
        <v>131</v>
      </c>
      <c r="K246" s="176">
        <v>1970</v>
      </c>
      <c r="L246" s="176" t="s">
        <v>160</v>
      </c>
      <c r="M246" s="176">
        <v>2020</v>
      </c>
      <c r="N246" s="176">
        <v>2020</v>
      </c>
      <c r="O246" s="176" t="s">
        <v>23</v>
      </c>
      <c r="P246" s="196">
        <v>8369</v>
      </c>
      <c r="Q246" s="176" t="s">
        <v>132</v>
      </c>
      <c r="R246" s="176" t="s">
        <v>133</v>
      </c>
    </row>
    <row r="247" spans="5:18" ht="13.5" customHeight="1" x14ac:dyDescent="0.3">
      <c r="E247" s="176" t="s">
        <v>129</v>
      </c>
      <c r="F247" s="176" t="s">
        <v>130</v>
      </c>
      <c r="G247" s="176">
        <v>566</v>
      </c>
      <c r="H247" s="176" t="s">
        <v>174</v>
      </c>
      <c r="I247" s="176">
        <v>5312</v>
      </c>
      <c r="J247" s="176" t="s">
        <v>131</v>
      </c>
      <c r="K247" s="176">
        <v>1970</v>
      </c>
      <c r="L247" s="176" t="s">
        <v>160</v>
      </c>
      <c r="M247" s="176">
        <v>2021</v>
      </c>
      <c r="N247" s="176">
        <v>2021</v>
      </c>
      <c r="O247" s="176" t="s">
        <v>23</v>
      </c>
      <c r="P247" s="196">
        <v>7998</v>
      </c>
      <c r="Q247" s="176" t="s">
        <v>132</v>
      </c>
      <c r="R247" s="176" t="s">
        <v>133</v>
      </c>
    </row>
    <row r="248" spans="5:18" ht="13.5" customHeight="1" x14ac:dyDescent="0.3">
      <c r="E248" s="176" t="s">
        <v>129</v>
      </c>
      <c r="F248" s="176" t="s">
        <v>130</v>
      </c>
      <c r="G248" s="176">
        <v>566</v>
      </c>
      <c r="H248" s="176" t="s">
        <v>174</v>
      </c>
      <c r="I248" s="176">
        <v>5312</v>
      </c>
      <c r="J248" s="176" t="s">
        <v>131</v>
      </c>
      <c r="K248" s="176">
        <v>111</v>
      </c>
      <c r="L248" s="176" t="s">
        <v>80</v>
      </c>
      <c r="M248" s="176">
        <v>2017</v>
      </c>
      <c r="N248" s="176">
        <v>2017</v>
      </c>
      <c r="O248" s="176" t="s">
        <v>23</v>
      </c>
      <c r="P248" s="196">
        <v>49322</v>
      </c>
      <c r="Q248" s="176" t="s">
        <v>134</v>
      </c>
      <c r="R248" s="176" t="s">
        <v>135</v>
      </c>
    </row>
    <row r="249" spans="5:18" ht="13.5" customHeight="1" x14ac:dyDescent="0.3">
      <c r="E249" s="176" t="s">
        <v>129</v>
      </c>
      <c r="F249" s="176" t="s">
        <v>130</v>
      </c>
      <c r="G249" s="176">
        <v>566</v>
      </c>
      <c r="H249" s="176" t="s">
        <v>174</v>
      </c>
      <c r="I249" s="176">
        <v>5312</v>
      </c>
      <c r="J249" s="176" t="s">
        <v>131</v>
      </c>
      <c r="K249" s="176">
        <v>111</v>
      </c>
      <c r="L249" s="176" t="s">
        <v>80</v>
      </c>
      <c r="M249" s="176">
        <v>2018</v>
      </c>
      <c r="N249" s="176">
        <v>2018</v>
      </c>
      <c r="O249" s="176" t="s">
        <v>23</v>
      </c>
      <c r="P249" s="196">
        <v>51548</v>
      </c>
      <c r="Q249" s="176" t="s">
        <v>134</v>
      </c>
      <c r="R249" s="176" t="s">
        <v>135</v>
      </c>
    </row>
    <row r="250" spans="5:18" ht="13.5" customHeight="1" x14ac:dyDescent="0.3">
      <c r="E250" s="176" t="s">
        <v>129</v>
      </c>
      <c r="F250" s="176" t="s">
        <v>130</v>
      </c>
      <c r="G250" s="176">
        <v>566</v>
      </c>
      <c r="H250" s="176" t="s">
        <v>174</v>
      </c>
      <c r="I250" s="176">
        <v>5312</v>
      </c>
      <c r="J250" s="176" t="s">
        <v>131</v>
      </c>
      <c r="K250" s="176">
        <v>111</v>
      </c>
      <c r="L250" s="176" t="s">
        <v>80</v>
      </c>
      <c r="M250" s="176">
        <v>2019</v>
      </c>
      <c r="N250" s="176">
        <v>2019</v>
      </c>
      <c r="O250" s="176" t="s">
        <v>23</v>
      </c>
      <c r="P250" s="196">
        <v>51646</v>
      </c>
      <c r="Q250" s="176" t="s">
        <v>134</v>
      </c>
      <c r="R250" s="176" t="s">
        <v>135</v>
      </c>
    </row>
    <row r="251" spans="5:18" ht="13.5" customHeight="1" x14ac:dyDescent="0.3">
      <c r="E251" s="176" t="s">
        <v>129</v>
      </c>
      <c r="F251" s="176" t="s">
        <v>130</v>
      </c>
      <c r="G251" s="176">
        <v>566</v>
      </c>
      <c r="H251" s="176" t="s">
        <v>174</v>
      </c>
      <c r="I251" s="176">
        <v>5312</v>
      </c>
      <c r="J251" s="176" t="s">
        <v>131</v>
      </c>
      <c r="K251" s="176">
        <v>111</v>
      </c>
      <c r="L251" s="176" t="s">
        <v>80</v>
      </c>
      <c r="M251" s="176">
        <v>2020</v>
      </c>
      <c r="N251" s="176">
        <v>2020</v>
      </c>
      <c r="O251" s="176" t="s">
        <v>23</v>
      </c>
      <c r="P251" s="196">
        <v>50000</v>
      </c>
      <c r="Q251" s="176" t="s">
        <v>136</v>
      </c>
      <c r="R251" s="176" t="s">
        <v>137</v>
      </c>
    </row>
    <row r="252" spans="5:18" ht="13.5" customHeight="1" x14ac:dyDescent="0.3">
      <c r="E252" s="176" t="s">
        <v>129</v>
      </c>
      <c r="F252" s="176" t="s">
        <v>130</v>
      </c>
      <c r="G252" s="176">
        <v>566</v>
      </c>
      <c r="H252" s="176" t="s">
        <v>174</v>
      </c>
      <c r="I252" s="176">
        <v>5312</v>
      </c>
      <c r="J252" s="176" t="s">
        <v>131</v>
      </c>
      <c r="K252" s="176">
        <v>111</v>
      </c>
      <c r="L252" s="176" t="s">
        <v>80</v>
      </c>
      <c r="M252" s="176">
        <v>2021</v>
      </c>
      <c r="N252" s="176">
        <v>2021</v>
      </c>
      <c r="O252" s="176" t="s">
        <v>23</v>
      </c>
      <c r="P252" s="196">
        <v>80000</v>
      </c>
      <c r="Q252" s="176" t="s">
        <v>136</v>
      </c>
      <c r="R252" s="176" t="s">
        <v>137</v>
      </c>
    </row>
    <row r="253" spans="5:18" ht="13.5" customHeight="1" x14ac:dyDescent="0.3">
      <c r="E253" s="176" t="s">
        <v>129</v>
      </c>
      <c r="F253" s="176" t="s">
        <v>130</v>
      </c>
      <c r="G253" s="176">
        <v>566</v>
      </c>
      <c r="H253" s="176" t="s">
        <v>174</v>
      </c>
      <c r="I253" s="176">
        <v>5312</v>
      </c>
      <c r="J253" s="176" t="s">
        <v>131</v>
      </c>
      <c r="K253" s="176">
        <v>1540</v>
      </c>
      <c r="L253" s="176" t="s">
        <v>161</v>
      </c>
      <c r="M253" s="176">
        <v>2017</v>
      </c>
      <c r="N253" s="176">
        <v>2017</v>
      </c>
      <c r="O253" s="176" t="s">
        <v>23</v>
      </c>
      <c r="P253" s="196">
        <v>5276098</v>
      </c>
      <c r="Q253" s="176" t="s">
        <v>134</v>
      </c>
      <c r="R253" s="176" t="s">
        <v>135</v>
      </c>
    </row>
    <row r="254" spans="5:18" ht="13.5" customHeight="1" x14ac:dyDescent="0.3">
      <c r="E254" s="176" t="s">
        <v>129</v>
      </c>
      <c r="F254" s="176" t="s">
        <v>130</v>
      </c>
      <c r="G254" s="176">
        <v>566</v>
      </c>
      <c r="H254" s="176" t="s">
        <v>174</v>
      </c>
      <c r="I254" s="176">
        <v>5312</v>
      </c>
      <c r="J254" s="176" t="s">
        <v>131</v>
      </c>
      <c r="K254" s="176">
        <v>1540</v>
      </c>
      <c r="L254" s="176" t="s">
        <v>161</v>
      </c>
      <c r="M254" s="176">
        <v>2018</v>
      </c>
      <c r="N254" s="176">
        <v>2018</v>
      </c>
      <c r="O254" s="176" t="s">
        <v>23</v>
      </c>
      <c r="P254" s="196">
        <v>5427899</v>
      </c>
      <c r="Q254" s="176" t="s">
        <v>134</v>
      </c>
      <c r="R254" s="176" t="s">
        <v>135</v>
      </c>
    </row>
    <row r="255" spans="5:18" ht="13.5" customHeight="1" x14ac:dyDescent="0.3">
      <c r="E255" s="176" t="s">
        <v>129</v>
      </c>
      <c r="F255" s="176" t="s">
        <v>130</v>
      </c>
      <c r="G255" s="176">
        <v>566</v>
      </c>
      <c r="H255" s="176" t="s">
        <v>174</v>
      </c>
      <c r="I255" s="176">
        <v>5312</v>
      </c>
      <c r="J255" s="176" t="s">
        <v>131</v>
      </c>
      <c r="K255" s="176">
        <v>1540</v>
      </c>
      <c r="L255" s="176" t="s">
        <v>161</v>
      </c>
      <c r="M255" s="176">
        <v>2019</v>
      </c>
      <c r="N255" s="176">
        <v>2019</v>
      </c>
      <c r="O255" s="176" t="s">
        <v>23</v>
      </c>
      <c r="P255" s="196">
        <v>6778080</v>
      </c>
      <c r="Q255" s="176" t="s">
        <v>134</v>
      </c>
      <c r="R255" s="176" t="s">
        <v>135</v>
      </c>
    </row>
    <row r="256" spans="5:18" ht="13.5" customHeight="1" x14ac:dyDescent="0.3">
      <c r="E256" s="176" t="s">
        <v>129</v>
      </c>
      <c r="F256" s="176" t="s">
        <v>130</v>
      </c>
      <c r="G256" s="176">
        <v>566</v>
      </c>
      <c r="H256" s="176" t="s">
        <v>174</v>
      </c>
      <c r="I256" s="176">
        <v>5312</v>
      </c>
      <c r="J256" s="176" t="s">
        <v>131</v>
      </c>
      <c r="K256" s="176">
        <v>1540</v>
      </c>
      <c r="L256" s="176" t="s">
        <v>161</v>
      </c>
      <c r="M256" s="176">
        <v>2020</v>
      </c>
      <c r="N256" s="176">
        <v>2020</v>
      </c>
      <c r="O256" s="176" t="s">
        <v>23</v>
      </c>
      <c r="P256" s="196">
        <v>6200472</v>
      </c>
      <c r="Q256" s="176" t="s">
        <v>132</v>
      </c>
      <c r="R256" s="176" t="s">
        <v>133</v>
      </c>
    </row>
    <row r="257" spans="5:18" ht="13.5" customHeight="1" x14ac:dyDescent="0.3">
      <c r="E257" s="176" t="s">
        <v>129</v>
      </c>
      <c r="F257" s="176" t="s">
        <v>130</v>
      </c>
      <c r="G257" s="176">
        <v>566</v>
      </c>
      <c r="H257" s="176" t="s">
        <v>174</v>
      </c>
      <c r="I257" s="176">
        <v>5312</v>
      </c>
      <c r="J257" s="176" t="s">
        <v>131</v>
      </c>
      <c r="K257" s="176">
        <v>1540</v>
      </c>
      <c r="L257" s="176" t="s">
        <v>161</v>
      </c>
      <c r="M257" s="176">
        <v>2021</v>
      </c>
      <c r="N257" s="176">
        <v>2021</v>
      </c>
      <c r="O257" s="176" t="s">
        <v>23</v>
      </c>
      <c r="P257" s="196">
        <v>5902180</v>
      </c>
      <c r="Q257" s="176" t="s">
        <v>132</v>
      </c>
      <c r="R257" s="176" t="s">
        <v>133</v>
      </c>
    </row>
    <row r="258" spans="5:18" ht="13.5" customHeight="1" x14ac:dyDescent="0.3">
      <c r="E258" s="176"/>
      <c r="F258" s="176"/>
      <c r="G258" s="176"/>
      <c r="H258" s="176"/>
      <c r="I258" s="176"/>
      <c r="J258" s="176"/>
      <c r="K258" s="176"/>
      <c r="L258" s="176"/>
      <c r="M258" s="176"/>
      <c r="N258" s="176"/>
      <c r="O258" s="176"/>
      <c r="P258" s="176"/>
      <c r="Q258" s="176"/>
      <c r="R258" s="176"/>
    </row>
    <row r="259" spans="5:18" ht="13.5" customHeight="1" x14ac:dyDescent="0.3">
      <c r="E259" s="176"/>
      <c r="F259" s="176"/>
      <c r="G259" s="176"/>
      <c r="H259" s="176"/>
      <c r="I259" s="176"/>
      <c r="J259" s="176"/>
      <c r="K259" s="176"/>
      <c r="L259" s="176"/>
      <c r="M259" s="176"/>
      <c r="N259" s="176"/>
      <c r="O259" s="176"/>
      <c r="P259" s="176"/>
      <c r="Q259" s="176"/>
      <c r="R259" s="176"/>
    </row>
    <row r="260" spans="5:18" ht="13.5" customHeight="1" x14ac:dyDescent="0.3">
      <c r="E260" s="176"/>
      <c r="F260" s="176"/>
      <c r="G260" s="176"/>
      <c r="H260" s="176"/>
      <c r="I260" s="176"/>
      <c r="J260" s="176"/>
      <c r="K260" s="176"/>
      <c r="L260" s="176"/>
      <c r="M260" s="176"/>
      <c r="N260" s="176"/>
      <c r="O260" s="176"/>
      <c r="P260" s="176"/>
      <c r="Q260" s="176"/>
      <c r="R260" s="176"/>
    </row>
    <row r="261" spans="5:18" ht="13.5" customHeight="1" x14ac:dyDescent="0.3">
      <c r="E261" s="176"/>
      <c r="F261" s="176"/>
      <c r="G261" s="176"/>
      <c r="H261" s="176"/>
      <c r="I261" s="176"/>
      <c r="J261" s="176"/>
      <c r="K261" s="176"/>
      <c r="L261" s="176"/>
      <c r="M261" s="176"/>
      <c r="N261" s="176"/>
      <c r="O261" s="176"/>
      <c r="P261" s="176"/>
      <c r="Q261" s="176"/>
      <c r="R261" s="176"/>
    </row>
    <row r="262" spans="5:18" ht="13.5" customHeight="1" x14ac:dyDescent="0.3">
      <c r="E262" s="176"/>
      <c r="F262" s="176"/>
      <c r="G262" s="176"/>
      <c r="H262" s="176"/>
      <c r="I262" s="176"/>
      <c r="J262" s="176"/>
      <c r="K262" s="176"/>
      <c r="L262" s="176"/>
      <c r="M262" s="176"/>
      <c r="N262" s="176"/>
      <c r="O262" s="176"/>
      <c r="P262" s="176"/>
      <c r="Q262" s="176"/>
      <c r="R262" s="176"/>
    </row>
    <row r="263" spans="5:18" ht="13.5" customHeight="1" x14ac:dyDescent="0.3">
      <c r="E263" s="176"/>
      <c r="F263" s="176"/>
      <c r="G263" s="176"/>
      <c r="H263" s="176"/>
      <c r="I263" s="176"/>
      <c r="J263" s="176"/>
      <c r="K263" s="176"/>
      <c r="L263" s="176"/>
      <c r="M263" s="176"/>
      <c r="N263" s="176"/>
      <c r="O263" s="176"/>
      <c r="P263" s="176"/>
      <c r="Q263" s="176"/>
      <c r="R263" s="176"/>
    </row>
    <row r="264" spans="5:18" ht="13.5" customHeight="1" x14ac:dyDescent="0.3">
      <c r="E264" s="176"/>
      <c r="F264" s="176"/>
      <c r="G264" s="176"/>
      <c r="H264" s="176"/>
      <c r="I264" s="176"/>
      <c r="J264" s="176"/>
      <c r="K264" s="176"/>
      <c r="L264" s="176"/>
      <c r="M264" s="176"/>
      <c r="N264" s="176"/>
      <c r="O264" s="176"/>
      <c r="P264" s="176"/>
      <c r="Q264" s="176"/>
      <c r="R264" s="176"/>
    </row>
    <row r="265" spans="5:18" ht="13.5" customHeight="1" x14ac:dyDescent="0.3">
      <c r="E265" s="176"/>
      <c r="F265" s="176"/>
      <c r="G265" s="176"/>
      <c r="H265" s="176"/>
      <c r="I265" s="176"/>
      <c r="J265" s="176"/>
      <c r="K265" s="176"/>
      <c r="L265" s="176"/>
      <c r="M265" s="176"/>
      <c r="N265" s="176"/>
      <c r="O265" s="176"/>
      <c r="P265" s="176"/>
      <c r="Q265" s="176"/>
      <c r="R265" s="176"/>
    </row>
    <row r="266" spans="5:18" ht="13.5" customHeight="1" x14ac:dyDescent="0.3">
      <c r="E266" s="176"/>
      <c r="F266" s="176"/>
      <c r="G266" s="176"/>
      <c r="H266" s="176"/>
      <c r="I266" s="176"/>
      <c r="J266" s="176"/>
      <c r="K266" s="176"/>
      <c r="L266" s="176"/>
      <c r="M266" s="176"/>
      <c r="N266" s="176"/>
      <c r="O266" s="176"/>
      <c r="P266" s="176"/>
      <c r="Q266" s="176"/>
      <c r="R266" s="176"/>
    </row>
    <row r="267" spans="5:18" ht="13.5" customHeight="1" x14ac:dyDescent="0.3">
      <c r="E267" s="176"/>
      <c r="F267" s="176"/>
      <c r="G267" s="176"/>
      <c r="H267" s="176"/>
      <c r="I267" s="176"/>
      <c r="J267" s="176"/>
      <c r="K267" s="176"/>
      <c r="L267" s="176"/>
      <c r="M267" s="176"/>
      <c r="N267" s="176"/>
      <c r="O267" s="176"/>
      <c r="P267" s="176"/>
      <c r="Q267" s="176"/>
      <c r="R267" s="176"/>
    </row>
    <row r="268" spans="5:18" ht="13.5" customHeight="1" x14ac:dyDescent="0.3">
      <c r="E268" s="176"/>
      <c r="F268" s="176"/>
      <c r="G268" s="176"/>
      <c r="H268" s="176"/>
      <c r="I268" s="176"/>
      <c r="J268" s="176"/>
      <c r="K268" s="176"/>
      <c r="L268" s="176"/>
      <c r="M268" s="176"/>
      <c r="N268" s="176"/>
      <c r="O268" s="176"/>
      <c r="P268" s="176"/>
      <c r="Q268" s="176"/>
      <c r="R268" s="176"/>
    </row>
    <row r="269" spans="5:18" ht="13.5" customHeight="1" x14ac:dyDescent="0.3">
      <c r="E269" s="176"/>
      <c r="F269" s="176"/>
      <c r="G269" s="176"/>
      <c r="H269" s="176"/>
      <c r="I269" s="176"/>
      <c r="J269" s="176"/>
      <c r="K269" s="176"/>
      <c r="L269" s="176"/>
      <c r="M269" s="176"/>
      <c r="N269" s="176"/>
      <c r="O269" s="176"/>
      <c r="P269" s="176"/>
      <c r="Q269" s="176"/>
      <c r="R269" s="176"/>
    </row>
    <row r="270" spans="5:18" ht="13.5" customHeight="1" x14ac:dyDescent="0.3">
      <c r="E270" s="176"/>
      <c r="F270" s="176"/>
      <c r="G270" s="176"/>
      <c r="H270" s="176"/>
      <c r="I270" s="176"/>
      <c r="J270" s="176"/>
      <c r="K270" s="176"/>
      <c r="L270" s="176"/>
      <c r="M270" s="176"/>
      <c r="N270" s="176"/>
      <c r="O270" s="176"/>
      <c r="P270" s="176"/>
      <c r="Q270" s="176"/>
      <c r="R270" s="176"/>
    </row>
    <row r="271" spans="5:18" ht="13.5" customHeight="1" x14ac:dyDescent="0.3">
      <c r="E271" s="176"/>
      <c r="F271" s="176"/>
      <c r="G271" s="176"/>
      <c r="H271" s="176"/>
      <c r="I271" s="176"/>
      <c r="J271" s="176"/>
      <c r="K271" s="176"/>
      <c r="L271" s="176"/>
      <c r="M271" s="176"/>
      <c r="N271" s="176"/>
      <c r="O271" s="176"/>
      <c r="P271" s="176"/>
      <c r="Q271" s="176"/>
      <c r="R271" s="176"/>
    </row>
    <row r="272" spans="5:18" ht="13.5" customHeight="1" x14ac:dyDescent="0.3">
      <c r="E272" s="176"/>
      <c r="F272" s="176"/>
      <c r="G272" s="176"/>
      <c r="H272" s="176"/>
      <c r="I272" s="176"/>
      <c r="J272" s="176"/>
      <c r="K272" s="176"/>
      <c r="L272" s="176"/>
      <c r="M272" s="176"/>
      <c r="N272" s="176"/>
      <c r="O272" s="176"/>
      <c r="P272" s="176"/>
      <c r="Q272" s="176"/>
      <c r="R272" s="176"/>
    </row>
    <row r="273" spans="5:18" ht="13.5" customHeight="1" x14ac:dyDescent="0.3">
      <c r="E273" s="176"/>
      <c r="F273" s="176"/>
      <c r="G273" s="176"/>
      <c r="H273" s="176"/>
      <c r="I273" s="176"/>
      <c r="J273" s="176"/>
      <c r="K273" s="176"/>
      <c r="L273" s="176"/>
      <c r="M273" s="176"/>
      <c r="N273" s="176"/>
      <c r="O273" s="176"/>
      <c r="P273" s="176"/>
      <c r="Q273" s="176"/>
      <c r="R273" s="176"/>
    </row>
    <row r="274" spans="5:18" ht="13.5" customHeight="1" x14ac:dyDescent="0.3">
      <c r="E274" s="176"/>
      <c r="F274" s="176"/>
      <c r="G274" s="176"/>
      <c r="H274" s="176"/>
      <c r="I274" s="176"/>
      <c r="J274" s="176"/>
      <c r="K274" s="176"/>
      <c r="L274" s="176"/>
      <c r="M274" s="176"/>
      <c r="N274" s="176"/>
      <c r="O274" s="176"/>
      <c r="P274" s="176"/>
      <c r="Q274" s="176"/>
      <c r="R274" s="176"/>
    </row>
    <row r="275" spans="5:18" ht="13.5" customHeight="1" x14ac:dyDescent="0.3">
      <c r="E275" s="176"/>
      <c r="F275" s="176"/>
      <c r="G275" s="176"/>
      <c r="H275" s="176"/>
      <c r="I275" s="176"/>
      <c r="J275" s="176"/>
      <c r="K275" s="176"/>
      <c r="L275" s="176"/>
      <c r="M275" s="176"/>
      <c r="N275" s="176"/>
      <c r="O275" s="176"/>
      <c r="P275" s="176"/>
      <c r="Q275" s="176"/>
      <c r="R275" s="176"/>
    </row>
    <row r="276" spans="5:18" ht="13.5" customHeight="1" x14ac:dyDescent="0.3">
      <c r="E276" s="176"/>
      <c r="F276" s="176"/>
      <c r="G276" s="176"/>
      <c r="H276" s="176"/>
      <c r="I276" s="176"/>
      <c r="J276" s="176"/>
      <c r="K276" s="176"/>
      <c r="L276" s="176"/>
      <c r="M276" s="176"/>
      <c r="N276" s="176"/>
      <c r="O276" s="176"/>
      <c r="P276" s="176"/>
      <c r="Q276" s="176"/>
      <c r="R276" s="176"/>
    </row>
    <row r="277" spans="5:18" ht="13.5" customHeight="1" x14ac:dyDescent="0.3">
      <c r="E277" s="176"/>
      <c r="F277" s="176"/>
      <c r="G277" s="176"/>
      <c r="H277" s="176"/>
      <c r="I277" s="176"/>
      <c r="J277" s="176"/>
      <c r="K277" s="176"/>
      <c r="L277" s="176"/>
      <c r="M277" s="176"/>
      <c r="N277" s="176"/>
      <c r="O277" s="176"/>
      <c r="P277" s="176"/>
      <c r="Q277" s="176"/>
      <c r="R277" s="176"/>
    </row>
    <row r="278" spans="5:18" ht="13.5" customHeight="1" x14ac:dyDescent="0.3">
      <c r="E278" s="176"/>
      <c r="F278" s="176"/>
      <c r="G278" s="176"/>
      <c r="H278" s="176"/>
      <c r="I278" s="176"/>
      <c r="J278" s="176"/>
      <c r="K278" s="176"/>
      <c r="L278" s="176"/>
      <c r="M278" s="176"/>
      <c r="N278" s="176"/>
      <c r="O278" s="176"/>
      <c r="P278" s="176"/>
      <c r="Q278" s="176"/>
      <c r="R278" s="176"/>
    </row>
    <row r="279" spans="5:18" ht="13.5" customHeight="1" x14ac:dyDescent="0.3">
      <c r="E279" s="176"/>
      <c r="F279" s="176"/>
      <c r="G279" s="176"/>
      <c r="H279" s="176"/>
      <c r="I279" s="176"/>
      <c r="J279" s="176"/>
      <c r="K279" s="176"/>
      <c r="L279" s="176"/>
      <c r="M279" s="176"/>
      <c r="N279" s="176"/>
      <c r="O279" s="176"/>
      <c r="P279" s="176"/>
      <c r="Q279" s="176"/>
      <c r="R279" s="176"/>
    </row>
    <row r="280" spans="5:18" ht="13.5" customHeight="1" x14ac:dyDescent="0.3">
      <c r="E280" s="176"/>
      <c r="F280" s="176"/>
      <c r="G280" s="176"/>
      <c r="H280" s="176"/>
      <c r="I280" s="176"/>
      <c r="J280" s="176"/>
      <c r="K280" s="176"/>
      <c r="L280" s="176"/>
      <c r="M280" s="176"/>
      <c r="N280" s="176"/>
      <c r="O280" s="176"/>
      <c r="P280" s="176"/>
      <c r="Q280" s="176"/>
      <c r="R280" s="176"/>
    </row>
    <row r="281" spans="5:18" ht="13.5" customHeight="1" x14ac:dyDescent="0.3">
      <c r="E281" s="176"/>
      <c r="F281" s="176"/>
      <c r="G281" s="176"/>
      <c r="H281" s="176"/>
      <c r="I281" s="176"/>
      <c r="J281" s="176"/>
      <c r="K281" s="176"/>
      <c r="L281" s="176"/>
      <c r="M281" s="176"/>
      <c r="N281" s="176"/>
      <c r="O281" s="176"/>
      <c r="P281" s="176"/>
      <c r="Q281" s="176"/>
      <c r="R281" s="176"/>
    </row>
    <row r="282" spans="5:18" ht="13.5" customHeight="1" x14ac:dyDescent="0.3">
      <c r="E282" s="176"/>
      <c r="F282" s="176"/>
      <c r="G282" s="176"/>
      <c r="H282" s="176"/>
      <c r="I282" s="176"/>
      <c r="J282" s="176"/>
      <c r="K282" s="176"/>
      <c r="L282" s="176"/>
      <c r="M282" s="176"/>
      <c r="N282" s="176"/>
      <c r="O282" s="176"/>
      <c r="P282" s="176"/>
      <c r="Q282" s="176"/>
      <c r="R282" s="176"/>
    </row>
    <row r="283" spans="5:18" ht="13.5" customHeight="1" x14ac:dyDescent="0.3">
      <c r="E283" s="176"/>
      <c r="F283" s="176"/>
      <c r="G283" s="176"/>
      <c r="H283" s="176"/>
      <c r="I283" s="176"/>
      <c r="J283" s="176"/>
      <c r="K283" s="176"/>
      <c r="L283" s="176"/>
      <c r="M283" s="176"/>
      <c r="N283" s="176"/>
      <c r="O283" s="176"/>
      <c r="P283" s="176"/>
      <c r="Q283" s="176"/>
      <c r="R283" s="176"/>
    </row>
    <row r="284" spans="5:18" ht="13.5" customHeight="1" x14ac:dyDescent="0.3">
      <c r="E284" s="176"/>
      <c r="F284" s="176"/>
      <c r="G284" s="176"/>
      <c r="H284" s="176"/>
      <c r="I284" s="176"/>
      <c r="J284" s="176"/>
      <c r="K284" s="176"/>
      <c r="L284" s="176"/>
      <c r="M284" s="176"/>
      <c r="N284" s="176"/>
      <c r="O284" s="176"/>
      <c r="P284" s="176"/>
      <c r="Q284" s="176"/>
      <c r="R284" s="176"/>
    </row>
    <row r="285" spans="5:18" ht="13.5" customHeight="1" x14ac:dyDescent="0.3">
      <c r="E285" s="176"/>
      <c r="F285" s="176"/>
      <c r="G285" s="176"/>
      <c r="H285" s="176"/>
      <c r="I285" s="176"/>
      <c r="J285" s="176"/>
      <c r="K285" s="176"/>
      <c r="L285" s="176"/>
      <c r="M285" s="176"/>
      <c r="N285" s="176"/>
      <c r="O285" s="176"/>
      <c r="P285" s="176"/>
      <c r="Q285" s="176"/>
      <c r="R285" s="176"/>
    </row>
    <row r="286" spans="5:18" ht="13.5" customHeight="1" x14ac:dyDescent="0.3">
      <c r="E286" s="176"/>
      <c r="F286" s="176"/>
      <c r="G286" s="176"/>
      <c r="H286" s="176"/>
      <c r="I286" s="176"/>
      <c r="J286" s="176"/>
      <c r="K286" s="176"/>
      <c r="L286" s="176"/>
      <c r="M286" s="176"/>
      <c r="N286" s="176"/>
      <c r="O286" s="176"/>
      <c r="P286" s="176"/>
      <c r="Q286" s="176"/>
      <c r="R286" s="176"/>
    </row>
    <row r="287" spans="5:18" ht="13.5" customHeight="1" x14ac:dyDescent="0.3">
      <c r="E287" s="176"/>
      <c r="F287" s="176"/>
      <c r="G287" s="176"/>
      <c r="H287" s="176"/>
      <c r="I287" s="176"/>
      <c r="J287" s="176"/>
      <c r="K287" s="176"/>
      <c r="L287" s="176"/>
      <c r="M287" s="176"/>
      <c r="N287" s="176"/>
      <c r="O287" s="176"/>
      <c r="P287" s="176"/>
      <c r="Q287" s="176"/>
      <c r="R287" s="176"/>
    </row>
    <row r="288" spans="5:18" ht="13.5" customHeight="1" x14ac:dyDescent="0.3">
      <c r="E288" s="176"/>
      <c r="F288" s="176"/>
      <c r="G288" s="176"/>
      <c r="H288" s="176"/>
      <c r="I288" s="176"/>
      <c r="J288" s="176"/>
      <c r="K288" s="176"/>
      <c r="L288" s="176"/>
      <c r="M288" s="176"/>
      <c r="N288" s="176"/>
      <c r="O288" s="176"/>
      <c r="P288" s="176"/>
      <c r="Q288" s="176"/>
      <c r="R288" s="176"/>
    </row>
    <row r="289" spans="5:18" ht="13.5" customHeight="1" x14ac:dyDescent="0.3">
      <c r="E289" s="176"/>
      <c r="F289" s="176"/>
      <c r="G289" s="176"/>
      <c r="H289" s="176"/>
      <c r="I289" s="176"/>
      <c r="J289" s="176"/>
      <c r="K289" s="176"/>
      <c r="L289" s="176"/>
      <c r="M289" s="176"/>
      <c r="N289" s="176"/>
      <c r="O289" s="176"/>
      <c r="P289" s="176"/>
      <c r="Q289" s="176"/>
      <c r="R289" s="176"/>
    </row>
    <row r="290" spans="5:18" ht="13.5" customHeight="1" x14ac:dyDescent="0.3">
      <c r="E290" s="176"/>
      <c r="F290" s="176"/>
      <c r="G290" s="176"/>
      <c r="H290" s="176"/>
      <c r="I290" s="176"/>
      <c r="J290" s="176"/>
      <c r="K290" s="176"/>
      <c r="L290" s="176"/>
      <c r="M290" s="176"/>
      <c r="N290" s="176"/>
      <c r="O290" s="176"/>
      <c r="P290" s="176"/>
      <c r="Q290" s="176"/>
      <c r="R290" s="176"/>
    </row>
    <row r="291" spans="5:18" ht="13.5" customHeight="1" x14ac:dyDescent="0.3">
      <c r="E291" s="176"/>
      <c r="F291" s="176"/>
      <c r="G291" s="176"/>
      <c r="H291" s="176"/>
      <c r="I291" s="176"/>
      <c r="J291" s="176"/>
      <c r="K291" s="176"/>
      <c r="L291" s="176"/>
      <c r="M291" s="176"/>
      <c r="N291" s="176"/>
      <c r="O291" s="176"/>
      <c r="P291" s="176"/>
      <c r="Q291" s="176"/>
      <c r="R291" s="176"/>
    </row>
    <row r="292" spans="5:18" ht="13.5" customHeight="1" x14ac:dyDescent="0.3">
      <c r="E292" s="176"/>
      <c r="F292" s="176"/>
      <c r="G292" s="176"/>
      <c r="H292" s="176"/>
      <c r="I292" s="176"/>
      <c r="J292" s="176"/>
      <c r="K292" s="176"/>
      <c r="L292" s="176"/>
      <c r="M292" s="176"/>
      <c r="N292" s="176"/>
      <c r="O292" s="176"/>
      <c r="P292" s="176"/>
      <c r="Q292" s="176"/>
      <c r="R292" s="176"/>
    </row>
    <row r="293" spans="5:18" ht="13.5" customHeight="1" x14ac:dyDescent="0.3">
      <c r="E293" s="176"/>
      <c r="F293" s="176"/>
      <c r="G293" s="176"/>
      <c r="H293" s="176"/>
      <c r="I293" s="176"/>
      <c r="J293" s="176"/>
      <c r="K293" s="176"/>
      <c r="L293" s="176"/>
      <c r="M293" s="176"/>
      <c r="N293" s="176"/>
      <c r="O293" s="176"/>
      <c r="P293" s="176"/>
      <c r="Q293" s="176"/>
      <c r="R293" s="176"/>
    </row>
    <row r="294" spans="5:18" ht="13.5" customHeight="1" x14ac:dyDescent="0.3">
      <c r="E294" s="176"/>
      <c r="F294" s="176"/>
      <c r="G294" s="176"/>
      <c r="H294" s="176"/>
      <c r="I294" s="176"/>
      <c r="J294" s="176"/>
      <c r="K294" s="176"/>
      <c r="L294" s="176"/>
      <c r="M294" s="176"/>
      <c r="N294" s="176"/>
      <c r="O294" s="176"/>
      <c r="P294" s="176"/>
      <c r="Q294" s="176"/>
      <c r="R294" s="176"/>
    </row>
    <row r="295" spans="5:18" ht="13.5" customHeight="1" x14ac:dyDescent="0.3">
      <c r="E295" s="176"/>
      <c r="F295" s="176"/>
      <c r="G295" s="176"/>
      <c r="H295" s="176"/>
      <c r="I295" s="176"/>
      <c r="J295" s="176"/>
      <c r="K295" s="176"/>
      <c r="L295" s="176"/>
      <c r="M295" s="176"/>
      <c r="N295" s="176"/>
      <c r="O295" s="176"/>
      <c r="P295" s="176"/>
      <c r="Q295" s="176"/>
      <c r="R295" s="176"/>
    </row>
    <row r="296" spans="5:18" ht="13.5" customHeight="1" x14ac:dyDescent="0.3">
      <c r="E296" s="176"/>
      <c r="F296" s="176"/>
      <c r="G296" s="176"/>
      <c r="H296" s="176"/>
      <c r="I296" s="176"/>
      <c r="J296" s="176"/>
      <c r="K296" s="176"/>
      <c r="L296" s="176"/>
      <c r="M296" s="176"/>
      <c r="N296" s="176"/>
      <c r="O296" s="176"/>
      <c r="P296" s="176"/>
      <c r="Q296" s="176"/>
      <c r="R296" s="176"/>
    </row>
    <row r="297" spans="5:18" ht="13.5" customHeight="1" x14ac:dyDescent="0.3">
      <c r="E297" s="176"/>
      <c r="F297" s="176"/>
      <c r="G297" s="176"/>
      <c r="H297" s="176"/>
      <c r="I297" s="176"/>
      <c r="J297" s="176"/>
      <c r="K297" s="176"/>
      <c r="L297" s="176"/>
      <c r="M297" s="176"/>
      <c r="N297" s="176"/>
      <c r="O297" s="176"/>
      <c r="P297" s="176"/>
      <c r="Q297" s="176"/>
      <c r="R297" s="176"/>
    </row>
    <row r="298" spans="5:18" ht="13.5" customHeight="1" x14ac:dyDescent="0.3">
      <c r="E298" s="176"/>
      <c r="F298" s="176"/>
      <c r="G298" s="176"/>
      <c r="H298" s="176"/>
      <c r="I298" s="176"/>
      <c r="J298" s="176"/>
      <c r="K298" s="176"/>
      <c r="L298" s="176"/>
      <c r="M298" s="176"/>
      <c r="N298" s="176"/>
      <c r="O298" s="176"/>
      <c r="P298" s="176"/>
      <c r="Q298" s="176"/>
      <c r="R298" s="176"/>
    </row>
    <row r="299" spans="5:18" ht="13.5" customHeight="1" x14ac:dyDescent="0.3">
      <c r="E299" s="176"/>
      <c r="F299" s="176"/>
      <c r="G299" s="176"/>
      <c r="H299" s="176"/>
      <c r="I299" s="176"/>
      <c r="J299" s="176"/>
      <c r="K299" s="176"/>
      <c r="L299" s="176"/>
      <c r="M299" s="176"/>
      <c r="N299" s="176"/>
      <c r="O299" s="176"/>
      <c r="P299" s="176"/>
      <c r="Q299" s="176"/>
      <c r="R299" s="176"/>
    </row>
    <row r="300" spans="5:18" ht="13.5" customHeight="1" x14ac:dyDescent="0.3">
      <c r="E300" s="176"/>
      <c r="F300" s="176"/>
      <c r="G300" s="176"/>
      <c r="H300" s="176"/>
      <c r="I300" s="176"/>
      <c r="J300" s="176"/>
      <c r="K300" s="176"/>
      <c r="L300" s="176"/>
      <c r="M300" s="176"/>
      <c r="N300" s="176"/>
      <c r="O300" s="176"/>
      <c r="P300" s="176"/>
      <c r="Q300" s="176"/>
      <c r="R300" s="176"/>
    </row>
    <row r="301" spans="5:18" ht="13.5" customHeight="1" x14ac:dyDescent="0.3">
      <c r="E301" s="176"/>
      <c r="F301" s="176"/>
      <c r="G301" s="176"/>
      <c r="H301" s="176"/>
      <c r="I301" s="176"/>
      <c r="J301" s="176"/>
      <c r="K301" s="176"/>
      <c r="L301" s="176"/>
      <c r="M301" s="176"/>
      <c r="N301" s="176"/>
      <c r="O301" s="176"/>
      <c r="P301" s="176"/>
      <c r="Q301" s="176"/>
      <c r="R301" s="176"/>
    </row>
    <row r="302" spans="5:18" ht="13.5" customHeight="1" x14ac:dyDescent="0.3">
      <c r="E302" s="176"/>
      <c r="F302" s="176"/>
      <c r="G302" s="176"/>
      <c r="H302" s="176"/>
      <c r="I302" s="176"/>
      <c r="J302" s="176"/>
      <c r="K302" s="176"/>
      <c r="L302" s="176"/>
      <c r="M302" s="176"/>
      <c r="N302" s="176"/>
      <c r="O302" s="176"/>
      <c r="P302" s="176"/>
      <c r="Q302" s="176"/>
      <c r="R302" s="176"/>
    </row>
    <row r="303" spans="5:18" ht="13.5" customHeight="1" x14ac:dyDescent="0.3">
      <c r="E303" s="176"/>
      <c r="F303" s="176"/>
      <c r="G303" s="176"/>
      <c r="H303" s="176"/>
      <c r="I303" s="176"/>
      <c r="J303" s="176"/>
      <c r="K303" s="176"/>
      <c r="L303" s="176"/>
      <c r="M303" s="176"/>
      <c r="N303" s="176"/>
      <c r="O303" s="176"/>
      <c r="P303" s="176"/>
      <c r="Q303" s="176"/>
      <c r="R303" s="176"/>
    </row>
    <row r="304" spans="5:18" ht="13.5" customHeight="1" x14ac:dyDescent="0.3">
      <c r="E304" s="176"/>
      <c r="F304" s="176"/>
      <c r="G304" s="176"/>
      <c r="H304" s="176"/>
      <c r="I304" s="176"/>
      <c r="J304" s="176"/>
      <c r="K304" s="176"/>
      <c r="L304" s="176"/>
      <c r="M304" s="176"/>
      <c r="N304" s="176"/>
      <c r="O304" s="176"/>
      <c r="P304" s="176"/>
      <c r="Q304" s="176"/>
      <c r="R304" s="176"/>
    </row>
    <row r="305" spans="5:18" ht="13.5" customHeight="1" x14ac:dyDescent="0.3">
      <c r="E305" s="176"/>
      <c r="F305" s="176"/>
      <c r="G305" s="176"/>
      <c r="H305" s="176"/>
      <c r="I305" s="176"/>
      <c r="J305" s="176"/>
      <c r="K305" s="176"/>
      <c r="L305" s="176"/>
      <c r="M305" s="176"/>
      <c r="N305" s="176"/>
      <c r="O305" s="176"/>
      <c r="P305" s="176"/>
      <c r="Q305" s="176"/>
      <c r="R305" s="176"/>
    </row>
    <row r="306" spans="5:18" ht="13.5" customHeight="1" x14ac:dyDescent="0.3">
      <c r="E306" s="176"/>
      <c r="F306" s="176"/>
      <c r="G306" s="176"/>
      <c r="H306" s="176"/>
      <c r="I306" s="176"/>
      <c r="J306" s="176"/>
      <c r="K306" s="176"/>
      <c r="L306" s="176"/>
      <c r="M306" s="176"/>
      <c r="N306" s="176"/>
      <c r="O306" s="176"/>
      <c r="P306" s="176"/>
      <c r="Q306" s="176"/>
      <c r="R306" s="176"/>
    </row>
    <row r="307" spans="5:18" ht="13.5" customHeight="1" x14ac:dyDescent="0.3">
      <c r="E307" s="176"/>
      <c r="F307" s="176"/>
      <c r="G307" s="176"/>
      <c r="H307" s="176"/>
      <c r="I307" s="176"/>
      <c r="J307" s="176"/>
      <c r="K307" s="176"/>
      <c r="L307" s="176"/>
      <c r="M307" s="176"/>
      <c r="N307" s="176"/>
      <c r="O307" s="176"/>
      <c r="P307" s="176"/>
      <c r="Q307" s="176"/>
      <c r="R307" s="176"/>
    </row>
    <row r="308" spans="5:18" ht="13.5" customHeight="1" x14ac:dyDescent="0.3">
      <c r="E308" s="176"/>
      <c r="F308" s="176"/>
      <c r="G308" s="176"/>
      <c r="H308" s="176"/>
      <c r="I308" s="176"/>
      <c r="J308" s="176"/>
      <c r="K308" s="176"/>
      <c r="L308" s="176"/>
      <c r="M308" s="176"/>
      <c r="N308" s="176"/>
      <c r="O308" s="176"/>
      <c r="P308" s="176"/>
      <c r="Q308" s="176"/>
      <c r="R308" s="176"/>
    </row>
    <row r="309" spans="5:18" ht="13.5" customHeight="1" x14ac:dyDescent="0.3">
      <c r="E309" s="176"/>
      <c r="F309" s="176"/>
      <c r="G309" s="176"/>
      <c r="H309" s="176"/>
      <c r="I309" s="176"/>
      <c r="J309" s="176"/>
      <c r="K309" s="176"/>
      <c r="L309" s="176"/>
      <c r="M309" s="176"/>
      <c r="N309" s="176"/>
      <c r="O309" s="176"/>
      <c r="P309" s="176"/>
      <c r="Q309" s="176"/>
      <c r="R309" s="176"/>
    </row>
    <row r="310" spans="5:18" ht="13.5" customHeight="1" x14ac:dyDescent="0.3">
      <c r="E310" s="176"/>
      <c r="F310" s="176"/>
      <c r="G310" s="176"/>
      <c r="H310" s="176"/>
      <c r="I310" s="176"/>
      <c r="J310" s="176"/>
      <c r="K310" s="176"/>
      <c r="L310" s="176"/>
      <c r="M310" s="176"/>
      <c r="N310" s="176"/>
      <c r="O310" s="176"/>
      <c r="P310" s="176"/>
      <c r="Q310" s="176"/>
      <c r="R310" s="176"/>
    </row>
    <row r="311" spans="5:18" ht="13.5" customHeight="1" x14ac:dyDescent="0.3">
      <c r="E311" s="176"/>
      <c r="F311" s="176"/>
      <c r="G311" s="176"/>
      <c r="H311" s="176"/>
      <c r="I311" s="176"/>
      <c r="J311" s="176"/>
      <c r="K311" s="176"/>
      <c r="L311" s="176"/>
      <c r="M311" s="176"/>
      <c r="N311" s="176"/>
      <c r="O311" s="176"/>
      <c r="P311" s="176"/>
      <c r="Q311" s="176"/>
      <c r="R311" s="176"/>
    </row>
    <row r="312" spans="5:18" ht="13.5" customHeight="1" x14ac:dyDescent="0.3">
      <c r="E312" s="176"/>
      <c r="F312" s="176"/>
      <c r="G312" s="176"/>
      <c r="H312" s="176"/>
      <c r="I312" s="176"/>
      <c r="J312" s="176"/>
      <c r="K312" s="176"/>
      <c r="L312" s="176"/>
      <c r="M312" s="176"/>
      <c r="N312" s="176"/>
      <c r="O312" s="176"/>
      <c r="P312" s="176"/>
      <c r="Q312" s="176"/>
      <c r="R312" s="176"/>
    </row>
    <row r="313" spans="5:18" ht="13.5" customHeight="1" x14ac:dyDescent="0.3">
      <c r="E313" s="176"/>
      <c r="F313" s="176"/>
      <c r="G313" s="176"/>
      <c r="H313" s="176"/>
      <c r="I313" s="176"/>
      <c r="J313" s="176"/>
      <c r="K313" s="176"/>
      <c r="L313" s="176"/>
      <c r="M313" s="176"/>
      <c r="N313" s="176"/>
      <c r="O313" s="176"/>
      <c r="P313" s="176"/>
      <c r="Q313" s="176"/>
      <c r="R313" s="176"/>
    </row>
    <row r="314" spans="5:18" ht="13.5" customHeight="1" x14ac:dyDescent="0.3">
      <c r="E314" s="176"/>
      <c r="F314" s="176"/>
      <c r="G314" s="176"/>
      <c r="H314" s="176"/>
      <c r="I314" s="176"/>
      <c r="J314" s="176"/>
      <c r="K314" s="176"/>
      <c r="L314" s="176"/>
      <c r="M314" s="176"/>
      <c r="N314" s="176"/>
      <c r="O314" s="176"/>
      <c r="P314" s="176"/>
      <c r="Q314" s="176"/>
      <c r="R314" s="176"/>
    </row>
    <row r="315" spans="5:18" ht="13.5" customHeight="1" x14ac:dyDescent="0.3">
      <c r="E315" s="176"/>
      <c r="F315" s="176"/>
      <c r="G315" s="176"/>
      <c r="H315" s="176"/>
      <c r="I315" s="176"/>
      <c r="J315" s="176"/>
      <c r="K315" s="176"/>
      <c r="L315" s="176"/>
      <c r="M315" s="176"/>
      <c r="N315" s="176"/>
      <c r="O315" s="176"/>
      <c r="P315" s="176"/>
      <c r="Q315" s="176"/>
      <c r="R315" s="176"/>
    </row>
    <row r="316" spans="5:18" ht="13.5" customHeight="1" x14ac:dyDescent="0.3">
      <c r="E316" s="176"/>
      <c r="F316" s="176"/>
      <c r="G316" s="176"/>
      <c r="H316" s="176"/>
      <c r="I316" s="176"/>
      <c r="J316" s="176"/>
      <c r="K316" s="176"/>
      <c r="L316" s="176"/>
      <c r="M316" s="176"/>
      <c r="N316" s="176"/>
      <c r="O316" s="176"/>
      <c r="P316" s="176"/>
      <c r="Q316" s="176"/>
      <c r="R316" s="176"/>
    </row>
    <row r="317" spans="5:18" ht="13.5" customHeight="1" x14ac:dyDescent="0.3">
      <c r="E317" s="176"/>
      <c r="F317" s="176"/>
      <c r="G317" s="176"/>
      <c r="H317" s="176"/>
      <c r="I317" s="176"/>
      <c r="J317" s="176"/>
      <c r="K317" s="176"/>
      <c r="L317" s="176"/>
      <c r="M317" s="176"/>
      <c r="N317" s="176"/>
      <c r="O317" s="176"/>
      <c r="P317" s="176"/>
      <c r="Q317" s="176"/>
      <c r="R317" s="176"/>
    </row>
    <row r="318" spans="5:18" ht="13.5" customHeight="1" x14ac:dyDescent="0.3">
      <c r="E318" s="176"/>
      <c r="F318" s="176"/>
      <c r="G318" s="176"/>
      <c r="H318" s="176"/>
      <c r="I318" s="176"/>
      <c r="J318" s="176"/>
      <c r="K318" s="176"/>
      <c r="L318" s="176"/>
      <c r="M318" s="176"/>
      <c r="N318" s="176"/>
      <c r="O318" s="176"/>
      <c r="P318" s="176"/>
      <c r="Q318" s="176"/>
      <c r="R318" s="176"/>
    </row>
    <row r="319" spans="5:18" ht="13.5" customHeight="1" x14ac:dyDescent="0.3">
      <c r="E319" s="176"/>
      <c r="F319" s="176"/>
      <c r="G319" s="176"/>
      <c r="H319" s="176"/>
      <c r="I319" s="176"/>
      <c r="J319" s="176"/>
      <c r="K319" s="176"/>
      <c r="L319" s="176"/>
      <c r="M319" s="176"/>
      <c r="N319" s="176"/>
      <c r="O319" s="176"/>
      <c r="P319" s="176"/>
      <c r="Q319" s="176"/>
      <c r="R319" s="176"/>
    </row>
    <row r="320" spans="5:18" ht="13.5" customHeight="1" x14ac:dyDescent="0.3">
      <c r="E320" s="176"/>
      <c r="F320" s="176"/>
      <c r="G320" s="176"/>
      <c r="H320" s="176"/>
      <c r="I320" s="176"/>
      <c r="J320" s="176"/>
      <c r="K320" s="176"/>
      <c r="L320" s="176"/>
      <c r="M320" s="176"/>
      <c r="N320" s="176"/>
      <c r="O320" s="176"/>
      <c r="P320" s="176"/>
      <c r="Q320" s="176"/>
      <c r="R320" s="176"/>
    </row>
    <row r="321" spans="5:18" ht="13.5" customHeight="1" x14ac:dyDescent="0.3">
      <c r="E321" s="176"/>
      <c r="F321" s="176"/>
      <c r="G321" s="176"/>
      <c r="H321" s="176"/>
      <c r="I321" s="176"/>
      <c r="J321" s="176"/>
      <c r="K321" s="176"/>
      <c r="L321" s="176"/>
      <c r="M321" s="176"/>
      <c r="N321" s="176"/>
      <c r="O321" s="176"/>
      <c r="P321" s="176"/>
      <c r="Q321" s="176"/>
      <c r="R321" s="176"/>
    </row>
    <row r="322" spans="5:18" ht="13.5" customHeight="1" x14ac:dyDescent="0.3">
      <c r="E322" s="176"/>
      <c r="F322" s="176"/>
      <c r="G322" s="176"/>
      <c r="H322" s="176"/>
      <c r="I322" s="176"/>
      <c r="J322" s="176"/>
      <c r="K322" s="176"/>
      <c r="L322" s="176"/>
      <c r="M322" s="176"/>
      <c r="N322" s="176"/>
      <c r="O322" s="176"/>
      <c r="P322" s="176"/>
      <c r="Q322" s="176"/>
      <c r="R322" s="176"/>
    </row>
    <row r="323" spans="5:18" ht="13.5" customHeight="1" x14ac:dyDescent="0.3">
      <c r="E323" s="176"/>
      <c r="F323" s="176"/>
      <c r="G323" s="176"/>
      <c r="H323" s="176"/>
      <c r="I323" s="176"/>
      <c r="J323" s="176"/>
      <c r="K323" s="176"/>
      <c r="L323" s="176"/>
      <c r="M323" s="176"/>
      <c r="N323" s="176"/>
      <c r="O323" s="176"/>
      <c r="P323" s="176"/>
      <c r="Q323" s="176"/>
      <c r="R323" s="176"/>
    </row>
    <row r="324" spans="5:18" ht="13.5" customHeight="1" x14ac:dyDescent="0.3">
      <c r="E324" s="176"/>
      <c r="F324" s="176"/>
      <c r="G324" s="176"/>
      <c r="H324" s="176"/>
      <c r="I324" s="176"/>
      <c r="J324" s="176"/>
      <c r="K324" s="176"/>
      <c r="L324" s="176"/>
      <c r="M324" s="176"/>
      <c r="N324" s="176"/>
      <c r="O324" s="176"/>
      <c r="P324" s="176"/>
      <c r="Q324" s="176"/>
      <c r="R324" s="176"/>
    </row>
    <row r="325" spans="5:18" ht="13.5" customHeight="1" x14ac:dyDescent="0.3">
      <c r="E325" s="176"/>
      <c r="F325" s="176"/>
      <c r="G325" s="176"/>
      <c r="H325" s="176"/>
      <c r="I325" s="176"/>
      <c r="J325" s="176"/>
      <c r="K325" s="176"/>
      <c r="L325" s="176"/>
      <c r="M325" s="176"/>
      <c r="N325" s="176"/>
      <c r="O325" s="176"/>
      <c r="P325" s="176"/>
      <c r="Q325" s="176"/>
      <c r="R325" s="176"/>
    </row>
    <row r="326" spans="5:18" ht="13.5" customHeight="1" x14ac:dyDescent="0.3">
      <c r="E326" s="176"/>
      <c r="F326" s="176"/>
      <c r="G326" s="176"/>
      <c r="H326" s="176"/>
      <c r="I326" s="176"/>
      <c r="J326" s="176"/>
      <c r="K326" s="176"/>
      <c r="L326" s="176"/>
      <c r="M326" s="176"/>
      <c r="N326" s="176"/>
      <c r="O326" s="176"/>
      <c r="P326" s="176"/>
      <c r="Q326" s="176"/>
      <c r="R326" s="176"/>
    </row>
    <row r="327" spans="5:18" ht="13.5" customHeight="1" x14ac:dyDescent="0.3">
      <c r="E327" s="176"/>
      <c r="F327" s="176"/>
      <c r="G327" s="176"/>
      <c r="H327" s="176"/>
      <c r="I327" s="176"/>
      <c r="J327" s="176"/>
      <c r="K327" s="176"/>
      <c r="L327" s="176"/>
      <c r="M327" s="176"/>
      <c r="N327" s="176"/>
      <c r="O327" s="176"/>
      <c r="P327" s="176"/>
      <c r="Q327" s="176"/>
      <c r="R327" s="176"/>
    </row>
    <row r="328" spans="5:18" ht="13.5" customHeight="1" x14ac:dyDescent="0.3">
      <c r="E328" s="176"/>
      <c r="F328" s="176"/>
      <c r="G328" s="176"/>
      <c r="H328" s="176"/>
      <c r="I328" s="176"/>
      <c r="J328" s="176"/>
      <c r="K328" s="176"/>
      <c r="L328" s="176"/>
      <c r="M328" s="176"/>
      <c r="N328" s="176"/>
      <c r="O328" s="176"/>
      <c r="P328" s="176"/>
      <c r="Q328" s="176"/>
      <c r="R328" s="176"/>
    </row>
    <row r="329" spans="5:18" ht="13.5" customHeight="1" x14ac:dyDescent="0.3">
      <c r="E329" s="176"/>
      <c r="F329" s="176"/>
      <c r="G329" s="176"/>
      <c r="H329" s="176"/>
      <c r="I329" s="176"/>
      <c r="J329" s="176"/>
      <c r="K329" s="176"/>
      <c r="L329" s="176"/>
      <c r="M329" s="176"/>
      <c r="N329" s="176"/>
      <c r="O329" s="176"/>
      <c r="P329" s="176"/>
      <c r="Q329" s="176"/>
      <c r="R329" s="176"/>
    </row>
    <row r="330" spans="5:18" ht="13.5" customHeight="1" x14ac:dyDescent="0.3">
      <c r="E330" s="176"/>
      <c r="F330" s="176"/>
      <c r="G330" s="176"/>
      <c r="H330" s="176"/>
      <c r="I330" s="176"/>
      <c r="J330" s="176"/>
      <c r="K330" s="176"/>
      <c r="L330" s="176"/>
      <c r="M330" s="176"/>
      <c r="N330" s="176"/>
      <c r="O330" s="176"/>
      <c r="P330" s="176"/>
      <c r="Q330" s="176"/>
      <c r="R330" s="176"/>
    </row>
    <row r="331" spans="5:18" ht="13.5" customHeight="1" x14ac:dyDescent="0.3">
      <c r="E331" s="176"/>
      <c r="F331" s="176"/>
      <c r="G331" s="176"/>
      <c r="H331" s="176"/>
      <c r="I331" s="176"/>
      <c r="J331" s="176"/>
      <c r="K331" s="176"/>
      <c r="L331" s="176"/>
      <c r="M331" s="176"/>
      <c r="N331" s="176"/>
      <c r="O331" s="176"/>
      <c r="P331" s="176"/>
      <c r="Q331" s="176"/>
      <c r="R331" s="176"/>
    </row>
    <row r="332" spans="5:18" ht="13.5" customHeight="1" x14ac:dyDescent="0.3">
      <c r="E332" s="176"/>
      <c r="F332" s="176"/>
      <c r="G332" s="176"/>
      <c r="H332" s="176"/>
      <c r="I332" s="176"/>
      <c r="J332" s="176"/>
      <c r="K332" s="176"/>
      <c r="L332" s="176"/>
      <c r="M332" s="176"/>
      <c r="N332" s="176"/>
      <c r="O332" s="176"/>
      <c r="P332" s="176"/>
      <c r="Q332" s="176"/>
      <c r="R332" s="176"/>
    </row>
    <row r="333" spans="5:18" ht="13.5" customHeight="1" x14ac:dyDescent="0.3">
      <c r="E333" s="176"/>
      <c r="F333" s="176"/>
      <c r="G333" s="176"/>
      <c r="H333" s="176"/>
      <c r="I333" s="176"/>
      <c r="J333" s="176"/>
      <c r="K333" s="176"/>
      <c r="L333" s="176"/>
      <c r="M333" s="176"/>
      <c r="N333" s="176"/>
      <c r="O333" s="176"/>
      <c r="P333" s="176"/>
      <c r="Q333" s="176"/>
      <c r="R333" s="176"/>
    </row>
    <row r="334" spans="5:18" ht="13.5" customHeight="1" x14ac:dyDescent="0.3">
      <c r="E334" s="176"/>
      <c r="F334" s="176"/>
      <c r="G334" s="176"/>
      <c r="H334" s="176"/>
      <c r="I334" s="176"/>
      <c r="J334" s="176"/>
      <c r="K334" s="176"/>
      <c r="L334" s="176"/>
      <c r="M334" s="176"/>
      <c r="N334" s="176"/>
      <c r="O334" s="176"/>
      <c r="P334" s="176"/>
      <c r="Q334" s="176"/>
      <c r="R334" s="176"/>
    </row>
    <row r="335" spans="5:18" ht="13.5" customHeight="1" x14ac:dyDescent="0.3">
      <c r="E335" s="176"/>
      <c r="F335" s="176"/>
      <c r="G335" s="176"/>
      <c r="H335" s="176"/>
      <c r="I335" s="176"/>
      <c r="J335" s="176"/>
      <c r="K335" s="176"/>
      <c r="L335" s="176"/>
      <c r="M335" s="176"/>
      <c r="N335" s="176"/>
      <c r="O335" s="176"/>
      <c r="P335" s="176"/>
      <c r="Q335" s="176"/>
      <c r="R335" s="176"/>
    </row>
    <row r="336" spans="5:18" ht="13.5" customHeight="1" x14ac:dyDescent="0.3">
      <c r="E336" s="176"/>
      <c r="F336" s="176"/>
      <c r="G336" s="176"/>
      <c r="H336" s="176"/>
      <c r="I336" s="176"/>
      <c r="J336" s="176"/>
      <c r="K336" s="176"/>
      <c r="L336" s="176"/>
      <c r="M336" s="176"/>
      <c r="N336" s="176"/>
      <c r="O336" s="176"/>
      <c r="P336" s="176"/>
      <c r="Q336" s="176"/>
      <c r="R336" s="176"/>
    </row>
    <row r="337" spans="5:18" ht="13.5" customHeight="1" x14ac:dyDescent="0.3">
      <c r="E337" s="176"/>
      <c r="F337" s="176"/>
      <c r="G337" s="176"/>
      <c r="H337" s="176"/>
      <c r="I337" s="176"/>
      <c r="J337" s="176"/>
      <c r="K337" s="176"/>
      <c r="L337" s="176"/>
      <c r="M337" s="176"/>
      <c r="N337" s="176"/>
      <c r="O337" s="176"/>
      <c r="P337" s="176"/>
      <c r="Q337" s="176"/>
      <c r="R337" s="176"/>
    </row>
    <row r="338" spans="5:18" ht="13.5" customHeight="1" x14ac:dyDescent="0.3">
      <c r="E338" s="176"/>
      <c r="F338" s="176"/>
      <c r="G338" s="176"/>
      <c r="H338" s="176"/>
      <c r="I338" s="176"/>
      <c r="J338" s="176"/>
      <c r="K338" s="176"/>
      <c r="L338" s="176"/>
      <c r="M338" s="176"/>
      <c r="N338" s="176"/>
      <c r="O338" s="176"/>
      <c r="P338" s="176"/>
      <c r="Q338" s="176"/>
      <c r="R338" s="176"/>
    </row>
    <row r="339" spans="5:18" ht="13.5" customHeight="1" x14ac:dyDescent="0.3">
      <c r="E339" s="176"/>
      <c r="F339" s="176"/>
      <c r="G339" s="176"/>
      <c r="H339" s="176"/>
      <c r="I339" s="176"/>
      <c r="J339" s="176"/>
      <c r="K339" s="176"/>
      <c r="L339" s="176"/>
      <c r="M339" s="176"/>
      <c r="N339" s="176"/>
      <c r="O339" s="176"/>
      <c r="P339" s="176"/>
      <c r="Q339" s="176"/>
      <c r="R339" s="176"/>
    </row>
    <row r="340" spans="5:18" ht="13.5" customHeight="1" x14ac:dyDescent="0.3">
      <c r="E340" s="176"/>
      <c r="F340" s="176"/>
      <c r="G340" s="176"/>
      <c r="H340" s="176"/>
      <c r="I340" s="176"/>
      <c r="J340" s="176"/>
      <c r="K340" s="176"/>
      <c r="L340" s="176"/>
      <c r="M340" s="176"/>
      <c r="N340" s="176"/>
      <c r="O340" s="176"/>
      <c r="P340" s="176"/>
      <c r="Q340" s="176"/>
      <c r="R340" s="176"/>
    </row>
    <row r="341" spans="5:18" ht="13.5" customHeight="1" x14ac:dyDescent="0.3">
      <c r="E341" s="176"/>
      <c r="F341" s="176"/>
      <c r="G341" s="176"/>
      <c r="H341" s="176"/>
      <c r="I341" s="176"/>
      <c r="J341" s="176"/>
      <c r="K341" s="176"/>
      <c r="L341" s="176"/>
      <c r="M341" s="176"/>
      <c r="N341" s="176"/>
      <c r="O341" s="176"/>
      <c r="P341" s="176"/>
      <c r="Q341" s="176"/>
      <c r="R341" s="176"/>
    </row>
    <row r="342" spans="5:18" ht="13.5" customHeight="1" x14ac:dyDescent="0.3">
      <c r="E342" s="176"/>
      <c r="F342" s="176"/>
      <c r="G342" s="176"/>
      <c r="H342" s="176"/>
      <c r="I342" s="176"/>
      <c r="J342" s="176"/>
      <c r="K342" s="176"/>
      <c r="L342" s="176"/>
      <c r="M342" s="176"/>
      <c r="N342" s="176"/>
      <c r="O342" s="176"/>
      <c r="P342" s="176"/>
      <c r="Q342" s="176"/>
      <c r="R342" s="176"/>
    </row>
    <row r="343" spans="5:18" ht="13.5" customHeight="1" x14ac:dyDescent="0.3">
      <c r="E343" s="176"/>
      <c r="F343" s="176"/>
      <c r="G343" s="176"/>
      <c r="H343" s="176"/>
      <c r="I343" s="176"/>
      <c r="J343" s="176"/>
      <c r="K343" s="176"/>
      <c r="L343" s="176"/>
      <c r="M343" s="176"/>
      <c r="N343" s="176"/>
      <c r="O343" s="176"/>
      <c r="P343" s="176"/>
      <c r="Q343" s="176"/>
      <c r="R343" s="176"/>
    </row>
    <row r="344" spans="5:18" ht="13.5" customHeight="1" x14ac:dyDescent="0.3">
      <c r="E344" s="176"/>
      <c r="F344" s="176"/>
      <c r="G344" s="176"/>
      <c r="H344" s="176"/>
      <c r="I344" s="176"/>
      <c r="J344" s="176"/>
      <c r="K344" s="176"/>
      <c r="L344" s="176"/>
      <c r="M344" s="176"/>
      <c r="N344" s="176"/>
      <c r="O344" s="176"/>
      <c r="P344" s="176"/>
      <c r="Q344" s="176"/>
      <c r="R344" s="176"/>
    </row>
    <row r="345" spans="5:18" ht="13.5" customHeight="1" x14ac:dyDescent="0.3">
      <c r="E345" s="176"/>
      <c r="F345" s="176"/>
      <c r="G345" s="176"/>
      <c r="H345" s="176"/>
      <c r="I345" s="176"/>
      <c r="J345" s="176"/>
      <c r="K345" s="176"/>
      <c r="L345" s="176"/>
      <c r="M345" s="176"/>
      <c r="N345" s="176"/>
      <c r="O345" s="176"/>
      <c r="P345" s="176"/>
      <c r="Q345" s="176"/>
      <c r="R345" s="176"/>
    </row>
    <row r="346" spans="5:18" ht="13.5" customHeight="1" x14ac:dyDescent="0.3">
      <c r="E346" s="176"/>
      <c r="F346" s="176"/>
      <c r="G346" s="176"/>
      <c r="H346" s="176"/>
      <c r="I346" s="176"/>
      <c r="J346" s="176"/>
      <c r="K346" s="176"/>
      <c r="L346" s="176"/>
      <c r="M346" s="176"/>
      <c r="N346" s="176"/>
      <c r="O346" s="176"/>
      <c r="P346" s="176"/>
      <c r="Q346" s="176"/>
      <c r="R346" s="176"/>
    </row>
    <row r="347" spans="5:18" ht="13.5" customHeight="1" x14ac:dyDescent="0.3">
      <c r="E347" s="176"/>
      <c r="F347" s="176"/>
      <c r="G347" s="176"/>
      <c r="H347" s="176"/>
      <c r="I347" s="176"/>
      <c r="J347" s="176"/>
      <c r="K347" s="176"/>
      <c r="L347" s="176"/>
      <c r="M347" s="176"/>
      <c r="N347" s="176"/>
      <c r="O347" s="176"/>
      <c r="P347" s="176"/>
      <c r="Q347" s="176"/>
      <c r="R347" s="176"/>
    </row>
    <row r="348" spans="5:18" ht="13.5" customHeight="1" x14ac:dyDescent="0.3">
      <c r="E348" s="176"/>
      <c r="F348" s="176"/>
      <c r="G348" s="176"/>
      <c r="H348" s="176"/>
      <c r="I348" s="176"/>
      <c r="J348" s="176"/>
      <c r="K348" s="176"/>
      <c r="L348" s="176"/>
      <c r="M348" s="176"/>
      <c r="N348" s="176"/>
      <c r="O348" s="176"/>
      <c r="P348" s="176"/>
      <c r="Q348" s="176"/>
      <c r="R348" s="176"/>
    </row>
    <row r="349" spans="5:18" ht="13.5" customHeight="1" x14ac:dyDescent="0.3">
      <c r="E349" s="176"/>
      <c r="F349" s="176"/>
      <c r="G349" s="176"/>
      <c r="H349" s="176"/>
      <c r="I349" s="176"/>
      <c r="J349" s="176"/>
      <c r="K349" s="176"/>
      <c r="L349" s="176"/>
      <c r="M349" s="176"/>
      <c r="N349" s="176"/>
      <c r="O349" s="176"/>
      <c r="P349" s="176"/>
      <c r="Q349" s="176"/>
      <c r="R349" s="176"/>
    </row>
    <row r="350" spans="5:18" ht="13.5" customHeight="1" x14ac:dyDescent="0.3">
      <c r="E350" s="176"/>
      <c r="F350" s="176"/>
      <c r="G350" s="176"/>
      <c r="H350" s="176"/>
      <c r="I350" s="176"/>
      <c r="J350" s="176"/>
      <c r="K350" s="176"/>
      <c r="L350" s="176"/>
      <c r="M350" s="176"/>
      <c r="N350" s="176"/>
      <c r="O350" s="176"/>
      <c r="P350" s="176"/>
      <c r="Q350" s="176"/>
      <c r="R350" s="176"/>
    </row>
    <row r="351" spans="5:18" ht="13.5" customHeight="1" x14ac:dyDescent="0.3">
      <c r="E351" s="176"/>
      <c r="F351" s="176"/>
      <c r="G351" s="176"/>
      <c r="H351" s="176"/>
      <c r="I351" s="176"/>
      <c r="J351" s="176"/>
      <c r="K351" s="176"/>
      <c r="L351" s="176"/>
      <c r="M351" s="176"/>
      <c r="N351" s="176"/>
      <c r="O351" s="176"/>
      <c r="P351" s="176"/>
      <c r="Q351" s="176"/>
      <c r="R351" s="176"/>
    </row>
    <row r="352" spans="5:18" ht="13.5" customHeight="1" x14ac:dyDescent="0.3">
      <c r="E352" s="176"/>
      <c r="F352" s="176"/>
      <c r="G352" s="176"/>
      <c r="H352" s="176"/>
      <c r="I352" s="176"/>
      <c r="J352" s="176"/>
      <c r="K352" s="176"/>
      <c r="L352" s="176"/>
      <c r="M352" s="176"/>
      <c r="N352" s="176"/>
      <c r="O352" s="176"/>
      <c r="P352" s="176"/>
      <c r="Q352" s="176"/>
      <c r="R352" s="176"/>
    </row>
    <row r="353" spans="5:18" ht="13.5" customHeight="1" x14ac:dyDescent="0.3">
      <c r="E353" s="176"/>
      <c r="F353" s="176"/>
      <c r="G353" s="176"/>
      <c r="H353" s="176"/>
      <c r="I353" s="176"/>
      <c r="J353" s="176"/>
      <c r="K353" s="176"/>
      <c r="L353" s="176"/>
      <c r="M353" s="176"/>
      <c r="N353" s="176"/>
      <c r="O353" s="176"/>
      <c r="P353" s="176"/>
      <c r="Q353" s="176"/>
      <c r="R353" s="176"/>
    </row>
    <row r="354" spans="5:18" ht="13.5" customHeight="1" x14ac:dyDescent="0.3">
      <c r="E354" s="176"/>
      <c r="F354" s="176"/>
      <c r="G354" s="176"/>
      <c r="H354" s="176"/>
      <c r="I354" s="176"/>
      <c r="J354" s="176"/>
      <c r="K354" s="176"/>
      <c r="L354" s="176"/>
      <c r="M354" s="176"/>
      <c r="N354" s="176"/>
      <c r="O354" s="176"/>
      <c r="P354" s="176"/>
      <c r="Q354" s="176"/>
      <c r="R354" s="176"/>
    </row>
    <row r="355" spans="5:18" ht="13.5" customHeight="1" x14ac:dyDescent="0.3">
      <c r="E355" s="176"/>
      <c r="F355" s="176"/>
      <c r="G355" s="176"/>
      <c r="H355" s="176"/>
      <c r="I355" s="176"/>
      <c r="J355" s="176"/>
      <c r="K355" s="176"/>
      <c r="L355" s="176"/>
      <c r="M355" s="176"/>
      <c r="N355" s="176"/>
      <c r="O355" s="176"/>
      <c r="P355" s="176"/>
      <c r="Q355" s="176"/>
      <c r="R355" s="176"/>
    </row>
    <row r="356" spans="5:18" ht="13.5" customHeight="1" x14ac:dyDescent="0.3">
      <c r="E356" s="176"/>
      <c r="F356" s="176"/>
      <c r="G356" s="176"/>
      <c r="H356" s="176"/>
      <c r="I356" s="176"/>
      <c r="J356" s="176"/>
      <c r="K356" s="176"/>
      <c r="L356" s="176"/>
      <c r="M356" s="176"/>
      <c r="N356" s="176"/>
      <c r="O356" s="176"/>
      <c r="P356" s="176"/>
      <c r="Q356" s="176"/>
      <c r="R356" s="176"/>
    </row>
    <row r="357" spans="5:18" ht="13.5" customHeight="1" x14ac:dyDescent="0.3">
      <c r="E357" s="176"/>
      <c r="F357" s="176"/>
      <c r="G357" s="176"/>
      <c r="H357" s="176"/>
      <c r="I357" s="176"/>
      <c r="J357" s="176"/>
      <c r="K357" s="176"/>
      <c r="L357" s="176"/>
      <c r="M357" s="176"/>
      <c r="N357" s="176"/>
      <c r="O357" s="176"/>
      <c r="P357" s="176"/>
      <c r="Q357" s="176"/>
      <c r="R357" s="176"/>
    </row>
    <row r="358" spans="5:18" ht="13.5" customHeight="1" x14ac:dyDescent="0.3">
      <c r="E358" s="176"/>
      <c r="F358" s="176"/>
      <c r="G358" s="176"/>
      <c r="H358" s="176"/>
      <c r="I358" s="176"/>
      <c r="J358" s="176"/>
      <c r="K358" s="176"/>
      <c r="L358" s="176"/>
      <c r="M358" s="176"/>
      <c r="N358" s="176"/>
      <c r="O358" s="176"/>
      <c r="P358" s="176"/>
      <c r="Q358" s="176"/>
      <c r="R358" s="176"/>
    </row>
    <row r="359" spans="5:18" ht="13.5" customHeight="1" x14ac:dyDescent="0.3">
      <c r="E359" s="176"/>
      <c r="F359" s="176"/>
      <c r="G359" s="176"/>
      <c r="H359" s="176"/>
      <c r="I359" s="176"/>
      <c r="J359" s="176"/>
      <c r="K359" s="176"/>
      <c r="L359" s="176"/>
      <c r="M359" s="176"/>
      <c r="N359" s="176"/>
      <c r="O359" s="176"/>
      <c r="P359" s="176"/>
      <c r="Q359" s="176"/>
      <c r="R359" s="176"/>
    </row>
    <row r="360" spans="5:18" ht="13.5" customHeight="1" x14ac:dyDescent="0.3">
      <c r="E360" s="176"/>
      <c r="F360" s="176"/>
      <c r="G360" s="176"/>
      <c r="H360" s="176"/>
      <c r="I360" s="176"/>
      <c r="J360" s="176"/>
      <c r="K360" s="176"/>
      <c r="L360" s="176"/>
      <c r="M360" s="176"/>
      <c r="N360" s="176"/>
      <c r="O360" s="176"/>
      <c r="P360" s="176"/>
      <c r="Q360" s="176"/>
      <c r="R360" s="176"/>
    </row>
    <row r="361" spans="5:18" ht="13.5" customHeight="1" x14ac:dyDescent="0.3">
      <c r="E361" s="176"/>
      <c r="F361" s="176"/>
      <c r="G361" s="176"/>
      <c r="H361" s="176"/>
      <c r="I361" s="176"/>
      <c r="J361" s="176"/>
      <c r="K361" s="176"/>
      <c r="L361" s="176"/>
      <c r="M361" s="176"/>
      <c r="N361" s="176"/>
      <c r="O361" s="176"/>
      <c r="P361" s="176"/>
      <c r="Q361" s="176"/>
      <c r="R361" s="176"/>
    </row>
    <row r="362" spans="5:18" ht="13.5" customHeight="1" x14ac:dyDescent="0.3">
      <c r="E362" s="176"/>
      <c r="F362" s="176"/>
      <c r="G362" s="176"/>
      <c r="H362" s="176"/>
      <c r="I362" s="176"/>
      <c r="J362" s="176"/>
      <c r="K362" s="176"/>
      <c r="L362" s="176"/>
      <c r="M362" s="176"/>
      <c r="N362" s="176"/>
      <c r="O362" s="176"/>
      <c r="P362" s="176"/>
      <c r="Q362" s="176"/>
      <c r="R362" s="176"/>
    </row>
    <row r="363" spans="5:18" ht="13.5" customHeight="1" x14ac:dyDescent="0.3">
      <c r="E363" s="176"/>
      <c r="F363" s="176"/>
      <c r="G363" s="176"/>
      <c r="H363" s="176"/>
      <c r="I363" s="176"/>
      <c r="J363" s="176"/>
      <c r="K363" s="176"/>
      <c r="L363" s="176"/>
      <c r="M363" s="176"/>
      <c r="N363" s="176"/>
      <c r="O363" s="176"/>
      <c r="P363" s="176"/>
      <c r="Q363" s="176"/>
      <c r="R363" s="176"/>
    </row>
    <row r="364" spans="5:18" ht="13.5" customHeight="1" x14ac:dyDescent="0.3">
      <c r="E364" s="176"/>
      <c r="F364" s="176"/>
      <c r="G364" s="176"/>
      <c r="H364" s="176"/>
      <c r="I364" s="176"/>
      <c r="J364" s="176"/>
      <c r="K364" s="176"/>
      <c r="L364" s="176"/>
      <c r="M364" s="176"/>
      <c r="N364" s="176"/>
      <c r="O364" s="176"/>
      <c r="P364" s="176"/>
      <c r="Q364" s="176"/>
      <c r="R364" s="176"/>
    </row>
    <row r="365" spans="5:18" ht="13.5" customHeight="1" x14ac:dyDescent="0.3">
      <c r="E365" s="176"/>
      <c r="F365" s="176"/>
      <c r="G365" s="176"/>
      <c r="H365" s="176"/>
      <c r="I365" s="176"/>
      <c r="J365" s="176"/>
      <c r="K365" s="176"/>
      <c r="L365" s="176"/>
      <c r="M365" s="176"/>
      <c r="N365" s="176"/>
      <c r="O365" s="176"/>
      <c r="P365" s="176"/>
      <c r="Q365" s="176"/>
      <c r="R365" s="176"/>
    </row>
    <row r="366" spans="5:18" ht="13.5" customHeight="1" x14ac:dyDescent="0.3">
      <c r="E366" s="176"/>
      <c r="F366" s="176"/>
      <c r="G366" s="176"/>
      <c r="H366" s="176"/>
      <c r="I366" s="176"/>
      <c r="J366" s="176"/>
      <c r="K366" s="176"/>
      <c r="L366" s="176"/>
      <c r="M366" s="176"/>
      <c r="N366" s="176"/>
      <c r="O366" s="176"/>
      <c r="P366" s="176"/>
      <c r="Q366" s="176"/>
      <c r="R366" s="176"/>
    </row>
    <row r="367" spans="5:18" ht="13.5" customHeight="1" x14ac:dyDescent="0.3">
      <c r="E367" s="176"/>
      <c r="F367" s="176"/>
      <c r="G367" s="176"/>
      <c r="H367" s="176"/>
      <c r="I367" s="176"/>
      <c r="J367" s="176"/>
      <c r="K367" s="176"/>
      <c r="L367" s="176"/>
      <c r="M367" s="176"/>
      <c r="N367" s="176"/>
      <c r="O367" s="176"/>
      <c r="P367" s="176"/>
      <c r="Q367" s="176"/>
      <c r="R367" s="176"/>
    </row>
    <row r="368" spans="5:18" ht="13.5" customHeight="1" x14ac:dyDescent="0.3">
      <c r="E368" s="176"/>
      <c r="F368" s="176"/>
      <c r="G368" s="176"/>
      <c r="H368" s="176"/>
      <c r="I368" s="176"/>
      <c r="J368" s="176"/>
      <c r="K368" s="176"/>
      <c r="L368" s="176"/>
      <c r="M368" s="176"/>
      <c r="N368" s="176"/>
      <c r="O368" s="176"/>
      <c r="P368" s="176"/>
      <c r="Q368" s="176"/>
      <c r="R368" s="176"/>
    </row>
    <row r="369" spans="5:18" ht="13.5" customHeight="1" x14ac:dyDescent="0.3">
      <c r="E369" s="176"/>
      <c r="F369" s="176"/>
      <c r="G369" s="176"/>
      <c r="H369" s="176"/>
      <c r="I369" s="176"/>
      <c r="J369" s="176"/>
      <c r="K369" s="176"/>
      <c r="L369" s="176"/>
      <c r="M369" s="176"/>
      <c r="N369" s="176"/>
      <c r="O369" s="176"/>
      <c r="P369" s="176"/>
      <c r="Q369" s="176"/>
      <c r="R369" s="176"/>
    </row>
    <row r="370" spans="5:18" ht="13.5" customHeight="1" x14ac:dyDescent="0.3">
      <c r="E370" s="176"/>
      <c r="F370" s="176"/>
      <c r="G370" s="176"/>
      <c r="H370" s="176"/>
      <c r="I370" s="176"/>
      <c r="J370" s="176"/>
      <c r="K370" s="176"/>
      <c r="L370" s="176"/>
      <c r="M370" s="176"/>
      <c r="N370" s="176"/>
      <c r="O370" s="176"/>
      <c r="P370" s="176"/>
      <c r="Q370" s="176"/>
      <c r="R370" s="176"/>
    </row>
    <row r="371" spans="5:18" ht="13.5" customHeight="1" x14ac:dyDescent="0.3">
      <c r="E371" s="176"/>
      <c r="F371" s="176"/>
      <c r="G371" s="176"/>
      <c r="H371" s="176"/>
      <c r="I371" s="176"/>
      <c r="J371" s="176"/>
      <c r="K371" s="176"/>
      <c r="L371" s="176"/>
      <c r="M371" s="176"/>
      <c r="N371" s="176"/>
      <c r="O371" s="176"/>
      <c r="P371" s="176"/>
      <c r="Q371" s="176"/>
      <c r="R371" s="176"/>
    </row>
    <row r="372" spans="5:18" ht="13.5" customHeight="1" x14ac:dyDescent="0.3">
      <c r="E372" s="176"/>
      <c r="F372" s="176"/>
      <c r="G372" s="176"/>
      <c r="H372" s="176"/>
      <c r="I372" s="176"/>
      <c r="J372" s="176"/>
      <c r="K372" s="176"/>
      <c r="L372" s="176"/>
      <c r="M372" s="176"/>
      <c r="N372" s="176"/>
      <c r="O372" s="176"/>
      <c r="P372" s="176"/>
      <c r="Q372" s="176"/>
      <c r="R372" s="176"/>
    </row>
    <row r="373" spans="5:18" ht="13.5" customHeight="1" x14ac:dyDescent="0.3">
      <c r="E373" s="176"/>
      <c r="F373" s="176"/>
      <c r="G373" s="176"/>
      <c r="H373" s="176"/>
      <c r="I373" s="176"/>
      <c r="J373" s="176"/>
      <c r="K373" s="176"/>
      <c r="L373" s="176"/>
      <c r="M373" s="176"/>
      <c r="N373" s="176"/>
      <c r="O373" s="176"/>
      <c r="P373" s="176"/>
      <c r="Q373" s="176"/>
      <c r="R373" s="176"/>
    </row>
    <row r="374" spans="5:18" ht="13.5" customHeight="1" x14ac:dyDescent="0.3">
      <c r="E374" s="176"/>
      <c r="F374" s="176"/>
      <c r="G374" s="176"/>
      <c r="H374" s="176"/>
      <c r="I374" s="176"/>
      <c r="J374" s="176"/>
      <c r="K374" s="176"/>
      <c r="L374" s="176"/>
      <c r="M374" s="176"/>
      <c r="N374" s="176"/>
      <c r="O374" s="176"/>
      <c r="P374" s="176"/>
      <c r="Q374" s="176"/>
      <c r="R374" s="176"/>
    </row>
    <row r="375" spans="5:18" ht="13.5" customHeight="1" x14ac:dyDescent="0.3">
      <c r="E375" s="176"/>
      <c r="F375" s="176"/>
      <c r="G375" s="176"/>
      <c r="H375" s="176"/>
      <c r="I375" s="176"/>
      <c r="J375" s="176"/>
      <c r="K375" s="176"/>
      <c r="L375" s="176"/>
      <c r="M375" s="176"/>
      <c r="N375" s="176"/>
      <c r="O375" s="176"/>
      <c r="P375" s="176"/>
      <c r="Q375" s="176"/>
      <c r="R375" s="176"/>
    </row>
    <row r="376" spans="5:18" ht="13.5" customHeight="1" x14ac:dyDescent="0.3">
      <c r="E376" s="176"/>
      <c r="F376" s="176"/>
      <c r="G376" s="176"/>
      <c r="H376" s="176"/>
      <c r="I376" s="176"/>
      <c r="J376" s="176"/>
      <c r="K376" s="176"/>
      <c r="L376" s="176"/>
      <c r="M376" s="176"/>
      <c r="N376" s="176"/>
      <c r="O376" s="176"/>
      <c r="P376" s="176"/>
      <c r="Q376" s="176"/>
      <c r="R376" s="176"/>
    </row>
    <row r="377" spans="5:18" ht="13.5" customHeight="1" x14ac:dyDescent="0.3">
      <c r="E377" s="176"/>
      <c r="F377" s="176"/>
      <c r="G377" s="176"/>
      <c r="H377" s="176"/>
      <c r="I377" s="176"/>
      <c r="J377" s="176"/>
      <c r="K377" s="176"/>
      <c r="L377" s="176"/>
      <c r="M377" s="176"/>
      <c r="N377" s="176"/>
      <c r="O377" s="176"/>
      <c r="P377" s="176"/>
      <c r="Q377" s="176"/>
      <c r="R377" s="176"/>
    </row>
    <row r="378" spans="5:18" ht="13.5" customHeight="1" x14ac:dyDescent="0.3">
      <c r="E378" s="176"/>
      <c r="F378" s="176"/>
      <c r="G378" s="176"/>
      <c r="H378" s="176"/>
      <c r="I378" s="176"/>
      <c r="J378" s="176"/>
      <c r="K378" s="176"/>
      <c r="L378" s="176"/>
      <c r="M378" s="176"/>
      <c r="N378" s="176"/>
      <c r="O378" s="176"/>
      <c r="P378" s="176"/>
      <c r="Q378" s="176"/>
      <c r="R378" s="176"/>
    </row>
    <row r="379" spans="5:18" ht="13.5" customHeight="1" x14ac:dyDescent="0.3">
      <c r="E379" s="176"/>
      <c r="F379" s="176"/>
      <c r="G379" s="176"/>
      <c r="H379" s="176"/>
      <c r="I379" s="176"/>
      <c r="J379" s="176"/>
      <c r="K379" s="176"/>
      <c r="L379" s="176"/>
      <c r="M379" s="176"/>
      <c r="N379" s="176"/>
      <c r="O379" s="176"/>
      <c r="P379" s="176"/>
      <c r="Q379" s="176"/>
      <c r="R379" s="176"/>
    </row>
    <row r="380" spans="5:18" ht="13.5" customHeight="1" x14ac:dyDescent="0.3">
      <c r="E380" s="176"/>
      <c r="F380" s="176"/>
      <c r="G380" s="176"/>
      <c r="H380" s="176"/>
      <c r="I380" s="176"/>
      <c r="J380" s="176"/>
      <c r="K380" s="176"/>
      <c r="L380" s="176"/>
      <c r="M380" s="176"/>
      <c r="N380" s="176"/>
      <c r="O380" s="176"/>
      <c r="P380" s="176"/>
      <c r="Q380" s="176"/>
      <c r="R380" s="176"/>
    </row>
    <row r="381" spans="5:18" ht="13.5" customHeight="1" x14ac:dyDescent="0.3">
      <c r="E381" s="176"/>
      <c r="F381" s="176"/>
      <c r="G381" s="176"/>
      <c r="H381" s="176"/>
      <c r="I381" s="176"/>
      <c r="J381" s="176"/>
      <c r="K381" s="176"/>
      <c r="L381" s="176"/>
      <c r="M381" s="176"/>
      <c r="N381" s="176"/>
      <c r="O381" s="176"/>
      <c r="P381" s="176"/>
      <c r="Q381" s="176"/>
      <c r="R381" s="176"/>
    </row>
    <row r="382" spans="5:18" ht="13.5" customHeight="1" x14ac:dyDescent="0.3">
      <c r="E382" s="176"/>
      <c r="F382" s="176"/>
      <c r="G382" s="176"/>
      <c r="H382" s="176"/>
      <c r="I382" s="176"/>
      <c r="J382" s="176"/>
      <c r="K382" s="176"/>
      <c r="L382" s="176"/>
      <c r="M382" s="176"/>
      <c r="N382" s="176"/>
      <c r="O382" s="176"/>
      <c r="P382" s="176"/>
      <c r="Q382" s="176"/>
      <c r="R382" s="176"/>
    </row>
    <row r="383" spans="5:18" ht="13.5" customHeight="1" x14ac:dyDescent="0.3">
      <c r="E383" s="176"/>
      <c r="F383" s="176"/>
      <c r="G383" s="176"/>
      <c r="H383" s="176"/>
      <c r="I383" s="176"/>
      <c r="J383" s="176"/>
      <c r="K383" s="176"/>
      <c r="L383" s="176"/>
      <c r="M383" s="176"/>
      <c r="N383" s="176"/>
      <c r="O383" s="176"/>
      <c r="P383" s="176"/>
      <c r="Q383" s="176"/>
      <c r="R383" s="176"/>
    </row>
    <row r="384" spans="5:18" ht="13.5" customHeight="1" x14ac:dyDescent="0.3">
      <c r="E384" s="176"/>
      <c r="F384" s="176"/>
      <c r="G384" s="176"/>
      <c r="H384" s="176"/>
      <c r="I384" s="176"/>
      <c r="J384" s="176"/>
      <c r="K384" s="176"/>
      <c r="L384" s="176"/>
      <c r="M384" s="176"/>
      <c r="N384" s="176"/>
      <c r="O384" s="176"/>
      <c r="P384" s="176"/>
      <c r="Q384" s="176"/>
      <c r="R384" s="176"/>
    </row>
    <row r="385" spans="5:18" ht="13.5" customHeight="1" x14ac:dyDescent="0.3">
      <c r="E385" s="176"/>
      <c r="F385" s="176"/>
      <c r="G385" s="176"/>
      <c r="H385" s="176"/>
      <c r="I385" s="176"/>
      <c r="J385" s="176"/>
      <c r="K385" s="176"/>
      <c r="L385" s="176"/>
      <c r="M385" s="176"/>
      <c r="N385" s="176"/>
      <c r="O385" s="176"/>
      <c r="P385" s="176"/>
      <c r="Q385" s="176"/>
      <c r="R385" s="176"/>
    </row>
    <row r="386" spans="5:18" ht="13.5" customHeight="1" x14ac:dyDescent="0.3">
      <c r="E386" s="176"/>
      <c r="F386" s="176"/>
      <c r="G386" s="176"/>
      <c r="H386" s="176"/>
      <c r="I386" s="176"/>
      <c r="J386" s="176"/>
      <c r="K386" s="176"/>
      <c r="L386" s="176"/>
      <c r="M386" s="176"/>
      <c r="N386" s="176"/>
      <c r="O386" s="176"/>
      <c r="P386" s="176"/>
      <c r="Q386" s="176"/>
      <c r="R386" s="176"/>
    </row>
    <row r="387" spans="5:18" ht="13.5" customHeight="1" x14ac:dyDescent="0.3">
      <c r="E387" s="176"/>
      <c r="F387" s="176"/>
      <c r="G387" s="176"/>
      <c r="H387" s="176"/>
      <c r="I387" s="176"/>
      <c r="J387" s="176"/>
      <c r="K387" s="176"/>
      <c r="L387" s="176"/>
      <c r="M387" s="176"/>
      <c r="N387" s="176"/>
      <c r="O387" s="176"/>
      <c r="P387" s="176"/>
      <c r="Q387" s="176"/>
      <c r="R387" s="176"/>
    </row>
    <row r="388" spans="5:18" ht="13.5" customHeight="1" x14ac:dyDescent="0.3">
      <c r="E388" s="176"/>
      <c r="F388" s="176"/>
      <c r="G388" s="176"/>
      <c r="H388" s="176"/>
      <c r="I388" s="176"/>
      <c r="J388" s="176"/>
      <c r="K388" s="176"/>
      <c r="L388" s="176"/>
      <c r="M388" s="176"/>
      <c r="N388" s="176"/>
      <c r="O388" s="176"/>
      <c r="P388" s="176"/>
      <c r="Q388" s="176"/>
      <c r="R388" s="176"/>
    </row>
    <row r="389" spans="5:18" ht="13.5" customHeight="1" x14ac:dyDescent="0.3">
      <c r="E389" s="176"/>
      <c r="F389" s="176"/>
      <c r="G389" s="176"/>
      <c r="H389" s="176"/>
      <c r="I389" s="176"/>
      <c r="J389" s="176"/>
      <c r="K389" s="176"/>
      <c r="L389" s="176"/>
      <c r="M389" s="176"/>
      <c r="N389" s="176"/>
      <c r="O389" s="176"/>
      <c r="P389" s="176"/>
      <c r="Q389" s="176"/>
      <c r="R389" s="176"/>
    </row>
    <row r="390" spans="5:18" ht="13.5" customHeight="1" x14ac:dyDescent="0.3">
      <c r="E390" s="176"/>
      <c r="F390" s="176"/>
      <c r="G390" s="176"/>
      <c r="H390" s="176"/>
      <c r="I390" s="176"/>
      <c r="J390" s="176"/>
      <c r="K390" s="176"/>
      <c r="L390" s="176"/>
      <c r="M390" s="176"/>
      <c r="N390" s="176"/>
      <c r="O390" s="176"/>
      <c r="P390" s="176"/>
      <c r="Q390" s="176"/>
      <c r="R390" s="176"/>
    </row>
    <row r="391" spans="5:18" ht="13.5" customHeight="1" x14ac:dyDescent="0.3">
      <c r="E391" s="176"/>
      <c r="F391" s="176"/>
      <c r="G391" s="176"/>
      <c r="H391" s="176"/>
      <c r="I391" s="176"/>
      <c r="J391" s="176"/>
      <c r="K391" s="176"/>
      <c r="L391" s="176"/>
      <c r="M391" s="176"/>
      <c r="N391" s="176"/>
      <c r="O391" s="176"/>
      <c r="P391" s="176"/>
      <c r="Q391" s="176"/>
      <c r="R391" s="176"/>
    </row>
    <row r="392" spans="5:18" ht="13.5" customHeight="1" x14ac:dyDescent="0.3">
      <c r="E392" s="176"/>
      <c r="F392" s="176"/>
      <c r="G392" s="176"/>
      <c r="H392" s="176"/>
      <c r="I392" s="176"/>
      <c r="J392" s="176"/>
      <c r="K392" s="176"/>
      <c r="L392" s="176"/>
      <c r="M392" s="176"/>
      <c r="N392" s="176"/>
      <c r="O392" s="176"/>
      <c r="P392" s="176"/>
      <c r="Q392" s="176"/>
      <c r="R392" s="176"/>
    </row>
    <row r="393" spans="5:18" ht="13.5" customHeight="1" x14ac:dyDescent="0.3">
      <c r="E393" s="176"/>
      <c r="F393" s="176"/>
      <c r="G393" s="176"/>
      <c r="H393" s="176"/>
      <c r="I393" s="176"/>
      <c r="J393" s="176"/>
      <c r="K393" s="176"/>
      <c r="L393" s="176"/>
      <c r="M393" s="176"/>
      <c r="N393" s="176"/>
      <c r="O393" s="176"/>
      <c r="P393" s="176"/>
      <c r="Q393" s="176"/>
      <c r="R393" s="176"/>
    </row>
    <row r="394" spans="5:18" ht="13.5" customHeight="1" x14ac:dyDescent="0.3">
      <c r="E394" s="176"/>
      <c r="F394" s="176"/>
      <c r="G394" s="176"/>
      <c r="H394" s="176"/>
      <c r="I394" s="176"/>
      <c r="J394" s="176"/>
      <c r="K394" s="176"/>
      <c r="L394" s="176"/>
      <c r="M394" s="176"/>
      <c r="N394" s="176"/>
      <c r="O394" s="176"/>
      <c r="P394" s="176"/>
      <c r="Q394" s="176"/>
      <c r="R394" s="176"/>
    </row>
    <row r="395" spans="5:18" ht="13.5" customHeight="1" x14ac:dyDescent="0.3">
      <c r="E395" s="176"/>
      <c r="F395" s="176"/>
      <c r="G395" s="176"/>
      <c r="H395" s="176"/>
      <c r="I395" s="176"/>
      <c r="J395" s="176"/>
      <c r="K395" s="176"/>
      <c r="L395" s="176"/>
      <c r="M395" s="176"/>
      <c r="N395" s="176"/>
      <c r="O395" s="176"/>
      <c r="P395" s="176"/>
      <c r="Q395" s="176"/>
      <c r="R395" s="176"/>
    </row>
    <row r="396" spans="5:18" ht="13.5" customHeight="1" x14ac:dyDescent="0.3">
      <c r="E396" s="176"/>
      <c r="F396" s="176"/>
      <c r="G396" s="176"/>
      <c r="H396" s="176"/>
      <c r="I396" s="176"/>
      <c r="J396" s="176"/>
      <c r="K396" s="176"/>
      <c r="L396" s="176"/>
      <c r="M396" s="176"/>
      <c r="N396" s="176"/>
      <c r="O396" s="176"/>
      <c r="P396" s="176"/>
      <c r="Q396" s="176"/>
      <c r="R396" s="176"/>
    </row>
    <row r="397" spans="5:18" ht="13.5" customHeight="1" x14ac:dyDescent="0.3">
      <c r="E397" s="176"/>
      <c r="F397" s="176"/>
      <c r="G397" s="176"/>
      <c r="H397" s="176"/>
      <c r="I397" s="176"/>
      <c r="J397" s="176"/>
      <c r="K397" s="176"/>
      <c r="L397" s="176"/>
      <c r="M397" s="176"/>
      <c r="N397" s="176"/>
      <c r="O397" s="176"/>
      <c r="P397" s="176"/>
      <c r="Q397" s="176"/>
      <c r="R397" s="176"/>
    </row>
    <row r="398" spans="5:18" ht="13.5" customHeight="1" x14ac:dyDescent="0.3">
      <c r="E398" s="176"/>
      <c r="F398" s="176"/>
      <c r="G398" s="176"/>
      <c r="H398" s="176"/>
      <c r="I398" s="176"/>
      <c r="J398" s="176"/>
      <c r="K398" s="176"/>
      <c r="L398" s="176"/>
      <c r="M398" s="176"/>
      <c r="N398" s="176"/>
      <c r="O398" s="176"/>
      <c r="P398" s="176"/>
      <c r="Q398" s="176"/>
      <c r="R398" s="176"/>
    </row>
    <row r="399" spans="5:18" ht="13.5" customHeight="1" x14ac:dyDescent="0.3">
      <c r="E399" s="176"/>
      <c r="F399" s="176"/>
      <c r="G399" s="176"/>
      <c r="H399" s="176"/>
      <c r="I399" s="176"/>
      <c r="J399" s="176"/>
      <c r="K399" s="176"/>
      <c r="L399" s="176"/>
      <c r="M399" s="176"/>
      <c r="N399" s="176"/>
      <c r="O399" s="176"/>
      <c r="P399" s="176"/>
      <c r="Q399" s="176"/>
      <c r="R399" s="176"/>
    </row>
    <row r="400" spans="5:18" ht="13.5" customHeight="1" x14ac:dyDescent="0.3">
      <c r="E400" s="176"/>
      <c r="F400" s="176"/>
      <c r="G400" s="176"/>
      <c r="H400" s="176"/>
      <c r="I400" s="176"/>
      <c r="J400" s="176"/>
      <c r="K400" s="176"/>
      <c r="L400" s="176"/>
      <c r="M400" s="176"/>
      <c r="N400" s="176"/>
      <c r="O400" s="176"/>
      <c r="P400" s="176"/>
      <c r="Q400" s="176"/>
      <c r="R400" s="176"/>
    </row>
    <row r="401" spans="5:18" ht="13.5" customHeight="1" x14ac:dyDescent="0.3">
      <c r="E401" s="176"/>
      <c r="F401" s="176"/>
      <c r="G401" s="176"/>
      <c r="H401" s="176"/>
      <c r="I401" s="176"/>
      <c r="J401" s="176"/>
      <c r="K401" s="176"/>
      <c r="L401" s="176"/>
      <c r="M401" s="176"/>
      <c r="N401" s="176"/>
      <c r="O401" s="176"/>
      <c r="P401" s="176"/>
      <c r="Q401" s="176"/>
      <c r="R401" s="176"/>
    </row>
    <row r="402" spans="5:18" ht="13.5" customHeight="1" x14ac:dyDescent="0.3">
      <c r="E402" s="176"/>
      <c r="F402" s="176"/>
      <c r="G402" s="176"/>
      <c r="H402" s="176"/>
      <c r="I402" s="176"/>
      <c r="J402" s="176"/>
      <c r="K402" s="176"/>
      <c r="L402" s="176"/>
      <c r="M402" s="176"/>
      <c r="N402" s="176"/>
      <c r="O402" s="176"/>
      <c r="P402" s="176"/>
      <c r="Q402" s="176"/>
      <c r="R402" s="176"/>
    </row>
    <row r="403" spans="5:18" ht="13.5" customHeight="1" x14ac:dyDescent="0.3">
      <c r="E403" s="176"/>
      <c r="F403" s="176"/>
      <c r="G403" s="176"/>
      <c r="H403" s="176"/>
      <c r="I403" s="176"/>
      <c r="J403" s="176"/>
      <c r="K403" s="176"/>
      <c r="L403" s="176"/>
      <c r="M403" s="176"/>
      <c r="N403" s="176"/>
      <c r="O403" s="176"/>
      <c r="P403" s="176"/>
      <c r="Q403" s="176"/>
      <c r="R403" s="176"/>
    </row>
    <row r="404" spans="5:18" ht="13.5" customHeight="1" x14ac:dyDescent="0.3">
      <c r="E404" s="176"/>
      <c r="F404" s="176"/>
      <c r="G404" s="176"/>
      <c r="H404" s="176"/>
      <c r="I404" s="176"/>
      <c r="J404" s="176"/>
      <c r="K404" s="176"/>
      <c r="L404" s="176"/>
      <c r="M404" s="176"/>
      <c r="N404" s="176"/>
      <c r="O404" s="176"/>
      <c r="P404" s="176"/>
      <c r="Q404" s="176"/>
      <c r="R404" s="176"/>
    </row>
    <row r="405" spans="5:18" ht="13.5" customHeight="1" x14ac:dyDescent="0.3">
      <c r="E405" s="176"/>
      <c r="F405" s="176"/>
      <c r="G405" s="176"/>
      <c r="H405" s="176"/>
      <c r="I405" s="176"/>
      <c r="J405" s="176"/>
      <c r="K405" s="176"/>
      <c r="L405" s="176"/>
      <c r="M405" s="176"/>
      <c r="N405" s="176"/>
      <c r="O405" s="176"/>
      <c r="P405" s="176"/>
      <c r="Q405" s="176"/>
      <c r="R405" s="176"/>
    </row>
    <row r="406" spans="5:18" ht="13.5" customHeight="1" x14ac:dyDescent="0.3">
      <c r="E406" s="176"/>
      <c r="F406" s="176"/>
      <c r="G406" s="176"/>
      <c r="H406" s="176"/>
      <c r="I406" s="176"/>
      <c r="J406" s="176"/>
      <c r="K406" s="176"/>
      <c r="L406" s="176"/>
      <c r="M406" s="176"/>
      <c r="N406" s="176"/>
      <c r="O406" s="176"/>
      <c r="P406" s="176"/>
      <c r="Q406" s="176"/>
      <c r="R406" s="176"/>
    </row>
    <row r="407" spans="5:18" ht="13.5" customHeight="1" x14ac:dyDescent="0.3">
      <c r="E407" s="176"/>
      <c r="F407" s="176"/>
      <c r="G407" s="176"/>
      <c r="H407" s="176"/>
      <c r="I407" s="176"/>
      <c r="J407" s="176"/>
      <c r="K407" s="176"/>
      <c r="L407" s="176"/>
      <c r="M407" s="176"/>
      <c r="N407" s="176"/>
      <c r="O407" s="176"/>
      <c r="P407" s="176"/>
      <c r="Q407" s="176"/>
      <c r="R407" s="176"/>
    </row>
    <row r="408" spans="5:18" ht="13.5" customHeight="1" x14ac:dyDescent="0.3">
      <c r="E408" s="176"/>
      <c r="F408" s="176"/>
      <c r="G408" s="176"/>
      <c r="H408" s="176"/>
      <c r="I408" s="176"/>
      <c r="J408" s="176"/>
      <c r="K408" s="176"/>
      <c r="L408" s="176"/>
      <c r="M408" s="176"/>
      <c r="N408" s="176"/>
      <c r="O408" s="176"/>
      <c r="P408" s="176"/>
      <c r="Q408" s="176"/>
      <c r="R408" s="176"/>
    </row>
    <row r="409" spans="5:18" ht="13.5" customHeight="1" x14ac:dyDescent="0.3">
      <c r="E409" s="176"/>
      <c r="F409" s="176"/>
      <c r="G409" s="176"/>
      <c r="H409" s="176"/>
      <c r="I409" s="176"/>
      <c r="J409" s="176"/>
      <c r="K409" s="176"/>
      <c r="L409" s="176"/>
      <c r="M409" s="176"/>
      <c r="N409" s="176"/>
      <c r="O409" s="176"/>
      <c r="P409" s="176"/>
      <c r="Q409" s="176"/>
      <c r="R409" s="176"/>
    </row>
    <row r="410" spans="5:18" ht="13.5" customHeight="1" x14ac:dyDescent="0.3">
      <c r="E410" s="176"/>
      <c r="F410" s="176"/>
      <c r="G410" s="176"/>
      <c r="H410" s="176"/>
      <c r="I410" s="176"/>
      <c r="J410" s="176"/>
      <c r="K410" s="176"/>
      <c r="L410" s="176"/>
      <c r="M410" s="176"/>
      <c r="N410" s="176"/>
      <c r="O410" s="176"/>
      <c r="P410" s="176"/>
      <c r="Q410" s="176"/>
      <c r="R410" s="176"/>
    </row>
    <row r="411" spans="5:18" ht="13.5" customHeight="1" x14ac:dyDescent="0.3">
      <c r="E411" s="176"/>
      <c r="F411" s="176"/>
      <c r="G411" s="176"/>
      <c r="H411" s="176"/>
      <c r="I411" s="176"/>
      <c r="J411" s="176"/>
      <c r="K411" s="176"/>
      <c r="L411" s="176"/>
      <c r="M411" s="176"/>
      <c r="N411" s="176"/>
      <c r="O411" s="176"/>
      <c r="P411" s="176"/>
      <c r="Q411" s="176"/>
      <c r="R411" s="176"/>
    </row>
    <row r="412" spans="5:18" ht="13.5" customHeight="1" x14ac:dyDescent="0.3">
      <c r="E412" s="176"/>
      <c r="F412" s="176"/>
      <c r="G412" s="176"/>
      <c r="H412" s="176"/>
      <c r="I412" s="176"/>
      <c r="J412" s="176"/>
      <c r="K412" s="176"/>
      <c r="L412" s="176"/>
      <c r="M412" s="176"/>
      <c r="N412" s="176"/>
      <c r="O412" s="176"/>
      <c r="P412" s="176"/>
      <c r="Q412" s="176"/>
      <c r="R412" s="176"/>
    </row>
    <row r="413" spans="5:18" ht="13.5" customHeight="1" x14ac:dyDescent="0.3">
      <c r="E413" s="176"/>
      <c r="F413" s="176"/>
      <c r="G413" s="176"/>
      <c r="H413" s="176"/>
      <c r="I413" s="176"/>
      <c r="J413" s="176"/>
      <c r="K413" s="176"/>
      <c r="L413" s="176"/>
      <c r="M413" s="176"/>
      <c r="N413" s="176"/>
      <c r="O413" s="176"/>
      <c r="P413" s="176"/>
      <c r="Q413" s="176"/>
      <c r="R413" s="176"/>
    </row>
    <row r="414" spans="5:18" ht="13.5" customHeight="1" x14ac:dyDescent="0.3">
      <c r="E414" s="176"/>
      <c r="F414" s="176"/>
      <c r="G414" s="176"/>
      <c r="H414" s="176"/>
      <c r="I414" s="176"/>
      <c r="J414" s="176"/>
      <c r="K414" s="176"/>
      <c r="L414" s="176"/>
      <c r="M414" s="176"/>
      <c r="N414" s="176"/>
      <c r="O414" s="176"/>
      <c r="P414" s="176"/>
      <c r="Q414" s="176"/>
      <c r="R414" s="176"/>
    </row>
    <row r="415" spans="5:18" ht="13.5" customHeight="1" x14ac:dyDescent="0.3">
      <c r="E415" s="176"/>
      <c r="F415" s="176"/>
      <c r="G415" s="176"/>
      <c r="H415" s="176"/>
      <c r="I415" s="176"/>
      <c r="J415" s="176"/>
      <c r="K415" s="176"/>
      <c r="L415" s="176"/>
      <c r="M415" s="176"/>
      <c r="N415" s="176"/>
      <c r="O415" s="176"/>
      <c r="P415" s="176"/>
      <c r="Q415" s="176"/>
      <c r="R415" s="176"/>
    </row>
    <row r="416" spans="5:18" ht="13.5" customHeight="1" x14ac:dyDescent="0.3">
      <c r="E416" s="176"/>
      <c r="F416" s="176"/>
      <c r="G416" s="176"/>
      <c r="H416" s="176"/>
      <c r="I416" s="176"/>
      <c r="J416" s="176"/>
      <c r="K416" s="176"/>
      <c r="L416" s="176"/>
      <c r="M416" s="176"/>
      <c r="N416" s="176"/>
      <c r="O416" s="176"/>
      <c r="P416" s="176"/>
      <c r="Q416" s="176"/>
      <c r="R416" s="176"/>
    </row>
    <row r="417" spans="5:18" ht="13.5" customHeight="1" x14ac:dyDescent="0.3">
      <c r="E417" s="176"/>
      <c r="F417" s="176"/>
      <c r="G417" s="176"/>
      <c r="H417" s="176"/>
      <c r="I417" s="176"/>
      <c r="J417" s="176"/>
      <c r="K417" s="176"/>
      <c r="L417" s="176"/>
      <c r="M417" s="176"/>
      <c r="N417" s="176"/>
      <c r="O417" s="176"/>
      <c r="P417" s="176"/>
      <c r="Q417" s="176"/>
      <c r="R417" s="176"/>
    </row>
    <row r="418" spans="5:18" ht="13.5" customHeight="1" x14ac:dyDescent="0.3">
      <c r="E418" s="176"/>
      <c r="F418" s="176"/>
      <c r="G418" s="176"/>
      <c r="H418" s="176"/>
      <c r="I418" s="176"/>
      <c r="J418" s="176"/>
      <c r="K418" s="176"/>
      <c r="L418" s="176"/>
      <c r="M418" s="176"/>
      <c r="N418" s="176"/>
      <c r="O418" s="176"/>
      <c r="P418" s="176"/>
      <c r="Q418" s="176"/>
      <c r="R418" s="176"/>
    </row>
    <row r="419" spans="5:18" ht="13.5" customHeight="1" x14ac:dyDescent="0.3">
      <c r="E419" s="176"/>
      <c r="F419" s="176"/>
      <c r="G419" s="176"/>
      <c r="H419" s="176"/>
      <c r="I419" s="176"/>
      <c r="J419" s="176"/>
      <c r="K419" s="176"/>
      <c r="L419" s="176"/>
      <c r="M419" s="176"/>
      <c r="N419" s="176"/>
      <c r="O419" s="176"/>
      <c r="P419" s="176"/>
      <c r="Q419" s="176"/>
      <c r="R419" s="176"/>
    </row>
    <row r="420" spans="5:18" ht="13.5" customHeight="1" x14ac:dyDescent="0.3">
      <c r="E420" s="176"/>
      <c r="F420" s="176"/>
      <c r="G420" s="176"/>
      <c r="H420" s="176"/>
      <c r="I420" s="176"/>
      <c r="J420" s="176"/>
      <c r="K420" s="176"/>
      <c r="L420" s="176"/>
      <c r="M420" s="176"/>
      <c r="N420" s="176"/>
      <c r="O420" s="176"/>
      <c r="P420" s="176"/>
      <c r="Q420" s="176"/>
      <c r="R420" s="176"/>
    </row>
    <row r="421" spans="5:18" ht="13.5" customHeight="1" x14ac:dyDescent="0.3">
      <c r="E421" s="176"/>
      <c r="F421" s="176"/>
      <c r="G421" s="176"/>
      <c r="H421" s="176"/>
      <c r="I421" s="176"/>
      <c r="J421" s="176"/>
      <c r="K421" s="176"/>
      <c r="L421" s="176"/>
      <c r="M421" s="176"/>
      <c r="N421" s="176"/>
      <c r="O421" s="176"/>
      <c r="P421" s="176"/>
      <c r="Q421" s="176"/>
      <c r="R421" s="176"/>
    </row>
    <row r="422" spans="5:18" ht="13.5" customHeight="1" x14ac:dyDescent="0.3">
      <c r="E422" s="176"/>
      <c r="F422" s="176"/>
      <c r="G422" s="176"/>
      <c r="H422" s="176"/>
      <c r="I422" s="176"/>
      <c r="J422" s="176"/>
      <c r="K422" s="176"/>
      <c r="L422" s="176"/>
      <c r="M422" s="176"/>
      <c r="N422" s="176"/>
      <c r="O422" s="176"/>
      <c r="P422" s="176"/>
      <c r="Q422" s="176"/>
      <c r="R422" s="176"/>
    </row>
    <row r="423" spans="5:18" ht="13.5" customHeight="1" x14ac:dyDescent="0.3">
      <c r="E423" s="176"/>
      <c r="F423" s="176"/>
      <c r="G423" s="176"/>
      <c r="H423" s="176"/>
      <c r="I423" s="176"/>
      <c r="J423" s="176"/>
      <c r="K423" s="176"/>
      <c r="L423" s="176"/>
      <c r="M423" s="176"/>
      <c r="N423" s="176"/>
      <c r="O423" s="176"/>
      <c r="P423" s="176"/>
      <c r="Q423" s="176"/>
      <c r="R423" s="176"/>
    </row>
    <row r="424" spans="5:18" ht="13.5" customHeight="1" x14ac:dyDescent="0.3">
      <c r="E424" s="176"/>
      <c r="F424" s="176"/>
      <c r="G424" s="176"/>
      <c r="H424" s="176"/>
      <c r="I424" s="176"/>
      <c r="J424" s="176"/>
      <c r="K424" s="176"/>
      <c r="L424" s="176"/>
      <c r="M424" s="176"/>
      <c r="N424" s="176"/>
      <c r="O424" s="176"/>
      <c r="P424" s="176"/>
      <c r="Q424" s="176"/>
      <c r="R424" s="176"/>
    </row>
    <row r="425" spans="5:18" ht="13.5" customHeight="1" x14ac:dyDescent="0.3">
      <c r="E425" s="176"/>
      <c r="F425" s="176"/>
      <c r="G425" s="176"/>
      <c r="H425" s="176"/>
      <c r="I425" s="176"/>
      <c r="J425" s="176"/>
      <c r="K425" s="176"/>
      <c r="L425" s="176"/>
      <c r="M425" s="176"/>
      <c r="N425" s="176"/>
      <c r="O425" s="176"/>
      <c r="P425" s="176"/>
      <c r="Q425" s="176"/>
      <c r="R425" s="176"/>
    </row>
    <row r="426" spans="5:18" ht="13.5" customHeight="1" x14ac:dyDescent="0.3">
      <c r="E426" s="176"/>
      <c r="F426" s="176"/>
      <c r="G426" s="176"/>
      <c r="H426" s="176"/>
      <c r="I426" s="176"/>
      <c r="J426" s="176"/>
      <c r="K426" s="176"/>
      <c r="L426" s="176"/>
      <c r="M426" s="176"/>
      <c r="N426" s="176"/>
      <c r="O426" s="176"/>
      <c r="P426" s="176"/>
      <c r="Q426" s="176"/>
      <c r="R426" s="176"/>
    </row>
    <row r="427" spans="5:18" ht="13.5" customHeight="1" x14ac:dyDescent="0.3">
      <c r="E427" s="176"/>
      <c r="F427" s="176"/>
      <c r="G427" s="176"/>
      <c r="H427" s="176"/>
      <c r="I427" s="176"/>
      <c r="J427" s="176"/>
      <c r="K427" s="176"/>
      <c r="L427" s="176"/>
      <c r="M427" s="176"/>
      <c r="N427" s="176"/>
      <c r="O427" s="176"/>
      <c r="P427" s="176"/>
      <c r="Q427" s="176"/>
      <c r="R427" s="176"/>
    </row>
  </sheetData>
  <pageMargins left="0.75" right="0.75" top="1" bottom="1" header="0.5" footer="0.5"/>
  <pageSetup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030F-97A6-4555-8A63-39DBDCCEE27F}">
  <sheetPr>
    <tabColor theme="7"/>
  </sheetPr>
  <dimension ref="A1"/>
  <sheetViews>
    <sheetView workbookViewId="0">
      <selection activeCell="AI57" sqref="AI57"/>
    </sheetView>
  </sheetViews>
  <sheetFormatPr defaultRowHeight="14.4" x14ac:dyDescent="0.3"/>
  <cols>
    <col min="1" max="16384" width="8.88671875" style="220"/>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4555D-69A9-4CF4-814C-397ACA7FC2A1}">
  <sheetPr>
    <tabColor theme="7" tint="0.79998168889431442"/>
  </sheetPr>
  <dimension ref="A1:Y132"/>
  <sheetViews>
    <sheetView showGridLines="0" zoomScale="70" zoomScaleNormal="70" workbookViewId="0">
      <selection activeCell="J39" sqref="J39"/>
    </sheetView>
  </sheetViews>
  <sheetFormatPr defaultRowHeight="14.4" x14ac:dyDescent="0.3"/>
  <cols>
    <col min="1" max="1" width="6.109375" style="220" bestFit="1" customWidth="1"/>
    <col min="2" max="2" width="24.109375" style="220" bestFit="1" customWidth="1"/>
    <col min="3" max="3" width="25" style="220" bestFit="1" customWidth="1"/>
    <col min="4" max="4" width="9" style="220" bestFit="1" customWidth="1"/>
    <col min="5" max="6" width="8.88671875" style="220"/>
    <col min="7" max="7" width="22.21875" style="220" bestFit="1" customWidth="1"/>
    <col min="8" max="8" width="15.5546875" style="220" bestFit="1" customWidth="1"/>
    <col min="9" max="9" width="9.33203125" style="220" bestFit="1" customWidth="1"/>
    <col min="10" max="10" width="9.88671875" style="220" bestFit="1" customWidth="1"/>
    <col min="11" max="11" width="8.77734375" style="220" bestFit="1" customWidth="1"/>
    <col min="12" max="14" width="9.33203125" style="220" bestFit="1" customWidth="1"/>
    <col min="15" max="15" width="11.88671875" style="220" bestFit="1" customWidth="1"/>
    <col min="16" max="16" width="8.88671875" style="220"/>
    <col min="17" max="17" width="29.33203125" style="220" bestFit="1" customWidth="1"/>
    <col min="18" max="18" width="16.77734375" style="220" bestFit="1" customWidth="1"/>
    <col min="19" max="19" width="9.44140625" style="220" bestFit="1" customWidth="1"/>
    <col min="20" max="20" width="10" style="220" bestFit="1" customWidth="1"/>
    <col min="21" max="21" width="8.88671875" style="220"/>
    <col min="22" max="24" width="9.44140625" style="220" bestFit="1" customWidth="1"/>
    <col min="25" max="25" width="12.21875" style="220" bestFit="1" customWidth="1"/>
    <col min="26" max="16384" width="8.88671875" style="220"/>
  </cols>
  <sheetData>
    <row r="1" spans="1:25" s="221" customFormat="1" x14ac:dyDescent="0.3">
      <c r="C1" s="222"/>
    </row>
    <row r="2" spans="1:25" s="225" customFormat="1" ht="11.25" customHeight="1" x14ac:dyDescent="0.3">
      <c r="A2" s="223"/>
      <c r="B2" s="223"/>
      <c r="C2" s="222"/>
      <c r="D2" s="224"/>
    </row>
    <row r="3" spans="1:25" s="225" customFormat="1" ht="15.75" customHeight="1" x14ac:dyDescent="0.3">
      <c r="A3" s="223"/>
      <c r="B3" s="223"/>
      <c r="C3" s="226" t="s">
        <v>304</v>
      </c>
      <c r="D3" s="224"/>
    </row>
    <row r="4" spans="1:25" s="225" customFormat="1" ht="12.75" customHeight="1" x14ac:dyDescent="0.3">
      <c r="A4" s="223"/>
      <c r="B4" s="223"/>
      <c r="C4" s="227" t="str">
        <f ca="1">MID(CELL("filename",C4),FIND("]",CELL("filename",C4))+1,256)</f>
        <v>Africa fertilizers imports</v>
      </c>
      <c r="D4" s="224"/>
    </row>
    <row r="5" spans="1:25" s="225" customFormat="1" ht="15.75" customHeight="1" x14ac:dyDescent="0.3">
      <c r="A5" s="223"/>
      <c r="B5" s="223"/>
      <c r="C5" s="228" t="s">
        <v>305</v>
      </c>
      <c r="D5" s="224"/>
    </row>
    <row r="6" spans="1:25" s="232" customFormat="1" ht="9" customHeight="1" x14ac:dyDescent="0.25">
      <c r="A6" s="229"/>
      <c r="B6" s="229"/>
      <c r="C6" s="229"/>
      <c r="D6" s="230"/>
      <c r="E6" s="231"/>
    </row>
    <row r="7" spans="1:25" s="236" customFormat="1" ht="9" customHeight="1" x14ac:dyDescent="0.25">
      <c r="A7" s="233"/>
      <c r="B7" s="233"/>
      <c r="C7" s="233"/>
      <c r="D7" s="234"/>
      <c r="E7" s="235"/>
    </row>
    <row r="8" spans="1:25" s="236" customFormat="1" ht="9" customHeight="1" x14ac:dyDescent="0.25">
      <c r="A8" s="233"/>
      <c r="B8" s="233"/>
      <c r="C8" s="233"/>
      <c r="D8" s="234"/>
      <c r="E8" s="235"/>
    </row>
    <row r="10" spans="1:25" x14ac:dyDescent="0.3">
      <c r="D10" s="237"/>
    </row>
    <row r="12" spans="1:25" x14ac:dyDescent="0.3">
      <c r="A12" s="220" t="s">
        <v>99</v>
      </c>
      <c r="B12" s="220" t="s">
        <v>306</v>
      </c>
      <c r="C12" s="220" t="s">
        <v>200</v>
      </c>
      <c r="D12" s="220" t="s">
        <v>307</v>
      </c>
      <c r="G12" s="220" t="s">
        <v>200</v>
      </c>
      <c r="H12" s="220" t="s">
        <v>308</v>
      </c>
    </row>
    <row r="13" spans="1:25" x14ac:dyDescent="0.3">
      <c r="A13" s="238" t="s">
        <v>177</v>
      </c>
      <c r="B13" s="238" t="s">
        <v>309</v>
      </c>
      <c r="C13" s="238" t="s">
        <v>247</v>
      </c>
      <c r="D13" s="239">
        <v>6000</v>
      </c>
    </row>
    <row r="14" spans="1:25" x14ac:dyDescent="0.3">
      <c r="A14" s="238" t="s">
        <v>177</v>
      </c>
      <c r="B14" s="238" t="s">
        <v>309</v>
      </c>
      <c r="C14" s="238" t="s">
        <v>231</v>
      </c>
      <c r="D14" s="239">
        <v>27.11</v>
      </c>
      <c r="G14" s="220" t="s">
        <v>310</v>
      </c>
      <c r="H14" s="220" t="s">
        <v>86</v>
      </c>
      <c r="Q14" s="220" t="s">
        <v>310</v>
      </c>
      <c r="R14" s="220" t="s">
        <v>86</v>
      </c>
    </row>
    <row r="15" spans="1:25" x14ac:dyDescent="0.3">
      <c r="A15" s="238" t="s">
        <v>177</v>
      </c>
      <c r="B15" s="238" t="s">
        <v>311</v>
      </c>
      <c r="C15" s="238" t="s">
        <v>218</v>
      </c>
      <c r="D15" s="239">
        <v>1507</v>
      </c>
      <c r="G15" s="220" t="s">
        <v>87</v>
      </c>
      <c r="H15" s="220">
        <v>2016</v>
      </c>
      <c r="I15" s="220">
        <v>2017</v>
      </c>
      <c r="J15" s="220">
        <v>2018</v>
      </c>
      <c r="K15" s="220" t="s">
        <v>177</v>
      </c>
      <c r="L15" s="220" t="s">
        <v>178</v>
      </c>
      <c r="M15" s="220" t="s">
        <v>179</v>
      </c>
      <c r="N15" s="220" t="s">
        <v>213</v>
      </c>
      <c r="O15" s="220" t="s">
        <v>88</v>
      </c>
      <c r="Q15" s="220" t="s">
        <v>87</v>
      </c>
      <c r="R15" s="220">
        <v>2016</v>
      </c>
      <c r="S15" s="220">
        <v>2017</v>
      </c>
      <c r="T15" s="220">
        <v>2018</v>
      </c>
      <c r="U15" s="220" t="s">
        <v>177</v>
      </c>
      <c r="V15" s="220" t="s">
        <v>178</v>
      </c>
      <c r="W15" s="220" t="s">
        <v>179</v>
      </c>
      <c r="X15" s="220" t="s">
        <v>213</v>
      </c>
      <c r="Y15" s="220" t="s">
        <v>88</v>
      </c>
    </row>
    <row r="16" spans="1:25" x14ac:dyDescent="0.3">
      <c r="A16" s="238" t="s">
        <v>177</v>
      </c>
      <c r="B16" s="238" t="s">
        <v>312</v>
      </c>
      <c r="C16" s="238" t="s">
        <v>247</v>
      </c>
      <c r="D16" s="239">
        <v>0.02</v>
      </c>
      <c r="G16" s="240" t="s">
        <v>313</v>
      </c>
      <c r="H16" s="220">
        <v>371222</v>
      </c>
      <c r="I16" s="220">
        <v>384925</v>
      </c>
      <c r="J16" s="220">
        <v>408825</v>
      </c>
      <c r="K16" s="220">
        <v>50800</v>
      </c>
      <c r="L16" s="220">
        <v>168000</v>
      </c>
      <c r="M16" s="220">
        <v>292158</v>
      </c>
      <c r="N16" s="220">
        <v>177776</v>
      </c>
      <c r="O16" s="220">
        <v>1853706</v>
      </c>
      <c r="Q16" s="240" t="s">
        <v>313</v>
      </c>
      <c r="R16" s="220">
        <v>371222</v>
      </c>
      <c r="S16" s="220">
        <v>384925</v>
      </c>
      <c r="T16" s="220">
        <v>408825</v>
      </c>
      <c r="U16" s="220">
        <v>50800</v>
      </c>
      <c r="V16" s="220">
        <v>168000</v>
      </c>
      <c r="W16" s="220">
        <v>292158</v>
      </c>
      <c r="X16" s="220">
        <v>177776</v>
      </c>
      <c r="Y16" s="220">
        <v>1853706</v>
      </c>
    </row>
    <row r="17" spans="1:25" x14ac:dyDescent="0.3">
      <c r="A17" s="238" t="s">
        <v>177</v>
      </c>
      <c r="B17" s="238" t="s">
        <v>314</v>
      </c>
      <c r="C17" s="238" t="s">
        <v>239</v>
      </c>
      <c r="D17" s="239">
        <v>2</v>
      </c>
      <c r="G17" s="240" t="s">
        <v>315</v>
      </c>
      <c r="N17" s="220">
        <v>1</v>
      </c>
      <c r="O17" s="220">
        <v>1</v>
      </c>
      <c r="Q17" s="241" t="s">
        <v>247</v>
      </c>
      <c r="R17" s="220">
        <v>5250</v>
      </c>
      <c r="S17" s="220">
        <v>86758</v>
      </c>
      <c r="T17" s="220">
        <v>88950</v>
      </c>
      <c r="U17" s="220">
        <v>50800</v>
      </c>
      <c r="V17" s="220">
        <v>168000</v>
      </c>
      <c r="W17" s="220">
        <v>292158</v>
      </c>
      <c r="X17" s="220">
        <v>177776</v>
      </c>
      <c r="Y17" s="220">
        <v>869692</v>
      </c>
    </row>
    <row r="18" spans="1:25" x14ac:dyDescent="0.3">
      <c r="A18" s="238" t="s">
        <v>177</v>
      </c>
      <c r="B18" s="238" t="s">
        <v>316</v>
      </c>
      <c r="C18" s="238" t="s">
        <v>259</v>
      </c>
      <c r="D18" s="239">
        <v>24.76</v>
      </c>
      <c r="G18" s="240" t="s">
        <v>317</v>
      </c>
      <c r="I18" s="220">
        <v>1</v>
      </c>
      <c r="J18" s="220">
        <v>818.2</v>
      </c>
      <c r="K18" s="220">
        <v>822.2</v>
      </c>
      <c r="L18" s="220">
        <v>0.65</v>
      </c>
      <c r="N18" s="220">
        <v>0.06</v>
      </c>
      <c r="O18" s="220">
        <v>1642.1100000000001</v>
      </c>
      <c r="Q18" s="241" t="s">
        <v>318</v>
      </c>
      <c r="S18" s="220">
        <v>237692</v>
      </c>
      <c r="Y18" s="220">
        <v>237692</v>
      </c>
    </row>
    <row r="19" spans="1:25" x14ac:dyDescent="0.3">
      <c r="A19" s="238" t="s">
        <v>177</v>
      </c>
      <c r="B19" s="238" t="s">
        <v>316</v>
      </c>
      <c r="C19" s="238" t="s">
        <v>231</v>
      </c>
      <c r="D19" s="239">
        <v>817.1</v>
      </c>
      <c r="G19" s="240" t="s">
        <v>316</v>
      </c>
      <c r="K19" s="220">
        <v>841.86</v>
      </c>
      <c r="M19" s="220">
        <v>1.02</v>
      </c>
      <c r="N19" s="220">
        <v>0.03</v>
      </c>
      <c r="O19" s="220">
        <v>842.91</v>
      </c>
      <c r="Q19" s="241" t="s">
        <v>231</v>
      </c>
      <c r="R19" s="220">
        <v>253418</v>
      </c>
      <c r="T19" s="220">
        <v>285775</v>
      </c>
      <c r="Y19" s="220">
        <v>539193</v>
      </c>
    </row>
    <row r="20" spans="1:25" x14ac:dyDescent="0.3">
      <c r="A20" s="238" t="s">
        <v>177</v>
      </c>
      <c r="B20" s="238" t="s">
        <v>313</v>
      </c>
      <c r="C20" s="238" t="s">
        <v>247</v>
      </c>
      <c r="D20" s="239">
        <v>50800</v>
      </c>
      <c r="G20" s="240" t="s">
        <v>319</v>
      </c>
      <c r="I20" s="220">
        <v>1.4</v>
      </c>
      <c r="J20" s="220">
        <v>5.71</v>
      </c>
      <c r="K20" s="220">
        <v>82.39</v>
      </c>
      <c r="N20" s="220">
        <v>0.01</v>
      </c>
      <c r="O20" s="220">
        <v>89.51</v>
      </c>
      <c r="Q20" s="241" t="s">
        <v>226</v>
      </c>
      <c r="R20" s="220">
        <v>112455</v>
      </c>
      <c r="S20" s="220">
        <v>60475</v>
      </c>
      <c r="T20" s="220">
        <v>34100</v>
      </c>
      <c r="Y20" s="220">
        <v>207030</v>
      </c>
    </row>
    <row r="21" spans="1:25" x14ac:dyDescent="0.3">
      <c r="A21" s="238" t="s">
        <v>177</v>
      </c>
      <c r="B21" s="238" t="s">
        <v>320</v>
      </c>
      <c r="C21" s="238" t="s">
        <v>231</v>
      </c>
      <c r="D21" s="239">
        <v>10.29</v>
      </c>
      <c r="G21" s="240" t="s">
        <v>321</v>
      </c>
      <c r="I21" s="220">
        <v>511.6</v>
      </c>
      <c r="J21" s="220">
        <v>652.6</v>
      </c>
      <c r="O21" s="220">
        <v>1164.2</v>
      </c>
      <c r="Q21" s="241" t="s">
        <v>218</v>
      </c>
      <c r="R21" s="220">
        <v>99</v>
      </c>
      <c r="Y21" s="220">
        <v>99</v>
      </c>
    </row>
    <row r="22" spans="1:25" x14ac:dyDescent="0.3">
      <c r="A22" s="238" t="s">
        <v>177</v>
      </c>
      <c r="B22" s="238" t="s">
        <v>322</v>
      </c>
      <c r="C22" s="238" t="s">
        <v>243</v>
      </c>
      <c r="D22" s="239">
        <v>63.64</v>
      </c>
      <c r="G22" s="240" t="s">
        <v>323</v>
      </c>
      <c r="H22" s="220">
        <v>14</v>
      </c>
      <c r="I22" s="220">
        <v>405</v>
      </c>
      <c r="O22" s="220">
        <v>419</v>
      </c>
      <c r="Q22" s="240" t="s">
        <v>324</v>
      </c>
      <c r="R22" s="220">
        <v>26250</v>
      </c>
      <c r="S22" s="220">
        <v>141940</v>
      </c>
      <c r="T22" s="220">
        <v>42241</v>
      </c>
      <c r="U22" s="220">
        <v>22.58</v>
      </c>
      <c r="Y22" s="220">
        <v>210453.58</v>
      </c>
    </row>
    <row r="23" spans="1:25" x14ac:dyDescent="0.3">
      <c r="A23" s="238" t="s">
        <v>177</v>
      </c>
      <c r="B23" s="238" t="s">
        <v>317</v>
      </c>
      <c r="C23" s="238" t="s">
        <v>260</v>
      </c>
      <c r="D23" s="239">
        <v>376.7</v>
      </c>
      <c r="G23" s="240" t="s">
        <v>325</v>
      </c>
      <c r="H23" s="220">
        <v>3190</v>
      </c>
      <c r="O23" s="220">
        <v>3190</v>
      </c>
      <c r="Q23" s="241" t="s">
        <v>318</v>
      </c>
      <c r="S23" s="220">
        <v>141940</v>
      </c>
      <c r="Y23" s="220">
        <v>141940</v>
      </c>
    </row>
    <row r="24" spans="1:25" x14ac:dyDescent="0.3">
      <c r="A24" s="238" t="s">
        <v>177</v>
      </c>
      <c r="B24" s="238" t="s">
        <v>317</v>
      </c>
      <c r="C24" s="238" t="s">
        <v>231</v>
      </c>
      <c r="D24" s="239">
        <v>445.5</v>
      </c>
      <c r="G24" s="240" t="s">
        <v>311</v>
      </c>
      <c r="H24" s="220">
        <v>17786.7</v>
      </c>
      <c r="I24" s="220">
        <v>16500</v>
      </c>
      <c r="J24" s="220">
        <v>19851</v>
      </c>
      <c r="K24" s="220">
        <v>1507</v>
      </c>
      <c r="L24" s="220">
        <v>11255</v>
      </c>
      <c r="O24" s="220">
        <v>66899.7</v>
      </c>
      <c r="Q24" s="241" t="s">
        <v>231</v>
      </c>
      <c r="R24" s="220">
        <v>26250</v>
      </c>
      <c r="T24" s="220">
        <v>41811</v>
      </c>
      <c r="Y24" s="220">
        <v>68061</v>
      </c>
    </row>
    <row r="25" spans="1:25" x14ac:dyDescent="0.3">
      <c r="A25" s="238" t="s">
        <v>177</v>
      </c>
      <c r="B25" s="238" t="s">
        <v>324</v>
      </c>
      <c r="C25" s="238" t="s">
        <v>239</v>
      </c>
      <c r="D25" s="239">
        <v>22.58</v>
      </c>
      <c r="G25" s="240" t="s">
        <v>326</v>
      </c>
      <c r="J25" s="220">
        <v>0.02</v>
      </c>
      <c r="O25" s="220">
        <v>0.02</v>
      </c>
      <c r="Q25" s="241" t="s">
        <v>241</v>
      </c>
      <c r="T25" s="220">
        <v>9</v>
      </c>
      <c r="Y25" s="220">
        <v>9</v>
      </c>
    </row>
    <row r="26" spans="1:25" x14ac:dyDescent="0.3">
      <c r="A26" s="238" t="s">
        <v>177</v>
      </c>
      <c r="B26" s="238" t="s">
        <v>319</v>
      </c>
      <c r="C26" s="238" t="s">
        <v>258</v>
      </c>
      <c r="D26" s="239">
        <v>16.010000000000002</v>
      </c>
      <c r="G26" s="240" t="s">
        <v>327</v>
      </c>
      <c r="H26" s="220">
        <v>33000</v>
      </c>
      <c r="O26" s="220">
        <v>33000</v>
      </c>
      <c r="Q26" s="241" t="s">
        <v>239</v>
      </c>
      <c r="T26" s="220">
        <v>421</v>
      </c>
      <c r="U26" s="220">
        <v>22.58</v>
      </c>
      <c r="Y26" s="220">
        <v>443.58</v>
      </c>
    </row>
    <row r="27" spans="1:25" x14ac:dyDescent="0.3">
      <c r="A27" s="238" t="s">
        <v>177</v>
      </c>
      <c r="B27" s="238" t="s">
        <v>319</v>
      </c>
      <c r="C27" s="238" t="s">
        <v>231</v>
      </c>
      <c r="D27" s="239">
        <v>66.38</v>
      </c>
      <c r="G27" s="240" t="s">
        <v>328</v>
      </c>
      <c r="H27" s="220">
        <v>86698</v>
      </c>
      <c r="I27" s="220">
        <v>8880</v>
      </c>
      <c r="J27" s="220">
        <v>32300</v>
      </c>
      <c r="O27" s="220">
        <v>127878</v>
      </c>
      <c r="Q27" s="240" t="s">
        <v>328</v>
      </c>
      <c r="R27" s="220">
        <v>86698</v>
      </c>
      <c r="S27" s="220">
        <v>8880</v>
      </c>
      <c r="T27" s="220">
        <v>32300</v>
      </c>
      <c r="Y27" s="220">
        <v>127878</v>
      </c>
    </row>
    <row r="28" spans="1:25" x14ac:dyDescent="0.3">
      <c r="A28" s="238" t="s">
        <v>177</v>
      </c>
      <c r="B28" s="238" t="s">
        <v>329</v>
      </c>
      <c r="C28" s="238" t="s">
        <v>231</v>
      </c>
      <c r="D28" s="239">
        <v>1.44</v>
      </c>
      <c r="G28" s="240" t="s">
        <v>330</v>
      </c>
      <c r="J28" s="220">
        <v>21.42</v>
      </c>
      <c r="O28" s="220">
        <v>21.42</v>
      </c>
      <c r="Q28" s="241" t="s">
        <v>231</v>
      </c>
      <c r="R28" s="220">
        <v>64246</v>
      </c>
      <c r="Y28" s="220">
        <v>64246</v>
      </c>
    </row>
    <row r="29" spans="1:25" x14ac:dyDescent="0.3">
      <c r="A29" s="238" t="s">
        <v>179</v>
      </c>
      <c r="B29" s="238" t="s">
        <v>309</v>
      </c>
      <c r="C29" s="238" t="s">
        <v>252</v>
      </c>
      <c r="D29" s="239">
        <v>209.7</v>
      </c>
      <c r="G29" s="240" t="s">
        <v>331</v>
      </c>
      <c r="I29" s="220">
        <v>0.6</v>
      </c>
      <c r="O29" s="220">
        <v>0.6</v>
      </c>
      <c r="Q29" s="241" t="s">
        <v>226</v>
      </c>
      <c r="S29" s="220">
        <v>8880</v>
      </c>
      <c r="T29" s="220">
        <v>32300</v>
      </c>
      <c r="Y29" s="220">
        <v>41180</v>
      </c>
    </row>
    <row r="30" spans="1:25" x14ac:dyDescent="0.3">
      <c r="A30" s="238" t="s">
        <v>179</v>
      </c>
      <c r="B30" s="238" t="s">
        <v>309</v>
      </c>
      <c r="C30" s="238" t="s">
        <v>231</v>
      </c>
      <c r="D30" s="239">
        <v>22.86</v>
      </c>
      <c r="G30" s="240" t="s">
        <v>312</v>
      </c>
      <c r="K30" s="220">
        <v>0.02</v>
      </c>
      <c r="M30" s="220">
        <v>1</v>
      </c>
      <c r="O30" s="220">
        <v>1.02</v>
      </c>
      <c r="Q30" s="241" t="s">
        <v>241</v>
      </c>
      <c r="R30" s="220">
        <v>22452</v>
      </c>
      <c r="Y30" s="220">
        <v>22452</v>
      </c>
    </row>
    <row r="31" spans="1:25" x14ac:dyDescent="0.3">
      <c r="A31" s="238" t="s">
        <v>179</v>
      </c>
      <c r="B31" s="238" t="s">
        <v>312</v>
      </c>
      <c r="C31" s="238" t="s">
        <v>231</v>
      </c>
      <c r="D31" s="239">
        <v>1</v>
      </c>
      <c r="G31" s="240" t="s">
        <v>332</v>
      </c>
      <c r="J31" s="220">
        <v>12.84</v>
      </c>
      <c r="O31" s="220">
        <v>12.84</v>
      </c>
      <c r="Q31" s="240" t="s">
        <v>311</v>
      </c>
      <c r="R31" s="220">
        <v>17786.7</v>
      </c>
      <c r="S31" s="220">
        <v>16500</v>
      </c>
      <c r="T31" s="220">
        <v>19851</v>
      </c>
      <c r="U31" s="220">
        <v>1507</v>
      </c>
      <c r="V31" s="220">
        <v>11255</v>
      </c>
      <c r="Y31" s="220">
        <v>66899.7</v>
      </c>
    </row>
    <row r="32" spans="1:25" x14ac:dyDescent="0.3">
      <c r="A32" s="238" t="s">
        <v>179</v>
      </c>
      <c r="B32" s="238" t="s">
        <v>316</v>
      </c>
      <c r="C32" s="238" t="s">
        <v>231</v>
      </c>
      <c r="D32" s="239">
        <v>1.02</v>
      </c>
      <c r="G32" s="240" t="s">
        <v>333</v>
      </c>
      <c r="J32" s="220">
        <v>0.12</v>
      </c>
      <c r="O32" s="220">
        <v>0.12</v>
      </c>
      <c r="Q32" s="241" t="s">
        <v>231</v>
      </c>
      <c r="R32" s="220">
        <v>493</v>
      </c>
      <c r="Y32" s="220">
        <v>493</v>
      </c>
    </row>
    <row r="33" spans="1:25" x14ac:dyDescent="0.3">
      <c r="A33" s="238" t="s">
        <v>179</v>
      </c>
      <c r="B33" s="238" t="s">
        <v>313</v>
      </c>
      <c r="C33" s="238" t="s">
        <v>247</v>
      </c>
      <c r="D33" s="239">
        <v>292158</v>
      </c>
      <c r="G33" s="240" t="s">
        <v>320</v>
      </c>
      <c r="H33" s="220">
        <v>525</v>
      </c>
      <c r="I33" s="220">
        <v>9019.27</v>
      </c>
      <c r="J33" s="220">
        <v>5</v>
      </c>
      <c r="K33" s="220">
        <v>10.29</v>
      </c>
      <c r="L33" s="220">
        <v>153.30000000000001</v>
      </c>
      <c r="O33" s="220">
        <v>9712.86</v>
      </c>
      <c r="Q33" s="241" t="s">
        <v>243</v>
      </c>
      <c r="R33" s="220">
        <v>793.7</v>
      </c>
      <c r="Y33" s="220">
        <v>793.7</v>
      </c>
    </row>
    <row r="34" spans="1:25" x14ac:dyDescent="0.3">
      <c r="A34" s="238" t="s">
        <v>179</v>
      </c>
      <c r="B34" s="238" t="s">
        <v>329</v>
      </c>
      <c r="C34" s="238" t="s">
        <v>231</v>
      </c>
      <c r="D34" s="239">
        <v>2</v>
      </c>
      <c r="G34" s="240" t="s">
        <v>314</v>
      </c>
      <c r="H34" s="220">
        <v>100</v>
      </c>
      <c r="I34" s="220">
        <v>106.5</v>
      </c>
      <c r="K34" s="220">
        <v>2</v>
      </c>
      <c r="O34" s="220">
        <v>208.5</v>
      </c>
      <c r="Q34" s="241" t="s">
        <v>218</v>
      </c>
      <c r="R34" s="220">
        <v>16500</v>
      </c>
      <c r="S34" s="220">
        <v>16500</v>
      </c>
      <c r="T34" s="220">
        <v>19851</v>
      </c>
      <c r="U34" s="220">
        <v>1507</v>
      </c>
      <c r="V34" s="220">
        <v>11255</v>
      </c>
      <c r="Y34" s="220">
        <v>65613</v>
      </c>
    </row>
    <row r="35" spans="1:25" x14ac:dyDescent="0.3">
      <c r="A35" s="238" t="s">
        <v>178</v>
      </c>
      <c r="B35" s="238" t="s">
        <v>309</v>
      </c>
      <c r="C35" s="238" t="s">
        <v>247</v>
      </c>
      <c r="D35" s="239">
        <v>181.4</v>
      </c>
      <c r="G35" s="240" t="s">
        <v>334</v>
      </c>
      <c r="I35" s="220">
        <v>20.190000000000001</v>
      </c>
      <c r="O35" s="220">
        <v>20.190000000000001</v>
      </c>
      <c r="Q35" s="240" t="s">
        <v>309</v>
      </c>
      <c r="R35" s="220">
        <v>187.82</v>
      </c>
      <c r="S35" s="220">
        <v>27854.799999999999</v>
      </c>
      <c r="T35" s="220">
        <v>49130.68</v>
      </c>
      <c r="U35" s="220">
        <v>6027.11</v>
      </c>
      <c r="V35" s="220">
        <v>181.4</v>
      </c>
      <c r="W35" s="220">
        <v>232.56</v>
      </c>
      <c r="Y35" s="220">
        <v>83614.37000000001</v>
      </c>
    </row>
    <row r="36" spans="1:25" x14ac:dyDescent="0.3">
      <c r="A36" s="238" t="s">
        <v>178</v>
      </c>
      <c r="B36" s="238" t="s">
        <v>311</v>
      </c>
      <c r="C36" s="238" t="s">
        <v>218</v>
      </c>
      <c r="D36" s="239">
        <v>11255</v>
      </c>
      <c r="G36" s="240" t="s">
        <v>335</v>
      </c>
      <c r="H36" s="220">
        <v>1778</v>
      </c>
      <c r="O36" s="220">
        <v>1778</v>
      </c>
      <c r="Q36" s="241" t="s">
        <v>247</v>
      </c>
      <c r="T36" s="220">
        <v>4000</v>
      </c>
      <c r="U36" s="220">
        <v>6000</v>
      </c>
      <c r="V36" s="220">
        <v>181.4</v>
      </c>
      <c r="Y36" s="220">
        <v>10181.4</v>
      </c>
    </row>
    <row r="37" spans="1:25" x14ac:dyDescent="0.3">
      <c r="A37" s="238" t="s">
        <v>178</v>
      </c>
      <c r="B37" s="238" t="s">
        <v>313</v>
      </c>
      <c r="C37" s="238" t="s">
        <v>247</v>
      </c>
      <c r="D37" s="239">
        <v>168000</v>
      </c>
      <c r="G37" s="240" t="s">
        <v>322</v>
      </c>
      <c r="K37" s="220">
        <v>63.64</v>
      </c>
      <c r="O37" s="220">
        <v>63.64</v>
      </c>
      <c r="Q37" s="241" t="s">
        <v>252</v>
      </c>
      <c r="S37" s="220">
        <v>25.1</v>
      </c>
      <c r="T37" s="220">
        <v>25.1</v>
      </c>
      <c r="W37" s="220">
        <v>209.7</v>
      </c>
      <c r="Y37" s="220">
        <v>259.89999999999998</v>
      </c>
    </row>
    <row r="38" spans="1:25" x14ac:dyDescent="0.3">
      <c r="A38" s="238" t="s">
        <v>178</v>
      </c>
      <c r="B38" s="238" t="s">
        <v>320</v>
      </c>
      <c r="C38" s="238" t="s">
        <v>231</v>
      </c>
      <c r="D38" s="239">
        <v>153.30000000000001</v>
      </c>
      <c r="G38" s="240" t="s">
        <v>336</v>
      </c>
      <c r="I38" s="220">
        <v>1050</v>
      </c>
      <c r="J38" s="220">
        <v>24.77</v>
      </c>
      <c r="O38" s="220">
        <v>1074.77</v>
      </c>
      <c r="Q38" s="241" t="s">
        <v>231</v>
      </c>
      <c r="R38" s="220">
        <v>100</v>
      </c>
      <c r="S38" s="220">
        <v>175.6</v>
      </c>
      <c r="T38" s="220">
        <v>2.58</v>
      </c>
      <c r="U38" s="220">
        <v>27.11</v>
      </c>
      <c r="W38" s="220">
        <v>22.86</v>
      </c>
      <c r="Y38" s="220">
        <v>328.15000000000003</v>
      </c>
    </row>
    <row r="39" spans="1:25" x14ac:dyDescent="0.3">
      <c r="A39" s="238" t="s">
        <v>178</v>
      </c>
      <c r="B39" s="238" t="s">
        <v>317</v>
      </c>
      <c r="C39" s="238" t="s">
        <v>241</v>
      </c>
      <c r="D39" s="239">
        <v>0.65</v>
      </c>
      <c r="G39" s="240" t="s">
        <v>337</v>
      </c>
      <c r="J39" s="220">
        <v>0</v>
      </c>
      <c r="O39" s="220">
        <v>0</v>
      </c>
      <c r="Q39" s="241" t="s">
        <v>226</v>
      </c>
      <c r="S39" s="220">
        <v>27604</v>
      </c>
      <c r="T39" s="220">
        <v>45100</v>
      </c>
      <c r="Y39" s="220">
        <v>72704</v>
      </c>
    </row>
    <row r="40" spans="1:25" x14ac:dyDescent="0.3">
      <c r="A40" s="238" t="s">
        <v>178</v>
      </c>
      <c r="B40" s="238" t="s">
        <v>329</v>
      </c>
      <c r="C40" s="238" t="s">
        <v>231</v>
      </c>
      <c r="D40" s="239">
        <v>863</v>
      </c>
      <c r="G40" s="240" t="s">
        <v>338</v>
      </c>
      <c r="H40" s="220">
        <v>122</v>
      </c>
      <c r="I40" s="220">
        <v>12.12</v>
      </c>
      <c r="J40" s="220">
        <v>547.70000000000005</v>
      </c>
      <c r="O40" s="220">
        <v>681.82</v>
      </c>
      <c r="Q40" s="241" t="s">
        <v>239</v>
      </c>
      <c r="R40" s="220">
        <v>17</v>
      </c>
      <c r="Y40" s="220">
        <v>17</v>
      </c>
    </row>
    <row r="41" spans="1:25" x14ac:dyDescent="0.3">
      <c r="A41" s="238" t="s">
        <v>213</v>
      </c>
      <c r="B41" s="238" t="s">
        <v>316</v>
      </c>
      <c r="C41" s="238" t="s">
        <v>231</v>
      </c>
      <c r="D41" s="239">
        <v>0.03</v>
      </c>
      <c r="G41" s="240" t="s">
        <v>339</v>
      </c>
      <c r="H41" s="220">
        <v>556.20000000000005</v>
      </c>
      <c r="O41" s="220">
        <v>556.20000000000005</v>
      </c>
      <c r="Q41" s="241" t="s">
        <v>243</v>
      </c>
      <c r="R41" s="220">
        <v>70.819999999999993</v>
      </c>
      <c r="Y41" s="220">
        <v>70.819999999999993</v>
      </c>
    </row>
    <row r="42" spans="1:25" x14ac:dyDescent="0.3">
      <c r="A42" s="238" t="s">
        <v>213</v>
      </c>
      <c r="B42" s="238" t="s">
        <v>313</v>
      </c>
      <c r="C42" s="238" t="s">
        <v>247</v>
      </c>
      <c r="D42" s="239">
        <v>177776</v>
      </c>
      <c r="G42" s="240" t="s">
        <v>324</v>
      </c>
      <c r="H42" s="220">
        <v>26250</v>
      </c>
      <c r="I42" s="220">
        <v>141940</v>
      </c>
      <c r="J42" s="220">
        <v>42241</v>
      </c>
      <c r="K42" s="220">
        <v>22.58</v>
      </c>
      <c r="O42" s="220">
        <v>210453.58</v>
      </c>
      <c r="Q42" s="241" t="s">
        <v>218</v>
      </c>
      <c r="S42" s="220">
        <v>50.1</v>
      </c>
      <c r="T42" s="220">
        <v>3</v>
      </c>
      <c r="Y42" s="220">
        <v>53.1</v>
      </c>
    </row>
    <row r="43" spans="1:25" x14ac:dyDescent="0.3">
      <c r="A43" s="238" t="s">
        <v>213</v>
      </c>
      <c r="B43" s="238" t="s">
        <v>317</v>
      </c>
      <c r="C43" s="238" t="s">
        <v>231</v>
      </c>
      <c r="D43" s="239">
        <v>0.06</v>
      </c>
      <c r="G43" s="240" t="s">
        <v>309</v>
      </c>
      <c r="H43" s="220">
        <v>187.82</v>
      </c>
      <c r="I43" s="220">
        <v>27854.799999999999</v>
      </c>
      <c r="J43" s="220">
        <v>49130.68</v>
      </c>
      <c r="K43" s="220">
        <v>6027.11</v>
      </c>
      <c r="L43" s="220">
        <v>181.4</v>
      </c>
      <c r="M43" s="220">
        <v>232.56</v>
      </c>
      <c r="O43" s="220">
        <v>83614.37</v>
      </c>
      <c r="Q43" s="240" t="s">
        <v>88</v>
      </c>
      <c r="R43" s="242">
        <v>502144.52</v>
      </c>
      <c r="S43" s="242">
        <v>580099.80000000005</v>
      </c>
      <c r="T43" s="242">
        <v>552347.67999999993</v>
      </c>
      <c r="U43" s="242">
        <v>58356.69</v>
      </c>
      <c r="V43" s="242">
        <v>179436.4</v>
      </c>
      <c r="W43" s="242">
        <v>292390.56</v>
      </c>
      <c r="X43" s="242">
        <v>177776</v>
      </c>
      <c r="Y43" s="220">
        <v>2342551.6500000004</v>
      </c>
    </row>
    <row r="44" spans="1:25" x14ac:dyDescent="0.3">
      <c r="A44" s="238" t="s">
        <v>213</v>
      </c>
      <c r="B44" s="238" t="s">
        <v>319</v>
      </c>
      <c r="C44" s="238" t="s">
        <v>241</v>
      </c>
      <c r="D44" s="239">
        <v>0.01</v>
      </c>
      <c r="G44" s="240" t="s">
        <v>340</v>
      </c>
      <c r="I44" s="220">
        <v>37000</v>
      </c>
      <c r="J44" s="220">
        <v>10000</v>
      </c>
      <c r="O44" s="220">
        <v>47000</v>
      </c>
    </row>
    <row r="45" spans="1:25" x14ac:dyDescent="0.3">
      <c r="A45" s="238" t="s">
        <v>213</v>
      </c>
      <c r="B45" s="238" t="s">
        <v>315</v>
      </c>
      <c r="C45" s="238" t="s">
        <v>231</v>
      </c>
      <c r="D45" s="239">
        <v>1</v>
      </c>
      <c r="G45" s="240" t="s">
        <v>329</v>
      </c>
      <c r="I45" s="220">
        <v>0.5</v>
      </c>
      <c r="J45" s="220">
        <v>212.54</v>
      </c>
      <c r="K45" s="220">
        <v>1.44</v>
      </c>
      <c r="L45" s="220">
        <v>863</v>
      </c>
      <c r="M45" s="220">
        <v>2</v>
      </c>
      <c r="O45" s="220">
        <v>1079.48</v>
      </c>
    </row>
    <row r="46" spans="1:25" x14ac:dyDescent="0.3">
      <c r="A46" s="238">
        <v>2018</v>
      </c>
      <c r="B46" s="238" t="s">
        <v>341</v>
      </c>
      <c r="C46" s="238" t="s">
        <v>231</v>
      </c>
      <c r="D46" s="239">
        <v>0.55000000000000004</v>
      </c>
      <c r="G46" s="240" t="s">
        <v>342</v>
      </c>
      <c r="I46" s="220">
        <v>1165</v>
      </c>
      <c r="J46" s="220">
        <v>2606</v>
      </c>
      <c r="O46" s="220">
        <v>3771</v>
      </c>
    </row>
    <row r="47" spans="1:25" x14ac:dyDescent="0.3">
      <c r="A47" s="238">
        <v>2018</v>
      </c>
      <c r="B47" s="238" t="s">
        <v>326</v>
      </c>
      <c r="C47" s="238" t="s">
        <v>231</v>
      </c>
      <c r="D47" s="239">
        <v>0.02</v>
      </c>
      <c r="G47" s="240" t="s">
        <v>343</v>
      </c>
      <c r="H47" s="220">
        <v>758</v>
      </c>
      <c r="J47" s="220">
        <v>12.43</v>
      </c>
      <c r="O47" s="220">
        <v>770.43</v>
      </c>
    </row>
    <row r="48" spans="1:25" x14ac:dyDescent="0.3">
      <c r="A48" s="238">
        <v>2018</v>
      </c>
      <c r="B48" s="238" t="s">
        <v>340</v>
      </c>
      <c r="C48" s="238" t="s">
        <v>241</v>
      </c>
      <c r="D48" s="239">
        <v>10000</v>
      </c>
      <c r="G48" s="240" t="s">
        <v>341</v>
      </c>
      <c r="J48" s="220">
        <v>0.55000000000000004</v>
      </c>
      <c r="O48" s="220">
        <v>0.55000000000000004</v>
      </c>
    </row>
    <row r="49" spans="1:15" x14ac:dyDescent="0.3">
      <c r="A49" s="238">
        <v>2018</v>
      </c>
      <c r="B49" s="238" t="s">
        <v>338</v>
      </c>
      <c r="C49" s="238" t="s">
        <v>231</v>
      </c>
      <c r="D49" s="239">
        <v>547.70000000000005</v>
      </c>
      <c r="G49" s="240" t="s">
        <v>344</v>
      </c>
      <c r="I49" s="220">
        <v>7996</v>
      </c>
      <c r="J49" s="220">
        <v>19785</v>
      </c>
      <c r="O49" s="220">
        <v>27781</v>
      </c>
    </row>
    <row r="50" spans="1:15" x14ac:dyDescent="0.3">
      <c r="A50" s="238">
        <v>2018</v>
      </c>
      <c r="B50" s="238" t="s">
        <v>309</v>
      </c>
      <c r="C50" s="238" t="s">
        <v>247</v>
      </c>
      <c r="D50" s="239">
        <v>4000</v>
      </c>
      <c r="G50" s="240" t="s">
        <v>88</v>
      </c>
      <c r="H50" s="242">
        <v>542187.72</v>
      </c>
      <c r="I50" s="242">
        <v>637388.98</v>
      </c>
      <c r="J50" s="242">
        <v>587052.57999999984</v>
      </c>
      <c r="K50" s="242">
        <v>60180.53</v>
      </c>
      <c r="L50" s="242">
        <v>180453.34999999998</v>
      </c>
      <c r="M50" s="242">
        <v>292394.58</v>
      </c>
      <c r="N50" s="242">
        <v>177777.1</v>
      </c>
      <c r="O50" s="220">
        <v>2477434.8400000003</v>
      </c>
    </row>
    <row r="51" spans="1:15" x14ac:dyDescent="0.3">
      <c r="A51" s="238">
        <v>2018</v>
      </c>
      <c r="B51" s="238" t="s">
        <v>309</v>
      </c>
      <c r="C51" s="238" t="s">
        <v>252</v>
      </c>
      <c r="D51" s="239">
        <v>25.1</v>
      </c>
    </row>
    <row r="52" spans="1:15" x14ac:dyDescent="0.3">
      <c r="A52" s="238">
        <v>2018</v>
      </c>
      <c r="B52" s="238" t="s">
        <v>309</v>
      </c>
      <c r="C52" s="238" t="s">
        <v>231</v>
      </c>
      <c r="D52" s="239">
        <v>2.58</v>
      </c>
    </row>
    <row r="53" spans="1:15" x14ac:dyDescent="0.3">
      <c r="A53" s="238">
        <v>2018</v>
      </c>
      <c r="B53" s="238" t="s">
        <v>309</v>
      </c>
      <c r="C53" s="238" t="s">
        <v>226</v>
      </c>
      <c r="D53" s="239">
        <v>45100</v>
      </c>
    </row>
    <row r="54" spans="1:15" x14ac:dyDescent="0.3">
      <c r="A54" s="238">
        <v>2018</v>
      </c>
      <c r="B54" s="238" t="s">
        <v>309</v>
      </c>
      <c r="C54" s="238" t="s">
        <v>218</v>
      </c>
      <c r="D54" s="239">
        <v>3</v>
      </c>
    </row>
    <row r="55" spans="1:15" x14ac:dyDescent="0.3">
      <c r="A55" s="238">
        <v>2018</v>
      </c>
      <c r="B55" s="238" t="s">
        <v>311</v>
      </c>
      <c r="C55" s="238" t="s">
        <v>218</v>
      </c>
      <c r="D55" s="239">
        <v>19851</v>
      </c>
    </row>
    <row r="56" spans="1:15" x14ac:dyDescent="0.3">
      <c r="A56" s="238">
        <v>2018</v>
      </c>
      <c r="B56" s="238" t="s">
        <v>330</v>
      </c>
      <c r="C56" s="238" t="s">
        <v>231</v>
      </c>
      <c r="D56" s="239">
        <v>21.42</v>
      </c>
    </row>
    <row r="57" spans="1:15" x14ac:dyDescent="0.3">
      <c r="A57" s="238">
        <v>2018</v>
      </c>
      <c r="B57" s="238" t="s">
        <v>333</v>
      </c>
      <c r="C57" s="238" t="s">
        <v>231</v>
      </c>
      <c r="D57" s="239">
        <v>0.12</v>
      </c>
    </row>
    <row r="58" spans="1:15" x14ac:dyDescent="0.3">
      <c r="A58" s="238">
        <v>2018</v>
      </c>
      <c r="B58" s="238" t="s">
        <v>336</v>
      </c>
      <c r="C58" s="238" t="s">
        <v>231</v>
      </c>
      <c r="D58" s="239">
        <v>24.77</v>
      </c>
    </row>
    <row r="59" spans="1:15" x14ac:dyDescent="0.3">
      <c r="A59" s="238">
        <v>2018</v>
      </c>
      <c r="B59" s="238" t="s">
        <v>343</v>
      </c>
      <c r="C59" s="238" t="s">
        <v>252</v>
      </c>
      <c r="D59" s="239">
        <v>7.5</v>
      </c>
    </row>
    <row r="60" spans="1:15" x14ac:dyDescent="0.3">
      <c r="A60" s="238">
        <v>2018</v>
      </c>
      <c r="B60" s="238" t="s">
        <v>343</v>
      </c>
      <c r="C60" s="238" t="s">
        <v>231</v>
      </c>
      <c r="D60" s="239">
        <v>4.93</v>
      </c>
    </row>
    <row r="61" spans="1:15" x14ac:dyDescent="0.3">
      <c r="A61" s="238">
        <v>2018</v>
      </c>
      <c r="B61" s="238" t="s">
        <v>344</v>
      </c>
      <c r="C61" s="238" t="s">
        <v>231</v>
      </c>
      <c r="D61" s="239">
        <v>19785</v>
      </c>
    </row>
    <row r="62" spans="1:15" x14ac:dyDescent="0.3">
      <c r="A62" s="238">
        <v>2018</v>
      </c>
      <c r="B62" s="238" t="s">
        <v>332</v>
      </c>
      <c r="C62" s="238" t="s">
        <v>231</v>
      </c>
      <c r="D62" s="239">
        <v>12.84</v>
      </c>
    </row>
    <row r="63" spans="1:15" x14ac:dyDescent="0.3">
      <c r="A63" s="238">
        <v>2018</v>
      </c>
      <c r="B63" s="238" t="s">
        <v>313</v>
      </c>
      <c r="C63" s="238" t="s">
        <v>247</v>
      </c>
      <c r="D63" s="239">
        <v>88950</v>
      </c>
    </row>
    <row r="64" spans="1:15" x14ac:dyDescent="0.3">
      <c r="A64" s="238">
        <v>2018</v>
      </c>
      <c r="B64" s="238" t="s">
        <v>313</v>
      </c>
      <c r="C64" s="238" t="s">
        <v>231</v>
      </c>
      <c r="D64" s="239">
        <v>285775</v>
      </c>
    </row>
    <row r="65" spans="1:4" x14ac:dyDescent="0.3">
      <c r="A65" s="238">
        <v>2018</v>
      </c>
      <c r="B65" s="238" t="s">
        <v>313</v>
      </c>
      <c r="C65" s="238" t="s">
        <v>226</v>
      </c>
      <c r="D65" s="239">
        <v>34100</v>
      </c>
    </row>
    <row r="66" spans="1:4" x14ac:dyDescent="0.3">
      <c r="A66" s="238">
        <v>2018</v>
      </c>
      <c r="B66" s="238" t="s">
        <v>320</v>
      </c>
      <c r="C66" s="238" t="s">
        <v>252</v>
      </c>
      <c r="D66" s="239">
        <v>5</v>
      </c>
    </row>
    <row r="67" spans="1:4" x14ac:dyDescent="0.3">
      <c r="A67" s="238">
        <v>2018</v>
      </c>
      <c r="B67" s="238" t="s">
        <v>321</v>
      </c>
      <c r="C67" s="238" t="s">
        <v>231</v>
      </c>
      <c r="D67" s="239">
        <v>652.6</v>
      </c>
    </row>
    <row r="68" spans="1:4" x14ac:dyDescent="0.3">
      <c r="A68" s="238">
        <v>2018</v>
      </c>
      <c r="B68" s="238" t="s">
        <v>328</v>
      </c>
      <c r="C68" s="238" t="s">
        <v>226</v>
      </c>
      <c r="D68" s="239">
        <v>32300</v>
      </c>
    </row>
    <row r="69" spans="1:4" x14ac:dyDescent="0.3">
      <c r="A69" s="238">
        <v>2018</v>
      </c>
      <c r="B69" s="238" t="s">
        <v>317</v>
      </c>
      <c r="C69" s="238" t="s">
        <v>231</v>
      </c>
      <c r="D69" s="239">
        <v>568.20000000000005</v>
      </c>
    </row>
    <row r="70" spans="1:4" x14ac:dyDescent="0.3">
      <c r="A70" s="238">
        <v>2018</v>
      </c>
      <c r="B70" s="238" t="s">
        <v>317</v>
      </c>
      <c r="C70" s="238" t="s">
        <v>243</v>
      </c>
      <c r="D70" s="239">
        <v>250</v>
      </c>
    </row>
    <row r="71" spans="1:4" x14ac:dyDescent="0.3">
      <c r="A71" s="238">
        <v>2018</v>
      </c>
      <c r="B71" s="238" t="s">
        <v>337</v>
      </c>
      <c r="C71" s="238" t="s">
        <v>231</v>
      </c>
      <c r="D71" s="239">
        <v>0</v>
      </c>
    </row>
    <row r="72" spans="1:4" x14ac:dyDescent="0.3">
      <c r="A72" s="238">
        <v>2018</v>
      </c>
      <c r="B72" s="238" t="s">
        <v>324</v>
      </c>
      <c r="C72" s="238" t="s">
        <v>231</v>
      </c>
      <c r="D72" s="239">
        <v>41811</v>
      </c>
    </row>
    <row r="73" spans="1:4" x14ac:dyDescent="0.3">
      <c r="A73" s="238">
        <v>2018</v>
      </c>
      <c r="B73" s="238" t="s">
        <v>324</v>
      </c>
      <c r="C73" s="238" t="s">
        <v>239</v>
      </c>
      <c r="D73" s="239">
        <v>421</v>
      </c>
    </row>
    <row r="74" spans="1:4" x14ac:dyDescent="0.3">
      <c r="A74" s="238">
        <v>2018</v>
      </c>
      <c r="B74" s="238" t="s">
        <v>324</v>
      </c>
      <c r="C74" s="238" t="s">
        <v>241</v>
      </c>
      <c r="D74" s="239">
        <v>9</v>
      </c>
    </row>
    <row r="75" spans="1:4" x14ac:dyDescent="0.3">
      <c r="A75" s="238">
        <v>2018</v>
      </c>
      <c r="B75" s="238" t="s">
        <v>319</v>
      </c>
      <c r="C75" s="238" t="s">
        <v>247</v>
      </c>
      <c r="D75" s="239">
        <v>5.64</v>
      </c>
    </row>
    <row r="76" spans="1:4" x14ac:dyDescent="0.3">
      <c r="A76" s="238">
        <v>2018</v>
      </c>
      <c r="B76" s="238" t="s">
        <v>319</v>
      </c>
      <c r="C76" s="238" t="s">
        <v>231</v>
      </c>
      <c r="D76" s="239">
        <v>7.0000000000000007E-2</v>
      </c>
    </row>
    <row r="77" spans="1:4" x14ac:dyDescent="0.3">
      <c r="A77" s="238">
        <v>2018</v>
      </c>
      <c r="B77" s="238" t="s">
        <v>329</v>
      </c>
      <c r="C77" s="238" t="s">
        <v>231</v>
      </c>
      <c r="D77" s="239">
        <v>8.0399999999999991</v>
      </c>
    </row>
    <row r="78" spans="1:4" x14ac:dyDescent="0.3">
      <c r="A78" s="238">
        <v>2018</v>
      </c>
      <c r="B78" s="238" t="s">
        <v>329</v>
      </c>
      <c r="C78" s="238" t="s">
        <v>241</v>
      </c>
      <c r="D78" s="239">
        <v>204.5</v>
      </c>
    </row>
    <row r="79" spans="1:4" x14ac:dyDescent="0.3">
      <c r="A79" s="238">
        <v>2018</v>
      </c>
      <c r="B79" s="238" t="s">
        <v>342</v>
      </c>
      <c r="C79" s="238" t="s">
        <v>231</v>
      </c>
      <c r="D79" s="239">
        <v>2606</v>
      </c>
    </row>
    <row r="80" spans="1:4" x14ac:dyDescent="0.3">
      <c r="A80" s="238">
        <v>2017</v>
      </c>
      <c r="B80" s="238" t="s">
        <v>340</v>
      </c>
      <c r="C80" s="238" t="s">
        <v>247</v>
      </c>
      <c r="D80" s="239">
        <v>16000</v>
      </c>
    </row>
    <row r="81" spans="1:4" x14ac:dyDescent="0.3">
      <c r="A81" s="238">
        <v>2017</v>
      </c>
      <c r="B81" s="238" t="s">
        <v>340</v>
      </c>
      <c r="C81" s="238" t="s">
        <v>241</v>
      </c>
      <c r="D81" s="239">
        <v>21000</v>
      </c>
    </row>
    <row r="82" spans="1:4" x14ac:dyDescent="0.3">
      <c r="A82" s="238">
        <v>2017</v>
      </c>
      <c r="B82" s="238" t="s">
        <v>338</v>
      </c>
      <c r="C82" s="238" t="s">
        <v>247</v>
      </c>
      <c r="D82" s="239">
        <v>12.12</v>
      </c>
    </row>
    <row r="83" spans="1:4" x14ac:dyDescent="0.3">
      <c r="A83" s="238">
        <v>2017</v>
      </c>
      <c r="B83" s="238" t="s">
        <v>309</v>
      </c>
      <c r="C83" s="238" t="s">
        <v>252</v>
      </c>
      <c r="D83" s="239">
        <v>25.1</v>
      </c>
    </row>
    <row r="84" spans="1:4" x14ac:dyDescent="0.3">
      <c r="A84" s="238">
        <v>2017</v>
      </c>
      <c r="B84" s="238" t="s">
        <v>309</v>
      </c>
      <c r="C84" s="238" t="s">
        <v>231</v>
      </c>
      <c r="D84" s="239">
        <v>175.6</v>
      </c>
    </row>
    <row r="85" spans="1:4" x14ac:dyDescent="0.3">
      <c r="A85" s="238">
        <v>2017</v>
      </c>
      <c r="B85" s="238" t="s">
        <v>309</v>
      </c>
      <c r="C85" s="238" t="s">
        <v>226</v>
      </c>
      <c r="D85" s="239">
        <v>27604</v>
      </c>
    </row>
    <row r="86" spans="1:4" x14ac:dyDescent="0.3">
      <c r="A86" s="238">
        <v>2017</v>
      </c>
      <c r="B86" s="238" t="s">
        <v>309</v>
      </c>
      <c r="C86" s="238" t="s">
        <v>218</v>
      </c>
      <c r="D86" s="239">
        <v>50.1</v>
      </c>
    </row>
    <row r="87" spans="1:4" x14ac:dyDescent="0.3">
      <c r="A87" s="238">
        <v>2017</v>
      </c>
      <c r="B87" s="238" t="s">
        <v>311</v>
      </c>
      <c r="C87" s="238" t="s">
        <v>218</v>
      </c>
      <c r="D87" s="239">
        <v>16500</v>
      </c>
    </row>
    <row r="88" spans="1:4" x14ac:dyDescent="0.3">
      <c r="A88" s="238">
        <v>2017</v>
      </c>
      <c r="B88" s="238" t="s">
        <v>314</v>
      </c>
      <c r="C88" s="238" t="s">
        <v>226</v>
      </c>
      <c r="D88" s="239">
        <v>1.5</v>
      </c>
    </row>
    <row r="89" spans="1:4" x14ac:dyDescent="0.3">
      <c r="A89" s="238">
        <v>2017</v>
      </c>
      <c r="B89" s="238" t="s">
        <v>314</v>
      </c>
      <c r="C89" s="238" t="s">
        <v>241</v>
      </c>
      <c r="D89" s="239">
        <v>105</v>
      </c>
    </row>
    <row r="90" spans="1:4" x14ac:dyDescent="0.3">
      <c r="A90" s="238">
        <v>2017</v>
      </c>
      <c r="B90" s="238" t="s">
        <v>336</v>
      </c>
      <c r="C90" s="238" t="s">
        <v>345</v>
      </c>
      <c r="D90" s="239">
        <v>1050</v>
      </c>
    </row>
    <row r="91" spans="1:4" x14ac:dyDescent="0.3">
      <c r="A91" s="238">
        <v>2017</v>
      </c>
      <c r="B91" s="238" t="s">
        <v>344</v>
      </c>
      <c r="C91" s="238" t="s">
        <v>231</v>
      </c>
      <c r="D91" s="239">
        <v>7996</v>
      </c>
    </row>
    <row r="92" spans="1:4" x14ac:dyDescent="0.3">
      <c r="A92" s="238">
        <v>2017</v>
      </c>
      <c r="B92" s="238" t="s">
        <v>313</v>
      </c>
      <c r="C92" s="238" t="s">
        <v>247</v>
      </c>
      <c r="D92" s="239">
        <v>86758</v>
      </c>
    </row>
    <row r="93" spans="1:4" x14ac:dyDescent="0.3">
      <c r="A93" s="238">
        <v>2017</v>
      </c>
      <c r="B93" s="238" t="s">
        <v>313</v>
      </c>
      <c r="C93" s="238" t="s">
        <v>318</v>
      </c>
      <c r="D93" s="239">
        <v>237692</v>
      </c>
    </row>
    <row r="94" spans="1:4" x14ac:dyDescent="0.3">
      <c r="A94" s="238">
        <v>2017</v>
      </c>
      <c r="B94" s="238" t="s">
        <v>313</v>
      </c>
      <c r="C94" s="238" t="s">
        <v>226</v>
      </c>
      <c r="D94" s="239">
        <v>60475</v>
      </c>
    </row>
    <row r="95" spans="1:4" x14ac:dyDescent="0.3">
      <c r="A95" s="238">
        <v>2017</v>
      </c>
      <c r="B95" s="238" t="s">
        <v>320</v>
      </c>
      <c r="C95" s="238" t="s">
        <v>346</v>
      </c>
      <c r="D95" s="239">
        <v>1070</v>
      </c>
    </row>
    <row r="96" spans="1:4" x14ac:dyDescent="0.3">
      <c r="A96" s="238">
        <v>2017</v>
      </c>
      <c r="B96" s="238" t="s">
        <v>320</v>
      </c>
      <c r="C96" s="238" t="s">
        <v>347</v>
      </c>
      <c r="D96" s="239">
        <v>7924</v>
      </c>
    </row>
    <row r="97" spans="1:4" x14ac:dyDescent="0.3">
      <c r="A97" s="238">
        <v>2017</v>
      </c>
      <c r="B97" s="238" t="s">
        <v>320</v>
      </c>
      <c r="C97" s="238" t="s">
        <v>231</v>
      </c>
      <c r="D97" s="239">
        <v>19.27</v>
      </c>
    </row>
    <row r="98" spans="1:4" x14ac:dyDescent="0.3">
      <c r="A98" s="238">
        <v>2017</v>
      </c>
      <c r="B98" s="238" t="s">
        <v>320</v>
      </c>
      <c r="C98" s="238" t="s">
        <v>241</v>
      </c>
      <c r="D98" s="239">
        <v>6</v>
      </c>
    </row>
    <row r="99" spans="1:4" x14ac:dyDescent="0.3">
      <c r="A99" s="238">
        <v>2017</v>
      </c>
      <c r="B99" s="238" t="s">
        <v>321</v>
      </c>
      <c r="C99" s="238" t="s">
        <v>231</v>
      </c>
      <c r="D99" s="239">
        <v>511.6</v>
      </c>
    </row>
    <row r="100" spans="1:4" x14ac:dyDescent="0.3">
      <c r="A100" s="238">
        <v>2017</v>
      </c>
      <c r="B100" s="238" t="s">
        <v>334</v>
      </c>
      <c r="C100" s="238" t="s">
        <v>226</v>
      </c>
      <c r="D100" s="239">
        <v>20.190000000000001</v>
      </c>
    </row>
    <row r="101" spans="1:4" x14ac:dyDescent="0.3">
      <c r="A101" s="238">
        <v>2017</v>
      </c>
      <c r="B101" s="238" t="s">
        <v>328</v>
      </c>
      <c r="C101" s="238" t="s">
        <v>226</v>
      </c>
      <c r="D101" s="239">
        <v>8880</v>
      </c>
    </row>
    <row r="102" spans="1:4" x14ac:dyDescent="0.3">
      <c r="A102" s="238">
        <v>2017</v>
      </c>
      <c r="B102" s="238" t="s">
        <v>317</v>
      </c>
      <c r="C102" s="238" t="s">
        <v>226</v>
      </c>
      <c r="D102" s="239">
        <v>1</v>
      </c>
    </row>
    <row r="103" spans="1:4" x14ac:dyDescent="0.3">
      <c r="A103" s="238">
        <v>2017</v>
      </c>
      <c r="B103" s="238" t="s">
        <v>331</v>
      </c>
      <c r="C103" s="238" t="s">
        <v>226</v>
      </c>
      <c r="D103" s="239">
        <v>0.6</v>
      </c>
    </row>
    <row r="104" spans="1:4" x14ac:dyDescent="0.3">
      <c r="A104" s="238">
        <v>2017</v>
      </c>
      <c r="B104" s="238" t="s">
        <v>323</v>
      </c>
      <c r="C104" s="238" t="s">
        <v>231</v>
      </c>
      <c r="D104" s="239">
        <v>405</v>
      </c>
    </row>
    <row r="105" spans="1:4" x14ac:dyDescent="0.3">
      <c r="A105" s="238">
        <v>2017</v>
      </c>
      <c r="B105" s="238" t="s">
        <v>324</v>
      </c>
      <c r="C105" s="238" t="s">
        <v>318</v>
      </c>
      <c r="D105" s="239">
        <v>141940</v>
      </c>
    </row>
    <row r="106" spans="1:4" x14ac:dyDescent="0.3">
      <c r="A106" s="238">
        <v>2017</v>
      </c>
      <c r="B106" s="238" t="s">
        <v>319</v>
      </c>
      <c r="C106" s="238" t="s">
        <v>226</v>
      </c>
      <c r="D106" s="239">
        <v>1.4</v>
      </c>
    </row>
    <row r="107" spans="1:4" x14ac:dyDescent="0.3">
      <c r="A107" s="238">
        <v>2017</v>
      </c>
      <c r="B107" s="238" t="s">
        <v>329</v>
      </c>
      <c r="C107" s="238" t="s">
        <v>241</v>
      </c>
      <c r="D107" s="239">
        <v>0.5</v>
      </c>
    </row>
    <row r="108" spans="1:4" x14ac:dyDescent="0.3">
      <c r="A108" s="238">
        <v>2017</v>
      </c>
      <c r="B108" s="238" t="s">
        <v>342</v>
      </c>
      <c r="C108" s="238" t="s">
        <v>346</v>
      </c>
      <c r="D108" s="239">
        <v>1165</v>
      </c>
    </row>
    <row r="109" spans="1:4" x14ac:dyDescent="0.3">
      <c r="A109" s="238">
        <v>2016</v>
      </c>
      <c r="B109" s="238" t="s">
        <v>338</v>
      </c>
      <c r="C109" s="238" t="s">
        <v>252</v>
      </c>
      <c r="D109" s="239">
        <v>49</v>
      </c>
    </row>
    <row r="110" spans="1:4" x14ac:dyDescent="0.3">
      <c r="A110" s="238">
        <v>2016</v>
      </c>
      <c r="B110" s="238" t="s">
        <v>338</v>
      </c>
      <c r="C110" s="238" t="s">
        <v>231</v>
      </c>
      <c r="D110" s="239">
        <v>73</v>
      </c>
    </row>
    <row r="111" spans="1:4" x14ac:dyDescent="0.3">
      <c r="A111" s="238">
        <v>2016</v>
      </c>
      <c r="B111" s="238" t="s">
        <v>325</v>
      </c>
      <c r="C111" s="238" t="s">
        <v>226</v>
      </c>
      <c r="D111" s="239">
        <v>3190</v>
      </c>
    </row>
    <row r="112" spans="1:4" x14ac:dyDescent="0.3">
      <c r="A112" s="238">
        <v>2016</v>
      </c>
      <c r="B112" s="238" t="s">
        <v>309</v>
      </c>
      <c r="C112" s="238" t="s">
        <v>231</v>
      </c>
      <c r="D112" s="239">
        <v>100</v>
      </c>
    </row>
    <row r="113" spans="1:4" x14ac:dyDescent="0.3">
      <c r="A113" s="238">
        <v>2016</v>
      </c>
      <c r="B113" s="238" t="s">
        <v>309</v>
      </c>
      <c r="C113" s="238" t="s">
        <v>239</v>
      </c>
      <c r="D113" s="239">
        <v>17</v>
      </c>
    </row>
    <row r="114" spans="1:4" x14ac:dyDescent="0.3">
      <c r="A114" s="238">
        <v>2016</v>
      </c>
      <c r="B114" s="238" t="s">
        <v>309</v>
      </c>
      <c r="C114" s="238" t="s">
        <v>243</v>
      </c>
      <c r="D114" s="239">
        <v>70.819999999999993</v>
      </c>
    </row>
    <row r="115" spans="1:4" x14ac:dyDescent="0.3">
      <c r="A115" s="238">
        <v>2016</v>
      </c>
      <c r="B115" s="238" t="s">
        <v>311</v>
      </c>
      <c r="C115" s="238" t="s">
        <v>231</v>
      </c>
      <c r="D115" s="239">
        <v>493</v>
      </c>
    </row>
    <row r="116" spans="1:4" x14ac:dyDescent="0.3">
      <c r="A116" s="238">
        <v>2016</v>
      </c>
      <c r="B116" s="238" t="s">
        <v>311</v>
      </c>
      <c r="C116" s="238" t="s">
        <v>243</v>
      </c>
      <c r="D116" s="239">
        <v>793.7</v>
      </c>
    </row>
    <row r="117" spans="1:4" x14ac:dyDescent="0.3">
      <c r="A117" s="238">
        <v>2016</v>
      </c>
      <c r="B117" s="238" t="s">
        <v>311</v>
      </c>
      <c r="C117" s="238" t="s">
        <v>218</v>
      </c>
      <c r="D117" s="239">
        <v>16500</v>
      </c>
    </row>
    <row r="118" spans="1:4" x14ac:dyDescent="0.3">
      <c r="A118" s="238">
        <v>2016</v>
      </c>
      <c r="B118" s="238" t="s">
        <v>327</v>
      </c>
      <c r="C118" s="238" t="s">
        <v>231</v>
      </c>
      <c r="D118" s="239">
        <v>33000</v>
      </c>
    </row>
    <row r="119" spans="1:4" x14ac:dyDescent="0.3">
      <c r="A119" s="238">
        <v>2016</v>
      </c>
      <c r="B119" s="238" t="s">
        <v>314</v>
      </c>
      <c r="C119" s="238" t="s">
        <v>243</v>
      </c>
      <c r="D119" s="239">
        <v>100</v>
      </c>
    </row>
    <row r="120" spans="1:4" x14ac:dyDescent="0.3">
      <c r="A120" s="238">
        <v>2016</v>
      </c>
      <c r="B120" s="238" t="s">
        <v>335</v>
      </c>
      <c r="C120" s="238" t="s">
        <v>231</v>
      </c>
      <c r="D120" s="239">
        <v>1578</v>
      </c>
    </row>
    <row r="121" spans="1:4" x14ac:dyDescent="0.3">
      <c r="A121" s="238">
        <v>2016</v>
      </c>
      <c r="B121" s="238" t="s">
        <v>335</v>
      </c>
      <c r="C121" s="238" t="s">
        <v>226</v>
      </c>
      <c r="D121" s="239">
        <v>200</v>
      </c>
    </row>
    <row r="122" spans="1:4" x14ac:dyDescent="0.3">
      <c r="A122" s="238">
        <v>2016</v>
      </c>
      <c r="B122" s="238" t="s">
        <v>343</v>
      </c>
      <c r="C122" s="238" t="s">
        <v>231</v>
      </c>
      <c r="D122" s="239">
        <v>758</v>
      </c>
    </row>
    <row r="123" spans="1:4" x14ac:dyDescent="0.3">
      <c r="A123" s="238">
        <v>2016</v>
      </c>
      <c r="B123" s="238" t="s">
        <v>313</v>
      </c>
      <c r="C123" s="238" t="s">
        <v>247</v>
      </c>
      <c r="D123" s="239">
        <v>5250</v>
      </c>
    </row>
    <row r="124" spans="1:4" x14ac:dyDescent="0.3">
      <c r="A124" s="238">
        <v>2016</v>
      </c>
      <c r="B124" s="238" t="s">
        <v>313</v>
      </c>
      <c r="C124" s="238" t="s">
        <v>231</v>
      </c>
      <c r="D124" s="239">
        <v>253418</v>
      </c>
    </row>
    <row r="125" spans="1:4" x14ac:dyDescent="0.3">
      <c r="A125" s="238">
        <v>2016</v>
      </c>
      <c r="B125" s="238" t="s">
        <v>313</v>
      </c>
      <c r="C125" s="238" t="s">
        <v>226</v>
      </c>
      <c r="D125" s="239">
        <v>112455</v>
      </c>
    </row>
    <row r="126" spans="1:4" x14ac:dyDescent="0.3">
      <c r="A126" s="238">
        <v>2016</v>
      </c>
      <c r="B126" s="238" t="s">
        <v>313</v>
      </c>
      <c r="C126" s="238" t="s">
        <v>218</v>
      </c>
      <c r="D126" s="239">
        <v>99</v>
      </c>
    </row>
    <row r="127" spans="1:4" x14ac:dyDescent="0.3">
      <c r="A127" s="238">
        <v>2016</v>
      </c>
      <c r="B127" s="238" t="s">
        <v>320</v>
      </c>
      <c r="C127" s="238" t="s">
        <v>231</v>
      </c>
      <c r="D127" s="239">
        <v>525</v>
      </c>
    </row>
    <row r="128" spans="1:4" x14ac:dyDescent="0.3">
      <c r="A128" s="238">
        <v>2016</v>
      </c>
      <c r="B128" s="238" t="s">
        <v>328</v>
      </c>
      <c r="C128" s="238" t="s">
        <v>231</v>
      </c>
      <c r="D128" s="239">
        <v>64246</v>
      </c>
    </row>
    <row r="129" spans="1:4" x14ac:dyDescent="0.3">
      <c r="A129" s="238">
        <v>2016</v>
      </c>
      <c r="B129" s="238" t="s">
        <v>328</v>
      </c>
      <c r="C129" s="238" t="s">
        <v>241</v>
      </c>
      <c r="D129" s="239">
        <v>22452</v>
      </c>
    </row>
    <row r="130" spans="1:4" x14ac:dyDescent="0.3">
      <c r="A130" s="238">
        <v>2016</v>
      </c>
      <c r="B130" s="238" t="s">
        <v>339</v>
      </c>
      <c r="C130" s="238" t="s">
        <v>243</v>
      </c>
      <c r="D130" s="239">
        <v>556.20000000000005</v>
      </c>
    </row>
    <row r="131" spans="1:4" x14ac:dyDescent="0.3">
      <c r="A131" s="238">
        <v>2016</v>
      </c>
      <c r="B131" s="238" t="s">
        <v>323</v>
      </c>
      <c r="C131" s="238" t="s">
        <v>231</v>
      </c>
      <c r="D131" s="239">
        <v>14</v>
      </c>
    </row>
    <row r="132" spans="1:4" x14ac:dyDescent="0.3">
      <c r="A132" s="238">
        <v>2016</v>
      </c>
      <c r="B132" s="238" t="s">
        <v>324</v>
      </c>
      <c r="C132" s="238" t="s">
        <v>231</v>
      </c>
      <c r="D132" s="239">
        <v>26250</v>
      </c>
    </row>
  </sheetData>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0EC29-C619-4DFA-B65B-37B727E9C991}">
  <sheetPr>
    <tabColor theme="7" tint="0.79998168889431442"/>
  </sheetPr>
  <dimension ref="A1:U133"/>
  <sheetViews>
    <sheetView showGridLines="0" zoomScale="85" zoomScaleNormal="85" workbookViewId="0">
      <selection activeCell="Q45" sqref="Q45"/>
    </sheetView>
  </sheetViews>
  <sheetFormatPr defaultRowHeight="14.4" x14ac:dyDescent="0.3"/>
  <cols>
    <col min="1" max="1" width="8.44140625" style="220" bestFit="1" customWidth="1"/>
    <col min="2" max="2" width="65.109375" style="220" bestFit="1" customWidth="1"/>
    <col min="3" max="3" width="24.77734375" style="220" bestFit="1" customWidth="1"/>
    <col min="4" max="4" width="12.109375" style="220" bestFit="1" customWidth="1"/>
    <col min="5" max="5" width="10" style="220" bestFit="1" customWidth="1"/>
    <col min="6" max="6" width="8.88671875" style="220"/>
    <col min="7" max="7" width="18.77734375" style="220" bestFit="1" customWidth="1"/>
    <col min="8" max="8" width="15.5546875" style="220" bestFit="1" customWidth="1"/>
    <col min="9" max="13" width="13.44140625" style="220" bestFit="1" customWidth="1"/>
    <col min="14" max="16" width="14.6640625" style="220" bestFit="1" customWidth="1"/>
    <col min="17" max="18" width="13.44140625" style="220" bestFit="1" customWidth="1"/>
    <col min="19" max="19" width="14.6640625" style="220" bestFit="1" customWidth="1"/>
    <col min="20" max="20" width="13.44140625" style="220" bestFit="1" customWidth="1"/>
    <col min="21" max="21" width="12.77734375" style="220" bestFit="1" customWidth="1"/>
    <col min="22" max="16384" width="8.88671875" style="220"/>
  </cols>
  <sheetData>
    <row r="1" spans="1:21" s="221" customFormat="1" x14ac:dyDescent="0.3"/>
    <row r="2" spans="1:21" s="225" customFormat="1" ht="11.25" customHeight="1" x14ac:dyDescent="0.3">
      <c r="A2" s="223"/>
      <c r="B2" s="223"/>
      <c r="C2" s="222"/>
      <c r="D2" s="224"/>
    </row>
    <row r="3" spans="1:21" s="225" customFormat="1" ht="15.75" customHeight="1" x14ac:dyDescent="0.3">
      <c r="A3" s="223"/>
      <c r="B3" s="223"/>
      <c r="C3" s="226" t="s">
        <v>304</v>
      </c>
      <c r="D3" s="224"/>
    </row>
    <row r="4" spans="1:21" s="225" customFormat="1" ht="12.75" customHeight="1" x14ac:dyDescent="0.3">
      <c r="A4" s="223"/>
      <c r="B4" s="223"/>
      <c r="C4" s="227" t="str">
        <f ca="1">MID(CELL("filename",C4),FIND("]",CELL("filename",C4))+1,256)</f>
        <v>Imports per P-product</v>
      </c>
      <c r="D4" s="224"/>
    </row>
    <row r="5" spans="1:21" s="225" customFormat="1" ht="15.75" customHeight="1" x14ac:dyDescent="0.3">
      <c r="A5" s="223"/>
      <c r="B5" s="223"/>
      <c r="C5" s="222"/>
      <c r="D5" s="224"/>
    </row>
    <row r="6" spans="1:21" s="232" customFormat="1" ht="9" customHeight="1" x14ac:dyDescent="0.25">
      <c r="A6" s="229"/>
      <c r="B6" s="229"/>
      <c r="C6" s="229"/>
      <c r="D6" s="230"/>
      <c r="E6" s="231"/>
    </row>
    <row r="10" spans="1:21" ht="23.4" x14ac:dyDescent="0.3">
      <c r="A10" s="295" t="s">
        <v>348</v>
      </c>
      <c r="B10" s="295"/>
      <c r="C10" s="295"/>
      <c r="D10" s="295"/>
      <c r="E10" s="295"/>
      <c r="F10" s="295"/>
    </row>
    <row r="12" spans="1:21" x14ac:dyDescent="0.3">
      <c r="A12" s="243" t="s">
        <v>195</v>
      </c>
      <c r="B12" s="220" t="s">
        <v>196</v>
      </c>
    </row>
    <row r="13" spans="1:21" x14ac:dyDescent="0.3">
      <c r="A13" s="243" t="s">
        <v>197</v>
      </c>
      <c r="B13" s="220" t="s">
        <v>349</v>
      </c>
    </row>
    <row r="15" spans="1:21" x14ac:dyDescent="0.3">
      <c r="A15" s="244" t="s">
        <v>350</v>
      </c>
      <c r="B15" s="244" t="s">
        <v>199</v>
      </c>
      <c r="C15" s="244" t="s">
        <v>200</v>
      </c>
      <c r="D15" s="244" t="s">
        <v>351</v>
      </c>
      <c r="E15" s="245" t="s">
        <v>202</v>
      </c>
      <c r="G15" s="220" t="s">
        <v>352</v>
      </c>
      <c r="H15" s="220" t="s">
        <v>86</v>
      </c>
    </row>
    <row r="16" spans="1:21" x14ac:dyDescent="0.3">
      <c r="A16" s="238" t="s">
        <v>204</v>
      </c>
      <c r="B16" s="238" t="s">
        <v>251</v>
      </c>
      <c r="C16" s="238" t="s">
        <v>252</v>
      </c>
      <c r="D16" s="239">
        <v>0.46200000000000002</v>
      </c>
      <c r="E16" s="246" t="s">
        <v>193</v>
      </c>
      <c r="G16" s="220" t="s">
        <v>87</v>
      </c>
      <c r="H16" s="220" t="s">
        <v>204</v>
      </c>
      <c r="I16" s="220" t="s">
        <v>207</v>
      </c>
      <c r="J16" s="220" t="s">
        <v>208</v>
      </c>
      <c r="K16" s="220" t="s">
        <v>209</v>
      </c>
      <c r="L16" s="220" t="s">
        <v>210</v>
      </c>
      <c r="M16" s="220" t="s">
        <v>211</v>
      </c>
      <c r="N16" s="220" t="s">
        <v>212</v>
      </c>
      <c r="O16" s="220" t="s">
        <v>175</v>
      </c>
      <c r="P16" s="220" t="s">
        <v>176</v>
      </c>
      <c r="Q16" s="220" t="s">
        <v>177</v>
      </c>
      <c r="R16" s="220" t="s">
        <v>178</v>
      </c>
      <c r="S16" s="220" t="s">
        <v>179</v>
      </c>
      <c r="T16" s="220" t="s">
        <v>213</v>
      </c>
      <c r="U16" s="220" t="s">
        <v>88</v>
      </c>
    </row>
    <row r="17" spans="1:21" x14ac:dyDescent="0.3">
      <c r="A17" s="238" t="s">
        <v>204</v>
      </c>
      <c r="B17" s="238" t="s">
        <v>233</v>
      </c>
      <c r="C17" s="238" t="s">
        <v>234</v>
      </c>
      <c r="D17" s="239">
        <v>24.088999999999999</v>
      </c>
      <c r="G17" s="240" t="s">
        <v>169</v>
      </c>
      <c r="H17" s="247"/>
      <c r="I17" s="247"/>
      <c r="J17" s="247"/>
      <c r="K17" s="247"/>
      <c r="L17" s="247"/>
      <c r="M17" s="247">
        <v>5500</v>
      </c>
      <c r="N17" s="247">
        <v>5250</v>
      </c>
      <c r="O17" s="247">
        <v>102770</v>
      </c>
      <c r="P17" s="247">
        <v>92955.64</v>
      </c>
      <c r="Q17" s="247">
        <v>56800.02</v>
      </c>
      <c r="R17" s="247">
        <v>168181.356</v>
      </c>
      <c r="S17" s="247">
        <v>292158</v>
      </c>
      <c r="T17" s="247">
        <v>177776.1</v>
      </c>
      <c r="U17" s="220">
        <v>901391.11600000004</v>
      </c>
    </row>
    <row r="18" spans="1:21" x14ac:dyDescent="0.3">
      <c r="A18" s="238" t="s">
        <v>204</v>
      </c>
      <c r="B18" s="238" t="s">
        <v>225</v>
      </c>
      <c r="C18" s="238" t="s">
        <v>239</v>
      </c>
      <c r="D18" s="239">
        <v>7.0000000000000001E-3</v>
      </c>
      <c r="E18" s="220" t="s">
        <v>227</v>
      </c>
      <c r="G18" s="240" t="s">
        <v>193</v>
      </c>
      <c r="H18" s="247">
        <v>0.46200000000000002</v>
      </c>
      <c r="I18" s="247"/>
      <c r="J18" s="247">
        <v>6612</v>
      </c>
      <c r="K18" s="247"/>
      <c r="L18" s="247"/>
      <c r="M18" s="247"/>
      <c r="N18" s="247">
        <v>49</v>
      </c>
      <c r="O18" s="247">
        <v>25.1</v>
      </c>
      <c r="P18" s="247">
        <v>37.6</v>
      </c>
      <c r="Q18" s="247"/>
      <c r="R18" s="247"/>
      <c r="S18" s="247">
        <v>209.67400000000001</v>
      </c>
      <c r="T18" s="247"/>
      <c r="U18" s="220">
        <v>6933.8360000000011</v>
      </c>
    </row>
    <row r="19" spans="1:21" x14ac:dyDescent="0.3">
      <c r="A19" s="238" t="s">
        <v>204</v>
      </c>
      <c r="B19" s="238" t="s">
        <v>223</v>
      </c>
      <c r="C19" s="238" t="s">
        <v>224</v>
      </c>
      <c r="D19" s="239">
        <v>25.074999999999999</v>
      </c>
      <c r="G19" s="240" t="s">
        <v>192</v>
      </c>
      <c r="H19" s="247">
        <v>365914.05699999997</v>
      </c>
      <c r="I19" s="247">
        <v>178327.976</v>
      </c>
      <c r="J19" s="247">
        <v>280488.81599999999</v>
      </c>
      <c r="K19" s="247">
        <v>270919.09899999999</v>
      </c>
      <c r="L19" s="247">
        <v>344878.59899999999</v>
      </c>
      <c r="M19" s="247">
        <v>165727.70000000001</v>
      </c>
      <c r="N19" s="247">
        <v>380455</v>
      </c>
      <c r="O19" s="247">
        <v>399948.74699999997</v>
      </c>
      <c r="P19" s="247">
        <v>351820.82400000002</v>
      </c>
      <c r="Q19" s="247">
        <v>1785.26</v>
      </c>
      <c r="R19" s="247">
        <v>1016.3</v>
      </c>
      <c r="S19" s="247">
        <v>26.882000000000001</v>
      </c>
      <c r="T19" s="247">
        <v>1.0900000000000001</v>
      </c>
      <c r="U19" s="220">
        <v>2741310.3499999996</v>
      </c>
    </row>
    <row r="20" spans="1:21" x14ac:dyDescent="0.3">
      <c r="A20" s="238" t="s">
        <v>204</v>
      </c>
      <c r="B20" s="238" t="s">
        <v>235</v>
      </c>
      <c r="C20" s="238" t="s">
        <v>236</v>
      </c>
      <c r="D20" s="239">
        <v>51.835999999999999</v>
      </c>
      <c r="G20" s="240" t="s">
        <v>227</v>
      </c>
      <c r="H20" s="247">
        <v>47241.335999999996</v>
      </c>
      <c r="I20" s="247">
        <v>21.520999999999997</v>
      </c>
      <c r="J20" s="247">
        <v>45406.305</v>
      </c>
      <c r="K20" s="247">
        <v>91014.550999999992</v>
      </c>
      <c r="L20" s="247">
        <v>69019.558999999994</v>
      </c>
      <c r="M20" s="247">
        <v>99177.12</v>
      </c>
      <c r="N20" s="247">
        <v>139834.742</v>
      </c>
      <c r="O20" s="247">
        <v>118095.913</v>
      </c>
      <c r="P20" s="247">
        <v>122384.54000000001</v>
      </c>
      <c r="Q20" s="247">
        <v>88.22</v>
      </c>
      <c r="R20" s="247">
        <v>0.64800000000000002</v>
      </c>
      <c r="S20" s="247"/>
      <c r="T20" s="247">
        <v>0.01</v>
      </c>
      <c r="U20" s="220">
        <v>732284.46500000008</v>
      </c>
    </row>
    <row r="21" spans="1:21" x14ac:dyDescent="0.3">
      <c r="A21" s="238" t="s">
        <v>204</v>
      </c>
      <c r="B21" s="238" t="s">
        <v>228</v>
      </c>
      <c r="C21" s="238" t="s">
        <v>229</v>
      </c>
      <c r="D21" s="239">
        <v>6000</v>
      </c>
      <c r="G21" s="240" t="s">
        <v>219</v>
      </c>
      <c r="H21" s="247"/>
      <c r="I21" s="247">
        <v>20000</v>
      </c>
      <c r="J21" s="247">
        <v>50</v>
      </c>
      <c r="K21" s="247">
        <v>22682.11</v>
      </c>
      <c r="L21" s="247">
        <v>80.185000000000002</v>
      </c>
      <c r="M21" s="247">
        <v>16140.18</v>
      </c>
      <c r="N21" s="247">
        <v>16599</v>
      </c>
      <c r="O21" s="247">
        <v>16550.099999999999</v>
      </c>
      <c r="P21" s="247">
        <v>19853.5</v>
      </c>
      <c r="Q21" s="247">
        <v>1506.6</v>
      </c>
      <c r="R21" s="247">
        <v>11255</v>
      </c>
      <c r="S21" s="247"/>
      <c r="T21" s="247"/>
      <c r="U21" s="220">
        <v>124716.67500000002</v>
      </c>
    </row>
    <row r="22" spans="1:21" x14ac:dyDescent="0.3">
      <c r="A22" s="238" t="s">
        <v>204</v>
      </c>
      <c r="B22" s="238" t="s">
        <v>225</v>
      </c>
      <c r="C22" s="238" t="s">
        <v>226</v>
      </c>
      <c r="D22" s="239">
        <v>47241.328999999998</v>
      </c>
      <c r="E22" s="220" t="s">
        <v>227</v>
      </c>
      <c r="G22" s="240" t="s">
        <v>88</v>
      </c>
      <c r="H22" s="247">
        <v>413155.85499999998</v>
      </c>
      <c r="I22" s="247">
        <v>198349.497</v>
      </c>
      <c r="J22" s="247">
        <v>332557.12099999998</v>
      </c>
      <c r="K22" s="247">
        <v>384615.75999999995</v>
      </c>
      <c r="L22" s="247">
        <v>413978.34299999999</v>
      </c>
      <c r="M22" s="247">
        <v>286545</v>
      </c>
      <c r="N22" s="247">
        <v>542187.74199999997</v>
      </c>
      <c r="O22" s="247">
        <v>637389.86</v>
      </c>
      <c r="P22" s="247">
        <v>587052.10400000005</v>
      </c>
      <c r="Q22" s="247">
        <v>60180.1</v>
      </c>
      <c r="R22" s="247">
        <v>180453.30399999997</v>
      </c>
      <c r="S22" s="247">
        <v>292394.55599999998</v>
      </c>
      <c r="T22" s="247">
        <v>177777.2</v>
      </c>
      <c r="U22" s="220">
        <v>4506636.4419999998</v>
      </c>
    </row>
    <row r="23" spans="1:21" x14ac:dyDescent="0.3">
      <c r="A23" s="238" t="s">
        <v>204</v>
      </c>
      <c r="B23" s="238" t="s">
        <v>230</v>
      </c>
      <c r="C23" s="238" t="s">
        <v>231</v>
      </c>
      <c r="D23" s="239">
        <v>365914.05699999997</v>
      </c>
      <c r="E23" s="246" t="s">
        <v>192</v>
      </c>
    </row>
    <row r="24" spans="1:21" x14ac:dyDescent="0.3">
      <c r="A24" s="248" t="s">
        <v>204</v>
      </c>
      <c r="B24" s="248"/>
      <c r="C24" s="248" t="s">
        <v>162</v>
      </c>
      <c r="D24" s="249">
        <v>419256.85499999998</v>
      </c>
      <c r="G24" s="240" t="s">
        <v>353</v>
      </c>
      <c r="H24" s="250">
        <f>H17*0.46+H18*0.48+H19*0.15+H20*0.37+H21*0.16</f>
        <v>72366.624629999991</v>
      </c>
      <c r="I24" s="250">
        <f>I17*0.46+I18*0.48+I19*0.15+I20*0.37+I21*0.16</f>
        <v>29957.159169999995</v>
      </c>
      <c r="J24" s="250">
        <f t="shared" ref="J24:T24" si="0">J17*0.46+J18*0.48+J19*0.15+J20*0.37+J21*0.16</f>
        <v>62055.415249999998</v>
      </c>
      <c r="K24" s="250">
        <f t="shared" si="0"/>
        <v>77942.386320000005</v>
      </c>
      <c r="L24" s="250">
        <f t="shared" si="0"/>
        <v>77281.856279999993</v>
      </c>
      <c r="M24" s="250">
        <f t="shared" si="0"/>
        <v>66667.118199999997</v>
      </c>
      <c r="N24" s="250">
        <f t="shared" si="0"/>
        <v>113901.46453999999</v>
      </c>
      <c r="O24" s="250">
        <f t="shared" si="0"/>
        <v>153622.06385999999</v>
      </c>
      <c r="P24" s="250">
        <f t="shared" si="0"/>
        <v>144009.60580000002</v>
      </c>
      <c r="Q24" s="250">
        <f t="shared" si="0"/>
        <v>26669.495600000002</v>
      </c>
      <c r="R24" s="250">
        <f t="shared" si="0"/>
        <v>79316.908520000012</v>
      </c>
      <c r="S24" s="250">
        <f t="shared" si="0"/>
        <v>134497.35582</v>
      </c>
      <c r="T24" s="250">
        <f t="shared" si="0"/>
        <v>81777.173200000005</v>
      </c>
    </row>
    <row r="25" spans="1:21" x14ac:dyDescent="0.3">
      <c r="A25" s="238" t="s">
        <v>207</v>
      </c>
      <c r="B25" s="238" t="s">
        <v>217</v>
      </c>
      <c r="C25" s="238" t="s">
        <v>218</v>
      </c>
      <c r="D25" s="239">
        <v>20000</v>
      </c>
      <c r="E25" s="246" t="s">
        <v>219</v>
      </c>
      <c r="H25" s="220">
        <f t="shared" ref="H25:S25" si="1">H24/H22</f>
        <v>0.17515575237339912</v>
      </c>
      <c r="I25" s="220">
        <f t="shared" si="1"/>
        <v>0.1510321912739713</v>
      </c>
      <c r="J25" s="220">
        <f t="shared" si="1"/>
        <v>0.18660077121006829</v>
      </c>
      <c r="K25" s="220">
        <f t="shared" si="1"/>
        <v>0.20265000664559354</v>
      </c>
      <c r="L25" s="220">
        <f t="shared" si="1"/>
        <v>0.1866809160111064</v>
      </c>
      <c r="M25" s="220">
        <f t="shared" si="1"/>
        <v>0.23265845922978937</v>
      </c>
      <c r="N25" s="220">
        <f t="shared" si="1"/>
        <v>0.21007753535674731</v>
      </c>
      <c r="O25" s="220">
        <f t="shared" si="1"/>
        <v>0.24101742669706103</v>
      </c>
      <c r="P25" s="220">
        <f t="shared" si="1"/>
        <v>0.24530975158552537</v>
      </c>
      <c r="Q25" s="220">
        <f t="shared" si="1"/>
        <v>0.44316137061919142</v>
      </c>
      <c r="R25" s="220">
        <f t="shared" si="1"/>
        <v>0.43954256731148589</v>
      </c>
      <c r="S25" s="220">
        <f t="shared" si="1"/>
        <v>0.45998584125485564</v>
      </c>
      <c r="T25" s="220">
        <f>T24/T22</f>
        <v>0.45999809424380628</v>
      </c>
    </row>
    <row r="26" spans="1:21" x14ac:dyDescent="0.3">
      <c r="A26" s="238" t="s">
        <v>207</v>
      </c>
      <c r="B26" s="238" t="s">
        <v>225</v>
      </c>
      <c r="C26" s="238" t="s">
        <v>239</v>
      </c>
      <c r="D26" s="239">
        <v>21.492999999999999</v>
      </c>
      <c r="E26" s="220" t="s">
        <v>227</v>
      </c>
    </row>
    <row r="27" spans="1:21" x14ac:dyDescent="0.3">
      <c r="A27" s="238" t="s">
        <v>207</v>
      </c>
      <c r="B27" s="238" t="s">
        <v>223</v>
      </c>
      <c r="C27" s="238" t="s">
        <v>224</v>
      </c>
      <c r="D27" s="239">
        <v>15.75</v>
      </c>
    </row>
    <row r="28" spans="1:21" x14ac:dyDescent="0.3">
      <c r="A28" s="238" t="s">
        <v>207</v>
      </c>
      <c r="B28" s="238" t="s">
        <v>242</v>
      </c>
      <c r="C28" s="238" t="s">
        <v>243</v>
      </c>
      <c r="D28" s="239">
        <v>2.8000000000000001E-2</v>
      </c>
      <c r="E28" s="220" t="s">
        <v>227</v>
      </c>
    </row>
    <row r="29" spans="1:21" x14ac:dyDescent="0.3">
      <c r="A29" s="238" t="s">
        <v>207</v>
      </c>
      <c r="B29" s="238" t="s">
        <v>228</v>
      </c>
      <c r="C29" s="238" t="s">
        <v>229</v>
      </c>
      <c r="D29" s="239">
        <v>6228</v>
      </c>
    </row>
    <row r="30" spans="1:21" x14ac:dyDescent="0.3">
      <c r="A30" s="238" t="s">
        <v>207</v>
      </c>
      <c r="B30" s="238" t="s">
        <v>230</v>
      </c>
      <c r="C30" s="238" t="s">
        <v>231</v>
      </c>
      <c r="D30" s="239">
        <v>178327.976</v>
      </c>
      <c r="E30" s="246" t="s">
        <v>192</v>
      </c>
    </row>
    <row r="31" spans="1:21" x14ac:dyDescent="0.3">
      <c r="A31" s="248" t="s">
        <v>207</v>
      </c>
      <c r="B31" s="248"/>
      <c r="C31" s="248" t="s">
        <v>162</v>
      </c>
      <c r="D31" s="249">
        <v>204593.247</v>
      </c>
    </row>
    <row r="32" spans="1:21" x14ac:dyDescent="0.3">
      <c r="A32" s="238" t="s">
        <v>208</v>
      </c>
      <c r="B32" s="238" t="s">
        <v>217</v>
      </c>
      <c r="C32" s="238" t="s">
        <v>218</v>
      </c>
      <c r="D32" s="239">
        <v>50</v>
      </c>
      <c r="E32" s="246" t="s">
        <v>219</v>
      </c>
    </row>
    <row r="33" spans="1:5" x14ac:dyDescent="0.3">
      <c r="A33" s="238" t="s">
        <v>208</v>
      </c>
      <c r="B33" s="238" t="s">
        <v>251</v>
      </c>
      <c r="C33" s="238" t="s">
        <v>252</v>
      </c>
      <c r="D33" s="239">
        <v>6612</v>
      </c>
      <c r="E33" s="246" t="s">
        <v>193</v>
      </c>
    </row>
    <row r="34" spans="1:5" x14ac:dyDescent="0.3">
      <c r="A34" s="238" t="s">
        <v>208</v>
      </c>
      <c r="B34" s="238" t="s">
        <v>233</v>
      </c>
      <c r="C34" s="238" t="s">
        <v>234</v>
      </c>
      <c r="D34" s="239">
        <v>20085.629000000001</v>
      </c>
    </row>
    <row r="35" spans="1:5" x14ac:dyDescent="0.3">
      <c r="A35" s="238" t="s">
        <v>208</v>
      </c>
      <c r="B35" s="238" t="s">
        <v>242</v>
      </c>
      <c r="C35" s="238" t="s">
        <v>243</v>
      </c>
      <c r="D35" s="239">
        <v>5</v>
      </c>
      <c r="E35" s="220" t="s">
        <v>227</v>
      </c>
    </row>
    <row r="36" spans="1:5" x14ac:dyDescent="0.3">
      <c r="A36" s="238" t="s">
        <v>208</v>
      </c>
      <c r="B36" s="238" t="s">
        <v>240</v>
      </c>
      <c r="C36" s="238" t="s">
        <v>241</v>
      </c>
      <c r="D36" s="239">
        <v>45401.3</v>
      </c>
      <c r="E36" s="246" t="s">
        <v>227</v>
      </c>
    </row>
    <row r="37" spans="1:5" x14ac:dyDescent="0.3">
      <c r="A37" s="238" t="s">
        <v>208</v>
      </c>
      <c r="B37" s="238" t="s">
        <v>225</v>
      </c>
      <c r="C37" s="238" t="s">
        <v>226</v>
      </c>
      <c r="D37" s="239">
        <v>5.0000000000000001E-3</v>
      </c>
      <c r="E37" s="220" t="s">
        <v>227</v>
      </c>
    </row>
    <row r="38" spans="1:5" x14ac:dyDescent="0.3">
      <c r="A38" s="238" t="s">
        <v>208</v>
      </c>
      <c r="B38" s="238" t="s">
        <v>230</v>
      </c>
      <c r="C38" s="238" t="s">
        <v>231</v>
      </c>
      <c r="D38" s="239">
        <v>280488.81599999999</v>
      </c>
      <c r="E38" s="246" t="s">
        <v>192</v>
      </c>
    </row>
    <row r="39" spans="1:5" x14ac:dyDescent="0.3">
      <c r="A39" s="248" t="s">
        <v>208</v>
      </c>
      <c r="B39" s="248"/>
      <c r="C39" s="248" t="s">
        <v>162</v>
      </c>
      <c r="D39" s="249">
        <v>352642.75</v>
      </c>
    </row>
    <row r="40" spans="1:5" x14ac:dyDescent="0.3">
      <c r="A40" s="238" t="s">
        <v>209</v>
      </c>
      <c r="B40" s="238" t="s">
        <v>217</v>
      </c>
      <c r="C40" s="238" t="s">
        <v>218</v>
      </c>
      <c r="D40" s="239">
        <v>22682.11</v>
      </c>
      <c r="E40" s="246" t="s">
        <v>219</v>
      </c>
    </row>
    <row r="41" spans="1:5" x14ac:dyDescent="0.3">
      <c r="A41" s="238" t="s">
        <v>209</v>
      </c>
      <c r="B41" s="238" t="s">
        <v>225</v>
      </c>
      <c r="C41" s="238" t="s">
        <v>239</v>
      </c>
      <c r="D41" s="239">
        <v>3015.2069999999999</v>
      </c>
      <c r="E41" s="220" t="s">
        <v>227</v>
      </c>
    </row>
    <row r="42" spans="1:5" x14ac:dyDescent="0.3">
      <c r="A42" s="238" t="s">
        <v>209</v>
      </c>
      <c r="B42" s="238" t="s">
        <v>242</v>
      </c>
      <c r="C42" s="238" t="s">
        <v>243</v>
      </c>
      <c r="D42" s="239">
        <v>5.15</v>
      </c>
      <c r="E42" s="220" t="s">
        <v>227</v>
      </c>
    </row>
    <row r="43" spans="1:5" x14ac:dyDescent="0.3">
      <c r="A43" s="238" t="s">
        <v>209</v>
      </c>
      <c r="B43" s="238" t="s">
        <v>240</v>
      </c>
      <c r="C43" s="238" t="s">
        <v>241</v>
      </c>
      <c r="D43" s="239">
        <v>6.2640000000000002</v>
      </c>
      <c r="E43" s="246" t="s">
        <v>227</v>
      </c>
    </row>
    <row r="44" spans="1:5" x14ac:dyDescent="0.3">
      <c r="A44" s="238" t="s">
        <v>209</v>
      </c>
      <c r="B44" s="238" t="s">
        <v>228</v>
      </c>
      <c r="C44" s="238" t="s">
        <v>229</v>
      </c>
      <c r="D44" s="239">
        <v>7700</v>
      </c>
    </row>
    <row r="45" spans="1:5" x14ac:dyDescent="0.3">
      <c r="A45" s="238" t="s">
        <v>209</v>
      </c>
      <c r="B45" s="238" t="s">
        <v>235</v>
      </c>
      <c r="C45" s="238" t="s">
        <v>236</v>
      </c>
      <c r="D45" s="239">
        <v>221.797</v>
      </c>
    </row>
    <row r="46" spans="1:5" x14ac:dyDescent="0.3">
      <c r="A46" s="238" t="s">
        <v>209</v>
      </c>
      <c r="B46" s="238" t="s">
        <v>225</v>
      </c>
      <c r="C46" s="238" t="s">
        <v>226</v>
      </c>
      <c r="D46" s="239">
        <v>87987.93</v>
      </c>
      <c r="E46" s="220" t="s">
        <v>227</v>
      </c>
    </row>
    <row r="47" spans="1:5" x14ac:dyDescent="0.3">
      <c r="A47" s="238" t="s">
        <v>209</v>
      </c>
      <c r="B47" s="238" t="s">
        <v>230</v>
      </c>
      <c r="C47" s="238" t="s">
        <v>231</v>
      </c>
      <c r="D47" s="239">
        <v>270919.09899999999</v>
      </c>
      <c r="E47" s="246" t="s">
        <v>192</v>
      </c>
    </row>
    <row r="48" spans="1:5" x14ac:dyDescent="0.3">
      <c r="A48" s="248" t="s">
        <v>209</v>
      </c>
      <c r="B48" s="248"/>
      <c r="C48" s="248" t="s">
        <v>162</v>
      </c>
      <c r="D48" s="249">
        <v>392537.55699999997</v>
      </c>
    </row>
    <row r="49" spans="1:5" x14ac:dyDescent="0.3">
      <c r="A49" s="238" t="s">
        <v>210</v>
      </c>
      <c r="B49" s="238" t="s">
        <v>217</v>
      </c>
      <c r="C49" s="238" t="s">
        <v>218</v>
      </c>
      <c r="D49" s="239">
        <v>80.185000000000002</v>
      </c>
      <c r="E49" s="246" t="s">
        <v>219</v>
      </c>
    </row>
    <row r="50" spans="1:5" x14ac:dyDescent="0.3">
      <c r="A50" s="238" t="s">
        <v>210</v>
      </c>
      <c r="B50" s="238" t="s">
        <v>233</v>
      </c>
      <c r="C50" s="238" t="s">
        <v>234</v>
      </c>
      <c r="D50" s="239">
        <v>30.210999999999999</v>
      </c>
    </row>
    <row r="51" spans="1:5" x14ac:dyDescent="0.3">
      <c r="A51" s="238" t="s">
        <v>210</v>
      </c>
      <c r="B51" s="238" t="s">
        <v>225</v>
      </c>
      <c r="C51" s="238" t="s">
        <v>239</v>
      </c>
      <c r="D51" s="239">
        <v>485.05900000000003</v>
      </c>
      <c r="E51" s="220" t="s">
        <v>227</v>
      </c>
    </row>
    <row r="52" spans="1:5" x14ac:dyDescent="0.3">
      <c r="A52" s="238" t="s">
        <v>210</v>
      </c>
      <c r="B52" s="238" t="s">
        <v>228</v>
      </c>
      <c r="C52" s="238" t="s">
        <v>229</v>
      </c>
      <c r="D52" s="239">
        <v>0.21</v>
      </c>
    </row>
    <row r="53" spans="1:5" x14ac:dyDescent="0.3">
      <c r="A53" s="238" t="s">
        <v>210</v>
      </c>
      <c r="B53" s="238" t="s">
        <v>235</v>
      </c>
      <c r="C53" s="238" t="s">
        <v>236</v>
      </c>
      <c r="D53" s="239">
        <v>7401.4340000000002</v>
      </c>
    </row>
    <row r="54" spans="1:5" x14ac:dyDescent="0.3">
      <c r="A54" s="238" t="s">
        <v>210</v>
      </c>
      <c r="B54" s="238" t="s">
        <v>225</v>
      </c>
      <c r="C54" s="238" t="s">
        <v>226</v>
      </c>
      <c r="D54" s="239">
        <v>68534.5</v>
      </c>
      <c r="E54" s="220" t="s">
        <v>227</v>
      </c>
    </row>
    <row r="55" spans="1:5" x14ac:dyDescent="0.3">
      <c r="A55" s="238" t="s">
        <v>210</v>
      </c>
      <c r="B55" s="238" t="s">
        <v>230</v>
      </c>
      <c r="C55" s="238" t="s">
        <v>231</v>
      </c>
      <c r="D55" s="239">
        <v>344878.59899999999</v>
      </c>
      <c r="E55" s="246" t="s">
        <v>192</v>
      </c>
    </row>
    <row r="56" spans="1:5" x14ac:dyDescent="0.3">
      <c r="A56" s="248" t="s">
        <v>210</v>
      </c>
      <c r="B56" s="248"/>
      <c r="C56" s="248" t="s">
        <v>162</v>
      </c>
      <c r="D56" s="249">
        <v>421410.19799999997</v>
      </c>
    </row>
    <row r="57" spans="1:5" x14ac:dyDescent="0.3">
      <c r="A57" s="238" t="s">
        <v>211</v>
      </c>
      <c r="B57" s="238" t="s">
        <v>246</v>
      </c>
      <c r="C57" s="238" t="s">
        <v>247</v>
      </c>
      <c r="D57" s="239">
        <v>5500</v>
      </c>
      <c r="E57" s="246" t="s">
        <v>169</v>
      </c>
    </row>
    <row r="58" spans="1:5" x14ac:dyDescent="0.3">
      <c r="A58" s="238" t="s">
        <v>211</v>
      </c>
      <c r="B58" s="238" t="s">
        <v>217</v>
      </c>
      <c r="C58" s="238" t="s">
        <v>218</v>
      </c>
      <c r="D58" s="239">
        <v>16140.18</v>
      </c>
      <c r="E58" s="246" t="s">
        <v>219</v>
      </c>
    </row>
    <row r="59" spans="1:5" x14ac:dyDescent="0.3">
      <c r="A59" s="238" t="s">
        <v>211</v>
      </c>
      <c r="B59" s="238" t="s">
        <v>233</v>
      </c>
      <c r="C59" s="238" t="s">
        <v>234</v>
      </c>
      <c r="D59" s="239">
        <v>60.94</v>
      </c>
    </row>
    <row r="60" spans="1:5" x14ac:dyDescent="0.3">
      <c r="A60" s="238" t="s">
        <v>211</v>
      </c>
      <c r="B60" s="238" t="s">
        <v>248</v>
      </c>
      <c r="C60" s="238" t="s">
        <v>249</v>
      </c>
      <c r="D60" s="239">
        <v>86.06</v>
      </c>
    </row>
    <row r="61" spans="1:5" x14ac:dyDescent="0.3">
      <c r="A61" s="238" t="s">
        <v>211</v>
      </c>
      <c r="B61" s="238" t="s">
        <v>242</v>
      </c>
      <c r="C61" s="238" t="s">
        <v>243</v>
      </c>
      <c r="D61" s="239">
        <v>595.34</v>
      </c>
      <c r="E61" s="220" t="s">
        <v>227</v>
      </c>
    </row>
    <row r="62" spans="1:5" x14ac:dyDescent="0.3">
      <c r="A62" s="238" t="s">
        <v>211</v>
      </c>
      <c r="B62" s="238" t="s">
        <v>240</v>
      </c>
      <c r="C62" s="238" t="s">
        <v>241</v>
      </c>
      <c r="D62" s="239">
        <v>50595.78</v>
      </c>
      <c r="E62" s="246" t="s">
        <v>227</v>
      </c>
    </row>
    <row r="63" spans="1:5" x14ac:dyDescent="0.3">
      <c r="A63" s="238" t="s">
        <v>211</v>
      </c>
      <c r="B63" s="238" t="s">
        <v>225</v>
      </c>
      <c r="C63" s="238" t="s">
        <v>226</v>
      </c>
      <c r="D63" s="239">
        <v>47986</v>
      </c>
      <c r="E63" s="220" t="s">
        <v>227</v>
      </c>
    </row>
    <row r="64" spans="1:5" x14ac:dyDescent="0.3">
      <c r="A64" s="238" t="s">
        <v>211</v>
      </c>
      <c r="B64" s="238" t="s">
        <v>230</v>
      </c>
      <c r="C64" s="238" t="s">
        <v>231</v>
      </c>
      <c r="D64" s="239">
        <v>165727.70000000001</v>
      </c>
      <c r="E64" s="246" t="s">
        <v>192</v>
      </c>
    </row>
    <row r="65" spans="1:5" x14ac:dyDescent="0.3">
      <c r="A65" s="248" t="s">
        <v>211</v>
      </c>
      <c r="B65" s="248"/>
      <c r="C65" s="248" t="s">
        <v>162</v>
      </c>
      <c r="D65" s="249">
        <v>286692</v>
      </c>
    </row>
    <row r="66" spans="1:5" x14ac:dyDescent="0.3">
      <c r="A66" s="238" t="s">
        <v>212</v>
      </c>
      <c r="B66" s="238" t="s">
        <v>246</v>
      </c>
      <c r="C66" s="238" t="s">
        <v>247</v>
      </c>
      <c r="D66" s="239">
        <v>5250</v>
      </c>
      <c r="E66" s="246" t="s">
        <v>169</v>
      </c>
    </row>
    <row r="67" spans="1:5" x14ac:dyDescent="0.3">
      <c r="A67" s="238" t="s">
        <v>212</v>
      </c>
      <c r="B67" s="238" t="s">
        <v>217</v>
      </c>
      <c r="C67" s="238" t="s">
        <v>218</v>
      </c>
      <c r="D67" s="239">
        <v>16599</v>
      </c>
      <c r="E67" s="246" t="s">
        <v>219</v>
      </c>
    </row>
    <row r="68" spans="1:5" x14ac:dyDescent="0.3">
      <c r="A68" s="238" t="s">
        <v>212</v>
      </c>
      <c r="B68" s="238" t="s">
        <v>251</v>
      </c>
      <c r="C68" s="238" t="s">
        <v>252</v>
      </c>
      <c r="D68" s="239">
        <v>49</v>
      </c>
      <c r="E68" s="246" t="s">
        <v>193</v>
      </c>
    </row>
    <row r="69" spans="1:5" x14ac:dyDescent="0.3">
      <c r="A69" s="238" t="s">
        <v>212</v>
      </c>
      <c r="B69" s="238" t="s">
        <v>233</v>
      </c>
      <c r="C69" s="238" t="s">
        <v>234</v>
      </c>
      <c r="D69" s="239">
        <v>100</v>
      </c>
    </row>
    <row r="70" spans="1:5" x14ac:dyDescent="0.3">
      <c r="A70" s="238" t="s">
        <v>212</v>
      </c>
      <c r="B70" s="238" t="s">
        <v>225</v>
      </c>
      <c r="C70" s="238" t="s">
        <v>239</v>
      </c>
      <c r="D70" s="239">
        <v>17</v>
      </c>
      <c r="E70" s="220" t="s">
        <v>227</v>
      </c>
    </row>
    <row r="71" spans="1:5" x14ac:dyDescent="0.3">
      <c r="A71" s="238" t="s">
        <v>212</v>
      </c>
      <c r="B71" s="238" t="s">
        <v>242</v>
      </c>
      <c r="C71" s="238" t="s">
        <v>243</v>
      </c>
      <c r="D71" s="239">
        <v>1520.742</v>
      </c>
      <c r="E71" s="220" t="s">
        <v>227</v>
      </c>
    </row>
    <row r="72" spans="1:5" x14ac:dyDescent="0.3">
      <c r="A72" s="238" t="s">
        <v>212</v>
      </c>
      <c r="B72" s="238" t="s">
        <v>240</v>
      </c>
      <c r="C72" s="238" t="s">
        <v>241</v>
      </c>
      <c r="D72" s="239">
        <v>22452</v>
      </c>
      <c r="E72" s="246" t="s">
        <v>227</v>
      </c>
    </row>
    <row r="73" spans="1:5" x14ac:dyDescent="0.3">
      <c r="A73" s="238" t="s">
        <v>212</v>
      </c>
      <c r="B73" s="238" t="s">
        <v>225</v>
      </c>
      <c r="C73" s="238" t="s">
        <v>226</v>
      </c>
      <c r="D73" s="239">
        <v>115845</v>
      </c>
      <c r="E73" s="220" t="s">
        <v>227</v>
      </c>
    </row>
    <row r="74" spans="1:5" x14ac:dyDescent="0.3">
      <c r="A74" s="238" t="s">
        <v>212</v>
      </c>
      <c r="B74" s="238" t="s">
        <v>235</v>
      </c>
      <c r="C74" s="238" t="s">
        <v>236</v>
      </c>
      <c r="D74" s="239">
        <v>499</v>
      </c>
    </row>
    <row r="75" spans="1:5" x14ac:dyDescent="0.3">
      <c r="A75" s="238" t="s">
        <v>212</v>
      </c>
      <c r="B75" s="238" t="s">
        <v>230</v>
      </c>
      <c r="C75" s="238" t="s">
        <v>231</v>
      </c>
      <c r="D75" s="239">
        <v>380455</v>
      </c>
      <c r="E75" s="246" t="s">
        <v>192</v>
      </c>
    </row>
    <row r="76" spans="1:5" x14ac:dyDescent="0.3">
      <c r="A76" s="248" t="s">
        <v>212</v>
      </c>
      <c r="B76" s="248"/>
      <c r="C76" s="248" t="s">
        <v>162</v>
      </c>
      <c r="D76" s="249">
        <v>542786.74199999997</v>
      </c>
    </row>
    <row r="77" spans="1:5" x14ac:dyDescent="0.3">
      <c r="A77" s="238" t="s">
        <v>175</v>
      </c>
      <c r="B77" s="238" t="s">
        <v>246</v>
      </c>
      <c r="C77" s="238" t="s">
        <v>247</v>
      </c>
      <c r="D77" s="239">
        <v>102770</v>
      </c>
      <c r="E77" s="246" t="s">
        <v>169</v>
      </c>
    </row>
    <row r="78" spans="1:5" x14ac:dyDescent="0.3">
      <c r="A78" s="238" t="s">
        <v>175</v>
      </c>
      <c r="B78" s="238" t="s">
        <v>217</v>
      </c>
      <c r="C78" s="238" t="s">
        <v>218</v>
      </c>
      <c r="D78" s="239">
        <v>16550.099999999999</v>
      </c>
      <c r="E78" s="246" t="s">
        <v>219</v>
      </c>
    </row>
    <row r="79" spans="1:5" x14ac:dyDescent="0.3">
      <c r="A79" s="238" t="s">
        <v>175</v>
      </c>
      <c r="B79" s="238" t="s">
        <v>251</v>
      </c>
      <c r="C79" s="238" t="s">
        <v>252</v>
      </c>
      <c r="D79" s="239">
        <v>25.1</v>
      </c>
      <c r="E79" s="246" t="s">
        <v>193</v>
      </c>
    </row>
    <row r="80" spans="1:5" x14ac:dyDescent="0.3">
      <c r="A80" s="238" t="s">
        <v>175</v>
      </c>
      <c r="B80" s="238" t="s">
        <v>233</v>
      </c>
      <c r="C80" s="238" t="s">
        <v>234</v>
      </c>
      <c r="D80" s="239">
        <v>407.20600000000002</v>
      </c>
    </row>
    <row r="81" spans="1:5" x14ac:dyDescent="0.3">
      <c r="A81" s="238" t="s">
        <v>175</v>
      </c>
      <c r="B81" s="238" t="s">
        <v>254</v>
      </c>
      <c r="C81" s="238" t="s">
        <v>255</v>
      </c>
      <c r="D81" s="239">
        <v>20</v>
      </c>
    </row>
    <row r="82" spans="1:5" x14ac:dyDescent="0.3">
      <c r="A82" s="238" t="s">
        <v>175</v>
      </c>
      <c r="B82" s="238" t="s">
        <v>240</v>
      </c>
      <c r="C82" s="238" t="s">
        <v>241</v>
      </c>
      <c r="D82" s="239">
        <v>21111.5</v>
      </c>
      <c r="E82" s="246" t="s">
        <v>227</v>
      </c>
    </row>
    <row r="83" spans="1:5" x14ac:dyDescent="0.3">
      <c r="A83" s="238" t="s">
        <v>175</v>
      </c>
      <c r="B83" s="238" t="s">
        <v>228</v>
      </c>
      <c r="C83" s="238" t="s">
        <v>229</v>
      </c>
      <c r="D83" s="239">
        <v>117.373</v>
      </c>
    </row>
    <row r="84" spans="1:5" x14ac:dyDescent="0.3">
      <c r="A84" s="238" t="s">
        <v>175</v>
      </c>
      <c r="B84" s="238" t="s">
        <v>235</v>
      </c>
      <c r="C84" s="238" t="s">
        <v>236</v>
      </c>
      <c r="D84" s="239">
        <v>2001</v>
      </c>
    </row>
    <row r="85" spans="1:5" x14ac:dyDescent="0.3">
      <c r="A85" s="238" t="s">
        <v>175</v>
      </c>
      <c r="B85" s="238" t="s">
        <v>225</v>
      </c>
      <c r="C85" s="238" t="s">
        <v>226</v>
      </c>
      <c r="D85" s="239">
        <v>96984.413</v>
      </c>
      <c r="E85" s="220" t="s">
        <v>227</v>
      </c>
    </row>
    <row r="86" spans="1:5" x14ac:dyDescent="0.3">
      <c r="A86" s="238" t="s">
        <v>175</v>
      </c>
      <c r="B86" s="238" t="s">
        <v>230</v>
      </c>
      <c r="C86" s="238" t="s">
        <v>318</v>
      </c>
      <c r="D86" s="239">
        <v>379632</v>
      </c>
      <c r="E86" s="246" t="s">
        <v>192</v>
      </c>
    </row>
    <row r="87" spans="1:5" x14ac:dyDescent="0.3">
      <c r="A87" s="238" t="s">
        <v>175</v>
      </c>
      <c r="B87" s="238" t="s">
        <v>230</v>
      </c>
      <c r="C87" s="238" t="s">
        <v>231</v>
      </c>
      <c r="D87" s="239">
        <v>9107.4699999999993</v>
      </c>
      <c r="E87" s="246" t="s">
        <v>192</v>
      </c>
    </row>
    <row r="88" spans="1:5" x14ac:dyDescent="0.3">
      <c r="A88" s="238" t="s">
        <v>175</v>
      </c>
      <c r="B88" s="238" t="s">
        <v>230</v>
      </c>
      <c r="C88" s="238" t="s">
        <v>347</v>
      </c>
      <c r="D88" s="239">
        <v>7923.6959999999999</v>
      </c>
      <c r="E88" s="246" t="s">
        <v>192</v>
      </c>
    </row>
    <row r="89" spans="1:5" x14ac:dyDescent="0.3">
      <c r="A89" s="238" t="s">
        <v>175</v>
      </c>
      <c r="B89" s="238" t="s">
        <v>230</v>
      </c>
      <c r="C89" s="238" t="s">
        <v>346</v>
      </c>
      <c r="D89" s="239">
        <v>2235.3510000000001</v>
      </c>
      <c r="E89" s="246" t="s">
        <v>192</v>
      </c>
    </row>
    <row r="90" spans="1:5" x14ac:dyDescent="0.3">
      <c r="A90" s="238" t="s">
        <v>175</v>
      </c>
      <c r="B90" s="238" t="s">
        <v>230</v>
      </c>
      <c r="C90" s="238" t="s">
        <v>345</v>
      </c>
      <c r="D90" s="239">
        <v>1050.23</v>
      </c>
      <c r="E90" s="246" t="s">
        <v>192</v>
      </c>
    </row>
    <row r="91" spans="1:5" x14ac:dyDescent="0.3">
      <c r="A91" s="248" t="s">
        <v>175</v>
      </c>
      <c r="B91" s="248"/>
      <c r="C91" s="248" t="s">
        <v>162</v>
      </c>
      <c r="D91" s="249">
        <v>639935.43900000001</v>
      </c>
    </row>
    <row r="92" spans="1:5" x14ac:dyDescent="0.3">
      <c r="A92" s="238" t="s">
        <v>176</v>
      </c>
      <c r="B92" s="238" t="s">
        <v>246</v>
      </c>
      <c r="C92" s="238" t="s">
        <v>247</v>
      </c>
      <c r="D92" s="239">
        <v>92955.64</v>
      </c>
      <c r="E92" s="246" t="s">
        <v>169</v>
      </c>
    </row>
    <row r="93" spans="1:5" x14ac:dyDescent="0.3">
      <c r="A93" s="238" t="s">
        <v>176</v>
      </c>
      <c r="B93" s="238" t="s">
        <v>217</v>
      </c>
      <c r="C93" s="238" t="s">
        <v>218</v>
      </c>
      <c r="D93" s="239">
        <v>19853.5</v>
      </c>
      <c r="E93" s="246" t="s">
        <v>219</v>
      </c>
    </row>
    <row r="94" spans="1:5" x14ac:dyDescent="0.3">
      <c r="A94" s="238" t="s">
        <v>176</v>
      </c>
      <c r="B94" s="238" t="s">
        <v>251</v>
      </c>
      <c r="C94" s="238" t="s">
        <v>252</v>
      </c>
      <c r="D94" s="239">
        <v>37.6</v>
      </c>
      <c r="E94" s="246" t="s">
        <v>193</v>
      </c>
    </row>
    <row r="95" spans="1:5" x14ac:dyDescent="0.3">
      <c r="A95" s="238" t="s">
        <v>176</v>
      </c>
      <c r="B95" s="238" t="s">
        <v>233</v>
      </c>
      <c r="C95" s="238" t="s">
        <v>234</v>
      </c>
      <c r="D95" s="239">
        <v>2722.88</v>
      </c>
    </row>
    <row r="96" spans="1:5" x14ac:dyDescent="0.3">
      <c r="A96" s="238" t="s">
        <v>176</v>
      </c>
      <c r="B96" s="238" t="s">
        <v>225</v>
      </c>
      <c r="C96" s="238" t="s">
        <v>239</v>
      </c>
      <c r="D96" s="239">
        <v>421</v>
      </c>
      <c r="E96" s="220" t="s">
        <v>227</v>
      </c>
    </row>
    <row r="97" spans="1:5" x14ac:dyDescent="0.3">
      <c r="A97" s="238" t="s">
        <v>176</v>
      </c>
      <c r="B97" s="238" t="s">
        <v>242</v>
      </c>
      <c r="C97" s="238" t="s">
        <v>243</v>
      </c>
      <c r="D97" s="239">
        <v>250</v>
      </c>
      <c r="E97" s="220" t="s">
        <v>227</v>
      </c>
    </row>
    <row r="98" spans="1:5" x14ac:dyDescent="0.3">
      <c r="A98" s="238" t="s">
        <v>176</v>
      </c>
      <c r="B98" s="238" t="s">
        <v>240</v>
      </c>
      <c r="C98" s="238" t="s">
        <v>241</v>
      </c>
      <c r="D98" s="239">
        <v>10213.540000000001</v>
      </c>
      <c r="E98" s="246" t="s">
        <v>227</v>
      </c>
    </row>
    <row r="99" spans="1:5" x14ac:dyDescent="0.3">
      <c r="A99" s="238" t="s">
        <v>176</v>
      </c>
      <c r="B99" s="238" t="s">
        <v>225</v>
      </c>
      <c r="C99" s="238" t="s">
        <v>226</v>
      </c>
      <c r="D99" s="239">
        <v>111500</v>
      </c>
      <c r="E99" s="220" t="s">
        <v>227</v>
      </c>
    </row>
    <row r="100" spans="1:5" x14ac:dyDescent="0.3">
      <c r="A100" s="238" t="s">
        <v>176</v>
      </c>
      <c r="B100" s="238" t="s">
        <v>235</v>
      </c>
      <c r="C100" s="238" t="s">
        <v>236</v>
      </c>
      <c r="D100" s="239">
        <v>12021.7</v>
      </c>
    </row>
    <row r="101" spans="1:5" x14ac:dyDescent="0.3">
      <c r="A101" s="238" t="s">
        <v>176</v>
      </c>
      <c r="B101" s="238" t="s">
        <v>230</v>
      </c>
      <c r="C101" s="238" t="s">
        <v>231</v>
      </c>
      <c r="D101" s="239">
        <v>351820.82400000002</v>
      </c>
      <c r="E101" s="246" t="s">
        <v>192</v>
      </c>
    </row>
    <row r="102" spans="1:5" x14ac:dyDescent="0.3">
      <c r="A102" s="248" t="s">
        <v>176</v>
      </c>
      <c r="B102" s="248"/>
      <c r="C102" s="248" t="s">
        <v>162</v>
      </c>
      <c r="D102" s="249">
        <v>601796.68400000001</v>
      </c>
    </row>
    <row r="103" spans="1:5" x14ac:dyDescent="0.3">
      <c r="A103" s="238" t="s">
        <v>177</v>
      </c>
      <c r="B103" s="238" t="s">
        <v>246</v>
      </c>
      <c r="C103" s="238" t="s">
        <v>247</v>
      </c>
      <c r="D103" s="239">
        <v>56800.02</v>
      </c>
      <c r="E103" s="246" t="s">
        <v>169</v>
      </c>
    </row>
    <row r="104" spans="1:5" x14ac:dyDescent="0.3">
      <c r="A104" s="238" t="s">
        <v>177</v>
      </c>
      <c r="B104" s="238" t="s">
        <v>217</v>
      </c>
      <c r="C104" s="238" t="s">
        <v>218</v>
      </c>
      <c r="D104" s="239">
        <v>1506.6</v>
      </c>
      <c r="E104" s="246" t="s">
        <v>219</v>
      </c>
    </row>
    <row r="105" spans="1:5" x14ac:dyDescent="0.3">
      <c r="A105" s="238" t="s">
        <v>177</v>
      </c>
      <c r="B105" s="238" t="s">
        <v>248</v>
      </c>
      <c r="C105" s="238" t="s">
        <v>249</v>
      </c>
      <c r="D105" s="239">
        <v>24.3</v>
      </c>
    </row>
    <row r="106" spans="1:5" x14ac:dyDescent="0.3">
      <c r="A106" s="238" t="s">
        <v>177</v>
      </c>
      <c r="B106" s="238" t="s">
        <v>225</v>
      </c>
      <c r="C106" s="238" t="s">
        <v>239</v>
      </c>
      <c r="D106" s="239">
        <v>24.58</v>
      </c>
      <c r="E106" s="220" t="s">
        <v>227</v>
      </c>
    </row>
    <row r="107" spans="1:5" x14ac:dyDescent="0.3">
      <c r="A107" s="238" t="s">
        <v>177</v>
      </c>
      <c r="B107" s="238" t="s">
        <v>242</v>
      </c>
      <c r="C107" s="238" t="s">
        <v>243</v>
      </c>
      <c r="D107" s="239">
        <v>63.64</v>
      </c>
      <c r="E107" s="220" t="s">
        <v>227</v>
      </c>
    </row>
    <row r="108" spans="1:5" x14ac:dyDescent="0.3">
      <c r="A108" s="238" t="s">
        <v>177</v>
      </c>
      <c r="B108" s="238" t="s">
        <v>228</v>
      </c>
      <c r="C108" s="238" t="s">
        <v>229</v>
      </c>
      <c r="D108" s="239">
        <v>422.99</v>
      </c>
    </row>
    <row r="109" spans="1:5" x14ac:dyDescent="0.3">
      <c r="A109" s="238" t="s">
        <v>177</v>
      </c>
      <c r="B109" s="238" t="s">
        <v>230</v>
      </c>
      <c r="C109" s="238" t="s">
        <v>231</v>
      </c>
      <c r="D109" s="239">
        <v>1367.79</v>
      </c>
      <c r="E109" s="246" t="s">
        <v>192</v>
      </c>
    </row>
    <row r="110" spans="1:5" x14ac:dyDescent="0.3">
      <c r="A110" s="238" t="s">
        <v>177</v>
      </c>
      <c r="B110" s="238" t="s">
        <v>230</v>
      </c>
      <c r="C110" s="238" t="s">
        <v>258</v>
      </c>
      <c r="D110" s="239">
        <v>16.010000000000002</v>
      </c>
      <c r="E110" s="246" t="s">
        <v>192</v>
      </c>
    </row>
    <row r="111" spans="1:5" x14ac:dyDescent="0.3">
      <c r="A111" s="238" t="s">
        <v>177</v>
      </c>
      <c r="B111" s="238" t="s">
        <v>230</v>
      </c>
      <c r="C111" s="238" t="s">
        <v>260</v>
      </c>
      <c r="D111" s="239">
        <v>376.7</v>
      </c>
      <c r="E111" s="246" t="s">
        <v>192</v>
      </c>
    </row>
    <row r="112" spans="1:5" x14ac:dyDescent="0.3">
      <c r="A112" s="238" t="s">
        <v>177</v>
      </c>
      <c r="B112" s="238" t="s">
        <v>230</v>
      </c>
      <c r="C112" s="238" t="s">
        <v>259</v>
      </c>
      <c r="D112" s="239">
        <v>24.76</v>
      </c>
      <c r="E112" s="246" t="s">
        <v>192</v>
      </c>
    </row>
    <row r="113" spans="1:5" x14ac:dyDescent="0.3">
      <c r="A113" s="248" t="s">
        <v>177</v>
      </c>
      <c r="B113" s="248"/>
      <c r="C113" s="248" t="s">
        <v>162</v>
      </c>
      <c r="D113" s="249">
        <v>60627.39</v>
      </c>
    </row>
    <row r="114" spans="1:5" x14ac:dyDescent="0.3">
      <c r="A114" s="238" t="s">
        <v>178</v>
      </c>
      <c r="B114" s="238" t="s">
        <v>246</v>
      </c>
      <c r="C114" s="238" t="s">
        <v>247</v>
      </c>
      <c r="D114" s="239">
        <v>168181.356</v>
      </c>
      <c r="E114" s="246" t="s">
        <v>169</v>
      </c>
    </row>
    <row r="115" spans="1:5" x14ac:dyDescent="0.3">
      <c r="A115" s="238" t="s">
        <v>178</v>
      </c>
      <c r="B115" s="238" t="s">
        <v>217</v>
      </c>
      <c r="C115" s="238" t="s">
        <v>218</v>
      </c>
      <c r="D115" s="239">
        <v>11255</v>
      </c>
      <c r="E115" s="246" t="s">
        <v>219</v>
      </c>
    </row>
    <row r="116" spans="1:5" x14ac:dyDescent="0.3">
      <c r="A116" s="238" t="s">
        <v>178</v>
      </c>
      <c r="B116" s="238" t="s">
        <v>248</v>
      </c>
      <c r="C116" s="238" t="s">
        <v>249</v>
      </c>
      <c r="D116" s="239">
        <v>28.094999999999999</v>
      </c>
    </row>
    <row r="117" spans="1:5" x14ac:dyDescent="0.3">
      <c r="A117" s="238" t="s">
        <v>178</v>
      </c>
      <c r="B117" s="238" t="s">
        <v>240</v>
      </c>
      <c r="C117" s="238" t="s">
        <v>241</v>
      </c>
      <c r="D117" s="239">
        <v>0.64800000000000002</v>
      </c>
      <c r="E117" s="246" t="s">
        <v>227</v>
      </c>
    </row>
    <row r="118" spans="1:5" x14ac:dyDescent="0.3">
      <c r="A118" s="238" t="s">
        <v>178</v>
      </c>
      <c r="B118" s="238" t="s">
        <v>230</v>
      </c>
      <c r="C118" s="238" t="s">
        <v>231</v>
      </c>
      <c r="D118" s="239">
        <v>1016.3</v>
      </c>
      <c r="E118" s="246" t="s">
        <v>192</v>
      </c>
    </row>
    <row r="119" spans="1:5" x14ac:dyDescent="0.3">
      <c r="A119" s="248" t="s">
        <v>178</v>
      </c>
      <c r="B119" s="248"/>
      <c r="C119" s="248" t="s">
        <v>162</v>
      </c>
      <c r="D119" s="249">
        <v>180481.39899999998</v>
      </c>
    </row>
    <row r="120" spans="1:5" x14ac:dyDescent="0.3">
      <c r="A120" s="238" t="s">
        <v>179</v>
      </c>
      <c r="B120" s="238" t="s">
        <v>246</v>
      </c>
      <c r="C120" s="238" t="s">
        <v>247</v>
      </c>
      <c r="D120" s="239">
        <v>292158</v>
      </c>
      <c r="E120" s="246" t="s">
        <v>169</v>
      </c>
    </row>
    <row r="121" spans="1:5" x14ac:dyDescent="0.3">
      <c r="A121" s="238" t="s">
        <v>179</v>
      </c>
      <c r="B121" s="238" t="s">
        <v>251</v>
      </c>
      <c r="C121" s="238" t="s">
        <v>252</v>
      </c>
      <c r="D121" s="239">
        <v>209.67400000000001</v>
      </c>
      <c r="E121" s="246" t="s">
        <v>193</v>
      </c>
    </row>
    <row r="122" spans="1:5" x14ac:dyDescent="0.3">
      <c r="A122" s="238" t="s">
        <v>179</v>
      </c>
      <c r="B122" s="238" t="s">
        <v>263</v>
      </c>
      <c r="C122" s="238" t="s">
        <v>264</v>
      </c>
      <c r="D122" s="239">
        <v>358.03399999999999</v>
      </c>
    </row>
    <row r="123" spans="1:5" x14ac:dyDescent="0.3">
      <c r="A123" s="238" t="s">
        <v>179</v>
      </c>
      <c r="B123" s="238" t="s">
        <v>235</v>
      </c>
      <c r="C123" s="238" t="s">
        <v>236</v>
      </c>
      <c r="D123" s="239">
        <v>8.5449999999999999</v>
      </c>
    </row>
    <row r="124" spans="1:5" x14ac:dyDescent="0.3">
      <c r="A124" s="238" t="s">
        <v>179</v>
      </c>
      <c r="B124" s="238" t="s">
        <v>230</v>
      </c>
      <c r="C124" s="238" t="s">
        <v>231</v>
      </c>
      <c r="D124" s="239">
        <v>26.882000000000001</v>
      </c>
      <c r="E124" s="246" t="s">
        <v>192</v>
      </c>
    </row>
    <row r="125" spans="1:5" x14ac:dyDescent="0.3">
      <c r="A125" s="248" t="s">
        <v>179</v>
      </c>
      <c r="B125" s="248"/>
      <c r="C125" s="248" t="s">
        <v>162</v>
      </c>
      <c r="D125" s="249">
        <v>292761.13500000001</v>
      </c>
    </row>
    <row r="126" spans="1:5" x14ac:dyDescent="0.3">
      <c r="A126" s="238" t="s">
        <v>213</v>
      </c>
      <c r="B126" s="238" t="s">
        <v>246</v>
      </c>
      <c r="C126" s="238" t="s">
        <v>247</v>
      </c>
      <c r="D126" s="239">
        <v>177776.1</v>
      </c>
      <c r="E126" s="246" t="s">
        <v>169</v>
      </c>
    </row>
    <row r="127" spans="1:5" x14ac:dyDescent="0.3">
      <c r="A127" s="238" t="s">
        <v>213</v>
      </c>
      <c r="B127" s="238" t="s">
        <v>248</v>
      </c>
      <c r="C127" s="238" t="s">
        <v>249</v>
      </c>
      <c r="D127" s="239">
        <v>27.11</v>
      </c>
    </row>
    <row r="128" spans="1:5" x14ac:dyDescent="0.3">
      <c r="A128" s="238" t="s">
        <v>213</v>
      </c>
      <c r="B128" s="238" t="s">
        <v>263</v>
      </c>
      <c r="C128" s="238" t="s">
        <v>264</v>
      </c>
      <c r="D128" s="239">
        <v>66.760000000000005</v>
      </c>
    </row>
    <row r="129" spans="1:5" x14ac:dyDescent="0.3">
      <c r="A129" s="238" t="s">
        <v>213</v>
      </c>
      <c r="B129" s="238" t="s">
        <v>266</v>
      </c>
      <c r="C129" s="238" t="s">
        <v>267</v>
      </c>
      <c r="D129" s="239">
        <v>15.26</v>
      </c>
    </row>
    <row r="130" spans="1:5" x14ac:dyDescent="0.3">
      <c r="A130" s="238" t="s">
        <v>213</v>
      </c>
      <c r="B130" s="238" t="s">
        <v>266</v>
      </c>
      <c r="C130" s="238" t="s">
        <v>354</v>
      </c>
      <c r="D130" s="239">
        <v>0.86</v>
      </c>
    </row>
    <row r="131" spans="1:5" x14ac:dyDescent="0.3">
      <c r="A131" s="238" t="s">
        <v>213</v>
      </c>
      <c r="B131" s="238" t="s">
        <v>240</v>
      </c>
      <c r="C131" s="238" t="s">
        <v>241</v>
      </c>
      <c r="D131" s="239">
        <v>0.01</v>
      </c>
      <c r="E131" s="246" t="s">
        <v>227</v>
      </c>
    </row>
    <row r="132" spans="1:5" x14ac:dyDescent="0.3">
      <c r="A132" s="238" t="s">
        <v>213</v>
      </c>
      <c r="B132" s="238" t="s">
        <v>230</v>
      </c>
      <c r="C132" s="238" t="s">
        <v>231</v>
      </c>
      <c r="D132" s="239">
        <v>1.0900000000000001</v>
      </c>
      <c r="E132" s="246" t="s">
        <v>192</v>
      </c>
    </row>
    <row r="133" spans="1:5" x14ac:dyDescent="0.3">
      <c r="A133" s="248" t="s">
        <v>213</v>
      </c>
      <c r="B133" s="248"/>
      <c r="C133" s="248" t="s">
        <v>162</v>
      </c>
      <c r="D133" s="249">
        <v>177887.19</v>
      </c>
    </row>
  </sheetData>
  <autoFilter ref="A15:E133" xr:uid="{A56398E6-9B9A-4D6C-A8AC-8DF9931E2005}"/>
  <mergeCells count="1">
    <mergeCell ref="A10:F10"/>
  </mergeCells>
  <pageMargins left="0.7" right="0.7" top="0.75" bottom="0.75" header="0.3" footer="0.3"/>
  <pageSetup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9E497-2A7E-4D8C-A3EB-E6D62A4051FB}">
  <sheetPr>
    <tabColor theme="7" tint="0.79998168889431442"/>
  </sheetPr>
  <dimension ref="A1:AB45"/>
  <sheetViews>
    <sheetView showGridLines="0" tabSelected="1" workbookViewId="0">
      <selection activeCell="M18" sqref="M18"/>
    </sheetView>
  </sheetViews>
  <sheetFormatPr defaultRowHeight="13.2" x14ac:dyDescent="0.25"/>
  <cols>
    <col min="1" max="1" width="14.77734375" customWidth="1"/>
    <col min="2" max="2" width="13.88671875" customWidth="1"/>
    <col min="3" max="3" width="23.33203125" bestFit="1" customWidth="1"/>
    <col min="4" max="11" width="14.77734375" bestFit="1" customWidth="1"/>
    <col min="13" max="13" width="14.21875" bestFit="1" customWidth="1"/>
    <col min="14" max="14" width="20.77734375" bestFit="1" customWidth="1"/>
  </cols>
  <sheetData>
    <row r="1" spans="1:11" s="221" customFormat="1" ht="14.4" x14ac:dyDescent="0.3"/>
    <row r="2" spans="1:11" s="225" customFormat="1" ht="11.25" customHeight="1" x14ac:dyDescent="0.3">
      <c r="A2" s="223"/>
      <c r="B2" s="223"/>
      <c r="C2" s="222"/>
      <c r="D2" s="224"/>
    </row>
    <row r="3" spans="1:11" s="225" customFormat="1" ht="15.75" customHeight="1" x14ac:dyDescent="0.3">
      <c r="A3" s="223"/>
      <c r="B3" s="223"/>
      <c r="C3" s="226" t="s">
        <v>304</v>
      </c>
      <c r="D3" s="224"/>
    </row>
    <row r="4" spans="1:11" s="225" customFormat="1" ht="12.75" customHeight="1" x14ac:dyDescent="0.3">
      <c r="A4" s="223"/>
      <c r="B4" s="223"/>
      <c r="C4" s="227" t="str">
        <f ca="1">MID(CELL("filename",C4),FIND("]",CELL("filename",C4))+1,256)</f>
        <v>Imports per all products</v>
      </c>
      <c r="D4" s="224"/>
    </row>
    <row r="5" spans="1:11" s="225" customFormat="1" ht="15.75" customHeight="1" x14ac:dyDescent="0.3">
      <c r="A5" s="223"/>
      <c r="B5" s="223"/>
      <c r="C5" s="222"/>
      <c r="D5" s="224"/>
    </row>
    <row r="6" spans="1:11" s="232" customFormat="1" ht="9" customHeight="1" x14ac:dyDescent="0.25">
      <c r="A6" s="229"/>
      <c r="B6" s="229"/>
      <c r="C6" s="229"/>
      <c r="D6" s="230"/>
      <c r="E6" s="231"/>
    </row>
    <row r="9" spans="1:11" ht="15" x14ac:dyDescent="0.35">
      <c r="C9" s="280"/>
      <c r="D9" s="281" t="s">
        <v>211</v>
      </c>
      <c r="E9" s="281" t="s">
        <v>212</v>
      </c>
      <c r="F9" s="281" t="s">
        <v>175</v>
      </c>
      <c r="G9" s="281" t="s">
        <v>176</v>
      </c>
      <c r="H9" s="281" t="s">
        <v>177</v>
      </c>
      <c r="I9" s="281" t="s">
        <v>178</v>
      </c>
      <c r="J9" s="281" t="s">
        <v>179</v>
      </c>
      <c r="K9" s="281" t="s">
        <v>213</v>
      </c>
    </row>
    <row r="10" spans="1:11" ht="14.4" x14ac:dyDescent="0.35">
      <c r="C10" s="282" t="s">
        <v>200</v>
      </c>
      <c r="D10" s="282"/>
      <c r="E10" s="282"/>
      <c r="F10" s="282"/>
      <c r="G10" s="282"/>
      <c r="H10" s="282"/>
      <c r="I10" s="282"/>
      <c r="J10" s="282"/>
      <c r="K10" s="282"/>
    </row>
    <row r="11" spans="1:11" ht="14.4" x14ac:dyDescent="0.35">
      <c r="C11" s="283" t="s">
        <v>206</v>
      </c>
      <c r="D11" s="284">
        <v>10483</v>
      </c>
      <c r="E11" s="284">
        <v>27450</v>
      </c>
      <c r="F11" s="284">
        <v>40248</v>
      </c>
      <c r="G11" s="284">
        <v>17700</v>
      </c>
      <c r="H11" s="284">
        <v>41533</v>
      </c>
      <c r="I11" s="284"/>
      <c r="J11" s="284">
        <v>182845</v>
      </c>
      <c r="K11" s="284">
        <v>188740</v>
      </c>
    </row>
    <row r="12" spans="1:11" ht="14.4" x14ac:dyDescent="0.35">
      <c r="C12" s="283" t="s">
        <v>169</v>
      </c>
      <c r="D12" s="284">
        <v>5500</v>
      </c>
      <c r="E12" s="284">
        <v>5250</v>
      </c>
      <c r="F12" s="284">
        <v>102770</v>
      </c>
      <c r="G12" s="284">
        <v>92956</v>
      </c>
      <c r="H12" s="284">
        <v>56800</v>
      </c>
      <c r="I12" s="284">
        <v>168181</v>
      </c>
      <c r="J12" s="284">
        <v>292000</v>
      </c>
      <c r="K12" s="284">
        <v>178000</v>
      </c>
    </row>
    <row r="13" spans="1:11" ht="14.4" x14ac:dyDescent="0.35">
      <c r="C13" s="283" t="s">
        <v>192</v>
      </c>
      <c r="D13" s="284">
        <v>165728</v>
      </c>
      <c r="E13" s="284">
        <v>380455</v>
      </c>
      <c r="F13" s="284">
        <v>399949</v>
      </c>
      <c r="G13" s="284">
        <v>351821</v>
      </c>
      <c r="H13" s="284">
        <v>1785.57</v>
      </c>
      <c r="I13" s="284">
        <v>1016</v>
      </c>
      <c r="J13" s="284">
        <v>26.88</v>
      </c>
      <c r="K13" s="284"/>
    </row>
    <row r="14" spans="1:11" ht="14.4" x14ac:dyDescent="0.35">
      <c r="C14" s="283" t="s">
        <v>216</v>
      </c>
      <c r="D14" s="284">
        <v>407.5</v>
      </c>
      <c r="E14" s="284">
        <v>3683</v>
      </c>
      <c r="F14" s="284">
        <v>121846</v>
      </c>
      <c r="G14" s="284">
        <v>95373</v>
      </c>
      <c r="H14" s="284">
        <v>29276</v>
      </c>
      <c r="I14" s="284">
        <v>248789</v>
      </c>
      <c r="J14" s="284">
        <v>142846</v>
      </c>
      <c r="K14" s="284">
        <v>34996</v>
      </c>
    </row>
    <row r="15" spans="1:11" ht="14.4" x14ac:dyDescent="0.35">
      <c r="C15" s="283" t="s">
        <v>222</v>
      </c>
      <c r="D15" s="284">
        <v>319656</v>
      </c>
      <c r="E15" s="284">
        <v>386383</v>
      </c>
      <c r="F15" s="284">
        <v>760734</v>
      </c>
      <c r="G15" s="284">
        <v>758499</v>
      </c>
      <c r="H15" s="284">
        <v>730151</v>
      </c>
      <c r="I15" s="284">
        <v>988343</v>
      </c>
      <c r="J15" s="284">
        <v>1303423</v>
      </c>
      <c r="K15" s="284">
        <v>955980</v>
      </c>
    </row>
    <row r="16" spans="1:11" ht="14.4" x14ac:dyDescent="0.35">
      <c r="C16" s="283" t="s">
        <v>219</v>
      </c>
      <c r="D16" s="284">
        <v>16751</v>
      </c>
      <c r="E16" s="284">
        <v>16599</v>
      </c>
      <c r="F16" s="284">
        <v>16550</v>
      </c>
      <c r="G16" s="284">
        <v>19854</v>
      </c>
      <c r="H16" s="284">
        <v>1507</v>
      </c>
      <c r="I16" s="284">
        <v>11255</v>
      </c>
      <c r="J16" s="284"/>
      <c r="K16" s="284"/>
    </row>
    <row r="17" spans="3:13" ht="14.4" x14ac:dyDescent="0.35">
      <c r="C17" s="283" t="s">
        <v>227</v>
      </c>
      <c r="D17" s="284">
        <v>99324.3</v>
      </c>
      <c r="E17" s="284">
        <v>139367.70000000001</v>
      </c>
      <c r="F17" s="284">
        <v>120666.7</v>
      </c>
      <c r="G17" s="284">
        <v>137167.6</v>
      </c>
      <c r="H17" s="284">
        <v>535.51</v>
      </c>
      <c r="I17" s="284">
        <v>28.75</v>
      </c>
      <c r="J17" s="284">
        <v>576.25</v>
      </c>
      <c r="K17" s="284">
        <v>110.03</v>
      </c>
    </row>
    <row r="18" spans="3:13" ht="14.4" x14ac:dyDescent="0.35">
      <c r="C18" s="282" t="s">
        <v>422</v>
      </c>
      <c r="D18" s="282"/>
      <c r="E18" s="282"/>
      <c r="F18" s="282"/>
      <c r="G18" s="282"/>
      <c r="H18" s="282"/>
      <c r="I18" s="282"/>
      <c r="J18" s="282"/>
      <c r="K18" s="282"/>
    </row>
    <row r="19" spans="3:13" ht="14.4" x14ac:dyDescent="0.35">
      <c r="C19" s="283" t="s">
        <v>397</v>
      </c>
      <c r="D19" s="285">
        <f t="shared" ref="D19:J19" si="0">D12*18%+D15*46%+D11*21%+D13*20%+D17*0.15</f>
        <v>198277.435</v>
      </c>
      <c r="E19" s="285">
        <f t="shared" si="0"/>
        <v>281441.83500000002</v>
      </c>
      <c r="F19" s="285">
        <f t="shared" si="0"/>
        <v>474978.125</v>
      </c>
      <c r="G19" s="285">
        <f t="shared" si="0"/>
        <v>460297.96000000008</v>
      </c>
      <c r="H19" s="285">
        <f t="shared" si="0"/>
        <v>355252.83050000004</v>
      </c>
      <c r="I19" s="285">
        <f t="shared" si="0"/>
        <v>485117.87250000006</v>
      </c>
      <c r="J19" s="285">
        <f t="shared" si="0"/>
        <v>690623.84350000008</v>
      </c>
      <c r="K19" s="285">
        <f>K12*18%+K15*46%+K11*21%+K13*20%+K17*0.15</f>
        <v>511442.70450000005</v>
      </c>
      <c r="M19" s="208"/>
    </row>
    <row r="20" spans="3:13" ht="14.4" x14ac:dyDescent="0.35">
      <c r="C20" s="283" t="s">
        <v>421</v>
      </c>
      <c r="D20" s="285">
        <f>D12*46%+D13*15%+D16*16%+D17*15%</f>
        <v>44968.005000000005</v>
      </c>
      <c r="E20" s="285">
        <f t="shared" ref="E20:J20" si="1">E12*46%+E13*15%+E16*16%+E17*15%</f>
        <v>83044.244999999995</v>
      </c>
      <c r="F20" s="285">
        <f>F12*46%+F13*15%+F16*16%+F17*15%</f>
        <v>128014.55499999999</v>
      </c>
      <c r="G20" s="285">
        <f t="shared" si="1"/>
        <v>119284.69</v>
      </c>
      <c r="H20" s="285">
        <f t="shared" si="1"/>
        <v>26717.281999999999</v>
      </c>
      <c r="I20" s="285">
        <f t="shared" si="1"/>
        <v>79320.772500000006</v>
      </c>
      <c r="J20" s="285">
        <f t="shared" si="1"/>
        <v>134410.46950000001</v>
      </c>
      <c r="K20" s="285">
        <f>K12*46%+K13*15%+K16*16%+K17*15%</f>
        <v>81896.504499999995</v>
      </c>
      <c r="M20" s="208"/>
    </row>
    <row r="21" spans="3:13" ht="14.4" x14ac:dyDescent="0.35">
      <c r="C21" s="283" t="s">
        <v>403</v>
      </c>
      <c r="D21" s="285">
        <f t="shared" ref="D21:J21" si="2">D14*60.5%+D13*10%</f>
        <v>16819.337499999998</v>
      </c>
      <c r="E21" s="285">
        <f t="shared" si="2"/>
        <v>40273.714999999997</v>
      </c>
      <c r="F21" s="285">
        <f t="shared" si="2"/>
        <v>113711.73000000001</v>
      </c>
      <c r="G21" s="285">
        <f t="shared" si="2"/>
        <v>92882.764999999999</v>
      </c>
      <c r="H21" s="285">
        <f t="shared" si="2"/>
        <v>17890.537</v>
      </c>
      <c r="I21" s="285">
        <f t="shared" si="2"/>
        <v>150618.94500000001</v>
      </c>
      <c r="J21" s="285">
        <f t="shared" si="2"/>
        <v>86424.517999999996</v>
      </c>
      <c r="K21" s="285">
        <f>K14*60.5%+K13*10%</f>
        <v>21172.579999999998</v>
      </c>
      <c r="M21" s="208"/>
    </row>
    <row r="22" spans="3:13" ht="14.4" x14ac:dyDescent="0.35">
      <c r="C22" s="282" t="s">
        <v>423</v>
      </c>
      <c r="D22" s="282"/>
      <c r="E22" s="282"/>
      <c r="F22" s="282"/>
      <c r="G22" s="282"/>
      <c r="H22" s="282"/>
      <c r="I22" s="282"/>
      <c r="J22" s="282"/>
      <c r="K22" s="282"/>
    </row>
    <row r="23" spans="3:13" ht="14.4" x14ac:dyDescent="0.35">
      <c r="C23" s="286"/>
      <c r="D23" s="285">
        <f t="shared" ref="D23:J23" si="3">D19/SUM(D$11:D$13,D15)</f>
        <v>0.39547364505442123</v>
      </c>
      <c r="E23" s="285">
        <f t="shared" si="3"/>
        <v>0.35200557697070062</v>
      </c>
      <c r="F23" s="285">
        <f t="shared" si="3"/>
        <v>0.36433056736168801</v>
      </c>
      <c r="G23" s="285">
        <f t="shared" si="3"/>
        <v>0.37699181638295926</v>
      </c>
      <c r="H23" s="285">
        <f t="shared" si="3"/>
        <v>0.42787649136653294</v>
      </c>
      <c r="I23" s="285">
        <f t="shared" si="3"/>
        <v>0.41909383045078363</v>
      </c>
      <c r="J23" s="285">
        <f t="shared" si="3"/>
        <v>0.38836294883782163</v>
      </c>
      <c r="K23" s="285">
        <f>K19/SUM(K$11:K$13,K15)</f>
        <v>0.38665984070702797</v>
      </c>
    </row>
    <row r="24" spans="3:13" ht="14.4" x14ac:dyDescent="0.35">
      <c r="C24" s="286"/>
      <c r="D24" s="285">
        <f t="shared" ref="D23:J25" si="4">D20/SUM(D$11:D$13)</f>
        <v>0.24746991101254193</v>
      </c>
      <c r="E24" s="285">
        <f t="shared" si="4"/>
        <v>0.20100021783592112</v>
      </c>
      <c r="F24" s="285">
        <f t="shared" si="4"/>
        <v>0.23576857341238047</v>
      </c>
      <c r="G24" s="285">
        <f t="shared" si="4"/>
        <v>0.25792566981709364</v>
      </c>
      <c r="H24" s="285">
        <f t="shared" si="4"/>
        <v>0.26685640835661156</v>
      </c>
      <c r="I24" s="285">
        <f>I20/SUM(I$11:I$13)</f>
        <v>0.46880720402844028</v>
      </c>
      <c r="J24" s="285">
        <f t="shared" si="4"/>
        <v>0.28304575436220819</v>
      </c>
      <c r="K24" s="285">
        <f t="shared" ref="K24:K25" si="5">K20/SUM(K$11:K$13)</f>
        <v>0.22330944129355945</v>
      </c>
    </row>
    <row r="25" spans="3:13" ht="14.4" x14ac:dyDescent="0.35">
      <c r="C25" s="286"/>
      <c r="D25" s="285">
        <f t="shared" si="4"/>
        <v>9.2560920912878125E-2</v>
      </c>
      <c r="E25" s="285">
        <f t="shared" si="4"/>
        <v>9.7478464498795839E-2</v>
      </c>
      <c r="F25" s="285">
        <f t="shared" si="4"/>
        <v>0.20942659498643565</v>
      </c>
      <c r="G25" s="285">
        <f t="shared" si="4"/>
        <v>0.20083758759895087</v>
      </c>
      <c r="H25" s="285">
        <f t="shared" si="4"/>
        <v>0.17869349312520144</v>
      </c>
      <c r="I25" s="285">
        <f t="shared" si="4"/>
        <v>0.89019867373535</v>
      </c>
      <c r="J25" s="285">
        <f t="shared" si="4"/>
        <v>0.18199544264444548</v>
      </c>
      <c r="K25" s="285">
        <f t="shared" si="5"/>
        <v>5.7731853629274139E-2</v>
      </c>
    </row>
    <row r="35" spans="14:28" ht="14.4" x14ac:dyDescent="0.3">
      <c r="N35" s="220"/>
      <c r="O35" s="220"/>
      <c r="P35" s="220"/>
      <c r="Q35" s="220"/>
      <c r="R35" s="220"/>
      <c r="S35" s="220"/>
      <c r="T35" s="220"/>
      <c r="U35" s="220"/>
      <c r="V35" s="220"/>
      <c r="W35" s="220"/>
      <c r="X35" s="220"/>
      <c r="Y35" s="220"/>
      <c r="Z35" s="220"/>
      <c r="AA35" s="220"/>
      <c r="AB35" s="220"/>
    </row>
    <row r="36" spans="14:28" ht="14.4" x14ac:dyDescent="0.3">
      <c r="N36" s="220"/>
      <c r="O36" s="220"/>
      <c r="P36" s="220"/>
      <c r="Q36" s="220"/>
      <c r="R36" s="220"/>
      <c r="S36" s="220"/>
      <c r="T36" s="220"/>
      <c r="U36" s="220"/>
      <c r="V36" s="220"/>
      <c r="W36" s="220"/>
      <c r="X36" s="220"/>
      <c r="Y36" s="220"/>
      <c r="Z36" s="220"/>
      <c r="AA36" s="220"/>
      <c r="AB36" s="220"/>
    </row>
    <row r="37" spans="14:28" ht="14.4" x14ac:dyDescent="0.3">
      <c r="N37" s="240"/>
      <c r="O37" s="247"/>
      <c r="P37" s="247"/>
      <c r="Q37" s="247"/>
      <c r="R37" s="247"/>
      <c r="S37" s="247"/>
      <c r="T37" s="247"/>
      <c r="U37" s="247"/>
      <c r="V37" s="247"/>
      <c r="W37" s="247"/>
      <c r="X37" s="247"/>
      <c r="Y37" s="247"/>
      <c r="Z37" s="247"/>
      <c r="AA37" s="247"/>
      <c r="AB37" s="220"/>
    </row>
    <row r="38" spans="14:28" ht="14.4" x14ac:dyDescent="0.3">
      <c r="N38" s="240"/>
      <c r="O38" s="247"/>
      <c r="P38" s="247"/>
      <c r="Q38" s="247"/>
      <c r="R38" s="247"/>
      <c r="S38" s="247"/>
      <c r="T38" s="247"/>
      <c r="U38" s="247"/>
      <c r="V38" s="247"/>
      <c r="W38" s="247"/>
      <c r="X38" s="247"/>
      <c r="Y38" s="247"/>
      <c r="Z38" s="247"/>
      <c r="AA38" s="247"/>
      <c r="AB38" s="220"/>
    </row>
    <row r="39" spans="14:28" ht="14.4" x14ac:dyDescent="0.3">
      <c r="N39" s="240"/>
      <c r="O39" s="247"/>
      <c r="P39" s="247"/>
      <c r="Q39" s="247"/>
      <c r="R39" s="247"/>
      <c r="S39" s="247"/>
      <c r="T39" s="247"/>
      <c r="U39" s="247"/>
      <c r="V39" s="247"/>
      <c r="W39" s="247"/>
      <c r="X39" s="247"/>
      <c r="Y39" s="247"/>
      <c r="Z39" s="247"/>
      <c r="AA39" s="247"/>
      <c r="AB39" s="220"/>
    </row>
    <row r="40" spans="14:28" ht="14.4" x14ac:dyDescent="0.3">
      <c r="N40" s="240"/>
      <c r="O40" s="247"/>
      <c r="P40" s="247"/>
      <c r="Q40" s="247"/>
      <c r="R40" s="247"/>
      <c r="S40" s="247"/>
      <c r="T40" s="247"/>
      <c r="U40" s="247"/>
      <c r="V40" s="247"/>
      <c r="W40" s="247"/>
      <c r="X40" s="247"/>
      <c r="Y40" s="247"/>
      <c r="Z40" s="247"/>
      <c r="AA40" s="247"/>
      <c r="AB40" s="220"/>
    </row>
    <row r="41" spans="14:28" ht="14.4" x14ac:dyDescent="0.3">
      <c r="N41" s="240"/>
      <c r="O41" s="247"/>
      <c r="P41" s="247"/>
      <c r="Q41" s="247"/>
      <c r="R41" s="247"/>
      <c r="S41" s="247"/>
      <c r="T41" s="247"/>
      <c r="U41" s="247"/>
      <c r="V41" s="247"/>
      <c r="W41" s="247"/>
      <c r="X41" s="247"/>
      <c r="Y41" s="247"/>
      <c r="Z41" s="247"/>
      <c r="AA41" s="247"/>
      <c r="AB41" s="220"/>
    </row>
    <row r="42" spans="14:28" ht="14.4" x14ac:dyDescent="0.3">
      <c r="N42" s="240"/>
      <c r="O42" s="247"/>
      <c r="P42" s="247"/>
      <c r="Q42" s="247"/>
      <c r="R42" s="247"/>
      <c r="S42" s="247"/>
      <c r="T42" s="247"/>
      <c r="U42" s="247"/>
      <c r="V42" s="247"/>
      <c r="W42" s="247"/>
      <c r="X42" s="247"/>
      <c r="Y42" s="247"/>
      <c r="Z42" s="247"/>
      <c r="AA42" s="247"/>
      <c r="AB42" s="220"/>
    </row>
    <row r="43" spans="14:28" ht="14.4" x14ac:dyDescent="0.3">
      <c r="N43" s="220"/>
      <c r="O43" s="220"/>
      <c r="P43" s="220"/>
      <c r="Q43" s="220"/>
      <c r="R43" s="220"/>
      <c r="S43" s="220"/>
      <c r="T43" s="220"/>
      <c r="U43" s="220"/>
      <c r="V43" s="220"/>
      <c r="W43" s="220"/>
      <c r="X43" s="220"/>
      <c r="Y43" s="220"/>
      <c r="Z43" s="220"/>
      <c r="AA43" s="220"/>
      <c r="AB43" s="220"/>
    </row>
    <row r="44" spans="14:28" ht="14.4" x14ac:dyDescent="0.3">
      <c r="N44" s="240"/>
      <c r="O44" s="250"/>
      <c r="P44" s="250"/>
      <c r="Q44" s="250"/>
      <c r="R44" s="250"/>
      <c r="S44" s="250"/>
      <c r="T44" s="250"/>
      <c r="U44" s="250"/>
      <c r="V44" s="250"/>
      <c r="W44" s="250"/>
      <c r="X44" s="250"/>
      <c r="Y44" s="250"/>
      <c r="Z44" s="250"/>
      <c r="AA44" s="250"/>
      <c r="AB44" s="220"/>
    </row>
    <row r="45" spans="14:28" ht="14.4" x14ac:dyDescent="0.3">
      <c r="N45" s="220"/>
      <c r="O45" s="220"/>
      <c r="P45" s="220"/>
      <c r="Q45" s="220"/>
      <c r="R45" s="220"/>
      <c r="S45" s="220"/>
      <c r="T45" s="220"/>
      <c r="U45" s="220"/>
      <c r="V45" s="220"/>
      <c r="W45" s="220"/>
      <c r="X45" s="220"/>
      <c r="Y45" s="220"/>
      <c r="Z45" s="220"/>
      <c r="AA45" s="220"/>
      <c r="AB45" s="220"/>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263F8-2065-4810-819E-FE47A32C0D84}">
  <sheetPr>
    <tabColor theme="7" tint="0.79998168889431442"/>
  </sheetPr>
  <dimension ref="A1:V158"/>
  <sheetViews>
    <sheetView showGridLines="0" workbookViewId="0">
      <selection activeCell="D9" sqref="A7:D9"/>
    </sheetView>
  </sheetViews>
  <sheetFormatPr defaultRowHeight="14.4" x14ac:dyDescent="0.3"/>
  <cols>
    <col min="1" max="1" width="8.44140625" style="220" bestFit="1" customWidth="1"/>
    <col min="2" max="2" width="98.33203125" style="220" bestFit="1" customWidth="1"/>
    <col min="3" max="8" width="8.88671875" style="220"/>
    <col min="9" max="11" width="11.44140625" style="220" bestFit="1" customWidth="1"/>
    <col min="12" max="12" width="13.109375" style="220" bestFit="1" customWidth="1"/>
    <col min="13" max="15" width="11.44140625" style="220" bestFit="1" customWidth="1"/>
    <col min="16" max="16" width="13.109375" style="220" bestFit="1" customWidth="1"/>
    <col min="17" max="17" width="14.109375" style="220" bestFit="1" customWidth="1"/>
    <col min="18" max="18" width="11.44140625" style="220" bestFit="1" customWidth="1"/>
    <col min="19" max="21" width="13.109375" style="220" bestFit="1" customWidth="1"/>
    <col min="22" max="22" width="14.109375" style="220" bestFit="1" customWidth="1"/>
    <col min="23" max="16384" width="8.88671875" style="220"/>
  </cols>
  <sheetData>
    <row r="1" spans="1:22" s="221" customFormat="1" x14ac:dyDescent="0.3">
      <c r="C1" s="222"/>
    </row>
    <row r="2" spans="1:22" s="225" customFormat="1" ht="11.25" customHeight="1" x14ac:dyDescent="0.3">
      <c r="A2" s="223"/>
      <c r="B2" s="223"/>
      <c r="C2" s="222"/>
      <c r="D2" s="224"/>
    </row>
    <row r="3" spans="1:22" s="225" customFormat="1" ht="15.75" customHeight="1" x14ac:dyDescent="0.3">
      <c r="A3" s="223"/>
      <c r="B3" s="223"/>
      <c r="C3" s="226" t="s">
        <v>304</v>
      </c>
      <c r="D3" s="224"/>
    </row>
    <row r="4" spans="1:22" s="225" customFormat="1" ht="12.75" customHeight="1" x14ac:dyDescent="0.3">
      <c r="A4" s="223"/>
      <c r="B4" s="223"/>
      <c r="C4" s="227" t="str">
        <f ca="1">MID(CELL("filename",C4),FIND("]",CELL("filename",C4))+1,256)</f>
        <v>Apparent consumption</v>
      </c>
      <c r="D4" s="224"/>
    </row>
    <row r="5" spans="1:22" s="225" customFormat="1" ht="15.75" customHeight="1" x14ac:dyDescent="0.3">
      <c r="A5" s="223"/>
      <c r="B5" s="223"/>
      <c r="C5" s="228" t="s">
        <v>355</v>
      </c>
      <c r="D5" s="224"/>
    </row>
    <row r="6" spans="1:22" s="232" customFormat="1" ht="9" customHeight="1" x14ac:dyDescent="0.25">
      <c r="A6" s="229"/>
      <c r="B6" s="229"/>
      <c r="C6" s="229"/>
      <c r="D6" s="230"/>
      <c r="E6" s="231"/>
    </row>
    <row r="10" spans="1:22" ht="23.4" x14ac:dyDescent="0.3">
      <c r="A10" s="295" t="s">
        <v>194</v>
      </c>
      <c r="B10" s="295"/>
      <c r="C10" s="295"/>
      <c r="D10" s="295"/>
      <c r="E10" s="295"/>
      <c r="F10" s="295"/>
      <c r="G10" s="252"/>
    </row>
    <row r="12" spans="1:22" x14ac:dyDescent="0.3">
      <c r="A12" s="243" t="s">
        <v>195</v>
      </c>
      <c r="B12" s="220" t="s">
        <v>196</v>
      </c>
    </row>
    <row r="13" spans="1:22" x14ac:dyDescent="0.3">
      <c r="A13" s="243" t="s">
        <v>197</v>
      </c>
      <c r="B13" s="220" t="s">
        <v>198</v>
      </c>
    </row>
    <row r="15" spans="1:22" x14ac:dyDescent="0.3">
      <c r="A15" s="244" t="s">
        <v>99</v>
      </c>
      <c r="B15" s="244" t="s">
        <v>199</v>
      </c>
      <c r="C15" s="244" t="s">
        <v>200</v>
      </c>
      <c r="D15" s="244" t="s">
        <v>201</v>
      </c>
      <c r="E15" s="245" t="s">
        <v>202</v>
      </c>
      <c r="H15" s="220" t="s">
        <v>203</v>
      </c>
      <c r="I15" s="220" t="s">
        <v>86</v>
      </c>
    </row>
    <row r="16" spans="1:22" x14ac:dyDescent="0.3">
      <c r="A16" s="251" t="s">
        <v>204</v>
      </c>
      <c r="B16" s="238" t="s">
        <v>205</v>
      </c>
      <c r="C16" s="238" t="s">
        <v>206</v>
      </c>
      <c r="D16" s="239">
        <v>25358</v>
      </c>
      <c r="E16" s="220" t="s">
        <v>206</v>
      </c>
      <c r="H16" s="220" t="s">
        <v>87</v>
      </c>
      <c r="I16" s="220" t="s">
        <v>204</v>
      </c>
      <c r="J16" s="220" t="s">
        <v>207</v>
      </c>
      <c r="K16" s="220" t="s">
        <v>208</v>
      </c>
      <c r="L16" s="220" t="s">
        <v>209</v>
      </c>
      <c r="M16" s="220" t="s">
        <v>210</v>
      </c>
      <c r="N16" s="220" t="s">
        <v>211</v>
      </c>
      <c r="O16" s="220" t="s">
        <v>212</v>
      </c>
      <c r="P16" s="220" t="s">
        <v>175</v>
      </c>
      <c r="Q16" s="220" t="s">
        <v>176</v>
      </c>
      <c r="R16" s="220" t="s">
        <v>177</v>
      </c>
      <c r="S16" s="220" t="s">
        <v>178</v>
      </c>
      <c r="T16" s="220" t="s">
        <v>179</v>
      </c>
      <c r="U16" s="220" t="s">
        <v>213</v>
      </c>
      <c r="V16" s="220" t="s">
        <v>88</v>
      </c>
    </row>
    <row r="17" spans="1:22" x14ac:dyDescent="0.3">
      <c r="A17" s="251" t="s">
        <v>204</v>
      </c>
      <c r="B17" s="238" t="s">
        <v>214</v>
      </c>
      <c r="C17" s="238" t="s">
        <v>215</v>
      </c>
      <c r="D17" s="239">
        <v>16382</v>
      </c>
      <c r="E17" s="220" t="s">
        <v>216</v>
      </c>
      <c r="H17" s="253" t="s">
        <v>206</v>
      </c>
      <c r="I17" s="242">
        <v>25358</v>
      </c>
      <c r="J17" s="242">
        <v>26.67</v>
      </c>
      <c r="K17" s="242">
        <v>11109</v>
      </c>
      <c r="L17" s="242">
        <v>12301</v>
      </c>
      <c r="M17" s="242">
        <v>2321</v>
      </c>
      <c r="N17" s="242">
        <v>10483</v>
      </c>
      <c r="O17" s="242">
        <v>27450</v>
      </c>
      <c r="P17" s="242">
        <v>40248</v>
      </c>
      <c r="Q17" s="242">
        <v>17700</v>
      </c>
      <c r="R17" s="242">
        <v>41533</v>
      </c>
      <c r="S17" s="242"/>
      <c r="T17" s="242">
        <v>182845</v>
      </c>
      <c r="U17" s="242">
        <v>188740</v>
      </c>
      <c r="V17" s="242">
        <v>560114.66999999993</v>
      </c>
    </row>
    <row r="18" spans="1:22" x14ac:dyDescent="0.3">
      <c r="A18" s="251" t="s">
        <v>204</v>
      </c>
      <c r="B18" s="238" t="s">
        <v>217</v>
      </c>
      <c r="C18" s="238" t="s">
        <v>218</v>
      </c>
      <c r="D18" s="239">
        <v>11088</v>
      </c>
      <c r="E18" s="220" t="s">
        <v>219</v>
      </c>
      <c r="H18" s="253" t="s">
        <v>220</v>
      </c>
      <c r="I18" s="242">
        <v>25</v>
      </c>
      <c r="J18" s="242">
        <v>15.75</v>
      </c>
      <c r="K18" s="242"/>
      <c r="L18" s="242"/>
      <c r="M18" s="242"/>
      <c r="N18" s="242"/>
      <c r="O18" s="242"/>
      <c r="P18" s="242"/>
      <c r="Q18" s="242"/>
      <c r="R18" s="242"/>
      <c r="S18" s="242"/>
      <c r="T18" s="242"/>
      <c r="U18" s="242"/>
      <c r="V18" s="242">
        <v>40.75</v>
      </c>
    </row>
    <row r="19" spans="1:22" x14ac:dyDescent="0.3">
      <c r="A19" s="251" t="s">
        <v>204</v>
      </c>
      <c r="B19" s="238" t="s">
        <v>221</v>
      </c>
      <c r="C19" s="238" t="s">
        <v>222</v>
      </c>
      <c r="D19" s="239">
        <v>420526</v>
      </c>
      <c r="E19" s="220" t="s">
        <v>222</v>
      </c>
      <c r="H19" s="253" t="s">
        <v>169</v>
      </c>
      <c r="I19" s="242"/>
      <c r="J19" s="242"/>
      <c r="K19" s="242"/>
      <c r="L19" s="242"/>
      <c r="M19" s="242"/>
      <c r="N19" s="242">
        <v>5500</v>
      </c>
      <c r="O19" s="242">
        <v>5250</v>
      </c>
      <c r="P19" s="242">
        <v>102770</v>
      </c>
      <c r="Q19" s="242">
        <v>92956</v>
      </c>
      <c r="R19" s="242">
        <v>56800</v>
      </c>
      <c r="S19" s="242">
        <v>168181</v>
      </c>
      <c r="T19" s="242">
        <v>229588</v>
      </c>
      <c r="U19" s="242">
        <v>118678</v>
      </c>
      <c r="V19" s="242">
        <v>779723</v>
      </c>
    </row>
    <row r="20" spans="1:22" x14ac:dyDescent="0.3">
      <c r="A20" s="251" t="s">
        <v>204</v>
      </c>
      <c r="B20" s="238" t="s">
        <v>223</v>
      </c>
      <c r="C20" s="238" t="s">
        <v>224</v>
      </c>
      <c r="D20" s="239">
        <v>25</v>
      </c>
      <c r="E20" s="220" t="s">
        <v>220</v>
      </c>
      <c r="H20" s="253" t="s">
        <v>193</v>
      </c>
      <c r="I20" s="242"/>
      <c r="J20" s="242"/>
      <c r="K20" s="242"/>
      <c r="L20" s="242"/>
      <c r="M20" s="242"/>
      <c r="N20" s="242"/>
      <c r="O20" s="242">
        <v>49</v>
      </c>
      <c r="P20" s="242">
        <v>25.1</v>
      </c>
      <c r="Q20" s="242">
        <v>37.6</v>
      </c>
      <c r="R20" s="242"/>
      <c r="S20" s="242"/>
      <c r="T20" s="242">
        <v>209.7</v>
      </c>
      <c r="U20" s="242"/>
      <c r="V20" s="242">
        <v>321.39999999999998</v>
      </c>
    </row>
    <row r="21" spans="1:22" x14ac:dyDescent="0.3">
      <c r="A21" s="251" t="s">
        <v>204</v>
      </c>
      <c r="B21" s="238" t="s">
        <v>225</v>
      </c>
      <c r="C21" s="238" t="s">
        <v>226</v>
      </c>
      <c r="D21" s="239">
        <v>47301</v>
      </c>
      <c r="E21" s="220" t="s">
        <v>227</v>
      </c>
      <c r="H21" s="253" t="s">
        <v>192</v>
      </c>
      <c r="I21" s="242">
        <v>366114</v>
      </c>
      <c r="J21" s="242">
        <v>178320</v>
      </c>
      <c r="K21" s="242">
        <v>345953</v>
      </c>
      <c r="L21" s="242">
        <v>270919</v>
      </c>
      <c r="M21" s="242">
        <v>344879</v>
      </c>
      <c r="N21" s="242">
        <v>165728</v>
      </c>
      <c r="O21" s="242">
        <v>380455</v>
      </c>
      <c r="P21" s="242">
        <v>399949</v>
      </c>
      <c r="Q21" s="242">
        <v>351821</v>
      </c>
      <c r="R21" s="242">
        <v>1785.57</v>
      </c>
      <c r="S21" s="242">
        <v>1016</v>
      </c>
      <c r="T21" s="242">
        <v>26.88</v>
      </c>
      <c r="U21" s="242"/>
      <c r="V21" s="242">
        <v>2806966.4499999997</v>
      </c>
    </row>
    <row r="22" spans="1:22" x14ac:dyDescent="0.3">
      <c r="A22" s="251" t="s">
        <v>204</v>
      </c>
      <c r="B22" s="238" t="s">
        <v>228</v>
      </c>
      <c r="C22" s="238" t="s">
        <v>229</v>
      </c>
      <c r="D22" s="239">
        <v>6000</v>
      </c>
      <c r="E22" s="220" t="s">
        <v>227</v>
      </c>
      <c r="H22" s="253" t="s">
        <v>216</v>
      </c>
      <c r="I22" s="242">
        <v>16382</v>
      </c>
      <c r="J22" s="242">
        <v>20779</v>
      </c>
      <c r="K22" s="242">
        <v>34479</v>
      </c>
      <c r="L22" s="242">
        <v>13921</v>
      </c>
      <c r="M22" s="242">
        <v>13721</v>
      </c>
      <c r="N22" s="242">
        <v>407.5</v>
      </c>
      <c r="O22" s="242">
        <v>3683</v>
      </c>
      <c r="P22" s="242">
        <v>121846</v>
      </c>
      <c r="Q22" s="242">
        <v>95373</v>
      </c>
      <c r="R22" s="242">
        <v>29276</v>
      </c>
      <c r="S22" s="242">
        <v>248789</v>
      </c>
      <c r="T22" s="242">
        <v>142846</v>
      </c>
      <c r="U22" s="242">
        <v>34996</v>
      </c>
      <c r="V22" s="242">
        <v>776498.5</v>
      </c>
    </row>
    <row r="23" spans="1:22" x14ac:dyDescent="0.3">
      <c r="A23" s="251" t="s">
        <v>204</v>
      </c>
      <c r="B23" s="238" t="s">
        <v>230</v>
      </c>
      <c r="C23" s="238" t="s">
        <v>231</v>
      </c>
      <c r="D23" s="239">
        <v>366114</v>
      </c>
      <c r="E23" s="220" t="s">
        <v>192</v>
      </c>
      <c r="H23" s="253" t="s">
        <v>222</v>
      </c>
      <c r="I23" s="242">
        <v>420526</v>
      </c>
      <c r="J23" s="242">
        <v>242761</v>
      </c>
      <c r="K23" s="242">
        <v>451394</v>
      </c>
      <c r="L23" s="242">
        <v>765731</v>
      </c>
      <c r="M23" s="242">
        <v>423966</v>
      </c>
      <c r="N23" s="242">
        <v>319656</v>
      </c>
      <c r="O23" s="242">
        <v>386383</v>
      </c>
      <c r="P23" s="242">
        <v>760734</v>
      </c>
      <c r="Q23" s="242">
        <v>758499</v>
      </c>
      <c r="R23" s="242">
        <v>730151</v>
      </c>
      <c r="S23" s="242">
        <v>988343</v>
      </c>
      <c r="T23" s="242">
        <v>1303423</v>
      </c>
      <c r="U23" s="242">
        <v>955980</v>
      </c>
      <c r="V23" s="242">
        <v>8507547</v>
      </c>
    </row>
    <row r="24" spans="1:22" x14ac:dyDescent="0.3">
      <c r="A24" s="238"/>
      <c r="B24" s="238"/>
      <c r="C24" s="254" t="s">
        <v>232</v>
      </c>
      <c r="D24" s="255">
        <v>892794</v>
      </c>
      <c r="E24" s="220" t="s">
        <v>162</v>
      </c>
      <c r="H24" s="253" t="s">
        <v>219</v>
      </c>
      <c r="I24" s="242">
        <v>11088</v>
      </c>
      <c r="J24" s="242">
        <v>32474</v>
      </c>
      <c r="K24" s="242">
        <v>13910</v>
      </c>
      <c r="L24" s="242">
        <v>37682</v>
      </c>
      <c r="M24" s="242">
        <v>80.19</v>
      </c>
      <c r="N24" s="242">
        <v>16751</v>
      </c>
      <c r="O24" s="242">
        <v>16599</v>
      </c>
      <c r="P24" s="242">
        <v>16550</v>
      </c>
      <c r="Q24" s="242">
        <v>19854</v>
      </c>
      <c r="R24" s="242">
        <v>1507</v>
      </c>
      <c r="S24" s="242">
        <v>11255</v>
      </c>
      <c r="T24" s="242"/>
      <c r="U24" s="242"/>
      <c r="V24" s="242">
        <v>177750.19</v>
      </c>
    </row>
    <row r="25" spans="1:22" x14ac:dyDescent="0.3">
      <c r="A25" s="251" t="s">
        <v>207</v>
      </c>
      <c r="B25" s="238" t="s">
        <v>205</v>
      </c>
      <c r="C25" s="238" t="s">
        <v>206</v>
      </c>
      <c r="D25" s="239">
        <v>26.67</v>
      </c>
      <c r="E25" s="220" t="s">
        <v>206</v>
      </c>
      <c r="H25" s="253" t="s">
        <v>227</v>
      </c>
      <c r="I25" s="242">
        <v>53301</v>
      </c>
      <c r="J25" s="242">
        <v>7258.84</v>
      </c>
      <c r="K25" s="242">
        <v>6612</v>
      </c>
      <c r="L25" s="242">
        <v>98936.209999999992</v>
      </c>
      <c r="M25" s="242">
        <v>76451.520000000019</v>
      </c>
      <c r="N25" s="242">
        <v>99324.3</v>
      </c>
      <c r="O25" s="242">
        <v>139318.70000000001</v>
      </c>
      <c r="P25" s="242">
        <v>120641.59999999999</v>
      </c>
      <c r="Q25" s="242">
        <v>137130</v>
      </c>
      <c r="R25" s="242">
        <v>535.51</v>
      </c>
      <c r="S25" s="242">
        <v>28.75</v>
      </c>
      <c r="T25" s="242">
        <v>366.55</v>
      </c>
      <c r="U25" s="242">
        <v>110.03</v>
      </c>
      <c r="V25" s="242">
        <v>740015.01000000013</v>
      </c>
    </row>
    <row r="26" spans="1:22" x14ac:dyDescent="0.3">
      <c r="A26" s="251" t="s">
        <v>207</v>
      </c>
      <c r="B26" s="238" t="s">
        <v>214</v>
      </c>
      <c r="C26" s="238" t="s">
        <v>215</v>
      </c>
      <c r="D26" s="239">
        <v>20779</v>
      </c>
      <c r="E26" s="220" t="s">
        <v>216</v>
      </c>
      <c r="H26" s="253" t="s">
        <v>88</v>
      </c>
      <c r="I26" s="242">
        <v>892794</v>
      </c>
      <c r="J26" s="242">
        <v>481635.26000000007</v>
      </c>
      <c r="K26" s="242">
        <v>863457</v>
      </c>
      <c r="L26" s="242">
        <v>1199490.21</v>
      </c>
      <c r="M26" s="242">
        <v>861418.71</v>
      </c>
      <c r="N26" s="242">
        <v>617849.80000000005</v>
      </c>
      <c r="O26" s="242">
        <v>959187.7</v>
      </c>
      <c r="P26" s="242">
        <v>1562763.7000000002</v>
      </c>
      <c r="Q26" s="242">
        <v>1473370.6</v>
      </c>
      <c r="R26" s="242">
        <v>861588.08000000007</v>
      </c>
      <c r="S26" s="242">
        <v>1417612.75</v>
      </c>
      <c r="T26" s="242">
        <v>1859305.1300000001</v>
      </c>
      <c r="U26" s="242">
        <v>1298504.03</v>
      </c>
      <c r="V26" s="242">
        <v>14348976.969999999</v>
      </c>
    </row>
    <row r="27" spans="1:22" x14ac:dyDescent="0.3">
      <c r="A27" s="251" t="s">
        <v>207</v>
      </c>
      <c r="B27" s="238" t="s">
        <v>217</v>
      </c>
      <c r="C27" s="238" t="s">
        <v>218</v>
      </c>
      <c r="D27" s="239">
        <v>32474</v>
      </c>
      <c r="E27" s="220" t="s">
        <v>219</v>
      </c>
    </row>
    <row r="28" spans="1:22" x14ac:dyDescent="0.3">
      <c r="A28" s="251" t="s">
        <v>207</v>
      </c>
      <c r="B28" s="238" t="s">
        <v>221</v>
      </c>
      <c r="C28" s="238" t="s">
        <v>222</v>
      </c>
      <c r="D28" s="239">
        <v>242761</v>
      </c>
      <c r="E28" s="220" t="s">
        <v>222</v>
      </c>
    </row>
    <row r="29" spans="1:22" x14ac:dyDescent="0.3">
      <c r="A29" s="251" t="s">
        <v>207</v>
      </c>
      <c r="B29" s="238" t="s">
        <v>223</v>
      </c>
      <c r="C29" s="238" t="s">
        <v>224</v>
      </c>
      <c r="D29" s="239">
        <v>15.75</v>
      </c>
      <c r="E29" s="220" t="s">
        <v>220</v>
      </c>
      <c r="Q29" s="250"/>
    </row>
    <row r="30" spans="1:22" x14ac:dyDescent="0.3">
      <c r="A30" s="251" t="s">
        <v>207</v>
      </c>
      <c r="B30" s="238" t="s">
        <v>225</v>
      </c>
      <c r="C30" s="238" t="s">
        <v>226</v>
      </c>
      <c r="D30" s="239">
        <v>0.04</v>
      </c>
      <c r="E30" s="220" t="s">
        <v>227</v>
      </c>
    </row>
    <row r="31" spans="1:22" x14ac:dyDescent="0.3">
      <c r="A31" s="251" t="s">
        <v>207</v>
      </c>
      <c r="B31" s="238" t="s">
        <v>233</v>
      </c>
      <c r="C31" s="238" t="s">
        <v>234</v>
      </c>
      <c r="D31" s="239">
        <v>128</v>
      </c>
      <c r="E31" s="220" t="s">
        <v>227</v>
      </c>
    </row>
    <row r="32" spans="1:22" x14ac:dyDescent="0.3">
      <c r="A32" s="251" t="s">
        <v>207</v>
      </c>
      <c r="B32" s="238" t="s">
        <v>235</v>
      </c>
      <c r="C32" s="238" t="s">
        <v>236</v>
      </c>
      <c r="D32" s="239">
        <v>902.8</v>
      </c>
      <c r="E32" s="220" t="s">
        <v>227</v>
      </c>
    </row>
    <row r="33" spans="1:5" x14ac:dyDescent="0.3">
      <c r="A33" s="251" t="s">
        <v>207</v>
      </c>
      <c r="B33" s="238" t="s">
        <v>228</v>
      </c>
      <c r="C33" s="238" t="s">
        <v>229</v>
      </c>
      <c r="D33" s="239">
        <v>6228</v>
      </c>
      <c r="E33" s="220" t="s">
        <v>227</v>
      </c>
    </row>
    <row r="34" spans="1:5" x14ac:dyDescent="0.3">
      <c r="A34" s="251" t="s">
        <v>207</v>
      </c>
      <c r="B34" s="238" t="s">
        <v>230</v>
      </c>
      <c r="C34" s="238" t="s">
        <v>231</v>
      </c>
      <c r="D34" s="239">
        <v>178320</v>
      </c>
      <c r="E34" s="220" t="s">
        <v>192</v>
      </c>
    </row>
    <row r="35" spans="1:5" x14ac:dyDescent="0.3">
      <c r="A35" s="238"/>
      <c r="B35" s="238"/>
      <c r="C35" s="254" t="s">
        <v>237</v>
      </c>
      <c r="D35" s="255">
        <v>481635</v>
      </c>
      <c r="E35" s="220" t="s">
        <v>162</v>
      </c>
    </row>
    <row r="36" spans="1:5" x14ac:dyDescent="0.3">
      <c r="A36" s="251" t="s">
        <v>208</v>
      </c>
      <c r="B36" s="238" t="s">
        <v>205</v>
      </c>
      <c r="C36" s="238" t="s">
        <v>206</v>
      </c>
      <c r="D36" s="239">
        <v>11109</v>
      </c>
      <c r="E36" s="220" t="s">
        <v>206</v>
      </c>
    </row>
    <row r="37" spans="1:5" x14ac:dyDescent="0.3">
      <c r="A37" s="251" t="s">
        <v>208</v>
      </c>
      <c r="B37" s="238" t="s">
        <v>214</v>
      </c>
      <c r="C37" s="238" t="s">
        <v>215</v>
      </c>
      <c r="D37" s="239">
        <v>34479</v>
      </c>
      <c r="E37" s="220" t="s">
        <v>216</v>
      </c>
    </row>
    <row r="38" spans="1:5" x14ac:dyDescent="0.3">
      <c r="A38" s="251" t="s">
        <v>208</v>
      </c>
      <c r="B38" s="238" t="s">
        <v>217</v>
      </c>
      <c r="C38" s="238" t="s">
        <v>218</v>
      </c>
      <c r="D38" s="239">
        <v>13910</v>
      </c>
      <c r="E38" s="220" t="s">
        <v>219</v>
      </c>
    </row>
    <row r="39" spans="1:5" x14ac:dyDescent="0.3">
      <c r="A39" s="251" t="s">
        <v>208</v>
      </c>
      <c r="B39" s="238" t="s">
        <v>221</v>
      </c>
      <c r="C39" s="238" t="s">
        <v>222</v>
      </c>
      <c r="D39" s="239">
        <v>451394</v>
      </c>
      <c r="E39" s="220" t="s">
        <v>222</v>
      </c>
    </row>
    <row r="40" spans="1:5" x14ac:dyDescent="0.3">
      <c r="A40" s="251" t="s">
        <v>208</v>
      </c>
      <c r="B40" s="238" t="s">
        <v>225</v>
      </c>
      <c r="C40" s="238" t="s">
        <v>226</v>
      </c>
      <c r="D40" s="239">
        <v>6612</v>
      </c>
      <c r="E40" s="220" t="s">
        <v>227</v>
      </c>
    </row>
    <row r="41" spans="1:5" x14ac:dyDescent="0.3">
      <c r="A41" s="251" t="s">
        <v>208</v>
      </c>
      <c r="B41" s="238" t="s">
        <v>230</v>
      </c>
      <c r="C41" s="238" t="s">
        <v>231</v>
      </c>
      <c r="D41" s="239">
        <v>345953</v>
      </c>
      <c r="E41" s="220" t="s">
        <v>192</v>
      </c>
    </row>
    <row r="42" spans="1:5" x14ac:dyDescent="0.3">
      <c r="A42" s="238"/>
      <c r="B42" s="238"/>
      <c r="C42" s="254" t="s">
        <v>238</v>
      </c>
      <c r="D42" s="255">
        <v>863458</v>
      </c>
      <c r="E42" s="220" t="s">
        <v>162</v>
      </c>
    </row>
    <row r="43" spans="1:5" x14ac:dyDescent="0.3">
      <c r="A43" s="251" t="s">
        <v>209</v>
      </c>
      <c r="B43" s="238" t="s">
        <v>205</v>
      </c>
      <c r="C43" s="238" t="s">
        <v>206</v>
      </c>
      <c r="D43" s="239">
        <v>12301</v>
      </c>
      <c r="E43" s="220" t="s">
        <v>206</v>
      </c>
    </row>
    <row r="44" spans="1:5" x14ac:dyDescent="0.3">
      <c r="A44" s="251" t="s">
        <v>209</v>
      </c>
      <c r="B44" s="238" t="s">
        <v>214</v>
      </c>
      <c r="C44" s="238" t="s">
        <v>215</v>
      </c>
      <c r="D44" s="239">
        <v>13921</v>
      </c>
      <c r="E44" s="220" t="s">
        <v>216</v>
      </c>
    </row>
    <row r="45" spans="1:5" x14ac:dyDescent="0.3">
      <c r="A45" s="251" t="s">
        <v>209</v>
      </c>
      <c r="B45" s="238" t="s">
        <v>217</v>
      </c>
      <c r="C45" s="238" t="s">
        <v>218</v>
      </c>
      <c r="D45" s="239">
        <v>37682</v>
      </c>
      <c r="E45" s="220" t="s">
        <v>219</v>
      </c>
    </row>
    <row r="46" spans="1:5" x14ac:dyDescent="0.3">
      <c r="A46" s="251" t="s">
        <v>209</v>
      </c>
      <c r="B46" s="238" t="s">
        <v>221</v>
      </c>
      <c r="C46" s="238" t="s">
        <v>222</v>
      </c>
      <c r="D46" s="239">
        <v>765731</v>
      </c>
      <c r="E46" s="220" t="s">
        <v>222</v>
      </c>
    </row>
    <row r="47" spans="1:5" x14ac:dyDescent="0.3">
      <c r="A47" s="251" t="s">
        <v>209</v>
      </c>
      <c r="B47" s="238" t="s">
        <v>225</v>
      </c>
      <c r="C47" s="238" t="s">
        <v>226</v>
      </c>
      <c r="D47" s="239">
        <v>87988</v>
      </c>
      <c r="E47" s="220" t="s">
        <v>227</v>
      </c>
    </row>
    <row r="48" spans="1:5" x14ac:dyDescent="0.3">
      <c r="A48" s="251" t="s">
        <v>209</v>
      </c>
      <c r="B48" s="238" t="s">
        <v>225</v>
      </c>
      <c r="C48" s="238" t="s">
        <v>239</v>
      </c>
      <c r="D48" s="239">
        <v>3015</v>
      </c>
      <c r="E48" s="220" t="s">
        <v>227</v>
      </c>
    </row>
    <row r="49" spans="1:5" x14ac:dyDescent="0.3">
      <c r="A49" s="251" t="s">
        <v>209</v>
      </c>
      <c r="B49" s="238" t="s">
        <v>235</v>
      </c>
      <c r="C49" s="238" t="s">
        <v>236</v>
      </c>
      <c r="D49" s="239">
        <v>221.8</v>
      </c>
      <c r="E49" s="220" t="s">
        <v>227</v>
      </c>
    </row>
    <row r="50" spans="1:5" x14ac:dyDescent="0.3">
      <c r="A50" s="251" t="s">
        <v>209</v>
      </c>
      <c r="B50" s="238" t="s">
        <v>240</v>
      </c>
      <c r="C50" s="238" t="s">
        <v>241</v>
      </c>
      <c r="D50" s="239">
        <v>6.26</v>
      </c>
      <c r="E50" s="220" t="s">
        <v>227</v>
      </c>
    </row>
    <row r="51" spans="1:5" x14ac:dyDescent="0.3">
      <c r="A51" s="251" t="s">
        <v>209</v>
      </c>
      <c r="B51" s="238" t="s">
        <v>242</v>
      </c>
      <c r="C51" s="238" t="s">
        <v>243</v>
      </c>
      <c r="D51" s="239">
        <v>5.15</v>
      </c>
      <c r="E51" s="220" t="s">
        <v>227</v>
      </c>
    </row>
    <row r="52" spans="1:5" x14ac:dyDescent="0.3">
      <c r="A52" s="251" t="s">
        <v>209</v>
      </c>
      <c r="B52" s="238" t="s">
        <v>228</v>
      </c>
      <c r="C52" s="238" t="s">
        <v>229</v>
      </c>
      <c r="D52" s="239">
        <v>7700</v>
      </c>
      <c r="E52" s="220" t="s">
        <v>227</v>
      </c>
    </row>
    <row r="53" spans="1:5" x14ac:dyDescent="0.3">
      <c r="A53" s="251" t="s">
        <v>209</v>
      </c>
      <c r="B53" s="238" t="s">
        <v>230</v>
      </c>
      <c r="C53" s="238" t="s">
        <v>231</v>
      </c>
      <c r="D53" s="239">
        <v>270919</v>
      </c>
      <c r="E53" s="220" t="s">
        <v>192</v>
      </c>
    </row>
    <row r="54" spans="1:5" x14ac:dyDescent="0.3">
      <c r="A54" s="238"/>
      <c r="B54" s="238"/>
      <c r="C54" s="254" t="s">
        <v>244</v>
      </c>
      <c r="D54" s="255">
        <v>1199490</v>
      </c>
      <c r="E54" s="220" t="s">
        <v>162</v>
      </c>
    </row>
    <row r="55" spans="1:5" x14ac:dyDescent="0.3">
      <c r="A55" s="251" t="s">
        <v>210</v>
      </c>
      <c r="B55" s="238" t="s">
        <v>205</v>
      </c>
      <c r="C55" s="238" t="s">
        <v>206</v>
      </c>
      <c r="D55" s="239">
        <v>2321</v>
      </c>
      <c r="E55" s="220" t="s">
        <v>206</v>
      </c>
    </row>
    <row r="56" spans="1:5" x14ac:dyDescent="0.3">
      <c r="A56" s="251" t="s">
        <v>210</v>
      </c>
      <c r="B56" s="238" t="s">
        <v>214</v>
      </c>
      <c r="C56" s="238" t="s">
        <v>215</v>
      </c>
      <c r="D56" s="239">
        <v>13721</v>
      </c>
      <c r="E56" s="220" t="s">
        <v>216</v>
      </c>
    </row>
    <row r="57" spans="1:5" x14ac:dyDescent="0.3">
      <c r="A57" s="251" t="s">
        <v>210</v>
      </c>
      <c r="B57" s="238" t="s">
        <v>217</v>
      </c>
      <c r="C57" s="238" t="s">
        <v>218</v>
      </c>
      <c r="D57" s="239">
        <v>80.19</v>
      </c>
      <c r="E57" s="220" t="s">
        <v>219</v>
      </c>
    </row>
    <row r="58" spans="1:5" x14ac:dyDescent="0.3">
      <c r="A58" s="251" t="s">
        <v>210</v>
      </c>
      <c r="B58" s="238" t="s">
        <v>221</v>
      </c>
      <c r="C58" s="238" t="s">
        <v>222</v>
      </c>
      <c r="D58" s="239">
        <v>423966</v>
      </c>
      <c r="E58" s="220" t="s">
        <v>222</v>
      </c>
    </row>
    <row r="59" spans="1:5" x14ac:dyDescent="0.3">
      <c r="A59" s="251" t="s">
        <v>210</v>
      </c>
      <c r="B59" s="238" t="s">
        <v>225</v>
      </c>
      <c r="C59" s="238" t="s">
        <v>226</v>
      </c>
      <c r="D59" s="239">
        <v>68535</v>
      </c>
      <c r="E59" s="220" t="s">
        <v>227</v>
      </c>
    </row>
    <row r="60" spans="1:5" x14ac:dyDescent="0.3">
      <c r="A60" s="251" t="s">
        <v>210</v>
      </c>
      <c r="B60" s="238" t="s">
        <v>233</v>
      </c>
      <c r="C60" s="238" t="s">
        <v>234</v>
      </c>
      <c r="D60" s="239">
        <v>30.21</v>
      </c>
      <c r="E60" s="220" t="s">
        <v>227</v>
      </c>
    </row>
    <row r="61" spans="1:5" x14ac:dyDescent="0.3">
      <c r="A61" s="251" t="s">
        <v>210</v>
      </c>
      <c r="B61" s="238" t="s">
        <v>225</v>
      </c>
      <c r="C61" s="238" t="s">
        <v>239</v>
      </c>
      <c r="D61" s="239">
        <v>485.1</v>
      </c>
      <c r="E61" s="220" t="s">
        <v>227</v>
      </c>
    </row>
    <row r="62" spans="1:5" x14ac:dyDescent="0.3">
      <c r="A62" s="251" t="s">
        <v>210</v>
      </c>
      <c r="B62" s="238" t="s">
        <v>235</v>
      </c>
      <c r="C62" s="238" t="s">
        <v>236</v>
      </c>
      <c r="D62" s="239">
        <v>7401</v>
      </c>
      <c r="E62" s="220" t="s">
        <v>227</v>
      </c>
    </row>
    <row r="63" spans="1:5" x14ac:dyDescent="0.3">
      <c r="A63" s="251" t="s">
        <v>210</v>
      </c>
      <c r="B63" s="238" t="s">
        <v>228</v>
      </c>
      <c r="C63" s="238" t="s">
        <v>229</v>
      </c>
      <c r="D63" s="239">
        <v>0.21</v>
      </c>
      <c r="E63" s="220" t="s">
        <v>227</v>
      </c>
    </row>
    <row r="64" spans="1:5" x14ac:dyDescent="0.3">
      <c r="A64" s="251" t="s">
        <v>210</v>
      </c>
      <c r="B64" s="238" t="s">
        <v>230</v>
      </c>
      <c r="C64" s="238" t="s">
        <v>231</v>
      </c>
      <c r="D64" s="239">
        <v>344879</v>
      </c>
      <c r="E64" s="220" t="s">
        <v>192</v>
      </c>
    </row>
    <row r="65" spans="1:5" x14ac:dyDescent="0.3">
      <c r="A65" s="238"/>
      <c r="B65" s="238"/>
      <c r="C65" s="254" t="s">
        <v>245</v>
      </c>
      <c r="D65" s="255">
        <v>861418</v>
      </c>
      <c r="E65" s="220" t="s">
        <v>162</v>
      </c>
    </row>
    <row r="66" spans="1:5" x14ac:dyDescent="0.3">
      <c r="A66" s="251" t="s">
        <v>211</v>
      </c>
      <c r="B66" s="238" t="s">
        <v>205</v>
      </c>
      <c r="C66" s="238" t="s">
        <v>206</v>
      </c>
      <c r="D66" s="239">
        <v>10483</v>
      </c>
      <c r="E66" s="220" t="s">
        <v>206</v>
      </c>
    </row>
    <row r="67" spans="1:5" x14ac:dyDescent="0.3">
      <c r="A67" s="251" t="s">
        <v>211</v>
      </c>
      <c r="B67" s="238" t="s">
        <v>246</v>
      </c>
      <c r="C67" s="238" t="s">
        <v>247</v>
      </c>
      <c r="D67" s="239">
        <v>5500</v>
      </c>
      <c r="E67" s="220" t="s">
        <v>169</v>
      </c>
    </row>
    <row r="68" spans="1:5" x14ac:dyDescent="0.3">
      <c r="A68" s="251" t="s">
        <v>211</v>
      </c>
      <c r="B68" s="238" t="s">
        <v>214</v>
      </c>
      <c r="C68" s="238" t="s">
        <v>215</v>
      </c>
      <c r="D68" s="239">
        <v>407.5</v>
      </c>
      <c r="E68" s="220" t="s">
        <v>216</v>
      </c>
    </row>
    <row r="69" spans="1:5" x14ac:dyDescent="0.3">
      <c r="A69" s="251" t="s">
        <v>211</v>
      </c>
      <c r="B69" s="238" t="s">
        <v>217</v>
      </c>
      <c r="C69" s="238" t="s">
        <v>218</v>
      </c>
      <c r="D69" s="239">
        <v>16751</v>
      </c>
      <c r="E69" s="220" t="s">
        <v>219</v>
      </c>
    </row>
    <row r="70" spans="1:5" x14ac:dyDescent="0.3">
      <c r="A70" s="251" t="s">
        <v>211</v>
      </c>
      <c r="B70" s="238" t="s">
        <v>221</v>
      </c>
      <c r="C70" s="238" t="s">
        <v>222</v>
      </c>
      <c r="D70" s="239">
        <v>319656</v>
      </c>
      <c r="E70" s="220" t="s">
        <v>222</v>
      </c>
    </row>
    <row r="71" spans="1:5" x14ac:dyDescent="0.3">
      <c r="A71" s="251" t="s">
        <v>211</v>
      </c>
      <c r="B71" s="238" t="s">
        <v>225</v>
      </c>
      <c r="C71" s="238" t="s">
        <v>226</v>
      </c>
      <c r="D71" s="239">
        <v>47986</v>
      </c>
      <c r="E71" s="220" t="s">
        <v>227</v>
      </c>
    </row>
    <row r="72" spans="1:5" x14ac:dyDescent="0.3">
      <c r="A72" s="251" t="s">
        <v>211</v>
      </c>
      <c r="B72" s="238" t="s">
        <v>233</v>
      </c>
      <c r="C72" s="238" t="s">
        <v>234</v>
      </c>
      <c r="D72" s="239">
        <v>60.94</v>
      </c>
      <c r="E72" s="220" t="s">
        <v>227</v>
      </c>
    </row>
    <row r="73" spans="1:5" x14ac:dyDescent="0.3">
      <c r="A73" s="251" t="s">
        <v>211</v>
      </c>
      <c r="B73" s="238" t="s">
        <v>240</v>
      </c>
      <c r="C73" s="238" t="s">
        <v>241</v>
      </c>
      <c r="D73" s="239">
        <v>50596</v>
      </c>
      <c r="E73" s="220" t="s">
        <v>227</v>
      </c>
    </row>
    <row r="74" spans="1:5" x14ac:dyDescent="0.3">
      <c r="A74" s="251" t="s">
        <v>211</v>
      </c>
      <c r="B74" s="238" t="s">
        <v>242</v>
      </c>
      <c r="C74" s="238" t="s">
        <v>243</v>
      </c>
      <c r="D74" s="239">
        <v>595.29999999999995</v>
      </c>
      <c r="E74" s="220" t="s">
        <v>227</v>
      </c>
    </row>
    <row r="75" spans="1:5" x14ac:dyDescent="0.3">
      <c r="A75" s="251" t="s">
        <v>211</v>
      </c>
      <c r="B75" s="238" t="s">
        <v>248</v>
      </c>
      <c r="C75" s="238" t="s">
        <v>249</v>
      </c>
      <c r="D75" s="239">
        <v>86.06</v>
      </c>
      <c r="E75" s="220" t="s">
        <v>227</v>
      </c>
    </row>
    <row r="76" spans="1:5" x14ac:dyDescent="0.3">
      <c r="A76" s="251" t="s">
        <v>211</v>
      </c>
      <c r="B76" s="238" t="s">
        <v>230</v>
      </c>
      <c r="C76" s="238" t="s">
        <v>231</v>
      </c>
      <c r="D76" s="239">
        <v>165728</v>
      </c>
      <c r="E76" s="220" t="s">
        <v>192</v>
      </c>
    </row>
    <row r="77" spans="1:5" x14ac:dyDescent="0.3">
      <c r="A77" s="238"/>
      <c r="B77" s="238"/>
      <c r="C77" s="254" t="s">
        <v>250</v>
      </c>
      <c r="D77" s="255">
        <v>617851</v>
      </c>
      <c r="E77" s="220" t="s">
        <v>162</v>
      </c>
    </row>
    <row r="78" spans="1:5" x14ac:dyDescent="0.3">
      <c r="A78" s="251" t="s">
        <v>212</v>
      </c>
      <c r="B78" s="238" t="s">
        <v>205</v>
      </c>
      <c r="C78" s="238" t="s">
        <v>206</v>
      </c>
      <c r="D78" s="239">
        <v>27450</v>
      </c>
      <c r="E78" s="220" t="s">
        <v>206</v>
      </c>
    </row>
    <row r="79" spans="1:5" x14ac:dyDescent="0.3">
      <c r="A79" s="251" t="s">
        <v>212</v>
      </c>
      <c r="B79" s="238" t="s">
        <v>246</v>
      </c>
      <c r="C79" s="238" t="s">
        <v>247</v>
      </c>
      <c r="D79" s="239">
        <v>5250</v>
      </c>
      <c r="E79" s="220" t="s">
        <v>169</v>
      </c>
    </row>
    <row r="80" spans="1:5" x14ac:dyDescent="0.3">
      <c r="A80" s="251" t="s">
        <v>212</v>
      </c>
      <c r="B80" s="238" t="s">
        <v>214</v>
      </c>
      <c r="C80" s="238" t="s">
        <v>215</v>
      </c>
      <c r="D80" s="239">
        <v>3683</v>
      </c>
      <c r="E80" s="220" t="s">
        <v>216</v>
      </c>
    </row>
    <row r="81" spans="1:5" x14ac:dyDescent="0.3">
      <c r="A81" s="251" t="s">
        <v>212</v>
      </c>
      <c r="B81" s="238" t="s">
        <v>217</v>
      </c>
      <c r="C81" s="238" t="s">
        <v>218</v>
      </c>
      <c r="D81" s="239">
        <v>16599</v>
      </c>
      <c r="E81" s="220" t="s">
        <v>219</v>
      </c>
    </row>
    <row r="82" spans="1:5" x14ac:dyDescent="0.3">
      <c r="A82" s="251" t="s">
        <v>212</v>
      </c>
      <c r="B82" s="238" t="s">
        <v>221</v>
      </c>
      <c r="C82" s="238" t="s">
        <v>222</v>
      </c>
      <c r="D82" s="239">
        <v>386383</v>
      </c>
      <c r="E82" s="220" t="s">
        <v>222</v>
      </c>
    </row>
    <row r="83" spans="1:5" x14ac:dyDescent="0.3">
      <c r="A83" s="251" t="s">
        <v>212</v>
      </c>
      <c r="B83" s="238" t="s">
        <v>251</v>
      </c>
      <c r="C83" s="238" t="s">
        <v>252</v>
      </c>
      <c r="D83" s="239">
        <v>49</v>
      </c>
      <c r="E83" s="220" t="s">
        <v>193</v>
      </c>
    </row>
    <row r="84" spans="1:5" x14ac:dyDescent="0.3">
      <c r="A84" s="251" t="s">
        <v>212</v>
      </c>
      <c r="B84" s="238" t="s">
        <v>225</v>
      </c>
      <c r="C84" s="238" t="s">
        <v>226</v>
      </c>
      <c r="D84" s="239">
        <v>115845</v>
      </c>
      <c r="E84" s="220" t="s">
        <v>227</v>
      </c>
    </row>
    <row r="85" spans="1:5" x14ac:dyDescent="0.3">
      <c r="A85" s="251" t="s">
        <v>212</v>
      </c>
      <c r="B85" s="238" t="s">
        <v>233</v>
      </c>
      <c r="C85" s="238" t="s">
        <v>234</v>
      </c>
      <c r="D85" s="239">
        <v>100</v>
      </c>
      <c r="E85" s="220" t="s">
        <v>227</v>
      </c>
    </row>
    <row r="86" spans="1:5" x14ac:dyDescent="0.3">
      <c r="A86" s="251" t="s">
        <v>212</v>
      </c>
      <c r="B86" s="238" t="s">
        <v>235</v>
      </c>
      <c r="C86" s="238" t="s">
        <v>236</v>
      </c>
      <c r="D86" s="239">
        <v>128</v>
      </c>
      <c r="E86" s="220" t="s">
        <v>227</v>
      </c>
    </row>
    <row r="87" spans="1:5" x14ac:dyDescent="0.3">
      <c r="A87" s="251" t="s">
        <v>212</v>
      </c>
      <c r="B87" s="238" t="s">
        <v>240</v>
      </c>
      <c r="C87" s="238" t="s">
        <v>241</v>
      </c>
      <c r="D87" s="239">
        <v>22452</v>
      </c>
      <c r="E87" s="220" t="s">
        <v>227</v>
      </c>
    </row>
    <row r="88" spans="1:5" x14ac:dyDescent="0.3">
      <c r="A88" s="251" t="s">
        <v>212</v>
      </c>
      <c r="B88" s="238" t="s">
        <v>242</v>
      </c>
      <c r="C88" s="238" t="s">
        <v>243</v>
      </c>
      <c r="D88" s="239">
        <v>793.7</v>
      </c>
      <c r="E88" s="220" t="s">
        <v>227</v>
      </c>
    </row>
    <row r="89" spans="1:5" x14ac:dyDescent="0.3">
      <c r="A89" s="251" t="s">
        <v>212</v>
      </c>
      <c r="B89" s="238" t="s">
        <v>230</v>
      </c>
      <c r="C89" s="238" t="s">
        <v>231</v>
      </c>
      <c r="D89" s="239">
        <v>380455</v>
      </c>
      <c r="E89" s="220" t="s">
        <v>192</v>
      </c>
    </row>
    <row r="90" spans="1:5" x14ac:dyDescent="0.3">
      <c r="A90" s="238"/>
      <c r="B90" s="238"/>
      <c r="C90" s="254" t="s">
        <v>253</v>
      </c>
      <c r="D90" s="255">
        <v>959188</v>
      </c>
      <c r="E90" s="220" t="s">
        <v>162</v>
      </c>
    </row>
    <row r="91" spans="1:5" x14ac:dyDescent="0.3">
      <c r="A91" s="251" t="s">
        <v>175</v>
      </c>
      <c r="B91" s="238" t="s">
        <v>205</v>
      </c>
      <c r="C91" s="238" t="s">
        <v>206</v>
      </c>
      <c r="D91" s="239">
        <v>40248</v>
      </c>
      <c r="E91" s="220" t="s">
        <v>206</v>
      </c>
    </row>
    <row r="92" spans="1:5" x14ac:dyDescent="0.3">
      <c r="A92" s="251" t="s">
        <v>175</v>
      </c>
      <c r="B92" s="238" t="s">
        <v>246</v>
      </c>
      <c r="C92" s="238" t="s">
        <v>247</v>
      </c>
      <c r="D92" s="239">
        <v>102770</v>
      </c>
      <c r="E92" s="220" t="s">
        <v>169</v>
      </c>
    </row>
    <row r="93" spans="1:5" x14ac:dyDescent="0.3">
      <c r="A93" s="251" t="s">
        <v>175</v>
      </c>
      <c r="B93" s="238" t="s">
        <v>214</v>
      </c>
      <c r="C93" s="238" t="s">
        <v>215</v>
      </c>
      <c r="D93" s="239">
        <v>121846</v>
      </c>
      <c r="E93" s="220" t="s">
        <v>216</v>
      </c>
    </row>
    <row r="94" spans="1:5" x14ac:dyDescent="0.3">
      <c r="A94" s="251" t="s">
        <v>175</v>
      </c>
      <c r="B94" s="238" t="s">
        <v>217</v>
      </c>
      <c r="C94" s="238" t="s">
        <v>218</v>
      </c>
      <c r="D94" s="239">
        <v>16550</v>
      </c>
      <c r="E94" s="220" t="s">
        <v>219</v>
      </c>
    </row>
    <row r="95" spans="1:5" x14ac:dyDescent="0.3">
      <c r="A95" s="251" t="s">
        <v>175</v>
      </c>
      <c r="B95" s="238" t="s">
        <v>221</v>
      </c>
      <c r="C95" s="238" t="s">
        <v>222</v>
      </c>
      <c r="D95" s="239">
        <v>760734</v>
      </c>
      <c r="E95" s="220" t="s">
        <v>222</v>
      </c>
    </row>
    <row r="96" spans="1:5" x14ac:dyDescent="0.3">
      <c r="A96" s="251" t="s">
        <v>175</v>
      </c>
      <c r="B96" s="238" t="s">
        <v>254</v>
      </c>
      <c r="C96" s="238" t="s">
        <v>255</v>
      </c>
      <c r="D96" s="239">
        <v>20</v>
      </c>
      <c r="E96" s="220" t="s">
        <v>227</v>
      </c>
    </row>
    <row r="97" spans="1:12" x14ac:dyDescent="0.3">
      <c r="A97" s="251" t="s">
        <v>175</v>
      </c>
      <c r="B97" s="238" t="s">
        <v>251</v>
      </c>
      <c r="C97" s="238" t="s">
        <v>252</v>
      </c>
      <c r="D97" s="239">
        <v>25.1</v>
      </c>
      <c r="E97" s="220" t="s">
        <v>193</v>
      </c>
    </row>
    <row r="98" spans="1:12" x14ac:dyDescent="0.3">
      <c r="A98" s="251" t="s">
        <v>175</v>
      </c>
      <c r="B98" s="238" t="s">
        <v>225</v>
      </c>
      <c r="C98" s="238" t="s">
        <v>226</v>
      </c>
      <c r="D98" s="239">
        <v>96984</v>
      </c>
      <c r="E98" s="220" t="s">
        <v>227</v>
      </c>
    </row>
    <row r="99" spans="1:12" x14ac:dyDescent="0.3">
      <c r="A99" s="251" t="s">
        <v>175</v>
      </c>
      <c r="B99" s="238" t="s">
        <v>233</v>
      </c>
      <c r="C99" s="238" t="s">
        <v>234</v>
      </c>
      <c r="D99" s="239">
        <v>407.2</v>
      </c>
      <c r="E99" s="220" t="s">
        <v>227</v>
      </c>
    </row>
    <row r="100" spans="1:12" x14ac:dyDescent="0.3">
      <c r="A100" s="251" t="s">
        <v>175</v>
      </c>
      <c r="B100" s="238" t="s">
        <v>235</v>
      </c>
      <c r="C100" s="238" t="s">
        <v>236</v>
      </c>
      <c r="D100" s="239">
        <v>2001</v>
      </c>
      <c r="E100" s="220" t="s">
        <v>227</v>
      </c>
    </row>
    <row r="101" spans="1:12" x14ac:dyDescent="0.3">
      <c r="A101" s="251" t="s">
        <v>175</v>
      </c>
      <c r="B101" s="238" t="s">
        <v>240</v>
      </c>
      <c r="C101" s="238" t="s">
        <v>241</v>
      </c>
      <c r="D101" s="239">
        <v>21112</v>
      </c>
      <c r="E101" s="220" t="s">
        <v>227</v>
      </c>
    </row>
    <row r="102" spans="1:12" x14ac:dyDescent="0.3">
      <c r="A102" s="251" t="s">
        <v>175</v>
      </c>
      <c r="B102" s="238" t="s">
        <v>228</v>
      </c>
      <c r="C102" s="238" t="s">
        <v>229</v>
      </c>
      <c r="D102" s="239">
        <v>117.4</v>
      </c>
      <c r="E102" s="220" t="s">
        <v>227</v>
      </c>
    </row>
    <row r="103" spans="1:12" x14ac:dyDescent="0.3">
      <c r="A103" s="251" t="s">
        <v>175</v>
      </c>
      <c r="B103" s="238" t="s">
        <v>230</v>
      </c>
      <c r="C103" s="238" t="s">
        <v>231</v>
      </c>
      <c r="D103" s="239">
        <v>399949</v>
      </c>
      <c r="E103" s="220" t="s">
        <v>192</v>
      </c>
    </row>
    <row r="104" spans="1:12" x14ac:dyDescent="0.3">
      <c r="A104" s="238"/>
      <c r="B104" s="238"/>
      <c r="C104" s="254" t="s">
        <v>256</v>
      </c>
      <c r="D104" s="255">
        <v>1562764</v>
      </c>
      <c r="E104" s="220" t="s">
        <v>162</v>
      </c>
    </row>
    <row r="105" spans="1:12" x14ac:dyDescent="0.3">
      <c r="A105" s="251" t="s">
        <v>176</v>
      </c>
      <c r="B105" s="238" t="s">
        <v>205</v>
      </c>
      <c r="C105" s="238" t="s">
        <v>206</v>
      </c>
      <c r="D105" s="239">
        <v>17700</v>
      </c>
      <c r="E105" s="220" t="s">
        <v>206</v>
      </c>
    </row>
    <row r="106" spans="1:12" x14ac:dyDescent="0.3">
      <c r="A106" s="251" t="s">
        <v>176</v>
      </c>
      <c r="B106" s="238" t="s">
        <v>246</v>
      </c>
      <c r="C106" s="238" t="s">
        <v>247</v>
      </c>
      <c r="D106" s="239">
        <v>92956</v>
      </c>
      <c r="E106" s="220" t="s">
        <v>169</v>
      </c>
    </row>
    <row r="107" spans="1:12" x14ac:dyDescent="0.3">
      <c r="A107" s="251" t="s">
        <v>176</v>
      </c>
      <c r="B107" s="238" t="s">
        <v>214</v>
      </c>
      <c r="C107" s="238" t="s">
        <v>215</v>
      </c>
      <c r="D107" s="239">
        <v>95373</v>
      </c>
      <c r="E107" s="220" t="s">
        <v>216</v>
      </c>
    </row>
    <row r="108" spans="1:12" x14ac:dyDescent="0.3">
      <c r="A108" s="251" t="s">
        <v>176</v>
      </c>
      <c r="B108" s="238" t="s">
        <v>217</v>
      </c>
      <c r="C108" s="238" t="s">
        <v>218</v>
      </c>
      <c r="D108" s="239">
        <v>19854</v>
      </c>
      <c r="E108" s="220" t="s">
        <v>219</v>
      </c>
    </row>
    <row r="109" spans="1:12" x14ac:dyDescent="0.3">
      <c r="A109" s="251" t="s">
        <v>176</v>
      </c>
      <c r="B109" s="238" t="s">
        <v>221</v>
      </c>
      <c r="C109" s="238" t="s">
        <v>222</v>
      </c>
      <c r="D109" s="239">
        <v>758499</v>
      </c>
      <c r="E109" s="220" t="s">
        <v>222</v>
      </c>
    </row>
    <row r="110" spans="1:12" x14ac:dyDescent="0.3">
      <c r="A110" s="251" t="s">
        <v>176</v>
      </c>
      <c r="B110" s="238" t="s">
        <v>251</v>
      </c>
      <c r="C110" s="238" t="s">
        <v>252</v>
      </c>
      <c r="D110" s="239">
        <v>37.6</v>
      </c>
      <c r="E110" s="220" t="s">
        <v>193</v>
      </c>
      <c r="L110" s="220">
        <f>1900/5400</f>
        <v>0.35185185185185186</v>
      </c>
    </row>
    <row r="111" spans="1:12" x14ac:dyDescent="0.3">
      <c r="A111" s="251" t="s">
        <v>176</v>
      </c>
      <c r="B111" s="238" t="s">
        <v>225</v>
      </c>
      <c r="C111" s="238" t="s">
        <v>226</v>
      </c>
      <c r="D111" s="239">
        <v>111500</v>
      </c>
      <c r="E111" s="220" t="s">
        <v>227</v>
      </c>
    </row>
    <row r="112" spans="1:12" x14ac:dyDescent="0.3">
      <c r="A112" s="251" t="s">
        <v>176</v>
      </c>
      <c r="B112" s="238" t="s">
        <v>233</v>
      </c>
      <c r="C112" s="238" t="s">
        <v>234</v>
      </c>
      <c r="D112" s="239">
        <v>2723</v>
      </c>
      <c r="E112" s="220" t="s">
        <v>227</v>
      </c>
    </row>
    <row r="113" spans="1:5" x14ac:dyDescent="0.3">
      <c r="A113" s="251" t="s">
        <v>176</v>
      </c>
      <c r="B113" s="238" t="s">
        <v>225</v>
      </c>
      <c r="C113" s="238" t="s">
        <v>239</v>
      </c>
      <c r="D113" s="239">
        <v>421</v>
      </c>
      <c r="E113" s="220" t="s">
        <v>227</v>
      </c>
    </row>
    <row r="114" spans="1:5" x14ac:dyDescent="0.3">
      <c r="A114" s="251" t="s">
        <v>176</v>
      </c>
      <c r="B114" s="238" t="s">
        <v>235</v>
      </c>
      <c r="C114" s="238" t="s">
        <v>236</v>
      </c>
      <c r="D114" s="239">
        <v>12022</v>
      </c>
      <c r="E114" s="220" t="s">
        <v>227</v>
      </c>
    </row>
    <row r="115" spans="1:5" x14ac:dyDescent="0.3">
      <c r="A115" s="251" t="s">
        <v>176</v>
      </c>
      <c r="B115" s="238" t="s">
        <v>240</v>
      </c>
      <c r="C115" s="238" t="s">
        <v>241</v>
      </c>
      <c r="D115" s="239">
        <v>10214</v>
      </c>
      <c r="E115" s="220" t="s">
        <v>227</v>
      </c>
    </row>
    <row r="116" spans="1:5" x14ac:dyDescent="0.3">
      <c r="A116" s="251" t="s">
        <v>176</v>
      </c>
      <c r="B116" s="238" t="s">
        <v>242</v>
      </c>
      <c r="C116" s="238" t="s">
        <v>243</v>
      </c>
      <c r="D116" s="239">
        <v>250</v>
      </c>
      <c r="E116" s="220" t="s">
        <v>227</v>
      </c>
    </row>
    <row r="117" spans="1:5" x14ac:dyDescent="0.3">
      <c r="A117" s="251" t="s">
        <v>176</v>
      </c>
      <c r="B117" s="238" t="s">
        <v>230</v>
      </c>
      <c r="C117" s="238" t="s">
        <v>231</v>
      </c>
      <c r="D117" s="239">
        <v>351821</v>
      </c>
      <c r="E117" s="220" t="s">
        <v>192</v>
      </c>
    </row>
    <row r="118" spans="1:5" x14ac:dyDescent="0.3">
      <c r="A118" s="238"/>
      <c r="B118" s="238"/>
      <c r="C118" s="254" t="s">
        <v>257</v>
      </c>
      <c r="D118" s="255">
        <v>1473369</v>
      </c>
      <c r="E118" s="220" t="s">
        <v>162</v>
      </c>
    </row>
    <row r="119" spans="1:5" x14ac:dyDescent="0.3">
      <c r="A119" s="251" t="s">
        <v>177</v>
      </c>
      <c r="B119" s="238" t="s">
        <v>205</v>
      </c>
      <c r="C119" s="238" t="s">
        <v>206</v>
      </c>
      <c r="D119" s="239">
        <v>41533</v>
      </c>
      <c r="E119" s="220" t="s">
        <v>206</v>
      </c>
    </row>
    <row r="120" spans="1:5" x14ac:dyDescent="0.3">
      <c r="A120" s="251" t="s">
        <v>177</v>
      </c>
      <c r="B120" s="238" t="s">
        <v>246</v>
      </c>
      <c r="C120" s="238" t="s">
        <v>247</v>
      </c>
      <c r="D120" s="239">
        <v>56800</v>
      </c>
      <c r="E120" s="220" t="s">
        <v>169</v>
      </c>
    </row>
    <row r="121" spans="1:5" x14ac:dyDescent="0.3">
      <c r="A121" s="251" t="s">
        <v>177</v>
      </c>
      <c r="B121" s="238" t="s">
        <v>214</v>
      </c>
      <c r="C121" s="238" t="s">
        <v>215</v>
      </c>
      <c r="D121" s="239">
        <v>29276</v>
      </c>
      <c r="E121" s="220" t="s">
        <v>216</v>
      </c>
    </row>
    <row r="122" spans="1:5" x14ac:dyDescent="0.3">
      <c r="A122" s="251" t="s">
        <v>177</v>
      </c>
      <c r="B122" s="238" t="s">
        <v>217</v>
      </c>
      <c r="C122" s="238" t="s">
        <v>218</v>
      </c>
      <c r="D122" s="239">
        <v>1507</v>
      </c>
      <c r="E122" s="220" t="s">
        <v>219</v>
      </c>
    </row>
    <row r="123" spans="1:5" x14ac:dyDescent="0.3">
      <c r="A123" s="251" t="s">
        <v>177</v>
      </c>
      <c r="B123" s="238" t="s">
        <v>221</v>
      </c>
      <c r="C123" s="238" t="s">
        <v>222</v>
      </c>
      <c r="D123" s="239">
        <v>730151</v>
      </c>
      <c r="E123" s="220" t="s">
        <v>222</v>
      </c>
    </row>
    <row r="124" spans="1:5" x14ac:dyDescent="0.3">
      <c r="A124" s="251" t="s">
        <v>177</v>
      </c>
      <c r="B124" s="238" t="s">
        <v>225</v>
      </c>
      <c r="C124" s="238" t="s">
        <v>239</v>
      </c>
      <c r="D124" s="239">
        <v>24.58</v>
      </c>
      <c r="E124" s="220" t="s">
        <v>227</v>
      </c>
    </row>
    <row r="125" spans="1:5" x14ac:dyDescent="0.3">
      <c r="A125" s="251" t="s">
        <v>177</v>
      </c>
      <c r="B125" s="238" t="s">
        <v>242</v>
      </c>
      <c r="C125" s="238" t="s">
        <v>243</v>
      </c>
      <c r="D125" s="239">
        <v>63.63</v>
      </c>
      <c r="E125" s="220" t="s">
        <v>227</v>
      </c>
    </row>
    <row r="126" spans="1:5" x14ac:dyDescent="0.3">
      <c r="A126" s="251" t="s">
        <v>177</v>
      </c>
      <c r="B126" s="238" t="s">
        <v>248</v>
      </c>
      <c r="C126" s="238" t="s">
        <v>249</v>
      </c>
      <c r="D126" s="239">
        <v>24.3</v>
      </c>
      <c r="E126" s="220" t="s">
        <v>227</v>
      </c>
    </row>
    <row r="127" spans="1:5" x14ac:dyDescent="0.3">
      <c r="A127" s="251" t="s">
        <v>177</v>
      </c>
      <c r="B127" s="238" t="s">
        <v>228</v>
      </c>
      <c r="C127" s="238" t="s">
        <v>229</v>
      </c>
      <c r="D127" s="239">
        <v>423</v>
      </c>
      <c r="E127" s="220" t="s">
        <v>227</v>
      </c>
    </row>
    <row r="128" spans="1:5" x14ac:dyDescent="0.3">
      <c r="A128" s="251" t="s">
        <v>177</v>
      </c>
      <c r="B128" s="238" t="s">
        <v>230</v>
      </c>
      <c r="C128" s="238" t="s">
        <v>258</v>
      </c>
      <c r="D128" s="239">
        <v>16.010000000000002</v>
      </c>
      <c r="E128" s="220" t="s">
        <v>192</v>
      </c>
    </row>
    <row r="129" spans="1:5" x14ac:dyDescent="0.3">
      <c r="A129" s="251" t="s">
        <v>177</v>
      </c>
      <c r="B129" s="238" t="s">
        <v>230</v>
      </c>
      <c r="C129" s="238" t="s">
        <v>231</v>
      </c>
      <c r="D129" s="239">
        <v>1368</v>
      </c>
      <c r="E129" s="220" t="s">
        <v>192</v>
      </c>
    </row>
    <row r="130" spans="1:5" x14ac:dyDescent="0.3">
      <c r="A130" s="251" t="s">
        <v>177</v>
      </c>
      <c r="B130" s="238" t="s">
        <v>230</v>
      </c>
      <c r="C130" s="238" t="s">
        <v>259</v>
      </c>
      <c r="D130" s="239">
        <v>24.76</v>
      </c>
      <c r="E130" s="220" t="s">
        <v>192</v>
      </c>
    </row>
    <row r="131" spans="1:5" x14ac:dyDescent="0.3">
      <c r="A131" s="251" t="s">
        <v>177</v>
      </c>
      <c r="B131" s="238" t="s">
        <v>230</v>
      </c>
      <c r="C131" s="238" t="s">
        <v>260</v>
      </c>
      <c r="D131" s="239">
        <v>376.8</v>
      </c>
      <c r="E131" s="220" t="s">
        <v>192</v>
      </c>
    </row>
    <row r="132" spans="1:5" x14ac:dyDescent="0.3">
      <c r="A132" s="238"/>
      <c r="B132" s="238"/>
      <c r="C132" s="254" t="s">
        <v>261</v>
      </c>
      <c r="D132" s="255">
        <v>861587</v>
      </c>
      <c r="E132" s="220" t="s">
        <v>162</v>
      </c>
    </row>
    <row r="133" spans="1:5" x14ac:dyDescent="0.3">
      <c r="A133" s="251" t="s">
        <v>178</v>
      </c>
      <c r="B133" s="238" t="s">
        <v>246</v>
      </c>
      <c r="C133" s="238" t="s">
        <v>247</v>
      </c>
      <c r="D133" s="239">
        <v>168181</v>
      </c>
      <c r="E133" s="220" t="s">
        <v>169</v>
      </c>
    </row>
    <row r="134" spans="1:5" x14ac:dyDescent="0.3">
      <c r="A134" s="251" t="s">
        <v>178</v>
      </c>
      <c r="B134" s="238" t="s">
        <v>214</v>
      </c>
      <c r="C134" s="238" t="s">
        <v>215</v>
      </c>
      <c r="D134" s="239">
        <v>248789</v>
      </c>
      <c r="E134" s="220" t="s">
        <v>216</v>
      </c>
    </row>
    <row r="135" spans="1:5" x14ac:dyDescent="0.3">
      <c r="A135" s="251" t="s">
        <v>178</v>
      </c>
      <c r="B135" s="238" t="s">
        <v>217</v>
      </c>
      <c r="C135" s="238" t="s">
        <v>218</v>
      </c>
      <c r="D135" s="239">
        <v>11255</v>
      </c>
      <c r="E135" s="220" t="s">
        <v>219</v>
      </c>
    </row>
    <row r="136" spans="1:5" x14ac:dyDescent="0.3">
      <c r="A136" s="251" t="s">
        <v>178</v>
      </c>
      <c r="B136" s="238" t="s">
        <v>221</v>
      </c>
      <c r="C136" s="238" t="s">
        <v>222</v>
      </c>
      <c r="D136" s="239">
        <v>988343</v>
      </c>
      <c r="E136" s="220" t="s">
        <v>222</v>
      </c>
    </row>
    <row r="137" spans="1:5" x14ac:dyDescent="0.3">
      <c r="A137" s="251" t="s">
        <v>178</v>
      </c>
      <c r="B137" s="238" t="s">
        <v>240</v>
      </c>
      <c r="C137" s="238" t="s">
        <v>241</v>
      </c>
      <c r="D137" s="239">
        <v>0.65</v>
      </c>
      <c r="E137" s="220" t="s">
        <v>227</v>
      </c>
    </row>
    <row r="138" spans="1:5" x14ac:dyDescent="0.3">
      <c r="A138" s="251" t="s">
        <v>178</v>
      </c>
      <c r="B138" s="238" t="s">
        <v>248</v>
      </c>
      <c r="C138" s="238" t="s">
        <v>249</v>
      </c>
      <c r="D138" s="239">
        <v>28.1</v>
      </c>
      <c r="E138" s="220" t="s">
        <v>227</v>
      </c>
    </row>
    <row r="139" spans="1:5" x14ac:dyDescent="0.3">
      <c r="A139" s="251" t="s">
        <v>178</v>
      </c>
      <c r="B139" s="238" t="s">
        <v>230</v>
      </c>
      <c r="C139" s="238" t="s">
        <v>231</v>
      </c>
      <c r="D139" s="239">
        <v>1016</v>
      </c>
      <c r="E139" s="220" t="s">
        <v>192</v>
      </c>
    </row>
    <row r="140" spans="1:5" x14ac:dyDescent="0.3">
      <c r="A140" s="238"/>
      <c r="B140" s="238"/>
      <c r="C140" s="254" t="s">
        <v>262</v>
      </c>
      <c r="D140" s="255">
        <v>1417614</v>
      </c>
      <c r="E140" s="220" t="s">
        <v>162</v>
      </c>
    </row>
    <row r="141" spans="1:5" x14ac:dyDescent="0.3">
      <c r="A141" s="251" t="s">
        <v>179</v>
      </c>
      <c r="B141" s="238" t="s">
        <v>221</v>
      </c>
      <c r="C141" s="238" t="s">
        <v>222</v>
      </c>
      <c r="D141" s="239">
        <v>1303423</v>
      </c>
      <c r="E141" s="220" t="s">
        <v>222</v>
      </c>
    </row>
    <row r="142" spans="1:5" x14ac:dyDescent="0.3">
      <c r="A142" s="251" t="s">
        <v>179</v>
      </c>
      <c r="B142" s="238" t="s">
        <v>246</v>
      </c>
      <c r="C142" s="238" t="s">
        <v>247</v>
      </c>
      <c r="D142" s="239">
        <v>229588</v>
      </c>
      <c r="E142" s="220" t="s">
        <v>169</v>
      </c>
    </row>
    <row r="143" spans="1:5" x14ac:dyDescent="0.3">
      <c r="A143" s="251" t="s">
        <v>179</v>
      </c>
      <c r="B143" s="238" t="s">
        <v>205</v>
      </c>
      <c r="C143" s="238" t="s">
        <v>206</v>
      </c>
      <c r="D143" s="239">
        <v>182845</v>
      </c>
      <c r="E143" s="220" t="s">
        <v>206</v>
      </c>
    </row>
    <row r="144" spans="1:5" x14ac:dyDescent="0.3">
      <c r="A144" s="251" t="s">
        <v>179</v>
      </c>
      <c r="B144" s="238" t="s">
        <v>214</v>
      </c>
      <c r="C144" s="238" t="s">
        <v>215</v>
      </c>
      <c r="D144" s="239">
        <v>142846</v>
      </c>
      <c r="E144" s="220" t="s">
        <v>216</v>
      </c>
    </row>
    <row r="145" spans="1:5" x14ac:dyDescent="0.3">
      <c r="A145" s="251" t="s">
        <v>179</v>
      </c>
      <c r="B145" s="238" t="s">
        <v>251</v>
      </c>
      <c r="C145" s="238" t="s">
        <v>252</v>
      </c>
      <c r="D145" s="239">
        <v>209.7</v>
      </c>
      <c r="E145" s="220" t="s">
        <v>193</v>
      </c>
    </row>
    <row r="146" spans="1:5" x14ac:dyDescent="0.3">
      <c r="A146" s="251" t="s">
        <v>179</v>
      </c>
      <c r="B146" s="238" t="s">
        <v>263</v>
      </c>
      <c r="C146" s="238" t="s">
        <v>264</v>
      </c>
      <c r="D146" s="239">
        <v>358</v>
      </c>
      <c r="E146" s="220" t="s">
        <v>227</v>
      </c>
    </row>
    <row r="147" spans="1:5" x14ac:dyDescent="0.3">
      <c r="A147" s="251" t="s">
        <v>179</v>
      </c>
      <c r="B147" s="238" t="s">
        <v>235</v>
      </c>
      <c r="C147" s="238" t="s">
        <v>236</v>
      </c>
      <c r="D147" s="239">
        <v>8.5500000000000007</v>
      </c>
      <c r="E147" s="220" t="s">
        <v>227</v>
      </c>
    </row>
    <row r="148" spans="1:5" x14ac:dyDescent="0.3">
      <c r="A148" s="251" t="s">
        <v>179</v>
      </c>
      <c r="B148" s="238" t="s">
        <v>230</v>
      </c>
      <c r="C148" s="238" t="s">
        <v>231</v>
      </c>
      <c r="D148" s="239">
        <v>26.88</v>
      </c>
      <c r="E148" s="220" t="s">
        <v>192</v>
      </c>
    </row>
    <row r="149" spans="1:5" x14ac:dyDescent="0.3">
      <c r="A149" s="238"/>
      <c r="B149" s="238"/>
      <c r="C149" s="254" t="s">
        <v>265</v>
      </c>
      <c r="D149" s="255">
        <v>1859306</v>
      </c>
      <c r="E149" s="220" t="s">
        <v>162</v>
      </c>
    </row>
    <row r="150" spans="1:5" x14ac:dyDescent="0.3">
      <c r="A150" s="251" t="s">
        <v>213</v>
      </c>
      <c r="B150" s="238" t="s">
        <v>221</v>
      </c>
      <c r="C150" s="238" t="s">
        <v>222</v>
      </c>
      <c r="D150" s="239">
        <v>955980</v>
      </c>
      <c r="E150" s="220" t="s">
        <v>222</v>
      </c>
    </row>
    <row r="151" spans="1:5" x14ac:dyDescent="0.3">
      <c r="A151" s="251" t="s">
        <v>213</v>
      </c>
      <c r="B151" s="238" t="s">
        <v>205</v>
      </c>
      <c r="C151" s="238" t="s">
        <v>206</v>
      </c>
      <c r="D151" s="239">
        <v>188740</v>
      </c>
      <c r="E151" s="220" t="s">
        <v>206</v>
      </c>
    </row>
    <row r="152" spans="1:5" x14ac:dyDescent="0.3">
      <c r="A152" s="251" t="s">
        <v>213</v>
      </c>
      <c r="B152" s="238" t="s">
        <v>246</v>
      </c>
      <c r="C152" s="238" t="s">
        <v>247</v>
      </c>
      <c r="D152" s="239">
        <v>118678</v>
      </c>
      <c r="E152" s="220" t="s">
        <v>169</v>
      </c>
    </row>
    <row r="153" spans="1:5" x14ac:dyDescent="0.3">
      <c r="A153" s="251" t="s">
        <v>213</v>
      </c>
      <c r="B153" s="238" t="s">
        <v>214</v>
      </c>
      <c r="C153" s="238" t="s">
        <v>215</v>
      </c>
      <c r="D153" s="239">
        <v>34996</v>
      </c>
      <c r="E153" s="220" t="s">
        <v>216</v>
      </c>
    </row>
    <row r="154" spans="1:5" x14ac:dyDescent="0.3">
      <c r="A154" s="251" t="s">
        <v>213</v>
      </c>
      <c r="B154" s="238" t="s">
        <v>266</v>
      </c>
      <c r="C154" s="238" t="s">
        <v>267</v>
      </c>
      <c r="D154" s="239">
        <v>16.13</v>
      </c>
      <c r="E154" s="220" t="s">
        <v>227</v>
      </c>
    </row>
    <row r="155" spans="1:5" x14ac:dyDescent="0.3">
      <c r="A155" s="251" t="s">
        <v>213</v>
      </c>
      <c r="B155" s="238" t="s">
        <v>263</v>
      </c>
      <c r="C155" s="238" t="s">
        <v>264</v>
      </c>
      <c r="D155" s="239">
        <v>66.78</v>
      </c>
      <c r="E155" s="220" t="s">
        <v>227</v>
      </c>
    </row>
    <row r="156" spans="1:5" x14ac:dyDescent="0.3">
      <c r="A156" s="251" t="s">
        <v>213</v>
      </c>
      <c r="B156" s="238" t="s">
        <v>240</v>
      </c>
      <c r="C156" s="238" t="s">
        <v>241</v>
      </c>
      <c r="D156" s="239">
        <v>0.01</v>
      </c>
      <c r="E156" s="220" t="s">
        <v>227</v>
      </c>
    </row>
    <row r="157" spans="1:5" x14ac:dyDescent="0.3">
      <c r="A157" s="251" t="s">
        <v>213</v>
      </c>
      <c r="B157" s="238" t="s">
        <v>248</v>
      </c>
      <c r="C157" s="238" t="s">
        <v>249</v>
      </c>
      <c r="D157" s="239">
        <v>27.11</v>
      </c>
      <c r="E157" s="220" t="s">
        <v>227</v>
      </c>
    </row>
    <row r="158" spans="1:5" x14ac:dyDescent="0.3">
      <c r="A158" s="238"/>
      <c r="B158" s="238"/>
      <c r="C158" s="254" t="s">
        <v>356</v>
      </c>
      <c r="D158" s="255">
        <v>1298505</v>
      </c>
      <c r="E158" s="220" t="s">
        <v>162</v>
      </c>
    </row>
  </sheetData>
  <mergeCells count="1">
    <mergeCell ref="A10:F10"/>
  </mergeCells>
  <pageMargins left="0.7" right="0.7" top="0.75" bottom="0.75" header="0.3" footer="0.3"/>
  <pageSetup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CD6CA-27CB-4884-9228-B704A33F885D}">
  <sheetPr>
    <tabColor theme="7" tint="0.79998168889431442"/>
  </sheetPr>
  <dimension ref="A1:S54"/>
  <sheetViews>
    <sheetView showGridLines="0" workbookViewId="0">
      <selection activeCell="F31" sqref="F31"/>
    </sheetView>
  </sheetViews>
  <sheetFormatPr defaultRowHeight="14.4" x14ac:dyDescent="0.3"/>
  <cols>
    <col min="1" max="1" width="14.44140625" style="220" customWidth="1"/>
    <col min="2" max="2" width="19" style="220" customWidth="1"/>
    <col min="3" max="3" width="23.33203125" style="220" bestFit="1" customWidth="1"/>
    <col min="4" max="16384" width="8.88671875" style="220"/>
  </cols>
  <sheetData>
    <row r="1" spans="1:19" s="221" customFormat="1" x14ac:dyDescent="0.3">
      <c r="C1" s="222"/>
    </row>
    <row r="2" spans="1:19" s="225" customFormat="1" ht="11.25" customHeight="1" x14ac:dyDescent="0.3">
      <c r="A2" s="223"/>
      <c r="B2" s="223"/>
      <c r="C2" s="222"/>
      <c r="D2" s="224"/>
    </row>
    <row r="3" spans="1:19" s="225" customFormat="1" ht="15.75" customHeight="1" x14ac:dyDescent="0.3">
      <c r="A3" s="223"/>
      <c r="B3" s="223"/>
      <c r="C3" s="226" t="s">
        <v>304</v>
      </c>
      <c r="D3" s="224"/>
    </row>
    <row r="4" spans="1:19" s="225" customFormat="1" ht="12.75" customHeight="1" x14ac:dyDescent="0.3">
      <c r="A4" s="223"/>
      <c r="B4" s="223"/>
      <c r="C4" s="227" t="str">
        <f ca="1">MID(CELL("filename",C4),FIND("]",CELL("filename",C4))+1,256)</f>
        <v>Domestic production</v>
      </c>
      <c r="D4" s="224"/>
    </row>
    <row r="5" spans="1:19" s="225" customFormat="1" ht="15.75" customHeight="1" x14ac:dyDescent="0.3">
      <c r="A5" s="223"/>
      <c r="B5" s="223"/>
      <c r="C5" s="228"/>
      <c r="D5" s="224"/>
    </row>
    <row r="6" spans="1:19" s="232" customFormat="1" ht="9" customHeight="1" x14ac:dyDescent="0.25">
      <c r="A6" s="229"/>
      <c r="B6" s="229"/>
      <c r="C6" s="229"/>
      <c r="D6" s="230"/>
      <c r="E6" s="231"/>
    </row>
    <row r="10" spans="1:19" ht="23.4" x14ac:dyDescent="0.3">
      <c r="A10" s="295" t="s">
        <v>357</v>
      </c>
      <c r="B10" s="295"/>
      <c r="C10" s="295"/>
      <c r="D10" s="295"/>
      <c r="E10" s="295"/>
      <c r="F10" s="295"/>
    </row>
    <row r="12" spans="1:19" x14ac:dyDescent="0.3">
      <c r="A12" s="243" t="s">
        <v>195</v>
      </c>
      <c r="B12" s="220" t="s">
        <v>358</v>
      </c>
    </row>
    <row r="13" spans="1:19" x14ac:dyDescent="0.3">
      <c r="A13" s="243" t="s">
        <v>359</v>
      </c>
      <c r="B13" s="220" t="s">
        <v>360</v>
      </c>
    </row>
    <row r="15" spans="1:19" x14ac:dyDescent="0.3">
      <c r="A15" s="244" t="s">
        <v>99</v>
      </c>
      <c r="B15" s="244" t="s">
        <v>361</v>
      </c>
      <c r="C15" s="244" t="s">
        <v>362</v>
      </c>
      <c r="E15" s="220" t="s">
        <v>363</v>
      </c>
      <c r="F15" s="220" t="s">
        <v>86</v>
      </c>
    </row>
    <row r="16" spans="1:19" x14ac:dyDescent="0.3">
      <c r="A16" s="256" t="s">
        <v>204</v>
      </c>
      <c r="B16" s="238" t="s">
        <v>364</v>
      </c>
      <c r="C16" s="239">
        <v>420526</v>
      </c>
      <c r="E16" s="220" t="s">
        <v>87</v>
      </c>
      <c r="F16" s="220" t="s">
        <v>204</v>
      </c>
      <c r="G16" s="220" t="s">
        <v>207</v>
      </c>
      <c r="H16" s="220" t="s">
        <v>208</v>
      </c>
      <c r="I16" s="220" t="s">
        <v>209</v>
      </c>
      <c r="J16" s="220" t="s">
        <v>210</v>
      </c>
      <c r="K16" s="220" t="s">
        <v>211</v>
      </c>
      <c r="L16" s="220" t="s">
        <v>212</v>
      </c>
      <c r="M16" s="220" t="s">
        <v>175</v>
      </c>
      <c r="N16" s="220" t="s">
        <v>176</v>
      </c>
      <c r="O16" s="220" t="s">
        <v>177</v>
      </c>
      <c r="P16" s="220" t="s">
        <v>178</v>
      </c>
      <c r="Q16" s="220" t="s">
        <v>179</v>
      </c>
      <c r="R16" s="220" t="s">
        <v>213</v>
      </c>
      <c r="S16" s="220" t="s">
        <v>88</v>
      </c>
    </row>
    <row r="17" spans="1:19" x14ac:dyDescent="0.3">
      <c r="A17" s="256" t="s">
        <v>207</v>
      </c>
      <c r="B17" s="238" t="s">
        <v>364</v>
      </c>
      <c r="C17" s="239">
        <v>242761</v>
      </c>
      <c r="E17" s="240" t="s">
        <v>364</v>
      </c>
      <c r="F17" s="220">
        <v>420526</v>
      </c>
      <c r="G17" s="220">
        <v>242761</v>
      </c>
      <c r="H17" s="220">
        <v>451394</v>
      </c>
      <c r="I17" s="220">
        <v>765731</v>
      </c>
      <c r="J17" s="220">
        <v>423966</v>
      </c>
      <c r="K17" s="220">
        <v>319656</v>
      </c>
      <c r="L17" s="220">
        <v>386383</v>
      </c>
      <c r="M17" s="220">
        <v>760734</v>
      </c>
      <c r="N17" s="220">
        <v>758499</v>
      </c>
      <c r="O17" s="220">
        <v>730151</v>
      </c>
      <c r="P17" s="220">
        <v>988343</v>
      </c>
      <c r="Q17" s="220">
        <v>1303423</v>
      </c>
      <c r="R17" s="220">
        <v>955980</v>
      </c>
      <c r="S17" s="220">
        <v>8507547</v>
      </c>
    </row>
    <row r="18" spans="1:19" x14ac:dyDescent="0.3">
      <c r="A18" s="256" t="s">
        <v>208</v>
      </c>
      <c r="B18" s="238" t="s">
        <v>364</v>
      </c>
      <c r="C18" s="239">
        <v>451394</v>
      </c>
      <c r="E18" s="240" t="s">
        <v>365</v>
      </c>
      <c r="F18" s="220">
        <v>18950</v>
      </c>
      <c r="G18" s="220">
        <v>18950</v>
      </c>
      <c r="H18" s="220">
        <v>18950</v>
      </c>
      <c r="I18" s="220">
        <v>50000</v>
      </c>
      <c r="J18" s="220">
        <v>38000</v>
      </c>
      <c r="K18" s="220">
        <v>82440</v>
      </c>
      <c r="L18" s="220">
        <v>329630</v>
      </c>
      <c r="M18" s="220">
        <v>659603</v>
      </c>
      <c r="N18" s="220">
        <v>837436</v>
      </c>
      <c r="O18" s="220">
        <v>743707</v>
      </c>
      <c r="P18" s="220">
        <v>446850</v>
      </c>
      <c r="Q18" s="220">
        <v>1348924</v>
      </c>
      <c r="R18" s="220">
        <v>2540523</v>
      </c>
      <c r="S18" s="220">
        <v>7133963</v>
      </c>
    </row>
    <row r="19" spans="1:19" x14ac:dyDescent="0.3">
      <c r="A19" s="256" t="s">
        <v>209</v>
      </c>
      <c r="B19" s="238" t="s">
        <v>364</v>
      </c>
      <c r="C19" s="239">
        <v>765731</v>
      </c>
      <c r="E19" s="240" t="s">
        <v>366</v>
      </c>
      <c r="F19" s="220">
        <v>69561</v>
      </c>
      <c r="G19" s="220">
        <v>143348</v>
      </c>
      <c r="H19" s="220">
        <v>370000</v>
      </c>
      <c r="I19" s="220">
        <v>235000</v>
      </c>
      <c r="J19" s="220">
        <v>170000</v>
      </c>
      <c r="K19" s="220">
        <v>281750</v>
      </c>
      <c r="L19" s="220">
        <v>695000</v>
      </c>
      <c r="M19" s="220">
        <v>1420325</v>
      </c>
      <c r="N19" s="220">
        <v>1595935</v>
      </c>
      <c r="O19" s="220">
        <v>1473858</v>
      </c>
      <c r="P19" s="220">
        <v>1435193</v>
      </c>
      <c r="Q19" s="220">
        <v>2701279</v>
      </c>
      <c r="R19" s="220">
        <v>3458740</v>
      </c>
      <c r="S19" s="220">
        <v>14049989</v>
      </c>
    </row>
    <row r="20" spans="1:19" x14ac:dyDescent="0.3">
      <c r="A20" s="256" t="s">
        <v>210</v>
      </c>
      <c r="B20" s="238" t="s">
        <v>364</v>
      </c>
      <c r="C20" s="239">
        <v>423966</v>
      </c>
      <c r="E20" s="240" t="s">
        <v>88</v>
      </c>
      <c r="F20" s="220">
        <v>509037</v>
      </c>
      <c r="G20" s="220">
        <v>405059</v>
      </c>
      <c r="H20" s="220">
        <v>840344</v>
      </c>
      <c r="I20" s="220">
        <v>1050731</v>
      </c>
      <c r="J20" s="220">
        <v>631966</v>
      </c>
      <c r="K20" s="220">
        <v>683846</v>
      </c>
      <c r="L20" s="220">
        <v>1411013</v>
      </c>
      <c r="M20" s="220">
        <v>2840662</v>
      </c>
      <c r="N20" s="220">
        <v>3191870</v>
      </c>
      <c r="O20" s="220">
        <v>2947716</v>
      </c>
      <c r="P20" s="220">
        <v>2870386</v>
      </c>
      <c r="Q20" s="220">
        <v>5353626</v>
      </c>
      <c r="R20" s="220">
        <v>6955243</v>
      </c>
      <c r="S20" s="220">
        <v>29691499</v>
      </c>
    </row>
    <row r="21" spans="1:19" x14ac:dyDescent="0.3">
      <c r="A21" s="256" t="s">
        <v>211</v>
      </c>
      <c r="B21" s="238" t="s">
        <v>364</v>
      </c>
      <c r="C21" s="239">
        <v>319656</v>
      </c>
    </row>
    <row r="22" spans="1:19" x14ac:dyDescent="0.3">
      <c r="A22" s="256" t="s">
        <v>212</v>
      </c>
      <c r="B22" s="238" t="s">
        <v>364</v>
      </c>
      <c r="C22" s="239">
        <v>386383</v>
      </c>
    </row>
    <row r="23" spans="1:19" x14ac:dyDescent="0.3">
      <c r="A23" s="256" t="s">
        <v>175</v>
      </c>
      <c r="B23" s="238" t="s">
        <v>364</v>
      </c>
      <c r="C23" s="239">
        <v>760734</v>
      </c>
    </row>
    <row r="24" spans="1:19" x14ac:dyDescent="0.3">
      <c r="A24" s="256" t="s">
        <v>176</v>
      </c>
      <c r="B24" s="238" t="s">
        <v>364</v>
      </c>
      <c r="C24" s="239">
        <v>758499</v>
      </c>
    </row>
    <row r="25" spans="1:19" x14ac:dyDescent="0.3">
      <c r="A25" s="256" t="s">
        <v>177</v>
      </c>
      <c r="B25" s="238" t="s">
        <v>364</v>
      </c>
      <c r="C25" s="239">
        <v>730151</v>
      </c>
    </row>
    <row r="26" spans="1:19" x14ac:dyDescent="0.3">
      <c r="A26" s="256" t="s">
        <v>178</v>
      </c>
      <c r="B26" s="238" t="s">
        <v>364</v>
      </c>
      <c r="C26" s="239">
        <v>988343</v>
      </c>
    </row>
    <row r="27" spans="1:19" x14ac:dyDescent="0.3">
      <c r="A27" s="256" t="s">
        <v>179</v>
      </c>
      <c r="B27" s="238" t="s">
        <v>364</v>
      </c>
      <c r="C27" s="239">
        <v>1303423</v>
      </c>
    </row>
    <row r="28" spans="1:19" x14ac:dyDescent="0.3">
      <c r="A28" s="256" t="s">
        <v>213</v>
      </c>
      <c r="B28" s="238" t="s">
        <v>364</v>
      </c>
      <c r="C28" s="239">
        <v>955980</v>
      </c>
    </row>
    <row r="29" spans="1:19" x14ac:dyDescent="0.3">
      <c r="A29" s="256" t="s">
        <v>204</v>
      </c>
      <c r="B29" s="238" t="s">
        <v>366</v>
      </c>
      <c r="C29" s="239">
        <v>69561</v>
      </c>
    </row>
    <row r="30" spans="1:19" x14ac:dyDescent="0.3">
      <c r="A30" s="256" t="s">
        <v>207</v>
      </c>
      <c r="B30" s="238" t="s">
        <v>366</v>
      </c>
      <c r="C30" s="239">
        <v>143348</v>
      </c>
    </row>
    <row r="31" spans="1:19" x14ac:dyDescent="0.3">
      <c r="A31" s="256" t="s">
        <v>208</v>
      </c>
      <c r="B31" s="238" t="s">
        <v>366</v>
      </c>
      <c r="C31" s="239">
        <v>370000</v>
      </c>
    </row>
    <row r="32" spans="1:19" x14ac:dyDescent="0.3">
      <c r="A32" s="256" t="s">
        <v>209</v>
      </c>
      <c r="B32" s="238" t="s">
        <v>366</v>
      </c>
      <c r="C32" s="239">
        <v>235000</v>
      </c>
    </row>
    <row r="33" spans="1:3" x14ac:dyDescent="0.3">
      <c r="A33" s="256" t="s">
        <v>210</v>
      </c>
      <c r="B33" s="238" t="s">
        <v>366</v>
      </c>
      <c r="C33" s="239">
        <v>170000</v>
      </c>
    </row>
    <row r="34" spans="1:3" x14ac:dyDescent="0.3">
      <c r="A34" s="256" t="s">
        <v>211</v>
      </c>
      <c r="B34" s="238" t="s">
        <v>366</v>
      </c>
      <c r="C34" s="239">
        <v>281750</v>
      </c>
    </row>
    <row r="35" spans="1:3" x14ac:dyDescent="0.3">
      <c r="A35" s="256" t="s">
        <v>212</v>
      </c>
      <c r="B35" s="238" t="s">
        <v>366</v>
      </c>
      <c r="C35" s="239">
        <v>695000</v>
      </c>
    </row>
    <row r="36" spans="1:3" x14ac:dyDescent="0.3">
      <c r="A36" s="256" t="s">
        <v>175</v>
      </c>
      <c r="B36" s="238" t="s">
        <v>366</v>
      </c>
      <c r="C36" s="239">
        <v>1420325</v>
      </c>
    </row>
    <row r="37" spans="1:3" x14ac:dyDescent="0.3">
      <c r="A37" s="256" t="s">
        <v>176</v>
      </c>
      <c r="B37" s="238" t="s">
        <v>366</v>
      </c>
      <c r="C37" s="239">
        <v>1595935</v>
      </c>
    </row>
    <row r="38" spans="1:3" x14ac:dyDescent="0.3">
      <c r="A38" s="256" t="s">
        <v>177</v>
      </c>
      <c r="B38" s="238" t="s">
        <v>366</v>
      </c>
      <c r="C38" s="239">
        <v>1473858</v>
      </c>
    </row>
    <row r="39" spans="1:3" x14ac:dyDescent="0.3">
      <c r="A39" s="256" t="s">
        <v>178</v>
      </c>
      <c r="B39" s="238" t="s">
        <v>366</v>
      </c>
      <c r="C39" s="239">
        <v>1435193</v>
      </c>
    </row>
    <row r="40" spans="1:3" x14ac:dyDescent="0.3">
      <c r="A40" s="256" t="s">
        <v>179</v>
      </c>
      <c r="B40" s="238" t="s">
        <v>366</v>
      </c>
      <c r="C40" s="239">
        <v>2701279</v>
      </c>
    </row>
    <row r="41" spans="1:3" x14ac:dyDescent="0.3">
      <c r="A41" s="256" t="s">
        <v>213</v>
      </c>
      <c r="B41" s="238" t="s">
        <v>366</v>
      </c>
      <c r="C41" s="239">
        <v>3458740</v>
      </c>
    </row>
    <row r="42" spans="1:3" x14ac:dyDescent="0.3">
      <c r="A42" s="256" t="s">
        <v>204</v>
      </c>
      <c r="B42" s="238" t="s">
        <v>365</v>
      </c>
      <c r="C42" s="239">
        <v>18950</v>
      </c>
    </row>
    <row r="43" spans="1:3" x14ac:dyDescent="0.3">
      <c r="A43" s="256" t="s">
        <v>207</v>
      </c>
      <c r="B43" s="238" t="s">
        <v>365</v>
      </c>
      <c r="C43" s="239">
        <v>18950</v>
      </c>
    </row>
    <row r="44" spans="1:3" x14ac:dyDescent="0.3">
      <c r="A44" s="256" t="s">
        <v>208</v>
      </c>
      <c r="B44" s="238" t="s">
        <v>365</v>
      </c>
      <c r="C44" s="239">
        <v>18950</v>
      </c>
    </row>
    <row r="45" spans="1:3" x14ac:dyDescent="0.3">
      <c r="A45" s="256" t="s">
        <v>209</v>
      </c>
      <c r="B45" s="238" t="s">
        <v>365</v>
      </c>
      <c r="C45" s="239">
        <v>50000</v>
      </c>
    </row>
    <row r="46" spans="1:3" x14ac:dyDescent="0.3">
      <c r="A46" s="256" t="s">
        <v>210</v>
      </c>
      <c r="B46" s="238" t="s">
        <v>365</v>
      </c>
      <c r="C46" s="239">
        <v>38000</v>
      </c>
    </row>
    <row r="47" spans="1:3" x14ac:dyDescent="0.3">
      <c r="A47" s="256" t="s">
        <v>211</v>
      </c>
      <c r="B47" s="238" t="s">
        <v>365</v>
      </c>
      <c r="C47" s="239">
        <v>82440</v>
      </c>
    </row>
    <row r="48" spans="1:3" x14ac:dyDescent="0.3">
      <c r="A48" s="256" t="s">
        <v>212</v>
      </c>
      <c r="B48" s="238" t="s">
        <v>365</v>
      </c>
      <c r="C48" s="239">
        <v>329630</v>
      </c>
    </row>
    <row r="49" spans="1:3" x14ac:dyDescent="0.3">
      <c r="A49" s="256" t="s">
        <v>175</v>
      </c>
      <c r="B49" s="238" t="s">
        <v>365</v>
      </c>
      <c r="C49" s="239">
        <v>659603</v>
      </c>
    </row>
    <row r="50" spans="1:3" x14ac:dyDescent="0.3">
      <c r="A50" s="256" t="s">
        <v>176</v>
      </c>
      <c r="B50" s="238" t="s">
        <v>365</v>
      </c>
      <c r="C50" s="239">
        <v>837436</v>
      </c>
    </row>
    <row r="51" spans="1:3" x14ac:dyDescent="0.3">
      <c r="A51" s="256" t="s">
        <v>177</v>
      </c>
      <c r="B51" s="238" t="s">
        <v>365</v>
      </c>
      <c r="C51" s="239">
        <v>743707</v>
      </c>
    </row>
    <row r="52" spans="1:3" x14ac:dyDescent="0.3">
      <c r="A52" s="256" t="s">
        <v>178</v>
      </c>
      <c r="B52" s="238" t="s">
        <v>365</v>
      </c>
      <c r="C52" s="239">
        <v>446850</v>
      </c>
    </row>
    <row r="53" spans="1:3" x14ac:dyDescent="0.3">
      <c r="A53" s="256" t="s">
        <v>179</v>
      </c>
      <c r="B53" s="238" t="s">
        <v>365</v>
      </c>
      <c r="C53" s="239">
        <v>1348924</v>
      </c>
    </row>
    <row r="54" spans="1:3" x14ac:dyDescent="0.3">
      <c r="A54" s="256" t="s">
        <v>213</v>
      </c>
      <c r="B54" s="238" t="s">
        <v>365</v>
      </c>
      <c r="C54" s="239">
        <v>2540523</v>
      </c>
    </row>
  </sheetData>
  <mergeCells count="1">
    <mergeCell ref="A10:F10"/>
  </mergeCells>
  <pageMargins left="0.7" right="0.7" top="0.75" bottom="0.75" header="0.3" footer="0.3"/>
  <pageSetup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3C3CE-145F-4AB2-91FA-E403E27CD623}">
  <sheetPr>
    <tabColor theme="9"/>
  </sheetPr>
  <dimension ref="A1:E6"/>
  <sheetViews>
    <sheetView topLeftCell="A4" workbookViewId="0">
      <selection activeCell="AL60" sqref="AL60"/>
    </sheetView>
  </sheetViews>
  <sheetFormatPr defaultRowHeight="14.4" x14ac:dyDescent="0.3"/>
  <cols>
    <col min="1" max="16384" width="8.88671875" style="220"/>
  </cols>
  <sheetData>
    <row r="1" spans="1:5" s="221" customFormat="1" x14ac:dyDescent="0.3">
      <c r="C1" s="222"/>
    </row>
    <row r="2" spans="1:5" s="225" customFormat="1" ht="11.25" customHeight="1" x14ac:dyDescent="0.3">
      <c r="A2" s="223"/>
      <c r="B2" s="223"/>
      <c r="C2" s="222"/>
      <c r="D2" s="224"/>
    </row>
    <row r="3" spans="1:5" s="225" customFormat="1" ht="15.75" customHeight="1" x14ac:dyDescent="0.3">
      <c r="A3" s="223"/>
      <c r="B3" s="223"/>
      <c r="C3" s="226" t="s">
        <v>367</v>
      </c>
      <c r="D3" s="224"/>
    </row>
    <row r="4" spans="1:5" s="225" customFormat="1" ht="12.75" customHeight="1" x14ac:dyDescent="0.3">
      <c r="A4" s="223"/>
      <c r="B4" s="223"/>
      <c r="C4" s="227" t="str">
        <f ca="1">MID(CELL("filename",C4),FIND("]",CELL("filename",C4))+1,256)</f>
        <v>Pricing analyses --&gt;</v>
      </c>
      <c r="D4" s="224"/>
    </row>
    <row r="5" spans="1:5" s="225" customFormat="1" ht="15.75" customHeight="1" x14ac:dyDescent="0.3">
      <c r="A5" s="223"/>
      <c r="B5" s="223"/>
      <c r="C5" s="228" t="s">
        <v>305</v>
      </c>
      <c r="D5" s="224"/>
    </row>
    <row r="6" spans="1:5" s="232" customFormat="1" ht="9" customHeight="1" x14ac:dyDescent="0.25">
      <c r="A6" s="229"/>
      <c r="B6" s="229"/>
      <c r="C6" s="229"/>
      <c r="D6" s="230"/>
      <c r="E6" s="231"/>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BB5F-F438-4E74-88F2-D65FF591EA56}">
  <sheetPr>
    <tabColor theme="9" tint="0.79998168889431442"/>
  </sheetPr>
  <dimension ref="A1:AN45"/>
  <sheetViews>
    <sheetView showGridLines="0" topLeftCell="G4" zoomScaleNormal="100" workbookViewId="0">
      <selection activeCell="T21" sqref="T21"/>
    </sheetView>
  </sheetViews>
  <sheetFormatPr defaultRowHeight="14.4" x14ac:dyDescent="0.3"/>
  <cols>
    <col min="1" max="1" width="29.5546875" style="220" customWidth="1"/>
    <col min="2" max="2" width="8.44140625" style="220" bestFit="1" customWidth="1"/>
    <col min="3" max="3" width="10" style="220" bestFit="1" customWidth="1"/>
    <col min="4" max="7" width="8.88671875" style="220"/>
    <col min="8" max="8" width="11.21875" style="220" bestFit="1" customWidth="1"/>
    <col min="9" max="12" width="8.88671875" style="220"/>
    <col min="13" max="13" width="17.33203125" style="220" customWidth="1"/>
    <col min="14" max="14" width="13.88671875" style="220" bestFit="1" customWidth="1"/>
    <col min="15" max="15" width="13.77734375" style="220" bestFit="1" customWidth="1"/>
    <col min="16" max="16" width="14.5546875" style="220" bestFit="1" customWidth="1"/>
    <col min="17" max="17" width="14.88671875" style="220" bestFit="1" customWidth="1"/>
    <col min="18" max="18" width="11.21875" style="220" bestFit="1" customWidth="1"/>
    <col min="19" max="16384" width="8.88671875" style="220"/>
  </cols>
  <sheetData>
    <row r="1" spans="1:40" s="221" customFormat="1" x14ac:dyDescent="0.3">
      <c r="C1" s="222"/>
    </row>
    <row r="2" spans="1:40" s="225" customFormat="1" ht="11.25" customHeight="1" x14ac:dyDescent="0.3">
      <c r="A2" s="223"/>
      <c r="B2" s="223"/>
      <c r="C2" s="222"/>
      <c r="D2" s="224"/>
    </row>
    <row r="3" spans="1:40" s="225" customFormat="1" ht="15.75" customHeight="1" x14ac:dyDescent="0.3">
      <c r="A3" s="223"/>
      <c r="B3" s="223"/>
      <c r="C3" s="226" t="s">
        <v>304</v>
      </c>
      <c r="D3" s="224"/>
    </row>
    <row r="4" spans="1:40" s="225" customFormat="1" ht="12.75" customHeight="1" x14ac:dyDescent="0.3">
      <c r="A4" s="223"/>
      <c r="B4" s="223"/>
      <c r="C4" s="227" t="str">
        <f ca="1">MID(CELL("filename",C4),FIND("]",CELL("filename",C4))+1,256)</f>
        <v>Price analyis</v>
      </c>
      <c r="D4" s="224"/>
    </row>
    <row r="5" spans="1:40" s="225" customFormat="1" ht="15.75" customHeight="1" x14ac:dyDescent="0.3">
      <c r="A5" s="223"/>
      <c r="B5" s="223"/>
      <c r="C5" s="228" t="s">
        <v>368</v>
      </c>
      <c r="D5" s="224"/>
    </row>
    <row r="6" spans="1:40" s="232" customFormat="1" ht="9" customHeight="1" x14ac:dyDescent="0.25">
      <c r="A6" s="229"/>
      <c r="B6" s="229"/>
      <c r="C6" s="229"/>
      <c r="D6" s="230"/>
      <c r="E6" s="231"/>
    </row>
    <row r="8" spans="1:40" ht="18" thickBot="1" x14ac:dyDescent="0.4">
      <c r="A8" s="257" t="s">
        <v>369</v>
      </c>
      <c r="B8" s="257"/>
      <c r="C8" s="257"/>
      <c r="D8" s="257"/>
      <c r="E8" s="257"/>
      <c r="F8" s="257"/>
      <c r="G8" s="257"/>
      <c r="H8" s="257"/>
      <c r="I8" s="257"/>
      <c r="J8" s="257"/>
      <c r="M8" s="257" t="s">
        <v>370</v>
      </c>
      <c r="N8" s="257"/>
      <c r="O8" s="257"/>
      <c r="P8" s="257"/>
      <c r="Q8" s="257"/>
      <c r="W8" s="257" t="s">
        <v>371</v>
      </c>
      <c r="X8" s="257"/>
      <c r="Y8" s="257"/>
      <c r="Z8" s="257"/>
      <c r="AA8" s="257"/>
      <c r="AB8" s="257"/>
      <c r="AC8" s="257"/>
      <c r="AD8" s="257"/>
      <c r="AE8" s="257"/>
      <c r="AF8" s="257"/>
      <c r="AG8" s="257"/>
      <c r="AH8" s="257"/>
      <c r="AI8" s="257"/>
      <c r="AJ8" s="257"/>
      <c r="AK8" s="257"/>
      <c r="AL8" s="257"/>
      <c r="AM8" s="257"/>
      <c r="AN8" s="257"/>
    </row>
    <row r="9" spans="1:40" ht="15" thickTop="1" x14ac:dyDescent="0.3"/>
    <row r="10" spans="1:40" x14ac:dyDescent="0.3">
      <c r="A10" s="258" t="s">
        <v>372</v>
      </c>
      <c r="B10" s="238"/>
      <c r="C10" s="238"/>
      <c r="D10" s="238"/>
      <c r="E10" s="238"/>
      <c r="F10" s="258" t="s">
        <v>373</v>
      </c>
      <c r="G10" s="238"/>
      <c r="H10" s="238"/>
      <c r="I10" s="238"/>
      <c r="J10" s="238"/>
      <c r="M10" s="258" t="s">
        <v>374</v>
      </c>
      <c r="N10" s="238"/>
      <c r="O10" s="238"/>
      <c r="P10" s="238" t="s">
        <v>375</v>
      </c>
      <c r="Q10" s="238"/>
      <c r="AK10" s="238" t="s">
        <v>375</v>
      </c>
      <c r="AL10" s="238"/>
      <c r="AM10" s="238"/>
    </row>
    <row r="11" spans="1:40" x14ac:dyDescent="0.3">
      <c r="A11" s="238" t="s">
        <v>350</v>
      </c>
      <c r="B11" s="238" t="s">
        <v>376</v>
      </c>
      <c r="C11" s="238" t="s">
        <v>377</v>
      </c>
      <c r="D11" s="238" t="s">
        <v>378</v>
      </c>
      <c r="E11" s="238" t="s">
        <v>379</v>
      </c>
      <c r="F11" s="238" t="s">
        <v>378</v>
      </c>
      <c r="G11" s="238"/>
      <c r="H11" s="238"/>
      <c r="I11" s="238"/>
      <c r="J11" s="238"/>
      <c r="M11" s="238"/>
      <c r="N11" s="238"/>
      <c r="O11" s="238"/>
      <c r="P11" s="238"/>
      <c r="Q11" s="238" t="s">
        <v>378</v>
      </c>
      <c r="AK11" s="238"/>
      <c r="AL11" s="238" t="s">
        <v>378</v>
      </c>
      <c r="AM11" s="238"/>
    </row>
    <row r="12" spans="1:40" x14ac:dyDescent="0.3">
      <c r="A12" s="259">
        <v>44630</v>
      </c>
      <c r="B12" s="238">
        <v>43773</v>
      </c>
      <c r="C12" s="238">
        <v>38739105</v>
      </c>
      <c r="D12" s="238">
        <f>C12/B12</f>
        <v>885</v>
      </c>
      <c r="E12" s="238" t="s">
        <v>380</v>
      </c>
      <c r="F12" s="238">
        <v>938.13</v>
      </c>
      <c r="G12" s="238" t="s">
        <v>380</v>
      </c>
      <c r="H12" s="238"/>
      <c r="I12" s="238"/>
      <c r="J12" s="238"/>
      <c r="M12" s="238" t="s">
        <v>381</v>
      </c>
      <c r="N12" s="260">
        <v>200000</v>
      </c>
      <c r="O12" s="260"/>
      <c r="P12" s="238" t="s">
        <v>169</v>
      </c>
      <c r="Q12" s="260">
        <v>424.13</v>
      </c>
      <c r="R12" s="261" t="s">
        <v>382</v>
      </c>
      <c r="W12" s="238" t="s">
        <v>383</v>
      </c>
      <c r="X12" s="238"/>
      <c r="Y12" s="238" t="s">
        <v>384</v>
      </c>
      <c r="Z12" s="238"/>
      <c r="AA12" s="238"/>
      <c r="AB12" s="238" t="s">
        <v>385</v>
      </c>
      <c r="AC12" s="238" t="s">
        <v>386</v>
      </c>
      <c r="AD12" s="238"/>
      <c r="AE12" s="238"/>
      <c r="AF12" s="238"/>
      <c r="AG12" s="238"/>
      <c r="AH12" s="238"/>
      <c r="AK12" s="238" t="s">
        <v>169</v>
      </c>
      <c r="AL12" s="238">
        <v>424.13</v>
      </c>
      <c r="AM12" s="238" t="s">
        <v>382</v>
      </c>
    </row>
    <row r="13" spans="1:40" x14ac:dyDescent="0.3">
      <c r="A13" s="259">
        <v>44642</v>
      </c>
      <c r="B13" s="238">
        <v>27500</v>
      </c>
      <c r="C13" s="238">
        <v>24337500</v>
      </c>
      <c r="D13" s="238">
        <f>C13/B13</f>
        <v>885</v>
      </c>
      <c r="E13" s="238" t="s">
        <v>380</v>
      </c>
      <c r="F13" s="238">
        <v>938.13</v>
      </c>
      <c r="G13" s="238" t="s">
        <v>380</v>
      </c>
      <c r="H13" s="238"/>
      <c r="I13" s="238"/>
      <c r="J13" s="238"/>
      <c r="M13" s="238" t="s">
        <v>387</v>
      </c>
      <c r="N13" s="260">
        <f>N12*46%</f>
        <v>92000</v>
      </c>
      <c r="O13" s="260"/>
      <c r="P13" s="260" t="s">
        <v>388</v>
      </c>
      <c r="Q13" s="260">
        <v>304.16632992327368</v>
      </c>
      <c r="R13" s="261" t="s">
        <v>389</v>
      </c>
      <c r="W13" s="238"/>
      <c r="X13" s="238"/>
      <c r="Y13" s="238" t="s">
        <v>390</v>
      </c>
      <c r="Z13" s="238" t="s">
        <v>391</v>
      </c>
      <c r="AA13" s="238"/>
      <c r="AB13" s="238" t="s">
        <v>392</v>
      </c>
      <c r="AC13" s="238" t="s">
        <v>392</v>
      </c>
      <c r="AD13" s="238" t="s">
        <v>393</v>
      </c>
      <c r="AE13" s="238" t="s">
        <v>393</v>
      </c>
      <c r="AF13" s="238"/>
      <c r="AG13" s="238" t="s">
        <v>394</v>
      </c>
      <c r="AH13" s="238">
        <v>304.16632992327368</v>
      </c>
      <c r="AK13" s="238" t="s">
        <v>388</v>
      </c>
      <c r="AL13" s="238">
        <v>174</v>
      </c>
      <c r="AM13" s="238" t="s">
        <v>395</v>
      </c>
    </row>
    <row r="14" spans="1:40" x14ac:dyDescent="0.3">
      <c r="A14" s="259">
        <v>44642</v>
      </c>
      <c r="B14" s="238">
        <v>18700</v>
      </c>
      <c r="C14" s="238">
        <v>16549500</v>
      </c>
      <c r="D14" s="238">
        <f>C14/B14</f>
        <v>885</v>
      </c>
      <c r="E14" s="238" t="s">
        <v>380</v>
      </c>
      <c r="F14" s="238">
        <v>938.13</v>
      </c>
      <c r="G14" s="238" t="s">
        <v>380</v>
      </c>
      <c r="H14" s="238"/>
      <c r="I14" s="238"/>
      <c r="J14" s="238"/>
      <c r="M14" s="238" t="s">
        <v>396</v>
      </c>
      <c r="N14" s="260">
        <f>N12*18%</f>
        <v>36000</v>
      </c>
      <c r="O14" s="260"/>
      <c r="P14" s="260" t="s">
        <v>222</v>
      </c>
      <c r="Q14" s="260">
        <v>265</v>
      </c>
      <c r="R14" s="261" t="s">
        <v>382</v>
      </c>
      <c r="W14" s="238" t="s">
        <v>397</v>
      </c>
      <c r="X14" s="262">
        <v>0.15</v>
      </c>
      <c r="Y14" s="238">
        <f>X14*1</f>
        <v>0.15</v>
      </c>
      <c r="Z14" s="238"/>
      <c r="AA14" s="238" t="s">
        <v>388</v>
      </c>
      <c r="AB14" s="263">
        <v>0</v>
      </c>
      <c r="AC14" s="264">
        <f>Y15/46%</f>
        <v>0.32608695652173908</v>
      </c>
      <c r="AD14" s="263">
        <f>0</f>
        <v>0</v>
      </c>
      <c r="AE14" s="264">
        <f>AC14*AH13</f>
        <v>99.184672801067492</v>
      </c>
      <c r="AF14" s="238"/>
      <c r="AG14" s="238"/>
      <c r="AH14" s="238"/>
      <c r="AK14" s="238" t="s">
        <v>222</v>
      </c>
      <c r="AL14" s="238">
        <v>265</v>
      </c>
      <c r="AM14" s="238" t="s">
        <v>382</v>
      </c>
    </row>
    <row r="15" spans="1:40" x14ac:dyDescent="0.3">
      <c r="A15" s="259">
        <v>44672</v>
      </c>
      <c r="B15" s="238">
        <v>41395</v>
      </c>
      <c r="C15" s="238">
        <v>36800155</v>
      </c>
      <c r="D15" s="238">
        <f>C15/B15</f>
        <v>889</v>
      </c>
      <c r="E15" s="238" t="s">
        <v>380</v>
      </c>
      <c r="F15" s="238">
        <v>954</v>
      </c>
      <c r="G15" s="238" t="s">
        <v>380</v>
      </c>
      <c r="H15" s="238"/>
      <c r="I15" s="238"/>
      <c r="J15" s="238"/>
      <c r="M15" s="238"/>
      <c r="N15" s="260"/>
      <c r="O15" s="260"/>
      <c r="P15" s="260"/>
      <c r="Q15" s="260"/>
      <c r="W15" s="238" t="s">
        <v>271</v>
      </c>
      <c r="X15" s="262">
        <v>0.15</v>
      </c>
      <c r="Y15" s="238">
        <f>X15*1</f>
        <v>0.15</v>
      </c>
      <c r="Z15" s="238"/>
      <c r="AA15" s="238" t="s">
        <v>169</v>
      </c>
      <c r="AB15" s="263">
        <f>Y15/0.46</f>
        <v>0.32608695652173908</v>
      </c>
      <c r="AC15" s="264">
        <v>0</v>
      </c>
      <c r="AD15" s="263">
        <f>AB15*AL12</f>
        <v>138.30326086956521</v>
      </c>
      <c r="AE15" s="264">
        <v>0</v>
      </c>
      <c r="AF15" s="238"/>
      <c r="AG15" s="265" t="s">
        <v>398</v>
      </c>
      <c r="AH15" s="266">
        <f>AD18-AE18</f>
        <v>0</v>
      </c>
      <c r="AK15" s="238" t="s">
        <v>399</v>
      </c>
      <c r="AL15" s="238">
        <v>328</v>
      </c>
      <c r="AM15" s="238"/>
    </row>
    <row r="16" spans="1:40" x14ac:dyDescent="0.3">
      <c r="A16" s="259">
        <v>44688</v>
      </c>
      <c r="B16" s="238">
        <v>43458</v>
      </c>
      <c r="C16" s="238">
        <v>38460330</v>
      </c>
      <c r="D16" s="238">
        <f>C16/B16</f>
        <v>885</v>
      </c>
      <c r="E16" s="238" t="s">
        <v>380</v>
      </c>
      <c r="F16" s="238">
        <v>842.5</v>
      </c>
      <c r="G16" s="238" t="s">
        <v>380</v>
      </c>
      <c r="H16" s="238"/>
      <c r="I16" s="238"/>
      <c r="J16" s="238"/>
      <c r="M16" s="238" t="s">
        <v>400</v>
      </c>
      <c r="N16" s="260">
        <f>N13/46%</f>
        <v>200000</v>
      </c>
      <c r="O16" s="260"/>
      <c r="P16" s="260" t="s">
        <v>401</v>
      </c>
      <c r="Q16" s="260">
        <f>19667/17000*Q14</f>
        <v>306.57382352941175</v>
      </c>
      <c r="R16" s="261" t="s">
        <v>402</v>
      </c>
      <c r="W16" s="238" t="s">
        <v>403</v>
      </c>
      <c r="X16" s="262">
        <v>0.15</v>
      </c>
      <c r="Y16" s="238">
        <f>X16*1</f>
        <v>0.15</v>
      </c>
      <c r="Z16" s="238"/>
      <c r="AA16" s="238" t="s">
        <v>222</v>
      </c>
      <c r="AB16" s="263">
        <f>(Y14-AB15*18%)/46%</f>
        <v>0.19848771266540641</v>
      </c>
      <c r="AC16" s="264">
        <f>Y14/46%</f>
        <v>0.32608695652173908</v>
      </c>
      <c r="AD16" s="263">
        <f>AB16*AL16</f>
        <v>60.851136995440939</v>
      </c>
      <c r="AE16" s="263">
        <f>AC16*AL16</f>
        <v>99.969725063938668</v>
      </c>
      <c r="AF16" s="238"/>
      <c r="AG16" s="238"/>
      <c r="AH16" s="238" t="s">
        <v>404</v>
      </c>
      <c r="AK16" s="238" t="s">
        <v>401</v>
      </c>
      <c r="AL16" s="238">
        <v>306.57382352941198</v>
      </c>
      <c r="AM16" s="238"/>
    </row>
    <row r="17" spans="1:34" x14ac:dyDescent="0.3">
      <c r="A17" s="238" t="s">
        <v>405</v>
      </c>
      <c r="B17" s="238">
        <f>SUM(B12:B16)</f>
        <v>174826</v>
      </c>
      <c r="C17" s="238"/>
      <c r="D17" s="238" cm="1">
        <f t="array" ref="D17">SUM(C12:C16/SUM(B12:B16))</f>
        <v>885.94711312962602</v>
      </c>
      <c r="E17" s="238"/>
      <c r="F17" s="238">
        <f>SUMPRODUCT(F12:F16,B12:B16)/SUM(B12:B16)</f>
        <v>918.11610109480284</v>
      </c>
      <c r="G17" s="238"/>
      <c r="H17" s="238" t="s">
        <v>406</v>
      </c>
      <c r="I17" s="238"/>
      <c r="J17" s="267">
        <f>F17/D17-1</f>
        <v>3.6310280250859694E-2</v>
      </c>
      <c r="M17" s="238" t="s">
        <v>407</v>
      </c>
      <c r="N17" s="260">
        <f>N14/46%</f>
        <v>78260.869565217392</v>
      </c>
      <c r="O17" s="260"/>
      <c r="P17" s="260"/>
      <c r="Q17" s="260"/>
      <c r="W17" s="238"/>
      <c r="X17" s="238"/>
      <c r="Y17" s="238"/>
      <c r="Z17" s="238"/>
      <c r="AA17" s="238" t="s">
        <v>399</v>
      </c>
      <c r="AB17" s="263">
        <f>Y16/60%</f>
        <v>0.25</v>
      </c>
      <c r="AC17" s="264">
        <f>Y16/60%</f>
        <v>0.25</v>
      </c>
      <c r="AD17" s="263">
        <f>AB17*AL15</f>
        <v>82</v>
      </c>
      <c r="AE17" s="263">
        <f>AC17*AL15</f>
        <v>82</v>
      </c>
      <c r="AF17" s="238"/>
      <c r="AG17" s="238">
        <v>272</v>
      </c>
      <c r="AH17" s="267">
        <f>(AL12-AG17)/AL12</f>
        <v>0.35868719496380824</v>
      </c>
    </row>
    <row r="18" spans="1:34" x14ac:dyDescent="0.3">
      <c r="A18" s="238"/>
      <c r="B18" s="238"/>
      <c r="C18" s="238"/>
      <c r="D18" s="260"/>
      <c r="E18" s="260"/>
      <c r="F18" s="238"/>
      <c r="G18" s="238"/>
      <c r="H18" s="238"/>
      <c r="I18" s="238"/>
      <c r="J18" s="238"/>
      <c r="M18" s="238"/>
      <c r="N18" s="238"/>
      <c r="O18" s="238"/>
      <c r="P18" s="238"/>
      <c r="Q18" s="238"/>
      <c r="W18" s="238"/>
      <c r="X18" s="238"/>
      <c r="Y18" s="238"/>
      <c r="Z18" s="238"/>
      <c r="AA18" s="258" t="s">
        <v>162</v>
      </c>
      <c r="AB18" s="268">
        <f>SUM(AB14:AB17)</f>
        <v>0.77457466918714546</v>
      </c>
      <c r="AC18" s="268">
        <f>SUM(AC14:AC17)</f>
        <v>0.90217391304347816</v>
      </c>
      <c r="AD18" s="268">
        <f>SUM(AD14:AD17)</f>
        <v>281.15439786500616</v>
      </c>
      <c r="AE18" s="268">
        <f>SUM(AE14:AE17)</f>
        <v>281.15439786500616</v>
      </c>
      <c r="AF18" s="238"/>
      <c r="AG18" s="238">
        <v>174</v>
      </c>
      <c r="AH18" s="267">
        <f>(AH13-AG18)/AH13</f>
        <v>0.42794457215599208</v>
      </c>
    </row>
    <row r="19" spans="1:34" x14ac:dyDescent="0.3">
      <c r="A19" s="258"/>
      <c r="B19" s="238"/>
      <c r="C19" s="238"/>
      <c r="D19" s="238"/>
      <c r="E19" s="238"/>
      <c r="F19" s="238"/>
      <c r="G19" s="238"/>
      <c r="H19" s="238"/>
      <c r="I19" s="238"/>
      <c r="J19" s="238"/>
      <c r="M19" s="238" t="s">
        <v>408</v>
      </c>
      <c r="N19" s="260">
        <f>Q12*N12</f>
        <v>84826000</v>
      </c>
      <c r="O19" s="238"/>
      <c r="P19" s="265"/>
      <c r="Q19" s="269"/>
    </row>
    <row r="20" spans="1:34" x14ac:dyDescent="0.3">
      <c r="A20" s="258" t="s">
        <v>409</v>
      </c>
      <c r="B20" s="238"/>
      <c r="C20" s="238"/>
      <c r="D20" s="238"/>
      <c r="E20" s="238"/>
      <c r="F20" s="258" t="s">
        <v>373</v>
      </c>
      <c r="G20" s="238"/>
      <c r="H20" s="238"/>
      <c r="I20" s="238"/>
      <c r="J20" s="238"/>
      <c r="M20" s="238" t="s">
        <v>410</v>
      </c>
      <c r="N20" s="260">
        <f>N16*Q13+N17*Q16</f>
        <v>84826000</v>
      </c>
      <c r="O20" s="260">
        <f>Q13*N16</f>
        <v>60833265.984654739</v>
      </c>
      <c r="P20" s="270">
        <f>Q16*N17</f>
        <v>23992734.015345268</v>
      </c>
      <c r="Q20" s="238"/>
      <c r="AC20" s="250"/>
      <c r="AD20" s="250"/>
      <c r="AE20" s="250"/>
    </row>
    <row r="21" spans="1:34" x14ac:dyDescent="0.3">
      <c r="A21" s="238" t="s">
        <v>350</v>
      </c>
      <c r="B21" s="238" t="s">
        <v>376</v>
      </c>
      <c r="C21" s="238" t="s">
        <v>377</v>
      </c>
      <c r="D21" s="238" t="s">
        <v>378</v>
      </c>
      <c r="E21" s="238" t="s">
        <v>379</v>
      </c>
      <c r="F21" s="238" t="s">
        <v>378</v>
      </c>
      <c r="G21" s="238"/>
      <c r="H21" s="238"/>
      <c r="I21" s="238"/>
      <c r="J21" s="238"/>
      <c r="M21" s="238" t="s">
        <v>411</v>
      </c>
      <c r="N21" s="267">
        <f>N20/N19-1</f>
        <v>0</v>
      </c>
      <c r="O21" s="238"/>
      <c r="P21" s="238"/>
      <c r="Q21" s="238"/>
    </row>
    <row r="22" spans="1:34" x14ac:dyDescent="0.3">
      <c r="A22" s="259">
        <v>44297</v>
      </c>
      <c r="B22" s="238">
        <v>42000</v>
      </c>
      <c r="C22" s="238">
        <v>13797000</v>
      </c>
      <c r="D22" s="238">
        <f>C22/B22</f>
        <v>328.5</v>
      </c>
      <c r="E22" s="238" t="s">
        <v>380</v>
      </c>
      <c r="F22" s="238">
        <v>543.4</v>
      </c>
      <c r="G22" s="238" t="s">
        <v>380</v>
      </c>
      <c r="H22" s="238"/>
      <c r="I22" s="238"/>
      <c r="J22" s="238"/>
      <c r="M22" s="238" t="s">
        <v>412</v>
      </c>
      <c r="N22" s="260">
        <f>(N12*Q12)-N16*Q13</f>
        <v>23992734.015345261</v>
      </c>
      <c r="O22" s="238"/>
      <c r="P22" s="238"/>
      <c r="Q22" s="238"/>
    </row>
    <row r="23" spans="1:34" x14ac:dyDescent="0.3">
      <c r="A23" s="259">
        <v>44306</v>
      </c>
      <c r="B23" s="238">
        <v>42080</v>
      </c>
      <c r="C23" s="238">
        <v>13823280</v>
      </c>
      <c r="D23" s="238">
        <f>C23/B23</f>
        <v>328.5</v>
      </c>
      <c r="E23" s="238" t="s">
        <v>380</v>
      </c>
      <c r="F23" s="238">
        <v>543.4</v>
      </c>
      <c r="G23" s="238" t="s">
        <v>380</v>
      </c>
      <c r="H23" s="238"/>
      <c r="I23" s="238"/>
      <c r="J23" s="238"/>
      <c r="W23" s="238" t="s">
        <v>413</v>
      </c>
      <c r="X23" s="238"/>
      <c r="Y23" s="238" t="s">
        <v>384</v>
      </c>
      <c r="Z23" s="238"/>
      <c r="AA23" s="238"/>
      <c r="AB23" s="238" t="s">
        <v>385</v>
      </c>
      <c r="AC23" s="238" t="s">
        <v>386</v>
      </c>
      <c r="AD23" s="238"/>
      <c r="AE23" s="238"/>
      <c r="AF23" s="238"/>
      <c r="AG23" s="238"/>
      <c r="AH23" s="238"/>
    </row>
    <row r="24" spans="1:34" x14ac:dyDescent="0.3">
      <c r="A24" s="259">
        <v>44336</v>
      </c>
      <c r="B24" s="238">
        <v>17025</v>
      </c>
      <c r="C24" s="238">
        <v>5771475</v>
      </c>
      <c r="D24" s="238">
        <f>C24/B24</f>
        <v>339</v>
      </c>
      <c r="E24" s="238" t="s">
        <v>380</v>
      </c>
      <c r="F24" s="238">
        <v>574.63</v>
      </c>
      <c r="G24" s="238" t="s">
        <v>380</v>
      </c>
      <c r="H24" s="238"/>
      <c r="I24" s="238"/>
      <c r="J24" s="238"/>
      <c r="W24" s="238"/>
      <c r="X24" s="238"/>
      <c r="Y24" s="238" t="s">
        <v>390</v>
      </c>
      <c r="Z24" s="238" t="s">
        <v>391</v>
      </c>
      <c r="AA24" s="238"/>
      <c r="AB24" s="238" t="s">
        <v>392</v>
      </c>
      <c r="AC24" s="238" t="s">
        <v>392</v>
      </c>
      <c r="AD24" s="238" t="s">
        <v>393</v>
      </c>
      <c r="AE24" s="238" t="s">
        <v>393</v>
      </c>
      <c r="AF24" s="238"/>
      <c r="AG24" s="238" t="s">
        <v>394</v>
      </c>
      <c r="AH24" s="238">
        <v>304.16632992327368</v>
      </c>
    </row>
    <row r="25" spans="1:34" x14ac:dyDescent="0.3">
      <c r="A25" s="259">
        <v>44336</v>
      </c>
      <c r="B25" s="238">
        <v>25026</v>
      </c>
      <c r="C25" s="238">
        <v>8483814</v>
      </c>
      <c r="D25" s="238">
        <f>C25/B25</f>
        <v>339</v>
      </c>
      <c r="E25" s="238" t="s">
        <v>380</v>
      </c>
      <c r="F25" s="238">
        <v>574.63</v>
      </c>
      <c r="G25" s="238" t="s">
        <v>380</v>
      </c>
      <c r="H25" s="238"/>
      <c r="I25" s="238"/>
      <c r="J25" s="238"/>
      <c r="W25" s="238" t="s">
        <v>397</v>
      </c>
      <c r="X25" s="262">
        <v>0.2</v>
      </c>
      <c r="Y25" s="238">
        <f>X25*1</f>
        <v>0.2</v>
      </c>
      <c r="Z25" s="238"/>
      <c r="AA25" s="238" t="s">
        <v>388</v>
      </c>
      <c r="AB25" s="263">
        <v>0</v>
      </c>
      <c r="AC25" s="264">
        <f>Y26/46%</f>
        <v>0.21739130434782608</v>
      </c>
      <c r="AD25" s="263">
        <f>0</f>
        <v>0</v>
      </c>
      <c r="AE25" s="264">
        <f>AC25*AH24</f>
        <v>66.123115200711666</v>
      </c>
      <c r="AF25" s="238"/>
      <c r="AG25" s="238"/>
      <c r="AH25" s="238"/>
    </row>
    <row r="26" spans="1:34" x14ac:dyDescent="0.3">
      <c r="A26" s="259">
        <v>44338</v>
      </c>
      <c r="B26" s="238">
        <v>41695</v>
      </c>
      <c r="C26" s="238">
        <v>14134605</v>
      </c>
      <c r="D26" s="238">
        <f>C26/B26</f>
        <v>339</v>
      </c>
      <c r="E26" s="238" t="s">
        <v>380</v>
      </c>
      <c r="F26" s="238">
        <v>574.63</v>
      </c>
      <c r="G26" s="238" t="s">
        <v>380</v>
      </c>
      <c r="H26" s="238"/>
      <c r="I26" s="238"/>
      <c r="J26" s="238"/>
      <c r="W26" s="238" t="s">
        <v>271</v>
      </c>
      <c r="X26" s="262">
        <v>0.1</v>
      </c>
      <c r="Y26" s="238">
        <f>X26*1</f>
        <v>0.1</v>
      </c>
      <c r="Z26" s="238"/>
      <c r="AA26" s="238" t="s">
        <v>169</v>
      </c>
      <c r="AB26" s="263">
        <f>Y26/0.46</f>
        <v>0.21739130434782608</v>
      </c>
      <c r="AC26" s="264">
        <v>0</v>
      </c>
      <c r="AD26" s="263">
        <f>AB26*AL12</f>
        <v>92.202173913043481</v>
      </c>
      <c r="AE26" s="264">
        <v>0</v>
      </c>
      <c r="AF26" s="238"/>
      <c r="AG26" s="265" t="s">
        <v>398</v>
      </c>
      <c r="AH26" s="266">
        <f>AD29-AE29</f>
        <v>0</v>
      </c>
    </row>
    <row r="27" spans="1:34" x14ac:dyDescent="0.3">
      <c r="A27" s="259">
        <v>44492</v>
      </c>
      <c r="B27" s="238">
        <v>41250</v>
      </c>
      <c r="C27" s="238">
        <v>13406250</v>
      </c>
      <c r="D27" s="238">
        <f t="shared" ref="D27:D30" si="0">C27/B27</f>
        <v>325</v>
      </c>
      <c r="E27" s="238" t="s">
        <v>380</v>
      </c>
      <c r="F27" s="238">
        <v>672.9</v>
      </c>
      <c r="G27" s="238" t="s">
        <v>380</v>
      </c>
      <c r="H27" s="238"/>
      <c r="I27" s="238"/>
      <c r="J27" s="238"/>
      <c r="W27" s="238" t="s">
        <v>403</v>
      </c>
      <c r="X27" s="262">
        <v>0.1</v>
      </c>
      <c r="Y27" s="238">
        <f>X27*1</f>
        <v>0.1</v>
      </c>
      <c r="Z27" s="238"/>
      <c r="AA27" s="238" t="s">
        <v>222</v>
      </c>
      <c r="AB27" s="263">
        <f>(Y25-AB26*18%)/46%</f>
        <v>0.34971644612476371</v>
      </c>
      <c r="AC27" s="264">
        <f>Y25/46%</f>
        <v>0.43478260869565216</v>
      </c>
      <c r="AD27" s="263">
        <f>AB27*AL16</f>
        <v>107.21390803958643</v>
      </c>
      <c r="AE27" s="263">
        <f>AC27*AL16</f>
        <v>133.29296675191824</v>
      </c>
      <c r="AF27" s="238"/>
      <c r="AG27" s="238"/>
      <c r="AH27" s="238" t="s">
        <v>404</v>
      </c>
    </row>
    <row r="28" spans="1:34" x14ac:dyDescent="0.3">
      <c r="A28" s="259">
        <v>44511</v>
      </c>
      <c r="B28" s="238">
        <v>14697</v>
      </c>
      <c r="C28" s="238">
        <v>4776525</v>
      </c>
      <c r="D28" s="238">
        <f t="shared" si="0"/>
        <v>325</v>
      </c>
      <c r="E28" s="238" t="s">
        <v>380</v>
      </c>
      <c r="F28" s="238">
        <v>726.69</v>
      </c>
      <c r="G28" s="238" t="s">
        <v>380</v>
      </c>
      <c r="H28" s="238"/>
      <c r="I28" s="238"/>
      <c r="J28" s="238"/>
      <c r="W28" s="238"/>
      <c r="X28" s="238"/>
      <c r="Y28" s="238"/>
      <c r="Z28" s="238"/>
      <c r="AA28" s="238" t="s">
        <v>399</v>
      </c>
      <c r="AB28" s="263">
        <f>Y27/60%</f>
        <v>0.16666666666666669</v>
      </c>
      <c r="AC28" s="264">
        <f>Y27/60%</f>
        <v>0.16666666666666669</v>
      </c>
      <c r="AD28" s="263">
        <f>AB28*AL15</f>
        <v>54.666666666666671</v>
      </c>
      <c r="AE28" s="263">
        <f>AC28*AL15</f>
        <v>54.666666666666671</v>
      </c>
      <c r="AF28" s="238"/>
      <c r="AG28" s="238">
        <v>272</v>
      </c>
      <c r="AH28" s="267">
        <f>(AL12-AG28)/AL12</f>
        <v>0.35868719496380824</v>
      </c>
    </row>
    <row r="29" spans="1:34" x14ac:dyDescent="0.3">
      <c r="A29" s="259">
        <v>44511</v>
      </c>
      <c r="B29" s="238">
        <v>27385</v>
      </c>
      <c r="C29" s="238">
        <v>8900125</v>
      </c>
      <c r="D29" s="238">
        <f t="shared" si="0"/>
        <v>325</v>
      </c>
      <c r="E29" s="238" t="s">
        <v>380</v>
      </c>
      <c r="F29" s="238">
        <v>726.69</v>
      </c>
      <c r="G29" s="238" t="s">
        <v>380</v>
      </c>
      <c r="H29" s="238"/>
      <c r="I29" s="238"/>
      <c r="J29" s="238"/>
      <c r="W29" s="238"/>
      <c r="X29" s="238"/>
      <c r="Y29" s="238"/>
      <c r="Z29" s="238"/>
      <c r="AA29" s="258" t="s">
        <v>162</v>
      </c>
      <c r="AB29" s="268">
        <f>SUM(AB25:AB28)</f>
        <v>0.7337744171392564</v>
      </c>
      <c r="AC29" s="268">
        <f>SUM(AC25:AC28)</f>
        <v>0.81884057971014501</v>
      </c>
      <c r="AD29" s="268">
        <f>SUM(AD25:AD28)</f>
        <v>254.08274861929658</v>
      </c>
      <c r="AE29" s="268">
        <f>SUM(AE25:AE28)</f>
        <v>254.08274861929658</v>
      </c>
      <c r="AF29" s="238"/>
      <c r="AG29" s="238">
        <v>174</v>
      </c>
      <c r="AH29" s="267">
        <f>(AH24-AG29)/AH24</f>
        <v>0.42794457215599208</v>
      </c>
    </row>
    <row r="30" spans="1:34" x14ac:dyDescent="0.3">
      <c r="A30" s="259">
        <v>44250</v>
      </c>
      <c r="B30" s="238">
        <v>41000</v>
      </c>
      <c r="C30" s="238">
        <v>11900250</v>
      </c>
      <c r="D30" s="238">
        <f t="shared" si="0"/>
        <v>290.25</v>
      </c>
      <c r="E30" s="238" t="s">
        <v>380</v>
      </c>
      <c r="F30" s="238">
        <v>745</v>
      </c>
      <c r="G30" s="238" t="s">
        <v>380</v>
      </c>
      <c r="H30" s="238"/>
      <c r="I30" s="238"/>
      <c r="J30" s="238"/>
    </row>
    <row r="31" spans="1:34" x14ac:dyDescent="0.3">
      <c r="A31" s="259"/>
      <c r="B31" s="238"/>
      <c r="C31" s="238"/>
      <c r="D31" s="238"/>
      <c r="E31" s="238"/>
      <c r="F31" s="238"/>
      <c r="G31" s="238"/>
      <c r="H31" s="238"/>
      <c r="I31" s="238"/>
      <c r="J31" s="238"/>
    </row>
    <row r="32" spans="1:34" x14ac:dyDescent="0.3">
      <c r="A32" s="238" t="s">
        <v>405</v>
      </c>
      <c r="B32" s="238">
        <f>SUM(B22:B30)</f>
        <v>292158</v>
      </c>
      <c r="C32" s="238"/>
      <c r="D32" s="238" cm="1">
        <f t="array" ref="D32">SUM(C22:C30/SUM(B22:B30))</f>
        <v>325.14366883672534</v>
      </c>
      <c r="E32" s="238"/>
      <c r="F32" s="238">
        <f>SUMPRODUCT(F22:F30,B22:B30)/SUM(B22:B30)</f>
        <v>625.32851936281054</v>
      </c>
      <c r="G32" s="238"/>
      <c r="H32" s="238" t="s">
        <v>406</v>
      </c>
      <c r="I32" s="238"/>
      <c r="J32" s="267">
        <f>F32/D32-1</f>
        <v>0.92323756941066715</v>
      </c>
      <c r="W32" s="238" t="s">
        <v>414</v>
      </c>
      <c r="X32" s="238"/>
      <c r="Y32" s="238" t="s">
        <v>384</v>
      </c>
      <c r="Z32" s="238"/>
      <c r="AA32" s="238"/>
      <c r="AB32" s="238" t="s">
        <v>385</v>
      </c>
      <c r="AC32" s="238" t="s">
        <v>386</v>
      </c>
      <c r="AD32" s="238"/>
      <c r="AE32" s="238"/>
      <c r="AF32" s="238"/>
      <c r="AG32" s="238"/>
      <c r="AH32" s="238"/>
    </row>
    <row r="33" spans="1:34" x14ac:dyDescent="0.3">
      <c r="A33" s="238"/>
      <c r="B33" s="238"/>
      <c r="C33" s="238"/>
      <c r="D33" s="238"/>
      <c r="E33" s="238"/>
      <c r="F33" s="238"/>
      <c r="G33" s="238"/>
      <c r="H33" s="267"/>
      <c r="I33" s="238"/>
      <c r="J33" s="238"/>
      <c r="W33" s="238"/>
      <c r="X33" s="238"/>
      <c r="Y33" s="238" t="s">
        <v>390</v>
      </c>
      <c r="Z33" s="238" t="s">
        <v>391</v>
      </c>
      <c r="AA33" s="238"/>
      <c r="AB33" s="238" t="s">
        <v>392</v>
      </c>
      <c r="AC33" s="238" t="s">
        <v>392</v>
      </c>
      <c r="AD33" s="238" t="s">
        <v>393</v>
      </c>
      <c r="AE33" s="238" t="s">
        <v>393</v>
      </c>
      <c r="AF33" s="238"/>
      <c r="AG33" s="238" t="s">
        <v>394</v>
      </c>
      <c r="AH33" s="238">
        <v>304.16632992327368</v>
      </c>
    </row>
    <row r="34" spans="1:34" x14ac:dyDescent="0.3">
      <c r="A34" s="238"/>
      <c r="B34" s="238"/>
      <c r="C34" s="238"/>
      <c r="D34" s="238"/>
      <c r="E34" s="238"/>
      <c r="F34" s="238"/>
      <c r="G34" s="238"/>
      <c r="H34" s="238"/>
      <c r="I34" s="238"/>
      <c r="J34" s="238"/>
      <c r="W34" s="238" t="s">
        <v>397</v>
      </c>
      <c r="X34" s="262">
        <v>0.2</v>
      </c>
      <c r="Y34" s="238">
        <f>X34*1</f>
        <v>0.2</v>
      </c>
      <c r="Z34" s="238"/>
      <c r="AA34" s="238" t="s">
        <v>388</v>
      </c>
      <c r="AB34" s="263">
        <v>0</v>
      </c>
      <c r="AC34" s="264">
        <f>Y35/46%</f>
        <v>0.21739130434782608</v>
      </c>
      <c r="AD34" s="263">
        <f>0</f>
        <v>0</v>
      </c>
      <c r="AE34" s="264">
        <f>AC34*AH33</f>
        <v>66.123115200711666</v>
      </c>
      <c r="AF34" s="238"/>
      <c r="AG34" s="238"/>
      <c r="AH34" s="238"/>
    </row>
    <row r="35" spans="1:34" x14ac:dyDescent="0.3">
      <c r="A35" s="259"/>
      <c r="B35" s="238"/>
      <c r="C35" s="238"/>
      <c r="D35" s="238"/>
      <c r="E35" s="238"/>
      <c r="F35" s="238"/>
      <c r="G35" s="238"/>
      <c r="H35" s="238"/>
      <c r="I35" s="238"/>
      <c r="J35" s="238"/>
      <c r="W35" s="238" t="s">
        <v>271</v>
      </c>
      <c r="X35" s="262">
        <v>0.1</v>
      </c>
      <c r="Y35" s="238">
        <f>X35*1</f>
        <v>0.1</v>
      </c>
      <c r="Z35" s="238"/>
      <c r="AA35" s="238" t="s">
        <v>169</v>
      </c>
      <c r="AB35" s="263">
        <f>Y35/0.46</f>
        <v>0.21739130434782608</v>
      </c>
      <c r="AC35" s="264">
        <v>0</v>
      </c>
      <c r="AD35" s="263">
        <f>AB35*AL12</f>
        <v>92.202173913043481</v>
      </c>
      <c r="AE35" s="264">
        <v>0</v>
      </c>
      <c r="AF35" s="238"/>
      <c r="AG35" s="265" t="s">
        <v>398</v>
      </c>
      <c r="AH35" s="266">
        <f>AD38-AE38</f>
        <v>0</v>
      </c>
    </row>
    <row r="36" spans="1:34" x14ac:dyDescent="0.3">
      <c r="A36" s="258" t="s">
        <v>415</v>
      </c>
      <c r="B36" s="238"/>
      <c r="C36" s="238"/>
      <c r="D36" s="238"/>
      <c r="E36" s="238"/>
      <c r="F36" s="258" t="s">
        <v>373</v>
      </c>
      <c r="G36" s="238"/>
      <c r="H36" s="238"/>
      <c r="I36" s="238"/>
      <c r="J36" s="238"/>
      <c r="W36" s="238" t="s">
        <v>403</v>
      </c>
      <c r="X36" s="262">
        <v>0.1</v>
      </c>
      <c r="Y36" s="238">
        <v>0.05</v>
      </c>
      <c r="Z36" s="238"/>
      <c r="AA36" s="238" t="s">
        <v>222</v>
      </c>
      <c r="AB36" s="263">
        <f>(Y34-AB35*18%)/46%</f>
        <v>0.34971644612476371</v>
      </c>
      <c r="AC36" s="264">
        <f>Y34/46%</f>
        <v>0.43478260869565216</v>
      </c>
      <c r="AD36" s="263">
        <f>AB36*AL16</f>
        <v>107.21390803958643</v>
      </c>
      <c r="AE36" s="263">
        <f>AC36*AL16</f>
        <v>133.29296675191824</v>
      </c>
      <c r="AF36" s="238"/>
      <c r="AG36" s="238"/>
      <c r="AH36" s="238" t="s">
        <v>404</v>
      </c>
    </row>
    <row r="37" spans="1:34" x14ac:dyDescent="0.3">
      <c r="A37" s="238" t="s">
        <v>350</v>
      </c>
      <c r="B37" s="238" t="s">
        <v>376</v>
      </c>
      <c r="C37" s="238" t="s">
        <v>377</v>
      </c>
      <c r="D37" s="238" t="s">
        <v>378</v>
      </c>
      <c r="E37" s="238" t="s">
        <v>379</v>
      </c>
      <c r="F37" s="238" t="s">
        <v>378</v>
      </c>
      <c r="G37" s="238"/>
      <c r="H37" s="238"/>
      <c r="I37" s="238"/>
      <c r="J37" s="238"/>
      <c r="W37" s="238"/>
      <c r="X37" s="238"/>
      <c r="Y37" s="238"/>
      <c r="Z37" s="238"/>
      <c r="AA37" s="238" t="s">
        <v>399</v>
      </c>
      <c r="AB37" s="263">
        <f>Y36/60%</f>
        <v>8.3333333333333343E-2</v>
      </c>
      <c r="AC37" s="264">
        <f>Y36/60%</f>
        <v>8.3333333333333343E-2</v>
      </c>
      <c r="AD37" s="263">
        <f>AB37*AL15</f>
        <v>27.333333333333336</v>
      </c>
      <c r="AE37" s="263">
        <f>AC37*AL15</f>
        <v>27.333333333333336</v>
      </c>
      <c r="AF37" s="238"/>
      <c r="AG37" s="238">
        <v>272</v>
      </c>
      <c r="AH37" s="267">
        <f>(AL12-AG37)/AL12</f>
        <v>0.35868719496380824</v>
      </c>
    </row>
    <row r="38" spans="1:34" x14ac:dyDescent="0.3">
      <c r="A38" s="259">
        <v>43952</v>
      </c>
      <c r="B38" s="238">
        <v>42000</v>
      </c>
      <c r="C38" s="238">
        <v>11529000</v>
      </c>
      <c r="D38" s="238">
        <f>C38/B38</f>
        <v>274.5</v>
      </c>
      <c r="E38" s="238" t="s">
        <v>380</v>
      </c>
      <c r="F38" s="238">
        <v>263</v>
      </c>
      <c r="G38" s="238" t="s">
        <v>380</v>
      </c>
      <c r="H38" s="238"/>
      <c r="I38" s="238"/>
      <c r="J38" s="238"/>
      <c r="W38" s="238"/>
      <c r="X38" s="238"/>
      <c r="Y38" s="238"/>
      <c r="Z38" s="238"/>
      <c r="AA38" s="258" t="s">
        <v>162</v>
      </c>
      <c r="AB38" s="268">
        <f>SUM(AB34:AB37)</f>
        <v>0.65044108380592314</v>
      </c>
      <c r="AC38" s="268">
        <f>SUM(AC34:AC37)</f>
        <v>0.73550724637681164</v>
      </c>
      <c r="AD38" s="268">
        <f>SUM(AD34:AD37)</f>
        <v>226.74941528596324</v>
      </c>
      <c r="AE38" s="268">
        <f>SUM(AE34:AE37)</f>
        <v>226.74941528596324</v>
      </c>
      <c r="AF38" s="238"/>
      <c r="AG38" s="238">
        <v>174</v>
      </c>
      <c r="AH38" s="267">
        <f>(AH33-AG38)/AH33</f>
        <v>0.42794457215599208</v>
      </c>
    </row>
    <row r="39" spans="1:34" x14ac:dyDescent="0.3">
      <c r="A39" s="259">
        <v>43960</v>
      </c>
      <c r="B39" s="238">
        <v>24723</v>
      </c>
      <c r="C39" s="238">
        <v>7725937.5</v>
      </c>
      <c r="D39" s="238">
        <f>C39/B39</f>
        <v>312.5</v>
      </c>
      <c r="E39" s="238" t="s">
        <v>380</v>
      </c>
      <c r="F39" s="238">
        <v>263</v>
      </c>
      <c r="G39" s="238" t="s">
        <v>380</v>
      </c>
      <c r="H39" s="238"/>
      <c r="I39" s="238"/>
      <c r="J39" s="238"/>
    </row>
    <row r="40" spans="1:34" x14ac:dyDescent="0.3">
      <c r="A40" s="259">
        <v>43960</v>
      </c>
      <c r="B40" s="238">
        <v>17277</v>
      </c>
      <c r="C40" s="238">
        <v>5399062.5</v>
      </c>
      <c r="D40" s="238">
        <f>C40/B40</f>
        <v>312.5</v>
      </c>
      <c r="E40" s="238" t="s">
        <v>380</v>
      </c>
      <c r="F40" s="238">
        <v>263</v>
      </c>
      <c r="G40" s="238" t="s">
        <v>380</v>
      </c>
      <c r="H40" s="238"/>
      <c r="I40" s="238"/>
      <c r="J40" s="238"/>
    </row>
    <row r="41" spans="1:34" x14ac:dyDescent="0.3">
      <c r="A41" s="259">
        <v>44025</v>
      </c>
      <c r="B41" s="238">
        <v>42000</v>
      </c>
      <c r="C41" s="238">
        <v>12621000</v>
      </c>
      <c r="D41" s="238">
        <f>C41/B41</f>
        <v>300.5</v>
      </c>
      <c r="E41" s="238" t="s">
        <v>380</v>
      </c>
      <c r="F41" s="238">
        <v>305.10000000000002</v>
      </c>
      <c r="G41" s="238" t="s">
        <v>380</v>
      </c>
      <c r="H41" s="238"/>
      <c r="I41" s="238"/>
      <c r="J41" s="238"/>
    </row>
    <row r="42" spans="1:34" x14ac:dyDescent="0.3">
      <c r="A42" s="259">
        <v>44155</v>
      </c>
      <c r="B42" s="238">
        <v>42000</v>
      </c>
      <c r="C42" s="238">
        <v>12621000</v>
      </c>
      <c r="D42" s="238">
        <f>C42/B42</f>
        <v>300.5</v>
      </c>
      <c r="E42" s="238" t="s">
        <v>380</v>
      </c>
      <c r="F42" s="238">
        <v>359.63</v>
      </c>
      <c r="G42" s="238" t="s">
        <v>380</v>
      </c>
      <c r="H42" s="238"/>
      <c r="I42" s="238"/>
      <c r="J42" s="238"/>
    </row>
    <row r="43" spans="1:34" x14ac:dyDescent="0.3">
      <c r="A43" s="259">
        <v>44178</v>
      </c>
      <c r="B43" s="238">
        <v>42000</v>
      </c>
      <c r="C43" s="238">
        <v>12295500</v>
      </c>
      <c r="D43" s="238">
        <f t="shared" ref="D43" si="1">C43/B43</f>
        <v>292.75</v>
      </c>
      <c r="E43" s="238" t="s">
        <v>380</v>
      </c>
      <c r="F43" s="238">
        <v>388.5</v>
      </c>
      <c r="G43" s="238" t="s">
        <v>380</v>
      </c>
      <c r="H43" s="238"/>
      <c r="I43" s="238"/>
      <c r="J43" s="238"/>
    </row>
    <row r="44" spans="1:34" x14ac:dyDescent="0.3">
      <c r="A44" s="259"/>
      <c r="B44" s="238"/>
      <c r="C44" s="238"/>
      <c r="D44" s="238"/>
      <c r="E44" s="238"/>
      <c r="F44" s="238"/>
      <c r="G44" s="238"/>
      <c r="H44" s="238"/>
      <c r="I44" s="238"/>
      <c r="J44" s="238"/>
    </row>
    <row r="45" spans="1:34" x14ac:dyDescent="0.3">
      <c r="A45" s="238" t="s">
        <v>405</v>
      </c>
      <c r="B45" s="238">
        <f>SUM(B40:B44)</f>
        <v>143277</v>
      </c>
      <c r="C45" s="238"/>
      <c r="D45" s="238" cm="1">
        <f t="array" ref="D45">SUM(C40:C44/SUM(B40:B44))</f>
        <v>299.67519211038757</v>
      </c>
      <c r="E45" s="238"/>
      <c r="F45" s="238">
        <f>SUMPRODUCT(F38:F43,B38:B43)/SUM(B38:B43)</f>
        <v>315.846</v>
      </c>
      <c r="G45" s="238"/>
      <c r="H45" s="238" t="s">
        <v>406</v>
      </c>
      <c r="I45" s="238"/>
      <c r="J45" s="267">
        <f>F45/D45-1</f>
        <v>5.3961116286381783E-2</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2E53-913C-4C82-9D9A-FF9283069BB0}">
  <sheetPr>
    <tabColor theme="9" tint="0.79998168889431442"/>
  </sheetPr>
  <dimension ref="A1:E130"/>
  <sheetViews>
    <sheetView showGridLines="0" workbookViewId="0">
      <selection activeCell="AD57" sqref="AD57"/>
    </sheetView>
  </sheetViews>
  <sheetFormatPr defaultRowHeight="14.4" x14ac:dyDescent="0.3"/>
  <cols>
    <col min="1" max="16384" width="8.88671875" style="220"/>
  </cols>
  <sheetData>
    <row r="1" spans="1:5" s="221" customFormat="1" x14ac:dyDescent="0.3">
      <c r="C1" s="222"/>
    </row>
    <row r="2" spans="1:5" s="225" customFormat="1" ht="11.25" customHeight="1" x14ac:dyDescent="0.3">
      <c r="A2" s="223"/>
      <c r="B2" s="223"/>
      <c r="C2" s="222"/>
      <c r="D2" s="224"/>
    </row>
    <row r="3" spans="1:5" s="225" customFormat="1" ht="15.75" customHeight="1" x14ac:dyDescent="0.3">
      <c r="A3" s="223"/>
      <c r="B3" s="223"/>
      <c r="C3" s="226" t="s">
        <v>304</v>
      </c>
      <c r="D3" s="224"/>
    </row>
    <row r="4" spans="1:5" s="225" customFormat="1" ht="12.75" customHeight="1" x14ac:dyDescent="0.3">
      <c r="A4" s="223"/>
      <c r="B4" s="223"/>
      <c r="C4" s="227" t="str">
        <f ca="1">MID(CELL("filename",C4),FIND("]",CELL("filename",C4))+1,256)</f>
        <v>IndexMundi DAP prices</v>
      </c>
      <c r="D4" s="224"/>
    </row>
    <row r="5" spans="1:5" s="225" customFormat="1" ht="15.75" customHeight="1" x14ac:dyDescent="0.3">
      <c r="A5" s="223"/>
      <c r="B5" s="223"/>
      <c r="C5" s="228"/>
      <c r="D5" s="224"/>
    </row>
    <row r="6" spans="1:5" s="232" customFormat="1" ht="9" customHeight="1" x14ac:dyDescent="0.25">
      <c r="A6" s="229"/>
      <c r="B6" s="229"/>
      <c r="C6" s="229"/>
      <c r="D6" s="230"/>
      <c r="E6" s="231"/>
    </row>
    <row r="10" spans="1:5" x14ac:dyDescent="0.3">
      <c r="A10" s="271" t="s">
        <v>416</v>
      </c>
      <c r="B10" s="271" t="s">
        <v>377</v>
      </c>
      <c r="C10" s="271" t="s">
        <v>417</v>
      </c>
      <c r="E10" s="272" t="s">
        <v>418</v>
      </c>
    </row>
    <row r="11" spans="1:5" x14ac:dyDescent="0.3">
      <c r="A11" s="273">
        <v>41426</v>
      </c>
      <c r="B11" s="274">
        <v>424.13</v>
      </c>
      <c r="C11" s="274" t="s">
        <v>419</v>
      </c>
      <c r="E11" s="275" t="s">
        <v>420</v>
      </c>
    </row>
    <row r="12" spans="1:5" x14ac:dyDescent="0.3">
      <c r="A12" s="276">
        <v>41456</v>
      </c>
      <c r="B12" s="277">
        <v>409.63</v>
      </c>
      <c r="C12" s="278">
        <v>-3.4200000000000001E-2</v>
      </c>
    </row>
    <row r="13" spans="1:5" x14ac:dyDescent="0.3">
      <c r="A13" s="273">
        <v>41487</v>
      </c>
      <c r="B13" s="274">
        <v>400.38</v>
      </c>
      <c r="C13" s="279">
        <v>-2.2599999999999999E-2</v>
      </c>
    </row>
    <row r="14" spans="1:5" x14ac:dyDescent="0.3">
      <c r="A14" s="276">
        <v>41518</v>
      </c>
      <c r="B14" s="277">
        <v>374.8</v>
      </c>
      <c r="C14" s="278">
        <v>-6.3899999999999998E-2</v>
      </c>
    </row>
    <row r="15" spans="1:5" x14ac:dyDescent="0.3">
      <c r="A15" s="273">
        <v>41548</v>
      </c>
      <c r="B15" s="274">
        <v>370</v>
      </c>
      <c r="C15" s="279">
        <v>-1.2800000000000001E-2</v>
      </c>
    </row>
    <row r="16" spans="1:5" x14ac:dyDescent="0.3">
      <c r="A16" s="276">
        <v>41579</v>
      </c>
      <c r="B16" s="277">
        <v>334.38</v>
      </c>
      <c r="C16" s="278">
        <v>-9.6299999999999997E-2</v>
      </c>
    </row>
    <row r="17" spans="1:3" x14ac:dyDescent="0.3">
      <c r="A17" s="273">
        <v>41609</v>
      </c>
      <c r="B17" s="274">
        <v>341.63</v>
      </c>
      <c r="C17" s="279">
        <v>2.1700000000000001E-2</v>
      </c>
    </row>
    <row r="18" spans="1:3" x14ac:dyDescent="0.3">
      <c r="A18" s="276">
        <v>41640</v>
      </c>
      <c r="B18" s="277">
        <v>403.38</v>
      </c>
      <c r="C18" s="278">
        <v>0.18079999999999999</v>
      </c>
    </row>
    <row r="19" spans="1:3" x14ac:dyDescent="0.3">
      <c r="A19" s="273">
        <v>41671</v>
      </c>
      <c r="B19" s="274">
        <v>450.13</v>
      </c>
      <c r="C19" s="279">
        <v>0.1159</v>
      </c>
    </row>
    <row r="20" spans="1:3" x14ac:dyDescent="0.3">
      <c r="A20" s="276">
        <v>41699</v>
      </c>
      <c r="B20" s="277">
        <v>486.5</v>
      </c>
      <c r="C20" s="278">
        <v>8.0799999999999997E-2</v>
      </c>
    </row>
    <row r="21" spans="1:3" x14ac:dyDescent="0.3">
      <c r="A21" s="273">
        <v>41730</v>
      </c>
      <c r="B21" s="274">
        <v>409</v>
      </c>
      <c r="C21" s="279">
        <v>-0.1593</v>
      </c>
    </row>
    <row r="22" spans="1:3" x14ac:dyDescent="0.3">
      <c r="A22" s="276">
        <v>41760</v>
      </c>
      <c r="B22" s="277">
        <v>413.56</v>
      </c>
      <c r="C22" s="278">
        <v>1.11E-2</v>
      </c>
    </row>
    <row r="23" spans="1:3" x14ac:dyDescent="0.3">
      <c r="A23" s="273">
        <v>41791</v>
      </c>
      <c r="B23" s="274">
        <v>421.38</v>
      </c>
      <c r="C23" s="279">
        <v>1.89E-2</v>
      </c>
    </row>
    <row r="24" spans="1:3" x14ac:dyDescent="0.3">
      <c r="A24" s="276">
        <v>41821</v>
      </c>
      <c r="B24" s="277">
        <v>440.63</v>
      </c>
      <c r="C24" s="278">
        <v>4.5699999999999998E-2</v>
      </c>
    </row>
    <row r="25" spans="1:3" x14ac:dyDescent="0.3">
      <c r="A25" s="273">
        <v>41852</v>
      </c>
      <c r="B25" s="274">
        <v>446.5</v>
      </c>
      <c r="C25" s="279">
        <v>1.3299999999999999E-2</v>
      </c>
    </row>
    <row r="26" spans="1:3" x14ac:dyDescent="0.3">
      <c r="A26" s="276">
        <v>41883</v>
      </c>
      <c r="B26" s="277">
        <v>438.1</v>
      </c>
      <c r="C26" s="278">
        <v>-1.8800000000000001E-2</v>
      </c>
    </row>
    <row r="27" spans="1:3" x14ac:dyDescent="0.3">
      <c r="A27" s="273">
        <v>41913</v>
      </c>
      <c r="B27" s="274">
        <v>418.75</v>
      </c>
      <c r="C27" s="279">
        <v>-4.4200000000000003E-2</v>
      </c>
    </row>
    <row r="28" spans="1:3" x14ac:dyDescent="0.3">
      <c r="A28" s="276">
        <v>41944</v>
      </c>
      <c r="B28" s="277">
        <v>408.75</v>
      </c>
      <c r="C28" s="278">
        <v>-2.3900000000000001E-2</v>
      </c>
    </row>
    <row r="29" spans="1:3" x14ac:dyDescent="0.3">
      <c r="A29" s="273">
        <v>41974</v>
      </c>
      <c r="B29" s="274">
        <v>418.38</v>
      </c>
      <c r="C29" s="279">
        <v>2.3599999999999999E-2</v>
      </c>
    </row>
    <row r="30" spans="1:3" x14ac:dyDescent="0.3">
      <c r="A30" s="276">
        <v>42005</v>
      </c>
      <c r="B30" s="277">
        <v>440.25</v>
      </c>
      <c r="C30" s="278">
        <v>5.2299999999999999E-2</v>
      </c>
    </row>
    <row r="31" spans="1:3" x14ac:dyDescent="0.3">
      <c r="A31" s="273">
        <v>42036</v>
      </c>
      <c r="B31" s="274">
        <v>444.13</v>
      </c>
      <c r="C31" s="279">
        <v>8.8000000000000005E-3</v>
      </c>
    </row>
    <row r="32" spans="1:3" x14ac:dyDescent="0.3">
      <c r="A32" s="276">
        <v>42064</v>
      </c>
      <c r="B32" s="277">
        <v>428.8</v>
      </c>
      <c r="C32" s="278">
        <v>-3.4500000000000003E-2</v>
      </c>
    </row>
    <row r="33" spans="1:3" x14ac:dyDescent="0.3">
      <c r="A33" s="273">
        <v>42095</v>
      </c>
      <c r="B33" s="274">
        <v>409</v>
      </c>
      <c r="C33" s="279">
        <v>-4.6199999999999998E-2</v>
      </c>
    </row>
    <row r="34" spans="1:3" x14ac:dyDescent="0.3">
      <c r="A34" s="276">
        <v>42125</v>
      </c>
      <c r="B34" s="277">
        <v>413.56</v>
      </c>
      <c r="C34" s="278">
        <v>1.11E-2</v>
      </c>
    </row>
    <row r="35" spans="1:3" x14ac:dyDescent="0.3">
      <c r="A35" s="273">
        <v>42156</v>
      </c>
      <c r="B35" s="274">
        <v>421.38</v>
      </c>
      <c r="C35" s="279">
        <v>1.89E-2</v>
      </c>
    </row>
    <row r="36" spans="1:3" x14ac:dyDescent="0.3">
      <c r="A36" s="276">
        <v>42186</v>
      </c>
      <c r="B36" s="277">
        <v>431.5</v>
      </c>
      <c r="C36" s="278">
        <v>2.4E-2</v>
      </c>
    </row>
    <row r="37" spans="1:3" x14ac:dyDescent="0.3">
      <c r="A37" s="273">
        <v>42217</v>
      </c>
      <c r="B37" s="274">
        <v>434.63</v>
      </c>
      <c r="C37" s="279">
        <v>7.3000000000000001E-3</v>
      </c>
    </row>
    <row r="38" spans="1:3" x14ac:dyDescent="0.3">
      <c r="A38" s="276">
        <v>42248</v>
      </c>
      <c r="B38" s="277">
        <v>428</v>
      </c>
      <c r="C38" s="278">
        <v>-1.5299999999999999E-2</v>
      </c>
    </row>
    <row r="39" spans="1:3" x14ac:dyDescent="0.3">
      <c r="A39" s="273">
        <v>42278</v>
      </c>
      <c r="B39" s="274">
        <v>423.75</v>
      </c>
      <c r="C39" s="279">
        <v>-9.9000000000000008E-3</v>
      </c>
    </row>
    <row r="40" spans="1:3" x14ac:dyDescent="0.3">
      <c r="A40" s="276">
        <v>42309</v>
      </c>
      <c r="B40" s="277">
        <v>383.88</v>
      </c>
      <c r="C40" s="278">
        <v>-9.4100000000000003E-2</v>
      </c>
    </row>
    <row r="41" spans="1:3" x14ac:dyDescent="0.3">
      <c r="A41" s="273">
        <v>42339</v>
      </c>
      <c r="B41" s="274">
        <v>340.63</v>
      </c>
      <c r="C41" s="279">
        <v>-0.11269999999999999</v>
      </c>
    </row>
    <row r="42" spans="1:3" x14ac:dyDescent="0.3">
      <c r="A42" s="276">
        <v>42370</v>
      </c>
      <c r="B42" s="277">
        <v>327.13</v>
      </c>
      <c r="C42" s="278">
        <v>-3.9600000000000003E-2</v>
      </c>
    </row>
    <row r="43" spans="1:3" x14ac:dyDescent="0.3">
      <c r="A43" s="273">
        <v>42401</v>
      </c>
      <c r="B43" s="274">
        <v>326</v>
      </c>
      <c r="C43" s="279">
        <v>-3.5000000000000001E-3</v>
      </c>
    </row>
    <row r="44" spans="1:3" x14ac:dyDescent="0.3">
      <c r="A44" s="276">
        <v>42430</v>
      </c>
      <c r="B44" s="277">
        <v>338.13</v>
      </c>
      <c r="C44" s="278">
        <v>3.7199999999999997E-2</v>
      </c>
    </row>
    <row r="45" spans="1:3" x14ac:dyDescent="0.3">
      <c r="A45" s="273">
        <v>42461</v>
      </c>
      <c r="B45" s="274">
        <v>330.5</v>
      </c>
      <c r="C45" s="279">
        <v>-2.2599999999999999E-2</v>
      </c>
    </row>
    <row r="46" spans="1:3" x14ac:dyDescent="0.3">
      <c r="A46" s="276">
        <v>42491</v>
      </c>
      <c r="B46" s="277">
        <v>313.5</v>
      </c>
      <c r="C46" s="278">
        <v>-5.1400000000000001E-2</v>
      </c>
    </row>
    <row r="47" spans="1:3" x14ac:dyDescent="0.3">
      <c r="A47" s="273">
        <v>42522</v>
      </c>
      <c r="B47" s="274">
        <v>306.63</v>
      </c>
      <c r="C47" s="279">
        <v>-2.1899999999999999E-2</v>
      </c>
    </row>
    <row r="48" spans="1:3" x14ac:dyDescent="0.3">
      <c r="A48" s="276">
        <v>42552</v>
      </c>
      <c r="B48" s="277">
        <v>305.2</v>
      </c>
      <c r="C48" s="278">
        <v>-4.7000000000000002E-3</v>
      </c>
    </row>
    <row r="49" spans="1:3" x14ac:dyDescent="0.3">
      <c r="A49" s="273">
        <v>42583</v>
      </c>
      <c r="B49" s="274">
        <v>318.06</v>
      </c>
      <c r="C49" s="279">
        <v>4.2099999999999999E-2</v>
      </c>
    </row>
    <row r="50" spans="1:3" x14ac:dyDescent="0.3">
      <c r="A50" s="276">
        <v>42614</v>
      </c>
      <c r="B50" s="277">
        <v>320</v>
      </c>
      <c r="C50" s="278">
        <v>6.1000000000000004E-3</v>
      </c>
    </row>
    <row r="51" spans="1:3" x14ac:dyDescent="0.3">
      <c r="A51" s="273">
        <v>42644</v>
      </c>
      <c r="B51" s="274">
        <v>310</v>
      </c>
      <c r="C51" s="279">
        <v>-3.1300000000000001E-2</v>
      </c>
    </row>
    <row r="52" spans="1:3" x14ac:dyDescent="0.3">
      <c r="A52" s="276">
        <v>42675</v>
      </c>
      <c r="B52" s="277">
        <v>298</v>
      </c>
      <c r="C52" s="278">
        <v>-3.8699999999999998E-2</v>
      </c>
    </row>
    <row r="53" spans="1:3" x14ac:dyDescent="0.3">
      <c r="A53" s="273">
        <v>42705</v>
      </c>
      <c r="B53" s="274">
        <v>296.63</v>
      </c>
      <c r="C53" s="279">
        <v>-4.5999999999999999E-3</v>
      </c>
    </row>
    <row r="54" spans="1:3" x14ac:dyDescent="0.3">
      <c r="A54" s="276">
        <v>42736</v>
      </c>
      <c r="B54" s="277">
        <v>308</v>
      </c>
      <c r="C54" s="278">
        <v>3.8300000000000001E-2</v>
      </c>
    </row>
    <row r="55" spans="1:3" x14ac:dyDescent="0.3">
      <c r="A55" s="273">
        <v>42767</v>
      </c>
      <c r="B55" s="274">
        <v>326</v>
      </c>
      <c r="C55" s="279">
        <v>5.8400000000000001E-2</v>
      </c>
    </row>
    <row r="56" spans="1:3" x14ac:dyDescent="0.3">
      <c r="A56" s="276">
        <v>42795</v>
      </c>
      <c r="B56" s="277">
        <v>325.63</v>
      </c>
      <c r="C56" s="278">
        <v>-1.1000000000000001E-3</v>
      </c>
    </row>
    <row r="57" spans="1:3" x14ac:dyDescent="0.3">
      <c r="A57" s="273">
        <v>42826</v>
      </c>
      <c r="B57" s="274">
        <v>313.13</v>
      </c>
      <c r="C57" s="279">
        <v>-3.8399999999999997E-2</v>
      </c>
    </row>
    <row r="58" spans="1:3" x14ac:dyDescent="0.3">
      <c r="A58" s="276">
        <v>42856</v>
      </c>
      <c r="B58" s="277">
        <v>309.25</v>
      </c>
      <c r="C58" s="278">
        <v>-1.24E-2</v>
      </c>
    </row>
    <row r="59" spans="1:3" x14ac:dyDescent="0.3">
      <c r="A59" s="273">
        <v>42887</v>
      </c>
      <c r="B59" s="274">
        <v>310.3</v>
      </c>
      <c r="C59" s="279">
        <v>3.3999999999999998E-3</v>
      </c>
    </row>
    <row r="60" spans="1:3" x14ac:dyDescent="0.3">
      <c r="A60" s="276">
        <v>42917</v>
      </c>
      <c r="B60" s="277">
        <v>313.75</v>
      </c>
      <c r="C60" s="278">
        <v>1.11E-2</v>
      </c>
    </row>
    <row r="61" spans="1:3" x14ac:dyDescent="0.3">
      <c r="A61" s="273">
        <v>42948</v>
      </c>
      <c r="B61" s="274">
        <v>320.75</v>
      </c>
      <c r="C61" s="279">
        <v>2.23E-2</v>
      </c>
    </row>
    <row r="62" spans="1:3" x14ac:dyDescent="0.3">
      <c r="A62" s="276">
        <v>42979</v>
      </c>
      <c r="B62" s="277">
        <v>325.89999999999998</v>
      </c>
      <c r="C62" s="278">
        <v>1.61E-2</v>
      </c>
    </row>
    <row r="63" spans="1:3" x14ac:dyDescent="0.3">
      <c r="A63" s="273">
        <v>43009</v>
      </c>
      <c r="B63" s="274">
        <v>322.38</v>
      </c>
      <c r="C63" s="279">
        <v>-1.0800000000000001E-2</v>
      </c>
    </row>
    <row r="64" spans="1:3" x14ac:dyDescent="0.3">
      <c r="A64" s="276">
        <v>43040</v>
      </c>
      <c r="B64" s="277">
        <v>344</v>
      </c>
      <c r="C64" s="278">
        <v>6.7100000000000007E-2</v>
      </c>
    </row>
    <row r="65" spans="1:3" x14ac:dyDescent="0.3">
      <c r="A65" s="273">
        <v>43070</v>
      </c>
      <c r="B65" s="274">
        <v>357.25</v>
      </c>
      <c r="C65" s="279">
        <v>3.85E-2</v>
      </c>
    </row>
    <row r="66" spans="1:3" x14ac:dyDescent="0.3">
      <c r="A66" s="276">
        <v>43101</v>
      </c>
      <c r="B66" s="277">
        <v>360.38</v>
      </c>
      <c r="C66" s="278">
        <v>8.8000000000000005E-3</v>
      </c>
    </row>
    <row r="67" spans="1:3" x14ac:dyDescent="0.3">
      <c r="A67" s="273">
        <v>43132</v>
      </c>
      <c r="B67" s="274">
        <v>370</v>
      </c>
      <c r="C67" s="279">
        <v>2.6700000000000002E-2</v>
      </c>
    </row>
    <row r="68" spans="1:3" x14ac:dyDescent="0.3">
      <c r="A68" s="276">
        <v>43160</v>
      </c>
      <c r="B68" s="277">
        <v>378</v>
      </c>
      <c r="C68" s="278">
        <v>2.1600000000000001E-2</v>
      </c>
    </row>
    <row r="69" spans="1:3" x14ac:dyDescent="0.3">
      <c r="A69" s="273">
        <v>43191</v>
      </c>
      <c r="B69" s="274">
        <v>384.75</v>
      </c>
      <c r="C69" s="279">
        <v>1.7899999999999999E-2</v>
      </c>
    </row>
    <row r="70" spans="1:3" x14ac:dyDescent="0.3">
      <c r="A70" s="276">
        <v>43221</v>
      </c>
      <c r="B70" s="277">
        <v>384.38</v>
      </c>
      <c r="C70" s="278">
        <v>-1E-3</v>
      </c>
    </row>
    <row r="71" spans="1:3" x14ac:dyDescent="0.3">
      <c r="A71" s="273">
        <v>43252</v>
      </c>
      <c r="B71" s="274">
        <v>391.6</v>
      </c>
      <c r="C71" s="279">
        <v>1.8800000000000001E-2</v>
      </c>
    </row>
    <row r="72" spans="1:3" x14ac:dyDescent="0.3">
      <c r="A72" s="276">
        <v>43282</v>
      </c>
      <c r="B72" s="277">
        <v>400.75</v>
      </c>
      <c r="C72" s="278">
        <v>2.3400000000000001E-2</v>
      </c>
    </row>
    <row r="73" spans="1:3" x14ac:dyDescent="0.3">
      <c r="A73" s="273">
        <v>43313</v>
      </c>
      <c r="B73" s="274">
        <v>409</v>
      </c>
      <c r="C73" s="279">
        <v>2.06E-2</v>
      </c>
    </row>
    <row r="74" spans="1:3" x14ac:dyDescent="0.3">
      <c r="A74" s="276">
        <v>43344</v>
      </c>
      <c r="B74" s="277">
        <v>421.63</v>
      </c>
      <c r="C74" s="278">
        <v>3.09E-2</v>
      </c>
    </row>
    <row r="75" spans="1:3" x14ac:dyDescent="0.3">
      <c r="A75" s="273">
        <v>43374</v>
      </c>
      <c r="B75" s="274">
        <v>420.75</v>
      </c>
      <c r="C75" s="279">
        <v>-2.0999999999999999E-3</v>
      </c>
    </row>
    <row r="76" spans="1:3" x14ac:dyDescent="0.3">
      <c r="A76" s="276">
        <v>43405</v>
      </c>
      <c r="B76" s="277">
        <v>410.2</v>
      </c>
      <c r="C76" s="278">
        <v>-2.5100000000000001E-2</v>
      </c>
    </row>
    <row r="77" spans="1:3" x14ac:dyDescent="0.3">
      <c r="A77" s="273">
        <v>43435</v>
      </c>
      <c r="B77" s="274">
        <v>389.67</v>
      </c>
      <c r="C77" s="279">
        <v>-0.05</v>
      </c>
    </row>
    <row r="78" spans="1:3" x14ac:dyDescent="0.3">
      <c r="A78" s="276">
        <v>43466</v>
      </c>
      <c r="B78" s="277">
        <v>382.13</v>
      </c>
      <c r="C78" s="278">
        <v>-1.9300000000000001E-2</v>
      </c>
    </row>
    <row r="79" spans="1:3" x14ac:dyDescent="0.3">
      <c r="A79" s="273">
        <v>43497</v>
      </c>
      <c r="B79" s="274">
        <v>357.38</v>
      </c>
      <c r="C79" s="279">
        <v>-6.4799999999999996E-2</v>
      </c>
    </row>
    <row r="80" spans="1:3" x14ac:dyDescent="0.3">
      <c r="A80" s="276">
        <v>43525</v>
      </c>
      <c r="B80" s="277">
        <v>335.03</v>
      </c>
      <c r="C80" s="278">
        <v>-6.25E-2</v>
      </c>
    </row>
    <row r="81" spans="1:3" x14ac:dyDescent="0.3">
      <c r="A81" s="273">
        <v>43556</v>
      </c>
      <c r="B81" s="274">
        <v>323.75</v>
      </c>
      <c r="C81" s="279">
        <v>-3.3700000000000001E-2</v>
      </c>
    </row>
    <row r="82" spans="1:3" x14ac:dyDescent="0.3">
      <c r="A82" s="276">
        <v>43586</v>
      </c>
      <c r="B82" s="277">
        <v>313.39999999999998</v>
      </c>
      <c r="C82" s="278">
        <v>-3.2000000000000001E-2</v>
      </c>
    </row>
    <row r="83" spans="1:3" x14ac:dyDescent="0.3">
      <c r="A83" s="273">
        <v>43617</v>
      </c>
      <c r="B83" s="274">
        <v>314.88</v>
      </c>
      <c r="C83" s="279">
        <v>4.7000000000000002E-3</v>
      </c>
    </row>
    <row r="84" spans="1:3" x14ac:dyDescent="0.3">
      <c r="A84" s="276">
        <v>43647</v>
      </c>
      <c r="B84" s="277">
        <v>307.5</v>
      </c>
      <c r="C84" s="278">
        <v>-2.3400000000000001E-2</v>
      </c>
    </row>
    <row r="85" spans="1:3" x14ac:dyDescent="0.3">
      <c r="A85" s="273">
        <v>43678</v>
      </c>
      <c r="B85" s="274">
        <v>292.89999999999998</v>
      </c>
      <c r="C85" s="279">
        <v>-4.7500000000000001E-2</v>
      </c>
    </row>
    <row r="86" spans="1:3" x14ac:dyDescent="0.3">
      <c r="A86" s="276">
        <v>43709</v>
      </c>
      <c r="B86" s="277">
        <v>285.75</v>
      </c>
      <c r="C86" s="278">
        <v>-2.4400000000000002E-2</v>
      </c>
    </row>
    <row r="87" spans="1:3" x14ac:dyDescent="0.3">
      <c r="A87" s="273">
        <v>43739</v>
      </c>
      <c r="B87" s="274">
        <v>277.38</v>
      </c>
      <c r="C87" s="279">
        <v>-2.93E-2</v>
      </c>
    </row>
    <row r="88" spans="1:3" x14ac:dyDescent="0.3">
      <c r="A88" s="276">
        <v>43770</v>
      </c>
      <c r="B88" s="277">
        <v>248</v>
      </c>
      <c r="C88" s="278">
        <v>-0.10589999999999999</v>
      </c>
    </row>
    <row r="89" spans="1:3" x14ac:dyDescent="0.3">
      <c r="A89" s="273">
        <v>43800</v>
      </c>
      <c r="B89" s="274">
        <v>238.16</v>
      </c>
      <c r="C89" s="279">
        <v>-3.9699999999999999E-2</v>
      </c>
    </row>
    <row r="90" spans="1:3" x14ac:dyDescent="0.3">
      <c r="A90" s="276">
        <v>43831</v>
      </c>
      <c r="B90" s="277">
        <v>264.89999999999998</v>
      </c>
      <c r="C90" s="278">
        <v>0.1123</v>
      </c>
    </row>
    <row r="91" spans="1:3" x14ac:dyDescent="0.3">
      <c r="A91" s="273">
        <v>43862</v>
      </c>
      <c r="B91" s="274">
        <v>279.38</v>
      </c>
      <c r="C91" s="279">
        <v>5.4699999999999999E-2</v>
      </c>
    </row>
    <row r="92" spans="1:3" x14ac:dyDescent="0.3">
      <c r="A92" s="276">
        <v>43891</v>
      </c>
      <c r="B92" s="277">
        <v>276.22000000000003</v>
      </c>
      <c r="C92" s="278">
        <v>-1.1299999999999999E-2</v>
      </c>
    </row>
    <row r="93" spans="1:3" x14ac:dyDescent="0.3">
      <c r="A93" s="273">
        <v>43922</v>
      </c>
      <c r="B93" s="274">
        <v>282</v>
      </c>
      <c r="C93" s="279">
        <v>2.0899999999999998E-2</v>
      </c>
    </row>
    <row r="94" spans="1:3" x14ac:dyDescent="0.3">
      <c r="A94" s="276">
        <v>43952</v>
      </c>
      <c r="B94" s="277">
        <v>263</v>
      </c>
      <c r="C94" s="278">
        <v>-6.7400000000000002E-2</v>
      </c>
    </row>
    <row r="95" spans="1:3" x14ac:dyDescent="0.3">
      <c r="A95" s="273">
        <v>43983</v>
      </c>
      <c r="B95" s="274">
        <v>273</v>
      </c>
      <c r="C95" s="279">
        <v>3.7999999999999999E-2</v>
      </c>
    </row>
    <row r="96" spans="1:3" x14ac:dyDescent="0.3">
      <c r="A96" s="276">
        <v>44013</v>
      </c>
      <c r="B96" s="277">
        <v>305.10000000000002</v>
      </c>
      <c r="C96" s="278">
        <v>0.1176</v>
      </c>
    </row>
    <row r="97" spans="1:3" x14ac:dyDescent="0.3">
      <c r="A97" s="273">
        <v>44044</v>
      </c>
      <c r="B97" s="274">
        <v>341.88</v>
      </c>
      <c r="C97" s="279">
        <v>0.1206</v>
      </c>
    </row>
    <row r="98" spans="1:3" x14ac:dyDescent="0.3">
      <c r="A98" s="276">
        <v>44075</v>
      </c>
      <c r="B98" s="277">
        <v>358.38</v>
      </c>
      <c r="C98" s="278">
        <v>4.8300000000000003E-2</v>
      </c>
    </row>
    <row r="99" spans="1:3" x14ac:dyDescent="0.3">
      <c r="A99" s="273">
        <v>44105</v>
      </c>
      <c r="B99" s="274">
        <v>357.1</v>
      </c>
      <c r="C99" s="279">
        <v>-3.5999999999999999E-3</v>
      </c>
    </row>
    <row r="100" spans="1:3" x14ac:dyDescent="0.3">
      <c r="A100" s="276">
        <v>44136</v>
      </c>
      <c r="B100" s="277">
        <v>359.63</v>
      </c>
      <c r="C100" s="278">
        <v>7.1000000000000004E-3</v>
      </c>
    </row>
    <row r="101" spans="1:3" x14ac:dyDescent="0.3">
      <c r="A101" s="273">
        <v>44166</v>
      </c>
      <c r="B101" s="274">
        <v>388.5</v>
      </c>
      <c r="C101" s="279">
        <v>8.0299999999999996E-2</v>
      </c>
    </row>
    <row r="102" spans="1:3" x14ac:dyDescent="0.3">
      <c r="A102" s="276">
        <v>44197</v>
      </c>
      <c r="B102" s="277">
        <v>421.3</v>
      </c>
      <c r="C102" s="278">
        <v>8.4400000000000003E-2</v>
      </c>
    </row>
    <row r="103" spans="1:3" x14ac:dyDescent="0.3">
      <c r="A103" s="273">
        <v>44228</v>
      </c>
      <c r="B103" s="274">
        <v>528.88</v>
      </c>
      <c r="C103" s="279">
        <v>0.25540000000000002</v>
      </c>
    </row>
    <row r="104" spans="1:3" x14ac:dyDescent="0.3">
      <c r="A104" s="276">
        <v>44256</v>
      </c>
      <c r="B104" s="277">
        <v>534.13</v>
      </c>
      <c r="C104" s="278">
        <v>9.9000000000000008E-3</v>
      </c>
    </row>
    <row r="105" spans="1:3" x14ac:dyDescent="0.3">
      <c r="A105" s="273">
        <v>44287</v>
      </c>
      <c r="B105" s="274">
        <v>543.4</v>
      </c>
      <c r="C105" s="279">
        <v>1.7399999999999999E-2</v>
      </c>
    </row>
    <row r="106" spans="1:3" x14ac:dyDescent="0.3">
      <c r="A106" s="276">
        <v>44317</v>
      </c>
      <c r="B106" s="277">
        <v>574.63</v>
      </c>
      <c r="C106" s="278">
        <v>5.7500000000000002E-2</v>
      </c>
    </row>
    <row r="107" spans="1:3" x14ac:dyDescent="0.3">
      <c r="A107" s="273">
        <v>44348</v>
      </c>
      <c r="B107" s="274">
        <v>604.75</v>
      </c>
      <c r="C107" s="279">
        <v>5.2400000000000002E-2</v>
      </c>
    </row>
    <row r="108" spans="1:3" x14ac:dyDescent="0.3">
      <c r="A108" s="276">
        <v>44378</v>
      </c>
      <c r="B108" s="277">
        <v>613</v>
      </c>
      <c r="C108" s="278">
        <v>1.3599999999999999E-2</v>
      </c>
    </row>
    <row r="109" spans="1:3" x14ac:dyDescent="0.3">
      <c r="A109" s="273">
        <v>44409</v>
      </c>
      <c r="B109" s="274">
        <v>603.13</v>
      </c>
      <c r="C109" s="279">
        <v>-1.61E-2</v>
      </c>
    </row>
    <row r="110" spans="1:3" x14ac:dyDescent="0.3">
      <c r="A110" s="276">
        <v>44440</v>
      </c>
      <c r="B110" s="277">
        <v>643.75</v>
      </c>
      <c r="C110" s="278">
        <v>6.7299999999999999E-2</v>
      </c>
    </row>
    <row r="111" spans="1:3" x14ac:dyDescent="0.3">
      <c r="A111" s="273">
        <v>44470</v>
      </c>
      <c r="B111" s="274">
        <v>672.9</v>
      </c>
      <c r="C111" s="279">
        <v>4.53E-2</v>
      </c>
    </row>
    <row r="112" spans="1:3" x14ac:dyDescent="0.3">
      <c r="A112" s="276">
        <v>44501</v>
      </c>
      <c r="B112" s="277">
        <v>726.69</v>
      </c>
      <c r="C112" s="278">
        <v>7.9899999999999999E-2</v>
      </c>
    </row>
    <row r="113" spans="1:3" x14ac:dyDescent="0.3">
      <c r="A113" s="273">
        <v>44531</v>
      </c>
      <c r="B113" s="274">
        <v>745</v>
      </c>
      <c r="C113" s="279">
        <v>2.52E-2</v>
      </c>
    </row>
    <row r="114" spans="1:3" x14ac:dyDescent="0.3">
      <c r="A114" s="276">
        <v>44562</v>
      </c>
      <c r="B114" s="277">
        <v>699.38</v>
      </c>
      <c r="C114" s="278">
        <v>-6.1199999999999997E-2</v>
      </c>
    </row>
    <row r="115" spans="1:3" x14ac:dyDescent="0.3">
      <c r="A115" s="273">
        <v>44593</v>
      </c>
      <c r="B115" s="274">
        <v>747.13</v>
      </c>
      <c r="C115" s="279">
        <v>6.83E-2</v>
      </c>
    </row>
    <row r="116" spans="1:3" x14ac:dyDescent="0.3">
      <c r="A116" s="276">
        <v>44621</v>
      </c>
      <c r="B116" s="277">
        <v>938.13</v>
      </c>
      <c r="C116" s="278">
        <v>0.25559999999999999</v>
      </c>
    </row>
    <row r="117" spans="1:3" x14ac:dyDescent="0.3">
      <c r="A117" s="273">
        <v>44652</v>
      </c>
      <c r="B117" s="274">
        <v>954</v>
      </c>
      <c r="C117" s="279">
        <v>1.6899999999999998E-2</v>
      </c>
    </row>
    <row r="118" spans="1:3" x14ac:dyDescent="0.3">
      <c r="A118" s="276">
        <v>44682</v>
      </c>
      <c r="B118" s="277">
        <v>842.5</v>
      </c>
      <c r="C118" s="278">
        <v>-0.1169</v>
      </c>
    </row>
    <row r="119" spans="1:3" x14ac:dyDescent="0.3">
      <c r="A119" s="273">
        <v>44713</v>
      </c>
      <c r="B119" s="274">
        <v>783.75</v>
      </c>
      <c r="C119" s="279">
        <v>-6.9699999999999998E-2</v>
      </c>
    </row>
    <row r="120" spans="1:3" x14ac:dyDescent="0.3">
      <c r="A120" s="276">
        <v>44743</v>
      </c>
      <c r="B120" s="277">
        <v>784</v>
      </c>
      <c r="C120" s="278">
        <v>2.9999999999999997E-4</v>
      </c>
    </row>
    <row r="121" spans="1:3" x14ac:dyDescent="0.3">
      <c r="A121" s="273">
        <v>44774</v>
      </c>
      <c r="B121" s="274">
        <v>749.38</v>
      </c>
      <c r="C121" s="279">
        <v>-4.4200000000000003E-2</v>
      </c>
    </row>
    <row r="122" spans="1:3" x14ac:dyDescent="0.3">
      <c r="A122" s="276">
        <v>44805</v>
      </c>
      <c r="B122" s="277">
        <v>752</v>
      </c>
      <c r="C122" s="278">
        <v>3.5000000000000001E-3</v>
      </c>
    </row>
    <row r="123" spans="1:3" x14ac:dyDescent="0.3">
      <c r="A123" s="273">
        <v>44835</v>
      </c>
      <c r="B123" s="274">
        <v>725</v>
      </c>
      <c r="C123" s="279">
        <v>-3.5900000000000001E-2</v>
      </c>
    </row>
    <row r="124" spans="1:3" x14ac:dyDescent="0.3">
      <c r="A124" s="276">
        <v>44866</v>
      </c>
      <c r="B124" s="277">
        <v>665.63</v>
      </c>
      <c r="C124" s="278">
        <v>-8.1900000000000001E-2</v>
      </c>
    </row>
    <row r="125" spans="1:3" x14ac:dyDescent="0.3">
      <c r="A125" s="273">
        <v>44896</v>
      </c>
      <c r="B125" s="274">
        <v>625</v>
      </c>
      <c r="C125" s="279">
        <v>-6.0999999999999999E-2</v>
      </c>
    </row>
    <row r="126" spans="1:3" x14ac:dyDescent="0.3">
      <c r="A126" s="276">
        <v>44927</v>
      </c>
      <c r="B126" s="277">
        <v>631</v>
      </c>
      <c r="C126" s="278">
        <v>9.5999999999999992E-3</v>
      </c>
    </row>
    <row r="127" spans="1:3" x14ac:dyDescent="0.3">
      <c r="A127" s="273">
        <v>44958</v>
      </c>
      <c r="B127" s="274">
        <v>612.5</v>
      </c>
      <c r="C127" s="279">
        <v>-2.93E-2</v>
      </c>
    </row>
    <row r="128" spans="1:3" x14ac:dyDescent="0.3">
      <c r="A128" s="276">
        <v>44986</v>
      </c>
      <c r="B128" s="277">
        <v>606</v>
      </c>
      <c r="C128" s="278">
        <v>-1.06E-2</v>
      </c>
    </row>
    <row r="129" spans="1:3" x14ac:dyDescent="0.3">
      <c r="A129" s="273">
        <v>45017</v>
      </c>
      <c r="B129" s="274">
        <v>637</v>
      </c>
      <c r="C129" s="279">
        <v>5.1200000000000002E-2</v>
      </c>
    </row>
    <row r="130" spans="1:3" x14ac:dyDescent="0.3">
      <c r="A130" s="276">
        <v>45047</v>
      </c>
      <c r="B130" s="277">
        <v>510</v>
      </c>
      <c r="C130" s="278">
        <v>-0.19939999999999999</v>
      </c>
    </row>
  </sheetData>
  <hyperlinks>
    <hyperlink ref="E11" r:id="rId1" display="https://www.indexmundi.com/commodities/?commodity=dap-fertilizer&amp;months=120" xr:uid="{764D88E2-59BF-48CF-BA99-5FB27D9497C8}"/>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TaxCatchAll xmlns="3330e3f4-ca0a-4364-8b24-1b45af06b0ec" xsi:nil="true"/>
    <lcf76f155ced4ddcb4097134ff3c332f xmlns="92e85fc9-c59d-4a6e-83f4-fc53e441d8c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88C3E66AB75547B18654CB199B37BE" ma:contentTypeVersion="11" ma:contentTypeDescription="Create a new document." ma:contentTypeScope="" ma:versionID="7f1abdd97311c1744583c626b9c5f5c9">
  <xsd:schema xmlns:xsd="http://www.w3.org/2001/XMLSchema" xmlns:xs="http://www.w3.org/2001/XMLSchema" xmlns:p="http://schemas.microsoft.com/office/2006/metadata/properties" xmlns:ns2="92e85fc9-c59d-4a6e-83f4-fc53e441d8c6" xmlns:ns3="3330e3f4-ca0a-4364-8b24-1b45af06b0ec" targetNamespace="http://schemas.microsoft.com/office/2006/metadata/properties" ma:root="true" ma:fieldsID="588be940771b406d9e0a693962564aa1" ns2:_="" ns3:_="">
    <xsd:import namespace="92e85fc9-c59d-4a6e-83f4-fc53e441d8c6"/>
    <xsd:import namespace="3330e3f4-ca0a-4364-8b24-1b45af06b0e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85fc9-c59d-4a6e-83f4-fc53e441d8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1edaf98-933d-48b7-9af8-6bdbb703d060"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30e3f4-ca0a-4364-8b24-1b45af06b0e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6f47a410-6c15-4369-b8a8-064dc59b1aa6}" ma:internalName="TaxCatchAll" ma:showField="CatchAllData" ma:web="3330e3f4-ca0a-4364-8b24-1b45af06b0e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C00506-6214-4FDB-97CA-B0E33E8C3A2B}">
  <ds:schemaRefs>
    <ds:schemaRef ds:uri="http://schemas.microsoft.com/sharepoint/v3/contenttype/forms"/>
  </ds:schemaRefs>
</ds:datastoreItem>
</file>

<file path=customXml/itemProps2.xml><?xml version="1.0" encoding="utf-8"?>
<ds:datastoreItem xmlns:ds="http://schemas.openxmlformats.org/officeDocument/2006/customXml" ds:itemID="{AB868C1E-7569-4632-B6B9-2BE0DFA4FAC3}">
  <ds:schemaRefs>
    <ds:schemaRef ds:uri="http://schemas.microsoft.com/office/2006/metadata/properties"/>
    <ds:schemaRef ds:uri="3330e3f4-ca0a-4364-8b24-1b45af06b0ec"/>
    <ds:schemaRef ds:uri="dcd07e8d-b5f9-4871-be7a-b103cd58b311"/>
    <ds:schemaRef ds:uri="http://schemas.microsoft.com/office/infopath/2007/PartnerControls"/>
  </ds:schemaRefs>
</ds:datastoreItem>
</file>

<file path=customXml/itemProps3.xml><?xml version="1.0" encoding="utf-8"?>
<ds:datastoreItem xmlns:ds="http://schemas.openxmlformats.org/officeDocument/2006/customXml" ds:itemID="{9BA1ABF6-E4F9-4C30-88C2-504255398F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vt:i4>
      </vt:variant>
    </vt:vector>
  </HeadingPairs>
  <TitlesOfParts>
    <vt:vector size="22" baseType="lpstr">
      <vt:lpstr>Couverture</vt:lpstr>
      <vt:lpstr>P205 projections &gt;&gt;</vt:lpstr>
      <vt:lpstr>ProjectedP205_Consumption</vt:lpstr>
      <vt:lpstr>OCPMarketShares</vt:lpstr>
      <vt:lpstr>OCPSalesProduct</vt:lpstr>
      <vt:lpstr>Sales gap between scenarios</vt:lpstr>
      <vt:lpstr>Projection inputs &gt;&gt;</vt:lpstr>
      <vt:lpstr>RAR_OCP</vt:lpstr>
      <vt:lpstr>UNComtradeData_Imports</vt:lpstr>
      <vt:lpstr>P2O5Consumption</vt:lpstr>
      <vt:lpstr>HarvestedAreas_TCD</vt:lpstr>
      <vt:lpstr>HarvestedAreas</vt:lpstr>
      <vt:lpstr>Market &amp; imports --&gt;</vt:lpstr>
      <vt:lpstr>Africa fertilizers imports</vt:lpstr>
      <vt:lpstr>Imports per P-product</vt:lpstr>
      <vt:lpstr>Imports per all products</vt:lpstr>
      <vt:lpstr>Apparent consumption</vt:lpstr>
      <vt:lpstr>Domestic production</vt:lpstr>
      <vt:lpstr>Pricing analyses --&gt;</vt:lpstr>
      <vt:lpstr>Price analyis</vt:lpstr>
      <vt:lpstr>IndexMundi DAP prices</vt:lpstr>
      <vt:lpstr>Title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Decombe.Timothee@bcg.com</dc:creator>
  <cp:keywords/>
  <dc:description/>
  <cp:lastModifiedBy>Thagesen, Anders</cp:lastModifiedBy>
  <cp:revision/>
  <dcterms:created xsi:type="dcterms:W3CDTF">2009-10-20T07:07:16Z</dcterms:created>
  <dcterms:modified xsi:type="dcterms:W3CDTF">2023-07-24T18:20:42Z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0x010100D3F270B43B0E1547BA757A34774E8227</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MediaServiceImageTags">
    <vt:lpwstr/>
  </property>
  <property fmtid="{D5CDD505-2E9C-101B-9397-08002B2CF9AE}" pid="8" name="MSIP_Label_b0d5c4f4-7a29-4385-b7a5-afbe2154ae6f_Enabled">
    <vt:lpwstr>true</vt:lpwstr>
  </property>
  <property fmtid="{D5CDD505-2E9C-101B-9397-08002B2CF9AE}" pid="9" name="MSIP_Label_b0d5c4f4-7a29-4385-b7a5-afbe2154ae6f_SetDate">
    <vt:lpwstr>2023-05-19T13:40:26Z</vt:lpwstr>
  </property>
  <property fmtid="{D5CDD505-2E9C-101B-9397-08002B2CF9AE}" pid="10" name="MSIP_Label_b0d5c4f4-7a29-4385-b7a5-afbe2154ae6f_Method">
    <vt:lpwstr>Standard</vt:lpwstr>
  </property>
  <property fmtid="{D5CDD505-2E9C-101B-9397-08002B2CF9AE}" pid="11" name="MSIP_Label_b0d5c4f4-7a29-4385-b7a5-afbe2154ae6f_Name">
    <vt:lpwstr>Confidential</vt:lpwstr>
  </property>
  <property fmtid="{D5CDD505-2E9C-101B-9397-08002B2CF9AE}" pid="12" name="MSIP_Label_b0d5c4f4-7a29-4385-b7a5-afbe2154ae6f_SiteId">
    <vt:lpwstr>2dfb2f0b-4d21-4268-9559-72926144c918</vt:lpwstr>
  </property>
  <property fmtid="{D5CDD505-2E9C-101B-9397-08002B2CF9AE}" pid="13" name="MSIP_Label_b0d5c4f4-7a29-4385-b7a5-afbe2154ae6f_ActionId">
    <vt:lpwstr>629c1fa7-8e53-4924-822b-7c1fd823fb60</vt:lpwstr>
  </property>
  <property fmtid="{D5CDD505-2E9C-101B-9397-08002B2CF9AE}" pid="14" name="MSIP_Label_b0d5c4f4-7a29-4385-b7a5-afbe2154ae6f_ContentBits">
    <vt:lpwstr>0</vt:lpwstr>
  </property>
  <property fmtid="{D5CDD505-2E9C-101B-9397-08002B2CF9AE}" pid="15" name="bcgClassification">
    <vt:lpwstr>bcgConfidential</vt:lpwstr>
  </property>
</Properties>
</file>