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5"/>
  </bookViews>
  <sheets>
    <sheet r:id="rId1" sheetId="1" name="Couverture"/>
    <sheet r:id="rId2" sheetId="2" name="ProjectedP205_Consumption"/>
    <sheet r:id="rId3" sheetId="3" name="OCPMarketShares"/>
    <sheet r:id="rId4" sheetId="4" name="OCP_SalesProduct"/>
    <sheet r:id="rId5" sheetId="5" name="OCP Tanzania stock "/>
    <sheet r:id="rId6" sheetId="6" name="CropMix"/>
    <sheet r:id="rId7" sheetId="7" name="Investments &amp;amp;amp; capabilities"/>
    <sheet r:id="rId8" sheetId="8" name="Inputs &amp;amp;gt;"/>
    <sheet r:id="rId9" sheetId="9" name="Consumption per cro"/>
    <sheet r:id="rId10" sheetId="10" name="RAR_OCP"/>
    <sheet r:id="rId11" sheetId="11" name="UNComtradeData_Imports"/>
    <sheet r:id="rId12" sheetId="12" name="P2O5Consumption"/>
    <sheet r:id="rId13" sheetId="13" name="HarvestedAreas_TCD_Tanzania"/>
    <sheet r:id="rId14" sheetId="14" name="HarvestedAreas"/>
    <sheet r:id="rId15" sheetId="15" name="EA"/>
  </sheets>
  <definedNames>
    <definedName name="_xlnm._FilterDatabase" localSheetId="14">EA!$B$3:$V$80</definedName>
    <definedName name="AS2DocOpenMode">"AS2DocumentEdit"</definedName>
    <definedName name="DATA">#REF!</definedName>
    <definedName name="Exports" localSheetId="6">_xlfn.IFS('[1]Data Dashboard'!#REF!=1,-'[1]Data Dashboard'!$D$20:$Q$20,'[1]Data Dashboard'!#REF!=2,0,'[1]Data Dashboard'!#REF!=3,'[1]Data Dashboard'!$D$20:$Q$20)</definedName>
    <definedName name="Exports" localSheetId="4">_xlfn.IFS('[1]Data Dashboard'!#REF!=1,-'[1]Data Dashboard'!$D$20:$Q$20,'[1]Data Dashboard'!#REF!=2,0,'[1]Data Dashboard'!#REF!=3,'[1]Data Dashboard'!$D$20:$Q$20)</definedName>
    <definedName name="Exports">_xlfn.IFS('[1]Data Dashboard'!#REF!=1,-'[1]Data Dashboard'!$D$20:$Q$20,'[1]Data Dashboard'!#REF!=2,0,'[1]Data Dashboard'!#REF!=3,'[1]Data Dashboard'!$D$20:$Q$20)</definedName>
    <definedName name="icité">#REF!</definedName>
    <definedName name="Imports" localSheetId="6">IF('[1]Data Dashboard'!#REF!&lt;3,'[1]Data Dashboard'!$D$19:$Q$19,0)</definedName>
    <definedName name="Imports" localSheetId="4">IF('[1]Data Dashboard'!#REF!&lt;3,'[1]Data Dashboard'!$D$19:$Q$19,0)</definedName>
    <definedName name="Imports">IF('[1]Data Dashboard'!#REF!&lt;3,'[1]Data Dashboard'!$D$19:$Q$19,0)</definedName>
    <definedName name="Sub_Region">[2]CONTROL!$J$3:$J$25</definedName>
    <definedName name="Title" localSheetId="6">[3]Couverture!$C$2</definedName>
    <definedName name="Title" localSheetId="4">[4]Couverture!$C$2</definedName>
    <definedName name="Title">Couverture!$C$2</definedName>
  </definedNames>
  <calcPr fullCalcOnLoad="1"/>
</workbook>
</file>

<file path=xl/sharedStrings.xml><?xml version="1.0" encoding="utf-8"?>
<sst xmlns="http://schemas.openxmlformats.org/spreadsheetml/2006/main" count="8110" uniqueCount="621">
  <si>
    <t xml:space="preserve">To be filled in </t>
  </si>
  <si>
    <t>Sales  Budget 2023 (T)</t>
  </si>
  <si>
    <t>Actual YTD May 2023 (T)</t>
  </si>
  <si>
    <t>Forecast Juneto Decembre 2023</t>
  </si>
  <si>
    <t>QBR2</t>
  </si>
  <si>
    <t>Pays</t>
  </si>
  <si>
    <t>Cat</t>
  </si>
  <si>
    <t>Produits</t>
  </si>
  <si>
    <t>Total Previsions June to Dec</t>
  </si>
  <si>
    <t>June</t>
  </si>
  <si>
    <t>July</t>
  </si>
  <si>
    <t>Aug</t>
  </si>
  <si>
    <t>Sept</t>
  </si>
  <si>
    <t>Oct</t>
  </si>
  <si>
    <t>Nov</t>
  </si>
  <si>
    <t>Dec</t>
  </si>
  <si>
    <t>Stock Initial (YTD May)</t>
  </si>
  <si>
    <t>Importations ocp product (T)</t>
  </si>
  <si>
    <t xml:space="preserve">other importations </t>
  </si>
  <si>
    <t>Estimation Final Stock</t>
  </si>
  <si>
    <t>Prix FOB $/T (Importations)</t>
  </si>
  <si>
    <t>Prix Frêt $/T (Importations)</t>
  </si>
  <si>
    <t xml:space="preserve">Sales final of OCP Tanzania </t>
  </si>
  <si>
    <t>Sales final to Tanzania market</t>
  </si>
  <si>
    <t>TZA</t>
  </si>
  <si>
    <t>DAP</t>
  </si>
  <si>
    <t>NPS</t>
  </si>
  <si>
    <t>NPSZn 12:45:0+5s +0.2 Zn</t>
  </si>
  <si>
    <t xml:space="preserve">NPS 19:38:0+7s </t>
  </si>
  <si>
    <t>NPK</t>
  </si>
  <si>
    <t>NPK: 11:22:21+ 4s+ 1Zn+ 1B203</t>
  </si>
  <si>
    <t xml:space="preserve">NPK -14:23:14 +5S +1B203 </t>
  </si>
  <si>
    <t>AS</t>
  </si>
  <si>
    <t>CAN</t>
  </si>
  <si>
    <t>UREA</t>
  </si>
  <si>
    <t>MOP</t>
  </si>
  <si>
    <t>KNY</t>
  </si>
  <si>
    <t>NPSB</t>
  </si>
  <si>
    <t>TSP</t>
  </si>
  <si>
    <t>ZAM</t>
  </si>
  <si>
    <t>NPK 10:20:10 + 6S</t>
  </si>
  <si>
    <t>MAP</t>
  </si>
  <si>
    <t>MAP 11:52:0</t>
  </si>
  <si>
    <t>ETHIOPIE</t>
  </si>
  <si>
    <t>0N-32.3 P2O5-0K+31.5CaO</t>
  </si>
  <si>
    <t>Importation TSP : 10 KT et Importations CACO3: 3.5 KT</t>
  </si>
  <si>
    <t>0N-36.8P2O5- 0K +28CaO</t>
  </si>
  <si>
    <t>0N-18.4 P2O5-0K+42CaO</t>
  </si>
  <si>
    <t>4.8N-35.2P2O5-0K+28CaO</t>
  </si>
  <si>
    <t>0N-27.6 P2O5- 0K +35CaO</t>
  </si>
  <si>
    <t>0N-23 P2O5-0K+38.5CaO</t>
  </si>
  <si>
    <t>RWA</t>
  </si>
  <si>
    <t>NPK 11:22:21,5S,Zn,B</t>
  </si>
  <si>
    <t>NPK 11:22:21,5S,Zn,Cu</t>
  </si>
  <si>
    <t>NPs 15:30,S,Zn,B, 0.5Fe</t>
  </si>
  <si>
    <t xml:space="preserve">NPKT15 </t>
  </si>
  <si>
    <t>Nps 19:38, 7S</t>
  </si>
  <si>
    <t>NPK T15</t>
  </si>
  <si>
    <t>CIV</t>
  </si>
  <si>
    <t>NPK 00 23 19</t>
  </si>
  <si>
    <t>NPK 14 18 18</t>
  </si>
  <si>
    <t>KCL</t>
  </si>
  <si>
    <t>UREE</t>
  </si>
  <si>
    <t>ROCHE</t>
  </si>
  <si>
    <t>Roche</t>
  </si>
  <si>
    <t>NPK BLEND</t>
  </si>
  <si>
    <t>Dolomie</t>
  </si>
  <si>
    <t>Kis</t>
  </si>
  <si>
    <t>Kisierite</t>
  </si>
  <si>
    <t>Ghana</t>
  </si>
  <si>
    <t>NPK 15:15:15</t>
  </si>
  <si>
    <t>NPK 11:22:21</t>
  </si>
  <si>
    <t>BG4</t>
  </si>
  <si>
    <t xml:space="preserve">NPS 14 31 </t>
  </si>
  <si>
    <t>Urea</t>
  </si>
  <si>
    <t>Explore a new formula for Maize and Rice</t>
  </si>
  <si>
    <t>MAP Soluble</t>
  </si>
  <si>
    <t>NPK 10-20-5+ 9S + 0.14Mg 50KG BAG</t>
  </si>
  <si>
    <t>DCP</t>
  </si>
  <si>
    <t xml:space="preserve">DCP </t>
  </si>
  <si>
    <t>SEN</t>
  </si>
  <si>
    <t>NPK 10:20:10</t>
  </si>
  <si>
    <t xml:space="preserve">MAP soluble </t>
  </si>
  <si>
    <t xml:space="preserve">MAP granulée </t>
  </si>
  <si>
    <t xml:space="preserve">Dolomite </t>
  </si>
  <si>
    <t>NGN</t>
  </si>
  <si>
    <t>DAP (NSIA IMPORTATION)</t>
  </si>
  <si>
    <t>DAP Local Sales</t>
  </si>
  <si>
    <t xml:space="preserve">NPK BLEND (Toll Blending) </t>
  </si>
  <si>
    <t xml:space="preserve">NPK BLEND Specialty ( + Micro Nutrient) </t>
  </si>
  <si>
    <t>MDCP</t>
  </si>
  <si>
    <t>MDCP/MCP</t>
  </si>
  <si>
    <t>PHOSPHORIC ACID</t>
  </si>
  <si>
    <t>CMR</t>
  </si>
  <si>
    <t xml:space="preserve">NPK </t>
  </si>
  <si>
    <t>DAP/MAP/TSP</t>
  </si>
  <si>
    <t>https://www.fao.org/faostat/fr/#data/QCL</t>
  </si>
  <si>
    <t>Domain Code</t>
  </si>
  <si>
    <t>Domain</t>
  </si>
  <si>
    <t>Area Code (M49)</t>
  </si>
  <si>
    <t>Area</t>
  </si>
  <si>
    <t>Element Code</t>
  </si>
  <si>
    <t>Element</t>
  </si>
  <si>
    <t>Item Code (CPC)</t>
  </si>
  <si>
    <t>Item</t>
  </si>
  <si>
    <t>Year Code</t>
  </si>
  <si>
    <t>Year</t>
  </si>
  <si>
    <t>Unit</t>
  </si>
  <si>
    <t>Value</t>
  </si>
  <si>
    <t>Flag</t>
  </si>
  <si>
    <t>Flag Description</t>
  </si>
  <si>
    <t>QCL</t>
  </si>
  <si>
    <t>Crops and livestock products</t>
  </si>
  <si>
    <t>United Republic of Tanzania</t>
  </si>
  <si>
    <t>Area harvested</t>
  </si>
  <si>
    <t>01654</t>
  </si>
  <si>
    <t>Anise, badian, coriander, cumin, caraway, fennel and juniper berries, raw</t>
  </si>
  <si>
    <t>ha</t>
  </si>
  <si>
    <t>E</t>
  </si>
  <si>
    <t>Estimated value</t>
  </si>
  <si>
    <t>I</t>
  </si>
  <si>
    <t>Imputed value</t>
  </si>
  <si>
    <t>Yield</t>
  </si>
  <si>
    <t>hg/ha</t>
  </si>
  <si>
    <t>01312</t>
  </si>
  <si>
    <t>Bananas</t>
  </si>
  <si>
    <t>A</t>
  </si>
  <si>
    <t>Official figure</t>
  </si>
  <si>
    <t>0115</t>
  </si>
  <si>
    <t>Barley</t>
  </si>
  <si>
    <t>01701</t>
  </si>
  <si>
    <t>Beans, dry</t>
  </si>
  <si>
    <t>01243</t>
  </si>
  <si>
    <t>Broad beans and horse beans, green</t>
  </si>
  <si>
    <t>01192</t>
  </si>
  <si>
    <t>Buckwheat</t>
  </si>
  <si>
    <t>01212</t>
  </si>
  <si>
    <t>Cabbages</t>
  </si>
  <si>
    <t>01372</t>
  </si>
  <si>
    <t>Cashew nuts, in shell</t>
  </si>
  <si>
    <t>01520.01</t>
  </si>
  <si>
    <t>Cassava, fresh</t>
  </si>
  <si>
    <t>01447</t>
  </si>
  <si>
    <t>Castor oil seeds</t>
  </si>
  <si>
    <t>T</t>
  </si>
  <si>
    <t>Unofficial figure</t>
  </si>
  <si>
    <t>01199.90</t>
  </si>
  <si>
    <t>Cereals n.e.c.</t>
  </si>
  <si>
    <t>01703</t>
  </si>
  <si>
    <t>Chick peas, dry</t>
  </si>
  <si>
    <t>01652</t>
  </si>
  <si>
    <t>Chillies and peppers, dry (Capsicum spp., Pimenta spp.), raw</t>
  </si>
  <si>
    <t>01231</t>
  </si>
  <si>
    <t>Chillies and peppers, green (Capsicum spp. and Pimenta spp.)</t>
  </si>
  <si>
    <t>01656</t>
  </si>
  <si>
    <t>Cloves (whole stems), raw</t>
  </si>
  <si>
    <t>01640</t>
  </si>
  <si>
    <t>Cocoa beans</t>
  </si>
  <si>
    <t>01460</t>
  </si>
  <si>
    <t>Coconuts, in shell</t>
  </si>
  <si>
    <t>01610</t>
  </si>
  <si>
    <t>Coffee, green</t>
  </si>
  <si>
    <t>01706</t>
  </si>
  <si>
    <t>Cow peas, dry</t>
  </si>
  <si>
    <t>01599.10</t>
  </si>
  <si>
    <t>Edible roots and tubers with high starch or inulin content, n.e.c., fresh</t>
  </si>
  <si>
    <t>01657</t>
  </si>
  <si>
    <t>Ginger, raw</t>
  </si>
  <si>
    <t>01330</t>
  </si>
  <si>
    <t>Grapes</t>
  </si>
  <si>
    <t>01290.01</t>
  </si>
  <si>
    <t>Green corn (maize)</t>
  </si>
  <si>
    <t>01252</t>
  </si>
  <si>
    <t>Green garlic</t>
  </si>
  <si>
    <t>0142</t>
  </si>
  <si>
    <t>Groundnuts, excluding shelled</t>
  </si>
  <si>
    <t>01322</t>
  </si>
  <si>
    <t>Lemons and limes</t>
  </si>
  <si>
    <t>0112</t>
  </si>
  <si>
    <t>Maize (corn)</t>
  </si>
  <si>
    <t>01316</t>
  </si>
  <si>
    <t>Mangoes, guavas and mangosteens</t>
  </si>
  <si>
    <t>0118</t>
  </si>
  <si>
    <t>Millet</t>
  </si>
  <si>
    <t>01653</t>
  </si>
  <si>
    <t>Nutmeg, mace, cardamoms, raw</t>
  </si>
  <si>
    <t>01491.01</t>
  </si>
  <si>
    <t>Oil palm fruit</t>
  </si>
  <si>
    <t>01253.02</t>
  </si>
  <si>
    <t>Onions and shallots, dry (excluding dehydrated)</t>
  </si>
  <si>
    <t>01323</t>
  </si>
  <si>
    <t>Oranges</t>
  </si>
  <si>
    <t>01241.90</t>
  </si>
  <si>
    <t>Other beans, green</t>
  </si>
  <si>
    <t>01329</t>
  </si>
  <si>
    <t>Other citrus fruit, n.e.c.</t>
  </si>
  <si>
    <t>01929.90</t>
  </si>
  <si>
    <t>Other fibre crops, raw, n.e.c.</t>
  </si>
  <si>
    <t>01359.90</t>
  </si>
  <si>
    <t>Other fruits, n.e.c.</t>
  </si>
  <si>
    <t>01379.90</t>
  </si>
  <si>
    <t>Other nuts (excluding wild edible nuts and groundnuts), in shell, n.e.c.</t>
  </si>
  <si>
    <t>01449.90</t>
  </si>
  <si>
    <t>Other oil seeds, n.e.c.</t>
  </si>
  <si>
    <t>01709.90</t>
  </si>
  <si>
    <t>Other pulses n.e.c.</t>
  </si>
  <si>
    <t>01319</t>
  </si>
  <si>
    <t>Other tropical fruits, n.e.c.</t>
  </si>
  <si>
    <t>01290.90</t>
  </si>
  <si>
    <t>Other vegetables, fresh n.e.c.</t>
  </si>
  <si>
    <t>01342.01</t>
  </si>
  <si>
    <t>Pears</t>
  </si>
  <si>
    <t>01705</t>
  </si>
  <si>
    <t>Peas, dry</t>
  </si>
  <si>
    <t>01242</t>
  </si>
  <si>
    <t>Peas, green</t>
  </si>
  <si>
    <t>01651</t>
  </si>
  <si>
    <t>Pepper (Piper spp.), raw</t>
  </si>
  <si>
    <t>01707</t>
  </si>
  <si>
    <t>Pigeon peas, dry</t>
  </si>
  <si>
    <t>01318</t>
  </si>
  <si>
    <t>Pineapples</t>
  </si>
  <si>
    <t>01313</t>
  </si>
  <si>
    <t>Plantains and cooking bananas</t>
  </si>
  <si>
    <t>01346</t>
  </si>
  <si>
    <t>Plums and sloes</t>
  </si>
  <si>
    <t>01510</t>
  </si>
  <si>
    <t>Potatoes</t>
  </si>
  <si>
    <t>01930.02</t>
  </si>
  <si>
    <t>Pyrethrum, dried flowers</t>
  </si>
  <si>
    <t>0113</t>
  </si>
  <si>
    <t>Rice</t>
  </si>
  <si>
    <t>01446</t>
  </si>
  <si>
    <t>Safflower seed</t>
  </si>
  <si>
    <t>01921.01</t>
  </si>
  <si>
    <t>Seed cotton, unginned</t>
  </si>
  <si>
    <t>01444</t>
  </si>
  <si>
    <t>Sesame seed</t>
  </si>
  <si>
    <t>01929.05</t>
  </si>
  <si>
    <t>Sisal, raw</t>
  </si>
  <si>
    <t>0114</t>
  </si>
  <si>
    <t>Sorghum</t>
  </si>
  <si>
    <t>0141</t>
  </si>
  <si>
    <t>Soya beans</t>
  </si>
  <si>
    <t>01802</t>
  </si>
  <si>
    <t>Sugar cane</t>
  </si>
  <si>
    <t>01445</t>
  </si>
  <si>
    <t>Sunflower seed</t>
  </si>
  <si>
    <t>01530</t>
  </si>
  <si>
    <t>Sweet potatoes</t>
  </si>
  <si>
    <t>01620</t>
  </si>
  <si>
    <t>Tea leaves</t>
  </si>
  <si>
    <t>01234</t>
  </si>
  <si>
    <t>Tomatoes</t>
  </si>
  <si>
    <t>01970</t>
  </si>
  <si>
    <t>Unmanufactured tobacco</t>
  </si>
  <si>
    <t>01221</t>
  </si>
  <si>
    <t>Watermelons</t>
  </si>
  <si>
    <t>0111</t>
  </si>
  <si>
    <t>Wheat</t>
  </si>
  <si>
    <t>01540</t>
  </si>
  <si>
    <t>Yams</t>
  </si>
  <si>
    <t>01591</t>
  </si>
  <si>
    <t>Yautia</t>
  </si>
  <si>
    <t>M</t>
  </si>
  <si>
    <t>Missing value (data cannot exist, not applicable)</t>
  </si>
  <si>
    <t>Sum of Value</t>
  </si>
  <si>
    <t>Column Labels</t>
  </si>
  <si>
    <t>Row Labels</t>
  </si>
  <si>
    <t>Grand Total</t>
  </si>
  <si>
    <t>Total harvested area</t>
  </si>
  <si>
    <t>https://www.fao.org/faostat/en/#data/EF</t>
  </si>
  <si>
    <t>Item Code</t>
  </si>
  <si>
    <t>EF</t>
  </si>
  <si>
    <t>Fertilizers indicators</t>
  </si>
  <si>
    <t>5159</t>
  </si>
  <si>
    <t>Use per area of cropland</t>
  </si>
  <si>
    <t>3103</t>
  </si>
  <si>
    <t>Nutrient phosphate P2O5 (total)</t>
  </si>
  <si>
    <t>2017</t>
  </si>
  <si>
    <t>kg/ha</t>
  </si>
  <si>
    <t>2018</t>
  </si>
  <si>
    <t>2019</t>
  </si>
  <si>
    <t>2020</t>
  </si>
  <si>
    <t>https://comtradeplus.un.org/</t>
  </si>
  <si>
    <t xml:space="preserve">Continent </t>
  </si>
  <si>
    <t>Africa</t>
  </si>
  <si>
    <t>AggrLevel</t>
  </si>
  <si>
    <t>PartnerDesc</t>
  </si>
  <si>
    <t>United Rep. of Tanzania</t>
  </si>
  <si>
    <t>OCP Classification</t>
  </si>
  <si>
    <t>(Multiple Items)</t>
  </si>
  <si>
    <t>Sum of AltQty harmonized</t>
  </si>
  <si>
    <t>FROM P-POTENTIAL MODEL</t>
  </si>
  <si>
    <t>In kg of P2O5</t>
  </si>
  <si>
    <t>Average in kg of P2O5</t>
  </si>
  <si>
    <t xml:space="preserve">Leguminous </t>
  </si>
  <si>
    <t>Cacao, Coffee</t>
  </si>
  <si>
    <t>Maize</t>
  </si>
  <si>
    <t xml:space="preserve">Fonio </t>
  </si>
  <si>
    <t xml:space="preserve">Plante textile </t>
  </si>
  <si>
    <t xml:space="preserve">Coton </t>
  </si>
  <si>
    <t>Tubercules</t>
  </si>
  <si>
    <t>Culture maraichere</t>
  </si>
  <si>
    <t>Others</t>
  </si>
  <si>
    <t>Concentration of P2O5</t>
  </si>
  <si>
    <t>Type of fertilizers</t>
  </si>
  <si>
    <t>P2O5 %</t>
  </si>
  <si>
    <t>t</t>
  </si>
  <si>
    <t>in P2O5 tonnes</t>
  </si>
  <si>
    <t>in kg</t>
  </si>
  <si>
    <t>NPK 23:10:05</t>
  </si>
  <si>
    <t xml:space="preserve">CAN </t>
  </si>
  <si>
    <t>SA</t>
  </si>
  <si>
    <t>NPK 23:21:0 + S</t>
  </si>
  <si>
    <t xml:space="preserve">Roots and tubers </t>
  </si>
  <si>
    <t>NPK 17:17:17</t>
  </si>
  <si>
    <t xml:space="preserve">Beans </t>
  </si>
  <si>
    <t>SSP</t>
  </si>
  <si>
    <t>NPK (others) + NP + PK</t>
  </si>
  <si>
    <t xml:space="preserve">Cowpeas </t>
  </si>
  <si>
    <t>NPKs (others) + NP + PK</t>
  </si>
  <si>
    <t>Flue- cured tobacco</t>
  </si>
  <si>
    <t xml:space="preserve">Urea </t>
  </si>
  <si>
    <t>NPK 10:18:24</t>
  </si>
  <si>
    <t>Fire-cured tobacco</t>
  </si>
  <si>
    <t>NPK 20:10:20</t>
  </si>
  <si>
    <t>Coffee</t>
  </si>
  <si>
    <t>NPK (others)</t>
  </si>
  <si>
    <t>Other cereals (millets, sorghum, wheat and barley) and oilseeds (simsim, sunflower and oil palm)</t>
  </si>
  <si>
    <t>Calcium nitraite</t>
  </si>
  <si>
    <t>SOP</t>
  </si>
  <si>
    <t>Vegetables and horticulture (carrots, cabbages, tomatoes, spinach, melin, onion and pineapple)</t>
  </si>
  <si>
    <t>Calcium nitrate</t>
  </si>
  <si>
    <t xml:space="preserve">MOP </t>
  </si>
  <si>
    <t>MRP Mazao</t>
  </si>
  <si>
    <t>Total</t>
  </si>
  <si>
    <t xml:space="preserve">Area harvested </t>
  </si>
  <si>
    <t>000 ha</t>
  </si>
  <si>
    <t>)</t>
  </si>
  <si>
    <t>Roots &amp; tubers</t>
  </si>
  <si>
    <t>Beans</t>
  </si>
  <si>
    <t>Cowpeas</t>
  </si>
  <si>
    <t>Tobacco</t>
  </si>
  <si>
    <t xml:space="preserve">Sugar cane </t>
  </si>
  <si>
    <t>Tea</t>
  </si>
  <si>
    <t>Other cereals</t>
  </si>
  <si>
    <t>Vegetable</t>
  </si>
  <si>
    <t>Consumption in kg/ha</t>
  </si>
  <si>
    <t>Synthesis</t>
  </si>
  <si>
    <t>Total investment - Low range</t>
  </si>
  <si>
    <t>Total investment - High range</t>
  </si>
  <si>
    <t>Recurring cost</t>
  </si>
  <si>
    <t>Comment</t>
  </si>
  <si>
    <t>FTE needs</t>
  </si>
  <si>
    <t>Yes</t>
  </si>
  <si>
    <t xml:space="preserve">Car acquisition </t>
  </si>
  <si>
    <t>No</t>
  </si>
  <si>
    <t>Warehouse rental</t>
  </si>
  <si>
    <t>Branding &amp; marketing</t>
  </si>
  <si>
    <t xml:space="preserve">Blending </t>
  </si>
  <si>
    <t xml:space="preserve">Total investments </t>
  </si>
  <si>
    <t>Total capex</t>
  </si>
  <si>
    <t>Total opex - excl. FTE</t>
  </si>
  <si>
    <t>Total costs</t>
  </si>
  <si>
    <t xml:space="preserve">FTEs needs </t>
  </si>
  <si>
    <t>Bottom-up approach</t>
  </si>
  <si>
    <t>Working hours in 1 day</t>
  </si>
  <si>
    <t>Time spent visiting clients</t>
  </si>
  <si>
    <t xml:space="preserve">Hours visiting clients </t>
  </si>
  <si>
    <t xml:space="preserve">2022 number of clients </t>
  </si>
  <si>
    <t># of clients visited per day</t>
  </si>
  <si>
    <t xml:space="preserve"># of visits per client per month </t>
  </si>
  <si>
    <t>Total visits to do</t>
  </si>
  <si>
    <t>Number of visit per sale in 1 month</t>
  </si>
  <si>
    <t>Number of sales person required</t>
  </si>
  <si>
    <t>Existing team sales</t>
  </si>
  <si>
    <t>Additional people to hire</t>
  </si>
  <si>
    <t>Unit cost low range</t>
  </si>
  <si>
    <t>Unit cost high range</t>
  </si>
  <si>
    <t>2023</t>
  </si>
  <si>
    <t>2024</t>
  </si>
  <si>
    <t>2025</t>
  </si>
  <si>
    <t>Quantity- Low range</t>
  </si>
  <si>
    <t>Quantity - High range</t>
  </si>
  <si>
    <t>FTE gross salary ($/year)</t>
  </si>
  <si>
    <t>Regional warehouses</t>
  </si>
  <si>
    <t>Number of warehouse</t>
  </si>
  <si>
    <t xml:space="preserve">Warehouse rental </t>
  </si>
  <si>
    <t>Warehouse ($/m²)</t>
  </si>
  <si>
    <t>Empirical data from currently rented OCP Ghana warehouses</t>
  </si>
  <si>
    <t>Warehouse area (m²)</t>
  </si>
  <si>
    <t xml:space="preserve">Estimated area needed to store 5 kT at all times (from OCP Ghana experience) </t>
  </si>
  <si>
    <t xml:space="preserve">Branding &amp; marketing </t>
  </si>
  <si>
    <t>Retail sponsorship</t>
  </si>
  <si>
    <t>Number of retailers in Tanzania</t>
  </si>
  <si>
    <t>% of retailers sponsored</t>
  </si>
  <si>
    <t>Number of retailers sponsored</t>
  </si>
  <si>
    <t>Assuming 2000 agrodealers</t>
  </si>
  <si>
    <t>Cost of retailer sponsorship ($)</t>
  </si>
  <si>
    <t xml:space="preserve">Advertisement &amp; marketing </t>
  </si>
  <si>
    <t>Number of OCP Tanzania  ads (12m² posters)</t>
  </si>
  <si>
    <t>Cost of individual ad ($)</t>
  </si>
  <si>
    <t>From Green Africa estimations</t>
  </si>
  <si>
    <t xml:space="preserve">High-quality bagging </t>
  </si>
  <si>
    <t xml:space="preserve">Number of OCP bags (50 kg bags) </t>
  </si>
  <si>
    <t>Cost of high-quality bag ($)</t>
  </si>
  <si>
    <t>Demo plots</t>
  </si>
  <si>
    <t>Number of demo plots to engage</t>
  </si>
  <si>
    <t>Cost of a demo plot ($)</t>
  </si>
  <si>
    <t>Total - Branding &amp; Marketing</t>
  </si>
  <si>
    <t>Blender costs</t>
  </si>
  <si>
    <t>Comments</t>
  </si>
  <si>
    <t>Blender</t>
  </si>
  <si>
    <t>Assumption discussed with OCP teams</t>
  </si>
  <si>
    <t>Breakeven analysis - Baseline scenario</t>
  </si>
  <si>
    <t>TSP blendable volumes (tons)</t>
  </si>
  <si>
    <t>Strong push in 2025 with TSP blendable products but will decrease after with conservative option of 30% growth</t>
  </si>
  <si>
    <t>N component volumes (tons)</t>
  </si>
  <si>
    <t>Considering a NP formula with 46% P2O5 and 12% N</t>
  </si>
  <si>
    <t>Final product volumes (tons)</t>
  </si>
  <si>
    <t>TSP price sold (minimum price of blended product to be sold)</t>
  </si>
  <si>
    <t>Price recently sold to client from OCP Kenya. No TSP transaction has been done in Tanzania but the price subsidized would be based on the invoice from of OCP SA and there is no benchmark in the country</t>
  </si>
  <si>
    <t>TSP cost</t>
  </si>
  <si>
    <t>Based on the cost curve  + 20% of margin for OCP SA</t>
  </si>
  <si>
    <t>Margin of OCP Africa</t>
  </si>
  <si>
    <t>N component</t>
  </si>
  <si>
    <t>Total raw materials costs</t>
  </si>
  <si>
    <t>Total growth margin</t>
  </si>
  <si>
    <t>Capex (incl. Equipment, land, machinery)</t>
  </si>
  <si>
    <t>Opex</t>
  </si>
  <si>
    <t>Maintenance costs (assumption % of total costs)</t>
  </si>
  <si>
    <t>Maintenance costs (actual costs)</t>
  </si>
  <si>
    <t>Utilities (energy etc - % of total revenues)</t>
  </si>
  <si>
    <t>Utilities (energy etc- actual costs)</t>
  </si>
  <si>
    <t>Other operating costs (% of margin)</t>
  </si>
  <si>
    <t>Other operating costs (of revenues)</t>
  </si>
  <si>
    <t>Total opex &amp; capex</t>
  </si>
  <si>
    <t>Sum of cash flows</t>
  </si>
  <si>
    <t>OCP Product Sales</t>
  </si>
  <si>
    <t>kt products</t>
  </si>
  <si>
    <t>% of products</t>
  </si>
  <si>
    <t>TSP, straight</t>
  </si>
  <si>
    <t>TSP blendable</t>
  </si>
  <si>
    <t>NP</t>
  </si>
  <si>
    <t>Baseline</t>
  </si>
  <si>
    <t>TOTAL</t>
  </si>
  <si>
    <t>Demand unlocking scenario</t>
  </si>
  <si>
    <t>Gap between crops</t>
  </si>
  <si>
    <t>Demand unlock</t>
  </si>
  <si>
    <t>Gap</t>
  </si>
  <si>
    <t>²</t>
  </si>
  <si>
    <t>OCP Africa - Tanzania P205</t>
  </si>
  <si>
    <t>OCP Tanzania current stock dev. - Baseline scenario</t>
  </si>
  <si>
    <t>kt product</t>
  </si>
  <si>
    <t>Input. YTD sales</t>
  </si>
  <si>
    <t>Actual</t>
  </si>
  <si>
    <t>2023 EOY</t>
  </si>
  <si>
    <t>2024 EOY</t>
  </si>
  <si>
    <t>2025 EOY</t>
  </si>
  <si>
    <t>TSP, blendable</t>
  </si>
  <si>
    <t>NP compounds</t>
  </si>
  <si>
    <t>Remainder of current stock</t>
  </si>
  <si>
    <t>Additional stock required</t>
  </si>
  <si>
    <t>OCP Tanzania current stock dev. - Demand unlock scenario</t>
  </si>
  <si>
    <t>Concentration rates</t>
  </si>
  <si>
    <t>TSP straight</t>
  </si>
  <si>
    <t>P205 captured</t>
  </si>
  <si>
    <t>In kt P205</t>
  </si>
  <si>
    <t>Straight TSP</t>
  </si>
  <si>
    <t>In kt product</t>
  </si>
  <si>
    <t>Lever 4</t>
  </si>
  <si>
    <t>Lever 5</t>
  </si>
  <si>
    <t>OCP MS</t>
  </si>
  <si>
    <t>%</t>
  </si>
  <si>
    <t>Demand unlocking</t>
  </si>
  <si>
    <t xml:space="preserve">TSP straight </t>
  </si>
  <si>
    <t xml:space="preserve">TSP blendable </t>
  </si>
  <si>
    <t xml:space="preserve">NP </t>
  </si>
  <si>
    <t>Check</t>
  </si>
  <si>
    <t>Lever 4 - Strenghten downstream presence of OCP Tanzania</t>
  </si>
  <si>
    <t xml:space="preserve">OCP Product evolution </t>
  </si>
  <si>
    <t xml:space="preserve">Product mix </t>
  </si>
  <si>
    <t>DAP/NP</t>
  </si>
  <si>
    <t>DAP/ NP / TSP blendable</t>
  </si>
  <si>
    <t>Straight TSP/ DAP</t>
  </si>
  <si>
    <t>Straight TSP /DAP</t>
  </si>
  <si>
    <t xml:space="preserve">DAP / TSP blendable </t>
  </si>
  <si>
    <t>DAP/NPK</t>
  </si>
  <si>
    <t>DAP/TSP blendable/ NPK</t>
  </si>
  <si>
    <t>DAP/ TSP blendable/ NPK</t>
  </si>
  <si>
    <t>DAP/ TSP blendable</t>
  </si>
  <si>
    <t>Total sales</t>
  </si>
  <si>
    <t>Rationale</t>
  </si>
  <si>
    <t xml:space="preserve">Commercial farms in this segment ? </t>
  </si>
  <si>
    <t>New formulas adapted to this crop?</t>
  </si>
  <si>
    <t xml:space="preserve">Lever 5 - Push into commercial farming </t>
  </si>
  <si>
    <t xml:space="preserve">Commercial farming ? </t>
  </si>
  <si>
    <t>Lever 1: Secure subsidy payment to OCP Africa and re-export of stocks</t>
  </si>
  <si>
    <t>Lever 2: Advoacy to the government to improve the subsidy program</t>
  </si>
  <si>
    <t>Lever 3: Develop and market formulas for specific crops</t>
  </si>
  <si>
    <t>Lever 4: Strenghten downstream presence of OCP Tanzania</t>
  </si>
  <si>
    <t>Lever 5: Push into commercial farming</t>
  </si>
  <si>
    <t>eqDAP/ TSP</t>
  </si>
  <si>
    <t>OCP market shares in P2O5</t>
  </si>
  <si>
    <t>Lever 1 - Secure subsidy payment to OCP Africa and re-export of stocks</t>
  </si>
  <si>
    <t>No impact on the potential</t>
  </si>
  <si>
    <t>Lever 2 - Advocacy to the government to improve the subsidy program</t>
  </si>
  <si>
    <t>Lever 3 - Develop and market formulas for specific crops</t>
  </si>
  <si>
    <t>Target market</t>
  </si>
  <si>
    <t>Market shares</t>
  </si>
  <si>
    <t>Market represented</t>
  </si>
  <si>
    <t xml:space="preserve">Reason </t>
  </si>
  <si>
    <t>Smallholder farmers</t>
  </si>
  <si>
    <t>Only large farms</t>
  </si>
  <si>
    <t>OCP market shares</t>
  </si>
  <si>
    <t xml:space="preserve">Crops for commercial farming </t>
  </si>
  <si>
    <t>Market of commercial farms</t>
  </si>
  <si>
    <t>2023 - Targeted market</t>
  </si>
  <si>
    <t>2024 - Targeted market</t>
  </si>
  <si>
    <t>2025 - Targeted market</t>
  </si>
  <si>
    <t xml:space="preserve">2023 - MS assumption </t>
  </si>
  <si>
    <t xml:space="preserve">2024 - MS assumption </t>
  </si>
  <si>
    <t xml:space="preserve">2025 - MS assumption </t>
  </si>
  <si>
    <t>Non -OCP markets</t>
  </si>
  <si>
    <t>Market product mix</t>
  </si>
  <si>
    <t>Market sales</t>
  </si>
  <si>
    <t>Non-OCP P205 sales - baseline</t>
  </si>
  <si>
    <t>kt of products</t>
  </si>
  <si>
    <t>NP +</t>
  </si>
  <si>
    <t>Non-OCP P205 sales - demand unlocking</t>
  </si>
  <si>
    <t>P205 Forecasted Consumption</t>
  </si>
  <si>
    <t xml:space="preserve">Range </t>
  </si>
  <si>
    <t>CAGR 21-25</t>
  </si>
  <si>
    <t>TOTAL P205</t>
  </si>
  <si>
    <t xml:space="preserve">kt </t>
  </si>
  <si>
    <t>P205 consumption - Baseline</t>
  </si>
  <si>
    <t>RAR</t>
  </si>
  <si>
    <t>P205/ TSP, kt</t>
  </si>
  <si>
    <t>CAGR 17-21</t>
  </si>
  <si>
    <t>CAGR 22-25</t>
  </si>
  <si>
    <t>Total net growth</t>
  </si>
  <si>
    <t>P205 consumption - Demand unlocking</t>
  </si>
  <si>
    <t>Net of incremental</t>
  </si>
  <si>
    <t>Harvested areas</t>
  </si>
  <si>
    <t>Overview</t>
  </si>
  <si>
    <t>Hypothesis</t>
  </si>
  <si>
    <t>from FAOSTAT</t>
  </si>
  <si>
    <t>Projected</t>
  </si>
  <si>
    <t xml:space="preserve">CAGR 17-21 </t>
  </si>
  <si>
    <t>CAGR 20-21</t>
  </si>
  <si>
    <t>Retained CAGR 21-25</t>
  </si>
  <si>
    <t>Supporting Programs (if applicable)</t>
  </si>
  <si>
    <t>Source 1</t>
  </si>
  <si>
    <t>Source 2</t>
  </si>
  <si>
    <t xml:space="preserve">Encouraged by the government </t>
  </si>
  <si>
    <t>Important crops for the population</t>
  </si>
  <si>
    <t xml:space="preserve">a </t>
  </si>
  <si>
    <t xml:space="preserve">Application rate - Scénario1 (Baseline) </t>
  </si>
  <si>
    <t>P205, kg/ha</t>
  </si>
  <si>
    <t>From Expert</t>
  </si>
  <si>
    <t>Projected with retained CAGR</t>
  </si>
  <si>
    <t>CAGR 17-19</t>
  </si>
  <si>
    <t>Deflator rate (to be applied while fine tuning model)</t>
  </si>
  <si>
    <t>Mix in terms of consumption with large farms and smallholder farms, with high use of fertilizers by large farms and medium use but consumption that has increased over the past years linked to the crop becoming strategic</t>
  </si>
  <si>
    <t>Mix in terms of consumption with large farms and smallholder farms</t>
  </si>
  <si>
    <t>Staple crop for personal consumption</t>
  </si>
  <si>
    <t>Cash crop</t>
  </si>
  <si>
    <t>Staple crop for national production</t>
  </si>
  <si>
    <t>High consumption for potatoes</t>
  </si>
  <si>
    <t>Cash crop with commercial farms</t>
  </si>
  <si>
    <t>Staple crop</t>
  </si>
  <si>
    <t>Cash crop wit international farms using fertilizers and smallholder farmers with a lower use</t>
  </si>
  <si>
    <t>Traditional high application rate for the potatoes</t>
  </si>
  <si>
    <t>Cash crop, owned by large estates</t>
  </si>
  <si>
    <t>Imported P205 nutrient</t>
  </si>
  <si>
    <t>P205/ TSP, kg/ha</t>
  </si>
  <si>
    <t>Crop - undifferentiated</t>
  </si>
  <si>
    <t>eq. DAP/ TSP</t>
  </si>
  <si>
    <t>Source</t>
  </si>
  <si>
    <t>FAOSTAT</t>
  </si>
  <si>
    <t>Import datas</t>
  </si>
  <si>
    <t>b</t>
  </si>
  <si>
    <t>Application rate - Scenario 2  (Demand unlocking)</t>
  </si>
  <si>
    <t xml:space="preserve">Ramp up </t>
  </si>
  <si>
    <t>P205 kg/ha</t>
  </si>
  <si>
    <t>COMTRADE DATA</t>
  </si>
  <si>
    <t>Projected with OCP RAR</t>
  </si>
  <si>
    <t>Crop type</t>
  </si>
  <si>
    <t>Crop category</t>
  </si>
  <si>
    <t>Application potential</t>
  </si>
  <si>
    <t>Target 2025</t>
  </si>
  <si>
    <t>Potential fulfillment curve</t>
  </si>
  <si>
    <t>Adjusted RAR</t>
  </si>
  <si>
    <t>Linear</t>
  </si>
  <si>
    <t>Strategic crop</t>
  </si>
  <si>
    <t>Leguminous</t>
  </si>
  <si>
    <t>Exponential</t>
  </si>
  <si>
    <t>Textile plant</t>
  </si>
  <si>
    <t>Gardening crop</t>
  </si>
  <si>
    <t>Crop consuming a lot of fertilizers</t>
  </si>
  <si>
    <t>Crops</t>
  </si>
  <si>
    <t>check deflator applied in P-potential model</t>
  </si>
  <si>
    <t>Deflator - structurel au marché (to be adjusted)</t>
  </si>
  <si>
    <t>OCP - Amadou Gouzaye</t>
  </si>
  <si>
    <t>Agroproductivity index, P-potential model (to be adjusted)</t>
  </si>
  <si>
    <t>a</t>
  </si>
  <si>
    <t>Total market</t>
  </si>
  <si>
    <t>P205, kt</t>
  </si>
  <si>
    <t>product, kt</t>
  </si>
  <si>
    <t>Concentration rate</t>
  </si>
  <si>
    <t>Description</t>
  </si>
  <si>
    <t>Color codes</t>
  </si>
  <si>
    <t>Client :</t>
  </si>
  <si>
    <t>OCP Africa</t>
  </si>
  <si>
    <t>abc</t>
  </si>
  <si>
    <t>From external source</t>
  </si>
  <si>
    <t>Données</t>
  </si>
  <si>
    <t>Description :</t>
  </si>
  <si>
    <t>Tanzania P205</t>
  </si>
  <si>
    <t>Calculs</t>
  </si>
</sst>
</file>

<file path=xl/styles.xml><?xml version="1.0" encoding="utf-8"?>
<styleSheet xmlns="http://schemas.openxmlformats.org/spreadsheetml/2006/main" xmlns:x14ac="http://schemas.microsoft.com/office/spreadsheetml/2009/9/ac" xmlns:mc="http://schemas.openxmlformats.org/markup-compatibility/2006" mc:Ignorable="x14ac">
  <numFmts count="7">
    <numFmt numFmtId="164" formatCode="#,##0.0"/>
    <numFmt numFmtId="165" formatCode="#,##0.0_);\(#,##0.0\);0.0_);@_)"/>
    <numFmt numFmtId="166" formatCode="#,##0.00%"/>
    <numFmt numFmtId="167" formatCode="#,##0.000"/>
    <numFmt numFmtId="168" formatCode="#,##0%"/>
    <numFmt numFmtId="169" formatCode="#,##0.000000000000"/>
    <numFmt numFmtId="170" formatCode="#,##0.0000"/>
  </numFmts>
  <fonts count="42" x14ac:knownFonts="1">
    <font>
      <sz val="11"/>
      <color theme="1"/>
      <name val="Calibri"/>
      <family val="2"/>
      <scheme val="minor"/>
    </font>
    <font>
      <sz val="11"/>
      <color theme="1"/>
      <name val="Calibri"/>
      <family val="2"/>
    </font>
    <font>
      <sz val="11"/>
      <color rgb="FF575757"/>
      <name val="Calibri"/>
      <family val="2"/>
    </font>
    <font>
      <sz val="11"/>
      <color rgb="FF575757"/>
      <name val="Trebuchet MS"/>
      <family val="2"/>
    </font>
    <font>
      <b/>
      <sz val="11"/>
      <color rgb="FF575757"/>
      <name val="Trebuchet MS"/>
      <family val="2"/>
    </font>
    <font>
      <b/>
      <sz val="11"/>
      <color rgb="FF00b050"/>
      <name val="Trebuchet MS"/>
      <family val="2"/>
    </font>
    <font>
      <sz val="10"/>
      <color rgb="FF575757"/>
      <name val="Trebuchet MS"/>
      <family val="2"/>
    </font>
    <font>
      <b/>
      <sz val="10"/>
      <color rgb="FF00b050"/>
      <name val="Trebuchet MS"/>
      <family val="2"/>
    </font>
    <font>
      <sz val="11"/>
      <color rgb="FFff0000"/>
      <name val="Trebuchet MS"/>
      <family val="2"/>
    </font>
    <font>
      <b/>
      <sz val="18"/>
      <color rgb="FFffffff"/>
      <name val="Arial"/>
      <family val="2"/>
    </font>
    <font>
      <b/>
      <sz val="10"/>
      <color rgb="FFffffff"/>
      <name val="Arial"/>
      <family val="2"/>
    </font>
    <font>
      <b/>
      <sz val="8"/>
      <color rgb="FF575757"/>
      <name val="Arial"/>
      <family val="2"/>
    </font>
    <font>
      <sz val="8"/>
      <color rgb="FF575757"/>
      <name val="Arial"/>
      <family val="2"/>
    </font>
    <font>
      <b/>
      <sz val="15"/>
      <color rgb="FF29ba74"/>
      <name val="Arial"/>
      <family val="2"/>
    </font>
    <font>
      <b/>
      <sz val="10"/>
      <color rgb="FF29ba74"/>
      <name val="Arial"/>
      <family val="2"/>
    </font>
    <font>
      <b/>
      <sz val="12"/>
      <color rgb="FFffffff"/>
      <name val="Arial"/>
      <family val="2"/>
    </font>
    <font>
      <b/>
      <sz val="12"/>
      <color rgb="FF29ba74"/>
      <name val="Arial"/>
      <family val="2"/>
    </font>
    <font>
      <sz val="10"/>
      <color rgb="FF575757"/>
      <name val="Arial"/>
      <family val="2"/>
    </font>
    <font>
      <b/>
      <sz val="10"/>
      <color rgb="FF575757"/>
      <name val="Arial"/>
      <family val="2"/>
    </font>
    <font>
      <sz val="12"/>
      <color rgb="FF575757"/>
      <name val="Trebuchet MS"/>
      <family val="2"/>
    </font>
    <font>
      <sz val="11"/>
      <color rgb="FF575757"/>
      <name val="Arial"/>
      <family val="2"/>
    </font>
    <font>
      <sz val="11"/>
      <color rgb="FFffffff"/>
      <name val="Arial"/>
      <family val="2"/>
    </font>
    <font>
      <b/>
      <sz val="11"/>
      <color rgb="FFffffff"/>
      <name val="Arial"/>
      <family val="2"/>
    </font>
    <font>
      <u/>
      <sz val="10"/>
      <color rgb="FF575757"/>
      <name val="Arial"/>
      <family val="2"/>
    </font>
    <font>
      <i/>
      <sz val="10"/>
      <color rgb="FF575757"/>
      <name val="Arial"/>
      <family val="2"/>
    </font>
    <font>
      <sz val="10"/>
      <color rgb="FFffffff"/>
      <name val="Arial"/>
      <family val="2"/>
    </font>
    <font>
      <i/>
      <sz val="10"/>
      <color rgb="FF0000ff"/>
      <name val="Arial"/>
      <family val="2"/>
    </font>
    <font>
      <sz val="10"/>
      <color rgb="FF0000ff"/>
      <name val="Arial"/>
      <family val="2"/>
    </font>
    <font>
      <b/>
      <i/>
      <sz val="10"/>
      <color rgb="FF575757"/>
      <name val="Arial"/>
      <family val="2"/>
    </font>
    <font>
      <sz val="10"/>
      <color rgb="FF29ba74"/>
      <name val="Arial"/>
      <family val="2"/>
    </font>
    <font>
      <sz val="10"/>
      <color rgb="FF6e6f73"/>
      <name val="Arial"/>
      <family val="2"/>
    </font>
    <font>
      <sz val="12"/>
      <color rgb="FF575757"/>
      <name val="Arial"/>
      <family val="2"/>
    </font>
    <font>
      <sz val="10"/>
      <color rgb="FF1f475f"/>
      <name val="Arial"/>
      <family val="2"/>
    </font>
    <font>
      <sz val="10"/>
      <color rgb="FFff0000"/>
      <name val="Arial"/>
      <family val="2"/>
    </font>
    <font>
      <b/>
      <sz val="12"/>
      <color rgb="FF1f475f"/>
      <name val="Arial"/>
      <family val="2"/>
    </font>
    <font>
      <b/>
      <i/>
      <sz val="10"/>
      <color rgb="FF295e7e"/>
      <name val="Arial"/>
      <family val="2"/>
    </font>
    <font>
      <i/>
      <sz val="10"/>
      <color rgb="FF808080"/>
      <name val="Arial"/>
      <family val="2"/>
    </font>
    <font>
      <i/>
      <sz val="10"/>
      <color rgb="FFffffff"/>
      <name val="Arial"/>
      <family val="2"/>
    </font>
    <font>
      <b/>
      <sz val="10"/>
      <color rgb="FF0000ff"/>
      <name val="Arial"/>
      <family val="2"/>
    </font>
    <font>
      <u/>
      <sz val="10"/>
      <color rgb="FF000000"/>
      <name val="Arial"/>
      <family val="2"/>
    </font>
    <font>
      <b/>
      <sz val="12"/>
      <color rgb="FF006600"/>
      <name val="Arial"/>
      <family val="2"/>
    </font>
    <font>
      <sz val="10"/>
      <color rgb="FFcbe1ee"/>
      <name val="Arial"/>
      <family val="2"/>
    </font>
  </fonts>
  <fills count="22">
    <fill>
      <patternFill patternType="none"/>
    </fill>
    <fill>
      <patternFill patternType="gray125"/>
    </fill>
    <fill>
      <patternFill patternType="solid">
        <fgColor rgb="FF5bf9af"/>
      </patternFill>
    </fill>
    <fill>
      <patternFill patternType="solid">
        <fgColor rgb="FF97c3dd"/>
      </patternFill>
    </fill>
    <fill>
      <patternFill patternType="solid">
        <fgColor rgb="FFffff00"/>
      </patternFill>
    </fill>
    <fill>
      <patternFill patternType="solid">
        <fgColor rgb="FFf2f2f2"/>
      </patternFill>
    </fill>
    <fill>
      <patternFill patternType="solid">
        <fgColor rgb="FFffffff"/>
      </patternFill>
    </fill>
    <fill>
      <patternFill patternType="solid">
        <fgColor rgb="FF29ba74"/>
      </patternFill>
    </fill>
    <fill>
      <patternFill patternType="solid">
        <fgColor rgb="FFdadada"/>
      </patternFill>
    </fill>
    <fill>
      <patternFill patternType="solid">
        <fgColor rgb="FF197a56"/>
      </patternFill>
    </fill>
    <fill>
      <patternFill patternType="solid">
        <fgColor rgb="FF03522d"/>
      </patternFill>
    </fill>
    <fill>
      <patternFill patternType="solid">
        <fgColor rgb="FFd1f5e3"/>
      </patternFill>
    </fill>
    <fill>
      <patternFill patternType="solid">
        <fgColor rgb="FFd9d9d9"/>
      </patternFill>
    </fill>
    <fill>
      <patternFill patternType="solid">
        <fgColor rgb="FFd6fdeb"/>
      </patternFill>
    </fill>
    <fill>
      <patternFill patternType="solid">
        <fgColor rgb="FFcbe1ee"/>
      </patternFill>
    </fill>
    <fill>
      <patternFill patternType="solid">
        <fgColor rgb="FF0000ff"/>
      </patternFill>
    </fill>
    <fill>
      <patternFill patternType="solid">
        <fgColor rgb="FF1f475f"/>
      </patternFill>
    </fill>
    <fill>
      <patternFill patternType="solid">
        <fgColor rgb="FF295e7e"/>
      </patternFill>
    </fill>
    <fill>
      <patternFill patternType="solid">
        <fgColor rgb="FFc5c5c7"/>
      </patternFill>
    </fill>
    <fill>
      <patternFill patternType="solid">
        <fgColor rgb="FFc3f3e1"/>
      </patternFill>
    </fill>
    <fill>
      <patternFill patternType="solid">
        <fgColor rgb="FFf6f9d6"/>
      </patternFill>
    </fill>
    <fill>
      <patternFill patternType="solid">
        <fgColor rgb="FFffffcc"/>
      </patternFill>
    </fill>
  </fills>
  <borders count="73">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medium">
        <color rgb="FF000000"/>
      </left>
      <right style="thin">
        <color rgb="FFc6c6c6"/>
      </right>
      <top style="medium">
        <color rgb="FF000000"/>
      </top>
      <bottom style="thin">
        <color rgb="FFc6c6c6"/>
      </bottom>
      <diagonal/>
    </border>
    <border>
      <left style="medium">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medium">
        <color rgb="FF000000"/>
      </left>
      <right style="thin">
        <color rgb="FFc6c6c6"/>
      </right>
      <top style="thin">
        <color rgb="FFc6c6c6"/>
      </top>
      <bottom style="medium">
        <color rgb="FF000000"/>
      </bottom>
      <diagonal/>
    </border>
    <border>
      <left style="medium">
        <color rgb="FF000000"/>
      </left>
      <right style="medium">
        <color rgb="FF000000"/>
      </right>
      <top style="thin">
        <color rgb="FFc6c6c6"/>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c6c6c6"/>
      </left>
      <right style="thin">
        <color rgb="FF000000"/>
      </right>
      <top style="thin">
        <color rgb="FFc6c6c6"/>
      </top>
      <bottom style="medium">
        <color rgb="FF000000"/>
      </bottom>
      <diagonal/>
    </border>
    <border>
      <left style="thin">
        <color rgb="FF000000"/>
      </left>
      <right style="thin">
        <color rgb="FF000000"/>
      </right>
      <top style="thin">
        <color rgb="FFc6c6c6"/>
      </top>
      <bottom style="medium">
        <color rgb="FF000000"/>
      </bottom>
      <diagonal/>
    </border>
    <border>
      <left style="thin">
        <color rgb="FF000000"/>
      </left>
      <right style="thin">
        <color rgb="FFc6c6c6"/>
      </right>
      <top style="thin">
        <color rgb="FFc6c6c6"/>
      </top>
      <bottom style="medium">
        <color rgb="FF000000"/>
      </bottom>
      <diagonal/>
    </border>
    <border>
      <left style="thin">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808080"/>
      </left>
      <right style="thin">
        <color rgb="FFc6c6c6"/>
      </right>
      <top style="thin">
        <color rgb="FFc6c6c6"/>
      </top>
      <bottom style="thin">
        <color rgb="FFc6c6c6"/>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c6c6c6"/>
      </right>
      <top style="thin">
        <color rgb="FFc6c6c6"/>
      </top>
      <bottom style="thin">
        <color rgb="FF000000"/>
      </bottom>
      <diagonal/>
    </border>
    <border>
      <left style="thin">
        <color rgb="FFc6c6c6"/>
      </left>
      <right style="thin">
        <color rgb="FFc6c6c6"/>
      </right>
      <top style="thin">
        <color rgb="FF000000"/>
      </top>
      <bottom style="double">
        <color rgb="FF000000"/>
      </bottom>
      <diagonal/>
    </border>
    <border>
      <left style="thin">
        <color rgb="FFc6c6c6"/>
      </left>
      <right style="thin">
        <color rgb="FFc6c6c6"/>
      </right>
      <top style="double">
        <color rgb="FF000000"/>
      </top>
      <bottom style="double">
        <color rgb="FF000000"/>
      </bottom>
      <diagonal/>
    </border>
    <border>
      <left/>
      <right/>
      <top/>
      <bottom style="double">
        <color rgb="FF000000"/>
      </bottom>
      <diagonal/>
    </border>
    <border>
      <left style="thin">
        <color rgb="FFc6c6c6"/>
      </left>
      <right style="thin">
        <color rgb="FF000000"/>
      </right>
      <top style="thin">
        <color rgb="FFc6c6c6"/>
      </top>
      <bottom style="thin">
        <color rgb="FFc6c6c6"/>
      </bottom>
      <diagonal/>
    </border>
    <border>
      <left/>
      <right style="thin">
        <color rgb="FF000000"/>
      </right>
      <top/>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c6c6c6"/>
      </top>
      <bottom style="thin">
        <color rgb="FFc6c6c6"/>
      </bottom>
      <diagonal/>
    </border>
    <border>
      <left style="thin">
        <color rgb="FF000000"/>
      </left>
      <right/>
      <top/>
      <bottom/>
      <diagonal/>
    </border>
    <border>
      <left/>
      <right style="thin">
        <color rgb="FF000000"/>
      </right>
      <top/>
      <bottom style="double">
        <color rgb="FF000000"/>
      </bottom>
      <diagonal/>
    </border>
    <border>
      <left style="thin">
        <color rgb="FF000000"/>
      </left>
      <right/>
      <top/>
      <bottom style="double">
        <color rgb="FF000000"/>
      </bottom>
      <diagonal/>
    </border>
    <border>
      <left style="thin">
        <color rgb="FF000000"/>
      </left>
      <right/>
      <top style="double">
        <color rgb="FF000000"/>
      </top>
      <bottom style="double">
        <color rgb="FF000000"/>
      </bottom>
      <diagonal/>
    </border>
    <border>
      <left/>
      <right/>
      <top style="double">
        <color rgb="FF000000"/>
      </top>
      <bottom style="double">
        <color rgb="FF000000"/>
      </bottom>
      <diagonal/>
    </border>
    <border>
      <left/>
      <right style="thin">
        <color rgb="FF000000"/>
      </right>
      <top style="double">
        <color rgb="FF000000"/>
      </top>
      <bottom style="double">
        <color rgb="FF000000"/>
      </bottom>
      <diagonal/>
    </border>
    <border>
      <left style="thin">
        <color rgb="FFc6c6c6"/>
      </left>
      <right style="thin">
        <color rgb="FF000000"/>
      </right>
      <top style="double">
        <color rgb="FF000000"/>
      </top>
      <bottom style="double">
        <color rgb="FF000000"/>
      </bottom>
      <diagonal/>
    </border>
    <border>
      <left style="thin">
        <color rgb="FFc6c6c6"/>
      </left>
      <right style="thin">
        <color rgb="FFc6c6c6"/>
      </right>
      <top style="thin">
        <color rgb="FFc6c6c6"/>
      </top>
      <bottom style="double">
        <color rgb="FF000000"/>
      </bottom>
      <diagonal/>
    </border>
    <border>
      <left style="medium">
        <color rgb="FF295e7e"/>
      </left>
      <right/>
      <top style="medium">
        <color rgb="FF295e7e"/>
      </top>
      <bottom/>
      <diagonal/>
    </border>
    <border>
      <left/>
      <right/>
      <top style="medium">
        <color rgb="FF295e7e"/>
      </top>
      <bottom style="thin">
        <color rgb="FF000000"/>
      </bottom>
      <diagonal/>
    </border>
    <border>
      <left/>
      <right style="thin">
        <color rgb="FF000000"/>
      </right>
      <top style="medium">
        <color rgb="FF000000"/>
      </top>
      <bottom style="thin">
        <color rgb="FF000000"/>
      </bottom>
      <diagonal/>
    </border>
    <border>
      <left style="medium">
        <color rgb="FF295e7e"/>
      </left>
      <right style="thin">
        <color rgb="FFc6c6c6"/>
      </right>
      <top style="thin">
        <color rgb="FFc6c6c6"/>
      </top>
      <bottom style="thin">
        <color rgb="FFc6c6c6"/>
      </bottom>
      <diagonal/>
    </border>
    <border>
      <left style="medium">
        <color rgb="FF295e7e"/>
      </left>
      <right style="thin">
        <color rgb="FFc6c6c6"/>
      </right>
      <top style="thin">
        <color rgb="FFc6c6c6"/>
      </top>
      <bottom style="medium">
        <color rgb="FF295e7e"/>
      </bottom>
      <diagonal/>
    </border>
    <border>
      <left style="thin">
        <color rgb="FFc6c6c6"/>
      </left>
      <right style="thin">
        <color rgb="FFc6c6c6"/>
      </right>
      <top style="thin">
        <color rgb="FFc6c6c6"/>
      </top>
      <bottom style="medium">
        <color rgb="FF295e7e"/>
      </bottom>
      <diagonal/>
    </border>
    <border>
      <left style="thin">
        <color rgb="FFc6c6c6"/>
      </left>
      <right style="thin">
        <color rgb="FF000000"/>
      </right>
      <top style="thin">
        <color rgb="FFc6c6c6"/>
      </top>
      <bottom style="medium">
        <color rgb="FF295e7e"/>
      </bottom>
      <diagonal/>
    </border>
    <border>
      <left/>
      <right/>
      <top style="thin">
        <color rgb="FF000000"/>
      </top>
      <bottom style="double">
        <color rgb="FF000000"/>
      </bottom>
      <diagonal/>
    </border>
    <border>
      <left style="medium">
        <color rgb="FF29ba74"/>
      </left>
      <right/>
      <top style="medium">
        <color rgb="FF29ba74"/>
      </top>
      <bottom/>
      <diagonal/>
    </border>
    <border>
      <left/>
      <right/>
      <top style="medium">
        <color rgb="FF29ba74"/>
      </top>
      <bottom/>
      <diagonal/>
    </border>
    <border>
      <left/>
      <right style="medium">
        <color rgb="FF29ba74"/>
      </right>
      <top style="medium">
        <color rgb="FF29ba74"/>
      </top>
      <bottom/>
      <diagonal/>
    </border>
    <border>
      <left style="medium">
        <color rgb="FF29ba74"/>
      </left>
      <right/>
      <top/>
      <bottom/>
      <diagonal/>
    </border>
    <border>
      <left/>
      <right style="medium">
        <color rgb="FF29ba74"/>
      </right>
      <top/>
      <bottom/>
      <diagonal/>
    </border>
    <border>
      <left style="medium">
        <color rgb="FF29ba74"/>
      </left>
      <right/>
      <top/>
      <bottom style="medium">
        <color rgb="FF29ba74"/>
      </bottom>
      <diagonal/>
    </border>
    <border>
      <left/>
      <right/>
      <top/>
      <bottom style="medium">
        <color rgb="FF29ba74"/>
      </bottom>
      <diagonal/>
    </border>
    <border>
      <left/>
      <right style="medium">
        <color rgb="FF29ba74"/>
      </right>
      <top/>
      <bottom style="medium">
        <color rgb="FF29ba74"/>
      </bottom>
      <diagonal/>
    </border>
    <border>
      <left style="thin">
        <color rgb="FFc6c6c6"/>
      </left>
      <right style="thin">
        <color rgb="FFc6c6c6"/>
      </right>
      <top style="thin">
        <color rgb="FFc6c6c6"/>
      </top>
      <bottom style="medium">
        <color rgb="FF29ba74"/>
      </bottom>
      <diagonal/>
    </border>
  </borders>
  <cellStyleXfs count="1">
    <xf numFmtId="0" fontId="0" fillId="0" borderId="0"/>
  </cellStyleXfs>
  <cellXfs count="511">
    <xf xfId="0" numFmtId="0" borderId="0" fontId="0" fillId="0"/>
    <xf xfId="0" numFmtId="0" borderId="0" fontId="0" fillId="0" applyAlignment="1">
      <alignment horizontal="general" wrapText="1"/>
    </xf>
    <xf xfId="0" numFmtId="0" borderId="0" fontId="0" fillId="0" applyAlignment="1">
      <alignment horizontal="general"/>
    </xf>
    <xf xfId="0" numFmtId="3" applyNumberFormat="1" borderId="1" applyBorder="1" fontId="1" applyFont="1" fillId="0" applyAlignment="1">
      <alignment horizontal="right"/>
    </xf>
    <xf xfId="0" numFmtId="3" applyNumberFormat="1" borderId="2" applyBorder="1" fontId="2" applyFont="1" fillId="2" applyFill="1" applyAlignment="1">
      <alignment horizontal="center"/>
    </xf>
    <xf xfId="0" numFmtId="3" applyNumberFormat="1" borderId="1" applyBorder="1" fontId="3" applyFont="1" fillId="0" applyAlignment="1">
      <alignment horizontal="left"/>
    </xf>
    <xf xfId="0" numFmtId="3" applyNumberFormat="1" borderId="1" applyBorder="1" fontId="3" applyFont="1" fillId="0" applyAlignment="1">
      <alignment horizontal="right"/>
    </xf>
    <xf xfId="0" numFmtId="4" applyNumberFormat="1" borderId="1" applyBorder="1" fontId="1" applyFont="1" fillId="0" applyAlignment="1">
      <alignment horizontal="right"/>
    </xf>
    <xf xfId="0" numFmtId="4" applyNumberFormat="1" borderId="1" applyBorder="1" fontId="2" applyFont="1" fillId="0" applyAlignment="1">
      <alignment horizontal="right"/>
    </xf>
    <xf xfId="0" numFmtId="0" borderId="0" fontId="0" fillId="0" applyAlignment="1">
      <alignment wrapText="1"/>
    </xf>
    <xf xfId="0" numFmtId="0" borderId="1" applyBorder="1" fontId="1" applyFont="1" fillId="0" applyAlignment="1">
      <alignment horizontal="left" wrapText="1"/>
    </xf>
    <xf xfId="0" numFmtId="3" applyNumberFormat="1" borderId="3" applyBorder="1" fontId="4" applyFont="1" fillId="3" applyFill="1" applyAlignment="1">
      <alignment horizontal="center" vertical="top" wrapText="1"/>
    </xf>
    <xf xfId="0" numFmtId="3" applyNumberFormat="1" borderId="4" applyBorder="1" fontId="4" applyFont="1" fillId="3" applyFill="1" applyAlignment="1">
      <alignment horizontal="center" vertical="top" wrapText="1"/>
    </xf>
    <xf xfId="0" numFmtId="3" applyNumberFormat="1" borderId="5" applyBorder="1" fontId="4" applyFont="1" fillId="2" applyFill="1" applyAlignment="1">
      <alignment horizontal="center" wrapText="1"/>
    </xf>
    <xf xfId="0" numFmtId="3" applyNumberFormat="1" borderId="6" applyBorder="1" fontId="4" applyFont="1" fillId="2" applyFill="1" applyAlignment="1">
      <alignment horizontal="center" wrapText="1"/>
    </xf>
    <xf xfId="0" numFmtId="3" applyNumberFormat="1" borderId="1" applyBorder="1" fontId="1" applyFont="1" fillId="0" applyAlignment="1">
      <alignment horizontal="right" wrapText="1"/>
    </xf>
    <xf xfId="0" numFmtId="4" applyNumberFormat="1" borderId="1" applyBorder="1" fontId="1" applyFont="1" fillId="0" applyAlignment="1">
      <alignment horizontal="right" wrapText="1"/>
    </xf>
    <xf xfId="0" numFmtId="0" borderId="7" applyBorder="1" fontId="4" applyFont="1" fillId="3" applyFill="1" applyAlignment="1">
      <alignment horizontal="center" wrapText="1"/>
    </xf>
    <xf xfId="0" numFmtId="0" borderId="8" applyBorder="1" fontId="4" applyFont="1" fillId="3" applyFill="1" applyAlignment="1">
      <alignment horizontal="center" wrapText="1"/>
    </xf>
    <xf xfId="0" numFmtId="3" applyNumberFormat="1" borderId="9" applyBorder="1" fontId="4" applyFont="1" fillId="3" applyFill="1" applyAlignment="1">
      <alignment horizontal="center" wrapText="1"/>
    </xf>
    <xf xfId="0" numFmtId="3" applyNumberFormat="1" borderId="10" applyBorder="1" fontId="4" applyFont="1" fillId="3" applyFill="1" applyAlignment="1">
      <alignment horizontal="center" wrapText="1"/>
    </xf>
    <xf xfId="0" numFmtId="3" applyNumberFormat="1" borderId="11" applyBorder="1" fontId="4" applyFont="1" fillId="0" applyAlignment="1">
      <alignment horizontal="center" wrapText="1"/>
    </xf>
    <xf xfId="0" numFmtId="3" applyNumberFormat="1" borderId="12" applyBorder="1" fontId="4" applyFont="1" fillId="2" applyFill="1" applyAlignment="1">
      <alignment horizontal="center" wrapText="1"/>
    </xf>
    <xf xfId="0" numFmtId="3" applyNumberFormat="1" borderId="13" applyBorder="1" fontId="4" applyFont="1" fillId="2" applyFill="1" applyAlignment="1">
      <alignment horizontal="center" wrapText="1"/>
    </xf>
    <xf xfId="0" numFmtId="3" applyNumberFormat="1" borderId="14" applyBorder="1" fontId="4" applyFont="1" fillId="2" applyFill="1" applyAlignment="1">
      <alignment horizontal="center" wrapText="1"/>
    </xf>
    <xf xfId="0" numFmtId="0" borderId="1" applyBorder="1" fontId="3" applyFont="1" fillId="0" applyAlignment="1">
      <alignment horizontal="left" wrapText="1"/>
    </xf>
    <xf xfId="0" numFmtId="3" applyNumberFormat="1" borderId="7" applyBorder="1" fontId="4" applyFont="1" fillId="3" applyFill="1" applyAlignment="1">
      <alignment horizontal="center" wrapText="1"/>
    </xf>
    <xf xfId="0" numFmtId="3" applyNumberFormat="1" borderId="7" applyBorder="1" fontId="4" applyFont="1" fillId="2" applyFill="1" applyAlignment="1">
      <alignment horizontal="center" wrapText="1"/>
    </xf>
    <xf xfId="0" numFmtId="4" applyNumberFormat="1" borderId="7" applyBorder="1" fontId="4" applyFont="1" fillId="2" applyFill="1" applyAlignment="1">
      <alignment horizontal="center" wrapText="1"/>
    </xf>
    <xf xfId="0" numFmtId="3" applyNumberFormat="1" borderId="1" applyBorder="1" fontId="3" applyFont="1" fillId="0" applyAlignment="1">
      <alignment horizontal="center" wrapText="1"/>
    </xf>
    <xf xfId="0" numFmtId="0" borderId="7" applyBorder="1" fontId="3" applyFont="1" fillId="0" applyAlignment="1">
      <alignment horizontal="center"/>
    </xf>
    <xf xfId="0" numFmtId="0" borderId="15" applyBorder="1" fontId="3" applyFont="1" fillId="0" applyAlignment="1">
      <alignment horizontal="left"/>
    </xf>
    <xf xfId="0" numFmtId="3" applyNumberFormat="1" borderId="16" applyBorder="1" fontId="3" applyFont="1" fillId="0" applyAlignment="1">
      <alignment horizontal="center" wrapText="1"/>
    </xf>
    <xf xfId="0" numFmtId="3" applyNumberFormat="1" borderId="17" applyBorder="1" fontId="2" applyFont="1" fillId="0" applyAlignment="1">
      <alignment horizontal="center"/>
    </xf>
    <xf xfId="0" numFmtId="3" applyNumberFormat="1" borderId="17" applyBorder="1" fontId="2" applyFont="1" fillId="0" applyAlignment="1">
      <alignment horizontal="right"/>
    </xf>
    <xf xfId="0" numFmtId="3" applyNumberFormat="1" borderId="18" applyBorder="1" fontId="2" applyFont="1" fillId="0" applyAlignment="1">
      <alignment horizontal="right"/>
    </xf>
    <xf xfId="0" numFmtId="3" applyNumberFormat="1" borderId="19" applyBorder="1" fontId="2" applyFont="1" fillId="0" applyAlignment="1">
      <alignment horizontal="right"/>
    </xf>
    <xf xfId="0" numFmtId="3" applyNumberFormat="1" borderId="20" applyBorder="1" fontId="2" applyFont="1" fillId="0" applyAlignment="1">
      <alignment horizontal="right"/>
    </xf>
    <xf xfId="0" numFmtId="3" applyNumberFormat="1" borderId="17" applyBorder="1" fontId="4" applyFont="1" fillId="0" applyAlignment="1">
      <alignment horizontal="right"/>
    </xf>
    <xf xfId="0" numFmtId="3" applyNumberFormat="1" borderId="7" applyBorder="1" fontId="3" applyFont="1" fillId="0" applyAlignment="1">
      <alignment horizontal="right"/>
    </xf>
    <xf xfId="0" numFmtId="3" applyNumberFormat="1" borderId="7" applyBorder="1" fontId="3" applyFont="1" fillId="4" applyFill="1" applyAlignment="1">
      <alignment horizontal="right"/>
    </xf>
    <xf xfId="0" numFmtId="3" applyNumberFormat="1" borderId="7" applyBorder="1" fontId="2" applyFont="1" fillId="0" applyAlignment="1">
      <alignment horizontal="right"/>
    </xf>
    <xf xfId="0" numFmtId="4" applyNumberFormat="1" borderId="15" applyBorder="1" fontId="2" applyFont="1" fillId="0" applyAlignment="1">
      <alignment horizontal="right"/>
    </xf>
    <xf xfId="0" numFmtId="3" applyNumberFormat="1" borderId="21" applyBorder="1" fontId="3" applyFont="1" fillId="0" applyAlignment="1">
      <alignment horizontal="center" wrapText="1"/>
    </xf>
    <xf xfId="0" numFmtId="3" applyNumberFormat="1" borderId="22" applyBorder="1" fontId="2" applyFont="1" fillId="0" applyAlignment="1">
      <alignment horizontal="center"/>
    </xf>
    <xf xfId="0" numFmtId="3" applyNumberFormat="1" borderId="22" applyBorder="1" fontId="2" applyFont="1" fillId="0" applyAlignment="1">
      <alignment horizontal="right"/>
    </xf>
    <xf xfId="0" numFmtId="3" applyNumberFormat="1" borderId="23" applyBorder="1" fontId="2" applyFont="1" fillId="0" applyAlignment="1">
      <alignment horizontal="right"/>
    </xf>
    <xf xfId="0" numFmtId="3" applyNumberFormat="1" borderId="15" applyBorder="1" fontId="2" applyFont="1" fillId="0" applyAlignment="1">
      <alignment horizontal="right"/>
    </xf>
    <xf xfId="0" numFmtId="3" applyNumberFormat="1" borderId="22" applyBorder="1" fontId="4" applyFont="1" fillId="0" applyAlignment="1">
      <alignment horizontal="right"/>
    </xf>
    <xf xfId="0" numFmtId="3" applyNumberFormat="1" borderId="24" applyBorder="1" fontId="2" applyFont="1" fillId="0" applyAlignment="1">
      <alignment horizontal="right"/>
    </xf>
    <xf xfId="0" numFmtId="4" applyNumberFormat="1" borderId="7" applyBorder="1" fontId="2" applyFont="1" fillId="0" applyAlignment="1">
      <alignment horizontal="right"/>
    </xf>
    <xf xfId="0" numFmtId="3" applyNumberFormat="1" borderId="7" applyBorder="1" fontId="3" applyFont="1" fillId="0" applyAlignment="1">
      <alignment horizontal="left"/>
    </xf>
    <xf xfId="0" numFmtId="3" applyNumberFormat="1" borderId="7" applyBorder="1" fontId="5" applyFont="1" fillId="0" applyAlignment="1">
      <alignment horizontal="right"/>
    </xf>
    <xf xfId="0" numFmtId="0" borderId="7" applyBorder="1" fontId="3" applyFont="1" fillId="5" applyFill="1" applyAlignment="1">
      <alignment horizontal="center"/>
    </xf>
    <xf xfId="0" numFmtId="0" borderId="8" applyBorder="1" fontId="2" applyFont="1" fillId="5" applyFill="1" applyAlignment="1">
      <alignment horizontal="left"/>
    </xf>
    <xf xfId="0" numFmtId="3" applyNumberFormat="1" borderId="25" applyBorder="1" fontId="3" applyFont="1" fillId="5" applyFill="1" applyAlignment="1">
      <alignment horizontal="center" wrapText="1"/>
    </xf>
    <xf xfId="0" numFmtId="3" applyNumberFormat="1" borderId="22" applyBorder="1" fontId="2" applyFont="1" fillId="5" applyFill="1" applyAlignment="1">
      <alignment horizontal="center"/>
    </xf>
    <xf xfId="0" numFmtId="3" applyNumberFormat="1" borderId="22" applyBorder="1" fontId="2" applyFont="1" fillId="5" applyFill="1" applyAlignment="1">
      <alignment horizontal="right"/>
    </xf>
    <xf xfId="0" numFmtId="3" applyNumberFormat="1" borderId="26" applyBorder="1" fontId="2" applyFont="1" fillId="5" applyFill="1" applyAlignment="1">
      <alignment horizontal="right"/>
    </xf>
    <xf xfId="0" numFmtId="3" applyNumberFormat="1" borderId="7" applyBorder="1" fontId="2" applyFont="1" fillId="5" applyFill="1" applyAlignment="1">
      <alignment horizontal="right"/>
    </xf>
    <xf xfId="0" numFmtId="3" applyNumberFormat="1" borderId="8" applyBorder="1" fontId="2" applyFont="1" fillId="5" applyFill="1" applyAlignment="1">
      <alignment horizontal="right"/>
    </xf>
    <xf xfId="0" numFmtId="3" applyNumberFormat="1" borderId="22" applyBorder="1" fontId="4" applyFont="1" fillId="5" applyFill="1" applyAlignment="1">
      <alignment horizontal="right"/>
    </xf>
    <xf xfId="0" numFmtId="4" applyNumberFormat="1" borderId="7" applyBorder="1" fontId="3" applyFont="1" fillId="0" applyAlignment="1">
      <alignment horizontal="center"/>
    </xf>
    <xf xfId="0" numFmtId="3" applyNumberFormat="1" borderId="1" applyBorder="1" fontId="2" applyFont="1" fillId="0" applyAlignment="1">
      <alignment horizontal="right"/>
    </xf>
    <xf xfId="0" numFmtId="0" borderId="15" applyBorder="1" fontId="2" applyFont="1" fillId="0" applyAlignment="1">
      <alignment horizontal="left"/>
    </xf>
    <xf xfId="0" numFmtId="0" borderId="7" applyBorder="1" fontId="2" applyFont="1" fillId="0" applyAlignment="1">
      <alignment horizontal="center"/>
    </xf>
    <xf xfId="0" numFmtId="3" applyNumberFormat="1" borderId="7" applyBorder="1" fontId="2" applyFont="1" fillId="4" applyFill="1" applyAlignment="1">
      <alignment horizontal="right"/>
    </xf>
    <xf xfId="0" numFmtId="164" applyNumberFormat="1" borderId="7" applyBorder="1" fontId="2" applyFont="1" fillId="0" applyAlignment="1">
      <alignment horizontal="right"/>
    </xf>
    <xf xfId="0" numFmtId="0" borderId="1" applyBorder="1" fontId="3" applyFont="1" fillId="0" applyAlignment="1">
      <alignment horizontal="left"/>
    </xf>
    <xf xfId="0" numFmtId="3" applyNumberFormat="1" borderId="7" applyBorder="1" fontId="5" applyFont="1" fillId="4" applyFill="1" applyAlignment="1">
      <alignment horizontal="right"/>
    </xf>
    <xf xfId="0" numFmtId="3" applyNumberFormat="1" borderId="7" applyBorder="1" fontId="6" applyFont="1" fillId="0" applyAlignment="1">
      <alignment horizontal="center"/>
    </xf>
    <xf xfId="0" numFmtId="3" applyNumberFormat="1" borderId="7" applyBorder="1" fontId="7" applyFont="1" fillId="0" applyAlignment="1">
      <alignment horizontal="center"/>
    </xf>
    <xf xfId="0" numFmtId="0" borderId="27" applyBorder="1" fontId="2" applyFont="1" fillId="0" applyAlignment="1">
      <alignment horizontal="center"/>
    </xf>
    <xf xfId="0" numFmtId="0" borderId="28" applyBorder="1" fontId="3" applyFont="1" fillId="0" applyAlignment="1">
      <alignment horizontal="left"/>
    </xf>
    <xf xfId="0" numFmtId="3" applyNumberFormat="1" borderId="29" applyBorder="1" fontId="3" applyFont="1" fillId="0" applyAlignment="1">
      <alignment horizontal="center" wrapText="1"/>
    </xf>
    <xf xfId="0" numFmtId="3" applyNumberFormat="1" borderId="30" applyBorder="1" fontId="2" applyFont="1" fillId="0" applyAlignment="1">
      <alignment horizontal="center"/>
    </xf>
    <xf xfId="0" numFmtId="3" applyNumberFormat="1" borderId="30" applyBorder="1" fontId="2" applyFont="1" fillId="0" applyAlignment="1">
      <alignment horizontal="right"/>
    </xf>
    <xf xfId="0" numFmtId="3" applyNumberFormat="1" borderId="31" applyBorder="1" fontId="2" applyFont="1" fillId="0" applyAlignment="1">
      <alignment horizontal="right"/>
    </xf>
    <xf xfId="0" numFmtId="3" applyNumberFormat="1" borderId="27" applyBorder="1" fontId="2" applyFont="1" fillId="0" applyAlignment="1">
      <alignment horizontal="right"/>
    </xf>
    <xf xfId="0" numFmtId="3" applyNumberFormat="1" borderId="32" applyBorder="1" fontId="2" applyFont="1" fillId="0" applyAlignment="1">
      <alignment horizontal="right"/>
    </xf>
    <xf xfId="0" numFmtId="3" applyNumberFormat="1" borderId="30" applyBorder="1" fontId="4" applyFont="1" fillId="0" applyAlignment="1">
      <alignment horizontal="right"/>
    </xf>
    <xf xfId="0" numFmtId="3" applyNumberFormat="1" borderId="27" applyBorder="1" fontId="5" applyFont="1" fillId="0" applyAlignment="1">
      <alignment horizontal="right"/>
    </xf>
    <xf xfId="0" numFmtId="3" applyNumberFormat="1" borderId="27" applyBorder="1" fontId="3" applyFont="1" fillId="0" applyAlignment="1">
      <alignment horizontal="right"/>
    </xf>
    <xf xfId="0" numFmtId="164" applyNumberFormat="1" borderId="27" applyBorder="1" fontId="2" applyFont="1" fillId="0" applyAlignment="1">
      <alignment horizontal="right"/>
    </xf>
    <xf xfId="0" numFmtId="0" borderId="7" applyBorder="1" fontId="3" applyFont="1" fillId="0" applyAlignment="1">
      <alignment horizontal="left"/>
    </xf>
    <xf xfId="0" numFmtId="3" applyNumberFormat="1" borderId="7" applyBorder="1" fontId="3" applyFont="1" fillId="0" applyAlignment="1">
      <alignment horizontal="center" wrapText="1"/>
    </xf>
    <xf xfId="0" numFmtId="3" applyNumberFormat="1" borderId="7" applyBorder="1" fontId="3" applyFont="1" fillId="0" applyAlignment="1">
      <alignment horizontal="center"/>
    </xf>
    <xf xfId="0" numFmtId="3" applyNumberFormat="1" borderId="22" applyBorder="1" fontId="3" applyFont="1" fillId="0" applyAlignment="1">
      <alignment horizontal="center" wrapText="1"/>
    </xf>
    <xf xfId="0" numFmtId="3" applyNumberFormat="1" borderId="7" applyBorder="1" fontId="8" applyFont="1" fillId="0" applyAlignment="1">
      <alignment horizontal="right"/>
    </xf>
    <xf xfId="0" numFmtId="3" applyNumberFormat="1" borderId="7" applyBorder="1" fontId="4" applyFont="1" fillId="0" applyAlignment="1">
      <alignment horizontal="right"/>
    </xf>
    <xf xfId="0" numFmtId="3" applyNumberFormat="1" borderId="7" applyBorder="1" fontId="2" applyFont="1" fillId="0" applyAlignment="1">
      <alignment horizontal="center"/>
    </xf>
    <xf xfId="0" numFmtId="0" borderId="7" applyBorder="1" fontId="3" applyFont="1" fillId="0" applyAlignment="1">
      <alignment horizontal="center" wrapText="1"/>
    </xf>
    <xf xfId="0" numFmtId="0" borderId="7" applyBorder="1" fontId="3" applyFont="1" fillId="0" applyAlignment="1">
      <alignment horizontal="left" wrapText="1"/>
    </xf>
    <xf xfId="0" numFmtId="3" applyNumberFormat="1" borderId="23" applyBorder="1" fontId="3" applyFont="1" fillId="0" applyAlignment="1">
      <alignment horizontal="center" wrapText="1"/>
    </xf>
    <xf xfId="0" numFmtId="3" applyNumberFormat="1" borderId="23" applyBorder="1" fontId="3" applyFont="1" fillId="0" applyAlignment="1">
      <alignment horizontal="right"/>
    </xf>
    <xf xfId="0" numFmtId="0" borderId="7" applyBorder="1" fontId="2" applyFont="1" fillId="0" applyAlignment="1">
      <alignment horizontal="left"/>
    </xf>
    <xf xfId="0" numFmtId="164" applyNumberFormat="1" borderId="15" applyBorder="1" fontId="2" applyFont="1" fillId="0" applyAlignment="1">
      <alignment horizontal="center"/>
    </xf>
    <xf xfId="0" numFmtId="164" applyNumberFormat="1" borderId="23" applyBorder="1" fontId="2" applyFont="1" fillId="0" applyAlignment="1">
      <alignment horizontal="center"/>
    </xf>
    <xf xfId="0" numFmtId="3" applyNumberFormat="1" borderId="19" applyBorder="1" fontId="2" applyFont="1" fillId="0" applyAlignment="1">
      <alignment horizontal="center"/>
    </xf>
    <xf xfId="0" numFmtId="0" borderId="0" fontId="0" fillId="0" applyAlignment="1">
      <alignment horizontal="general" wrapText="1"/>
    </xf>
    <xf xfId="0" numFmtId="0" borderId="0" fontId="0" fillId="0" applyAlignment="1">
      <alignment horizontal="general"/>
    </xf>
    <xf xfId="0" numFmtId="3" applyNumberFormat="1" borderId="0" fontId="0" fillId="0" applyAlignment="1">
      <alignment horizontal="general"/>
    </xf>
    <xf xfId="0" numFmtId="3" applyNumberFormat="1" borderId="0" fontId="0" fillId="0" applyAlignment="1">
      <alignment horizontal="right"/>
    </xf>
    <xf xfId="0" numFmtId="4" applyNumberFormat="1" borderId="0" fontId="0" fillId="0" applyAlignment="1">
      <alignment horizontal="general"/>
    </xf>
    <xf xfId="0" numFmtId="0" borderId="2" applyBorder="1" fontId="9" applyFont="1" fillId="6" applyFill="1" applyAlignment="1">
      <alignment horizontal="left"/>
    </xf>
    <xf xfId="0" numFmtId="0" borderId="2" applyBorder="1" fontId="10" applyFont="1" fillId="6" applyFill="1" applyAlignment="1">
      <alignment horizontal="right"/>
    </xf>
    <xf xfId="0" numFmtId="0" borderId="33" applyBorder="1" fontId="10" applyFont="1" fillId="6" applyFill="1" applyAlignment="1">
      <alignment horizontal="right"/>
    </xf>
    <xf xfId="0" numFmtId="0" borderId="0" fontId="0" fillId="0" applyAlignment="1">
      <alignment horizontal="left"/>
    </xf>
    <xf xfId="0" numFmtId="164" applyNumberFormat="1" borderId="1" applyBorder="1" fontId="1" applyFont="1" fillId="0" applyAlignment="1">
      <alignment horizontal="right"/>
    </xf>
    <xf xfId="0" numFmtId="0" borderId="33" applyBorder="1" fontId="11" applyFont="1" fillId="6" applyFill="1" applyAlignment="1">
      <alignment horizontal="left"/>
    </xf>
    <xf xfId="0" numFmtId="0" borderId="33" applyBorder="1" fontId="12" applyFont="1" fillId="6" applyFill="1" applyAlignment="1">
      <alignment horizontal="left"/>
    </xf>
    <xf xfId="0" numFmtId="0" borderId="33" applyBorder="1" fontId="12" applyFont="1" fillId="6" applyFill="1" applyAlignment="1">
      <alignment horizontal="left"/>
    </xf>
    <xf xfId="0" numFmtId="0" borderId="2" applyBorder="1" fontId="13" applyFont="1" fillId="7" applyFill="1" applyAlignment="1">
      <alignment horizontal="left"/>
    </xf>
    <xf xfId="0" numFmtId="0" borderId="2" applyBorder="1" fontId="14" applyFont="1" fillId="7" applyFill="1" applyAlignment="1">
      <alignment horizontal="right"/>
    </xf>
    <xf xfId="0" numFmtId="164" applyNumberFormat="1" borderId="2" applyBorder="1" fontId="14" applyFont="1" fillId="7" applyFill="1" applyAlignment="1">
      <alignment horizontal="right"/>
    </xf>
    <xf xfId="0" numFmtId="164" applyNumberFormat="1" borderId="2" applyBorder="1" fontId="2" applyFont="1" fillId="6" applyFill="1" applyAlignment="1">
      <alignment horizontal="right"/>
    </xf>
    <xf xfId="0" numFmtId="0" borderId="2" applyBorder="1" fontId="15" applyFont="1" fillId="6" applyFill="1" applyAlignment="1">
      <alignment horizontal="center"/>
    </xf>
    <xf xfId="0" numFmtId="164" applyNumberFormat="1" borderId="2" applyBorder="1" fontId="16" applyFont="1" fillId="6" applyFill="1" applyAlignment="1">
      <alignment horizontal="right"/>
    </xf>
    <xf xfId="0" numFmtId="0" borderId="1" applyBorder="1" fontId="17" applyFont="1" fillId="0" applyAlignment="1">
      <alignment horizontal="left"/>
    </xf>
    <xf xfId="0" numFmtId="165" applyNumberFormat="1" borderId="1" applyBorder="1" fontId="1" applyFont="1" fillId="0" applyAlignment="1">
      <alignment horizontal="left"/>
    </xf>
    <xf xfId="0" numFmtId="164" applyNumberFormat="1" borderId="1" applyBorder="1" fontId="2" applyFont="1" fillId="0" applyAlignment="1">
      <alignment horizontal="left"/>
    </xf>
    <xf xfId="0" numFmtId="164" applyNumberFormat="1" borderId="2" applyBorder="1" fontId="10" applyFont="1" fillId="6" applyFill="1" applyAlignment="1">
      <alignment horizontal="right"/>
    </xf>
    <xf xfId="0" numFmtId="164" applyNumberFormat="1" borderId="2" applyBorder="1" fontId="18" applyFont="1" fillId="6" applyFill="1" applyAlignment="1">
      <alignment horizontal="right"/>
    </xf>
    <xf xfId="0" numFmtId="0" borderId="1" applyBorder="1" fontId="2" applyFont="1" fillId="0" applyAlignment="1">
      <alignment horizontal="left"/>
    </xf>
    <xf xfId="0" numFmtId="164" applyNumberFormat="1" borderId="1" applyBorder="1" fontId="2" applyFont="1" fillId="0" applyAlignment="1">
      <alignment horizontal="right"/>
    </xf>
    <xf xfId="0" numFmtId="165" applyNumberFormat="1" borderId="1" applyBorder="1" fontId="2" applyFont="1" fillId="0" applyAlignment="1">
      <alignment horizontal="left"/>
    </xf>
    <xf xfId="0" numFmtId="0" borderId="0" fontId="0" fillId="0" applyAlignment="1">
      <alignment horizontal="left"/>
    </xf>
    <xf xfId="0" numFmtId="164" applyNumberFormat="1" borderId="0" fontId="0" fillId="0" applyAlignment="1">
      <alignment horizontal="right"/>
    </xf>
    <xf xfId="0" numFmtId="165" applyNumberFormat="1" borderId="0" fontId="0" fillId="0" applyAlignment="1">
      <alignment horizontal="left"/>
    </xf>
    <xf xfId="0" numFmtId="166" applyNumberFormat="1" borderId="1" applyBorder="1" fontId="1" applyFont="1" fillId="0" applyAlignment="1">
      <alignment horizontal="right"/>
    </xf>
    <xf xfId="0" numFmtId="3" applyNumberFormat="1" borderId="1" applyBorder="1" fontId="1" applyFont="1" fillId="0" applyAlignment="1">
      <alignment horizontal="left"/>
    </xf>
    <xf xfId="0" numFmtId="166" applyNumberFormat="1" borderId="1" applyBorder="1" fontId="1" applyFont="1" fillId="0" applyAlignment="1">
      <alignment horizontal="left"/>
    </xf>
    <xf xfId="0" numFmtId="166" applyNumberFormat="1" borderId="1" applyBorder="1" fontId="2" applyFont="1" fillId="0" applyAlignment="1">
      <alignment horizontal="right"/>
    </xf>
    <xf xfId="0" numFmtId="166" applyNumberFormat="1" borderId="0" fontId="0" fillId="0" applyAlignment="1">
      <alignment horizontal="general"/>
    </xf>
    <xf xfId="0" numFmtId="0" borderId="0" fontId="0" fillId="0" applyAlignment="1">
      <alignment horizontal="right"/>
    </xf>
    <xf xfId="0" numFmtId="167" applyNumberFormat="1" borderId="2" applyBorder="1" fontId="2" applyFont="1" fillId="6" applyFill="1" applyAlignment="1">
      <alignment horizontal="right"/>
    </xf>
    <xf xfId="0" numFmtId="164" applyNumberFormat="1" borderId="2" applyBorder="1" fontId="17" applyFont="1" fillId="6" applyFill="1" applyAlignment="1">
      <alignment horizontal="right"/>
    </xf>
    <xf xfId="0" numFmtId="164" applyNumberFormat="1" borderId="0" fontId="0" fillId="0" applyAlignment="1">
      <alignment horizontal="general"/>
    </xf>
    <xf xfId="0" numFmtId="0" borderId="0" fontId="0" fillId="0" applyAlignment="1">
      <alignment horizontal="right"/>
    </xf>
    <xf xfId="0" numFmtId="0" borderId="1" applyBorder="1" fontId="19" applyFont="1" fillId="0" applyAlignment="1">
      <alignment horizontal="left"/>
    </xf>
    <xf xfId="0" numFmtId="3" applyNumberFormat="1" borderId="1" applyBorder="1" fontId="2" applyFont="1" fillId="0" applyAlignment="1">
      <alignment horizontal="left"/>
    </xf>
    <xf xfId="0" numFmtId="3" applyNumberFormat="1" borderId="1" applyBorder="1" fontId="19" applyFont="1" fillId="0" applyAlignment="1">
      <alignment horizontal="left"/>
    </xf>
    <xf xfId="0" numFmtId="1" applyNumberFormat="1" borderId="1" applyBorder="1" fontId="1" applyFont="1" fillId="0" applyAlignment="1">
      <alignment horizontal="left"/>
    </xf>
    <xf xfId="0" numFmtId="0" borderId="2" applyBorder="1" fontId="17" applyFont="1" fillId="6" applyFill="1" applyAlignment="1">
      <alignment horizontal="left"/>
    </xf>
    <xf xfId="0" numFmtId="1" applyNumberFormat="1" borderId="2" applyBorder="1" fontId="2" applyFont="1" fillId="6" applyFill="1" applyAlignment="1">
      <alignment horizontal="left"/>
    </xf>
    <xf xfId="0" numFmtId="1" applyNumberFormat="1" borderId="1" applyBorder="1" fontId="3" applyFont="1" fillId="0" applyAlignment="1">
      <alignment horizontal="center"/>
    </xf>
    <xf xfId="0" numFmtId="1" applyNumberFormat="1" borderId="1" applyBorder="1" fontId="3" applyFont="1" fillId="0" applyAlignment="1">
      <alignment horizontal="left"/>
    </xf>
    <xf xfId="0" numFmtId="1" applyNumberFormat="1" borderId="1" applyBorder="1" fontId="2" applyFont="1" fillId="0" applyAlignment="1">
      <alignment horizontal="center"/>
    </xf>
    <xf xfId="0" numFmtId="0" borderId="2" applyBorder="1" fontId="2" applyFont="1" fillId="6" applyFill="1" applyAlignment="1">
      <alignment horizontal="left"/>
    </xf>
    <xf xfId="0" numFmtId="1" applyNumberFormat="1" borderId="2" applyBorder="1" fontId="2" applyFont="1" fillId="6" applyFill="1" applyAlignment="1">
      <alignment horizontal="center"/>
    </xf>
    <xf xfId="0" numFmtId="167" applyNumberFormat="1" borderId="2" applyBorder="1" fontId="2" applyFont="1" fillId="6" applyFill="1" applyAlignment="1">
      <alignment horizontal="center"/>
    </xf>
    <xf xfId="0" numFmtId="1" applyNumberFormat="1" borderId="0" fontId="0" fillId="0" applyAlignment="1">
      <alignment horizontal="general"/>
    </xf>
    <xf xfId="0" numFmtId="168" applyNumberFormat="1" borderId="1" applyBorder="1" fontId="1" applyFont="1" fillId="0" applyAlignment="1">
      <alignment horizontal="left"/>
    </xf>
    <xf xfId="0" numFmtId="3" applyNumberFormat="1" borderId="1" applyBorder="1" fontId="2" applyFont="1" fillId="0" applyAlignment="1">
      <alignment horizontal="center"/>
    </xf>
    <xf xfId="0" numFmtId="4" applyNumberFormat="1" borderId="1" applyBorder="1" fontId="2" applyFont="1" fillId="0" applyAlignment="1">
      <alignment horizontal="center"/>
    </xf>
    <xf xfId="0" numFmtId="0" borderId="34" applyBorder="1" fontId="2" applyFont="1" fillId="0" applyAlignment="1">
      <alignment horizontal="left" vertical="top"/>
    </xf>
    <xf xfId="0" numFmtId="0" borderId="34" applyBorder="1" fontId="2" applyFont="1" fillId="0" applyAlignment="1">
      <alignment horizontal="left"/>
    </xf>
    <xf xfId="0" numFmtId="168" applyNumberFormat="1" borderId="34" applyBorder="1" fontId="2" applyFont="1" fillId="0" applyAlignment="1">
      <alignment horizontal="right"/>
    </xf>
    <xf xfId="0" numFmtId="3" applyNumberFormat="1" borderId="34" applyBorder="1" fontId="2" applyFont="1" fillId="0" applyAlignment="1">
      <alignment horizontal="right"/>
    </xf>
    <xf xfId="0" numFmtId="168" applyNumberFormat="1" borderId="1" applyBorder="1" fontId="2" applyFont="1" fillId="0" applyAlignment="1">
      <alignment horizontal="right"/>
    </xf>
    <xf xfId="0" numFmtId="3" applyNumberFormat="1" borderId="1" applyBorder="1" fontId="17" applyFont="1" fillId="0" applyAlignment="1">
      <alignment horizontal="right"/>
    </xf>
    <xf xfId="0" numFmtId="0" borderId="35" applyBorder="1" fontId="2" applyFont="1" fillId="0" applyAlignment="1">
      <alignment horizontal="left"/>
    </xf>
    <xf xfId="0" numFmtId="3" applyNumberFormat="1" borderId="35" applyBorder="1" fontId="2" applyFont="1" fillId="0" applyAlignment="1">
      <alignment horizontal="right"/>
    </xf>
    <xf xfId="0" numFmtId="0" borderId="1" applyBorder="1" fontId="2" applyFont="1" fillId="0" applyAlignment="1">
      <alignment horizontal="left" vertical="top"/>
    </xf>
    <xf xfId="0" numFmtId="168" applyNumberFormat="1" borderId="1" applyBorder="1" fontId="1" applyFont="1" fillId="0" applyAlignment="1">
      <alignment horizontal="right"/>
    </xf>
    <xf xfId="0" numFmtId="168" applyNumberFormat="1" borderId="35" applyBorder="1" fontId="2" applyFont="1" fillId="0" applyAlignment="1">
      <alignment horizontal="right"/>
    </xf>
    <xf xfId="0" numFmtId="0" borderId="1" applyBorder="1" fontId="2" applyFont="1" fillId="0" applyAlignment="1">
      <alignment horizontal="left" vertical="top" wrapText="1"/>
    </xf>
    <xf xfId="0" numFmtId="0" borderId="1" applyBorder="1" fontId="2" applyFont="1" fillId="0" applyAlignment="1">
      <alignment horizontal="left" wrapText="1"/>
    </xf>
    <xf xfId="0" numFmtId="0" borderId="35" applyBorder="1" fontId="2" applyFont="1" fillId="0" applyAlignment="1">
      <alignment horizontal="left" wrapText="1"/>
    </xf>
    <xf xfId="0" numFmtId="0" borderId="34" applyBorder="1" fontId="2" applyFont="1" fillId="0" applyAlignment="1">
      <alignment horizontal="left" vertical="top" wrapText="1"/>
    </xf>
    <xf xfId="0" numFmtId="4" applyNumberFormat="1" borderId="1" applyBorder="1" fontId="1" applyFont="1" fillId="0" applyAlignment="1">
      <alignment horizontal="left"/>
    </xf>
    <xf xfId="0" numFmtId="0" borderId="35" applyBorder="1" fontId="17" applyFont="1" fillId="0" applyAlignment="1">
      <alignment horizontal="left"/>
    </xf>
    <xf xfId="0" numFmtId="168" applyNumberFormat="1" borderId="35" applyBorder="1" fontId="2" applyFont="1" fillId="0" applyAlignment="1">
      <alignment horizontal="left"/>
    </xf>
    <xf xfId="0" numFmtId="3" applyNumberFormat="1" borderId="35" applyBorder="1" fontId="2" applyFont="1" fillId="0" applyAlignment="1">
      <alignment horizontal="left"/>
    </xf>
    <xf xfId="0" numFmtId="4" applyNumberFormat="1" borderId="35" applyBorder="1" fontId="2" applyFont="1" fillId="0" applyAlignment="1">
      <alignment horizontal="left"/>
    </xf>
    <xf xfId="0" numFmtId="164" applyNumberFormat="1" borderId="35" applyBorder="1" fontId="2" applyFont="1" fillId="0" applyAlignment="1">
      <alignment horizontal="right"/>
    </xf>
    <xf xfId="0" numFmtId="0" borderId="36" applyBorder="1" fontId="17" applyFont="1" fillId="0" applyAlignment="1">
      <alignment horizontal="left"/>
    </xf>
    <xf xfId="0" numFmtId="0" borderId="36" applyBorder="1" fontId="2" applyFont="1" fillId="0" applyAlignment="1">
      <alignment horizontal="left"/>
    </xf>
    <xf xfId="0" numFmtId="168" applyNumberFormat="1" borderId="36" applyBorder="1" fontId="2" applyFont="1" fillId="0" applyAlignment="1">
      <alignment horizontal="left"/>
    </xf>
    <xf xfId="0" numFmtId="3" applyNumberFormat="1" borderId="36" applyBorder="1" fontId="2" applyFont="1" fillId="0" applyAlignment="1">
      <alignment horizontal="left"/>
    </xf>
    <xf xfId="0" numFmtId="4" applyNumberFormat="1" borderId="36" applyBorder="1" fontId="2" applyFont="1" fillId="0" applyAlignment="1">
      <alignment horizontal="left"/>
    </xf>
    <xf xfId="0" numFmtId="164" applyNumberFormat="1" borderId="36" applyBorder="1" fontId="2" applyFont="1" fillId="0" applyAlignment="1">
      <alignment horizontal="right"/>
    </xf>
    <xf xfId="0" numFmtId="164" applyNumberFormat="1" borderId="36" applyBorder="1" fontId="2" applyFont="1" fillId="0" applyAlignment="1">
      <alignment horizontal="left"/>
    </xf>
    <xf xfId="0" numFmtId="168" applyNumberFormat="1" borderId="0" fontId="0" fillId="0" applyAlignment="1">
      <alignment horizontal="left"/>
    </xf>
    <xf xfId="0" numFmtId="3" applyNumberFormat="1" borderId="0" fontId="0" fillId="0" applyAlignment="1">
      <alignment horizontal="left"/>
    </xf>
    <xf xfId="0" numFmtId="4" applyNumberFormat="1" borderId="0" fontId="0" fillId="0" applyAlignment="1">
      <alignment horizontal="left"/>
    </xf>
    <xf xfId="0" numFmtId="3" applyNumberFormat="1" borderId="2" applyBorder="1" fontId="9" applyFont="1" fillId="6" applyFill="1" applyAlignment="1">
      <alignment horizontal="left"/>
    </xf>
    <xf xfId="0" numFmtId="3" applyNumberFormat="1" borderId="2" applyBorder="1" fontId="10" applyFont="1" fillId="6" applyFill="1" applyAlignment="1">
      <alignment horizontal="right"/>
    </xf>
    <xf xfId="0" numFmtId="3" applyNumberFormat="1" borderId="33" applyBorder="1" fontId="11" applyFont="1" fillId="6" applyFill="1" applyAlignment="1">
      <alignment horizontal="left"/>
    </xf>
    <xf xfId="0" numFmtId="168" applyNumberFormat="1" borderId="2" applyBorder="1" fontId="10" applyFont="1" fillId="6" applyFill="1" applyAlignment="1">
      <alignment horizontal="right"/>
    </xf>
    <xf xfId="0" numFmtId="168" applyNumberFormat="1" borderId="2" applyBorder="1" fontId="11" applyFont="1" fillId="6" applyFill="1" applyAlignment="1">
      <alignment horizontal="left"/>
    </xf>
    <xf xfId="0" numFmtId="3" applyNumberFormat="1" borderId="33" applyBorder="1" fontId="12" applyFont="1" fillId="6" applyFill="1" applyAlignment="1">
      <alignment horizontal="left"/>
    </xf>
    <xf xfId="0" numFmtId="168" applyNumberFormat="1" borderId="2" applyBorder="1" fontId="12" applyFont="1" fillId="6" applyFill="1" applyAlignment="1">
      <alignment horizontal="left"/>
    </xf>
    <xf xfId="0" numFmtId="3" applyNumberFormat="1" borderId="33" applyBorder="1" fontId="10" applyFont="1" fillId="6" applyFill="1" applyAlignment="1">
      <alignment horizontal="right"/>
    </xf>
    <xf xfId="0" numFmtId="3" applyNumberFormat="1" borderId="2" applyBorder="1" fontId="13" applyFont="1" fillId="7" applyFill="1" applyAlignment="1">
      <alignment horizontal="left"/>
    </xf>
    <xf xfId="0" numFmtId="3" applyNumberFormat="1" borderId="2" applyBorder="1" fontId="14" applyFont="1" fillId="7" applyFill="1" applyAlignment="1">
      <alignment horizontal="right"/>
    </xf>
    <xf xfId="0" numFmtId="168" applyNumberFormat="1" borderId="2" applyBorder="1" fontId="2" applyFont="1" fillId="6" applyFill="1" applyAlignment="1">
      <alignment horizontal="right"/>
    </xf>
    <xf xfId="0" numFmtId="3" applyNumberFormat="1" borderId="2" applyBorder="1" fontId="17" applyFont="1" fillId="6" applyFill="1" applyAlignment="1">
      <alignment horizontal="left"/>
    </xf>
    <xf xfId="0" numFmtId="3" applyNumberFormat="1" borderId="2" applyBorder="1" fontId="15" applyFont="1" fillId="7" applyFill="1" applyAlignment="1">
      <alignment horizontal="center"/>
    </xf>
    <xf xfId="0" numFmtId="0" borderId="2" applyBorder="1" fontId="20" applyFont="1" fillId="6" applyFill="1" applyAlignment="1">
      <alignment horizontal="left"/>
    </xf>
    <xf xfId="0" numFmtId="3" applyNumberFormat="1" borderId="1" applyBorder="1" fontId="15" applyFont="1" fillId="0" applyAlignment="1">
      <alignment horizontal="center"/>
    </xf>
    <xf xfId="0" numFmtId="0" borderId="2" applyBorder="1" fontId="21" applyFont="1" fillId="7" applyFill="1" applyAlignment="1">
      <alignment horizontal="left"/>
    </xf>
    <xf xfId="0" numFmtId="3" applyNumberFormat="1" borderId="2" applyBorder="1" fontId="22" applyFont="1" fillId="7" applyFill="1" applyAlignment="1">
      <alignment horizontal="center" wrapText="1"/>
    </xf>
    <xf xfId="0" numFmtId="3" applyNumberFormat="1" borderId="2" applyBorder="1" fontId="21" applyFont="1" fillId="7" applyFill="1" applyAlignment="1">
      <alignment horizontal="left"/>
    </xf>
    <xf xfId="0" numFmtId="0" borderId="2" applyBorder="1" fontId="22" applyFont="1" fillId="7" applyFill="1" applyAlignment="1">
      <alignment horizontal="center" wrapText="1"/>
    </xf>
    <xf xfId="0" numFmtId="168" applyNumberFormat="1" borderId="2" applyBorder="1" fontId="22" applyFont="1" fillId="7" applyFill="1" applyAlignment="1">
      <alignment horizontal="center" wrapText="1"/>
    </xf>
    <xf xfId="0" numFmtId="3" applyNumberFormat="1" borderId="2" applyBorder="1" fontId="22" applyFont="1" fillId="6" applyFill="1" applyAlignment="1">
      <alignment horizontal="center" wrapText="1"/>
    </xf>
    <xf xfId="0" numFmtId="4" applyNumberFormat="1" borderId="2" applyBorder="1" fontId="2" applyFont="1" fillId="6" applyFill="1" applyAlignment="1">
      <alignment horizontal="right"/>
    </xf>
    <xf xfId="0" numFmtId="3" applyNumberFormat="1" borderId="2" applyBorder="1" fontId="17" applyFont="1" fillId="6" applyFill="1" applyAlignment="1">
      <alignment horizontal="right"/>
    </xf>
    <xf xfId="0" numFmtId="0" borderId="37" applyBorder="1" fontId="17" applyFont="1" fillId="8" applyFill="1" applyAlignment="1">
      <alignment horizontal="left"/>
    </xf>
    <xf xfId="0" numFmtId="3" applyNumberFormat="1" borderId="37" applyBorder="1" fontId="17" applyFont="1" fillId="8" applyFill="1" applyAlignment="1">
      <alignment horizontal="right"/>
    </xf>
    <xf xfId="0" numFmtId="3" applyNumberFormat="1" borderId="37" applyBorder="1" fontId="17" applyFont="1" fillId="8" applyFill="1" applyAlignment="1">
      <alignment horizontal="left"/>
    </xf>
    <xf xfId="0" numFmtId="3" applyNumberFormat="1" borderId="1" applyBorder="1" fontId="17" applyFont="1" fillId="0" applyAlignment="1">
      <alignment horizontal="left"/>
    </xf>
    <xf xfId="0" numFmtId="0" borderId="2" applyBorder="1" fontId="23" applyFont="1" fillId="6" applyFill="1" applyAlignment="1">
      <alignment horizontal="left"/>
    </xf>
    <xf xfId="0" numFmtId="168" applyNumberFormat="1" borderId="2" applyBorder="1" fontId="17" applyFont="1" fillId="6" applyFill="1" applyAlignment="1">
      <alignment horizontal="right"/>
    </xf>
    <xf xfId="0" numFmtId="4" applyNumberFormat="1" borderId="2" applyBorder="1" fontId="17" applyFont="1" fillId="6" applyFill="1" applyAlignment="1">
      <alignment horizontal="right"/>
    </xf>
    <xf xfId="0" numFmtId="1" applyNumberFormat="1" borderId="2" applyBorder="1" fontId="17" applyFont="1" fillId="6" applyFill="1" applyAlignment="1">
      <alignment horizontal="right"/>
    </xf>
    <xf xfId="0" numFmtId="49" applyNumberFormat="1" borderId="2" applyBorder="1" fontId="22" applyFont="1" fillId="7" applyFill="1" applyAlignment="1">
      <alignment horizontal="center" wrapText="1"/>
    </xf>
    <xf xfId="0" numFmtId="0" borderId="2" applyBorder="1" fontId="18" applyFont="1" fillId="6" applyFill="1" applyAlignment="1">
      <alignment horizontal="left"/>
    </xf>
    <xf xfId="0" numFmtId="3" applyNumberFormat="1" borderId="2" applyBorder="1" fontId="18" applyFont="1" fillId="6" applyFill="1" applyAlignment="1">
      <alignment horizontal="right"/>
    </xf>
    <xf xfId="0" numFmtId="0" borderId="2" applyBorder="1" fontId="17" applyFont="1" fillId="7" applyFill="1" applyAlignment="1">
      <alignment horizontal="left"/>
    </xf>
    <xf xfId="0" numFmtId="3" applyNumberFormat="1" borderId="2" applyBorder="1" fontId="17" applyFont="1" fillId="7" applyFill="1" applyAlignment="1">
      <alignment horizontal="left"/>
    </xf>
    <xf xfId="0" numFmtId="3" applyNumberFormat="1" borderId="2" applyBorder="1" fontId="2" applyFont="1" fillId="6" applyFill="1" applyAlignment="1">
      <alignment horizontal="right"/>
    </xf>
    <xf xfId="0" numFmtId="3" applyNumberFormat="1" borderId="1" applyBorder="1" fontId="22" applyFont="1" fillId="0" applyAlignment="1">
      <alignment horizontal="center" wrapText="1"/>
    </xf>
    <xf xfId="0" numFmtId="0" borderId="1" applyBorder="1" fontId="18" applyFont="1" fillId="0" applyAlignment="1">
      <alignment horizontal="left"/>
    </xf>
    <xf xfId="0" numFmtId="0" borderId="1" applyBorder="1" fontId="24" applyFont="1" fillId="0" applyAlignment="1">
      <alignment horizontal="left"/>
    </xf>
    <xf xfId="0" numFmtId="0" borderId="2" applyBorder="1" fontId="24" applyFont="1" fillId="6" applyFill="1" applyAlignment="1">
      <alignment horizontal="left"/>
    </xf>
    <xf xfId="0" numFmtId="3" applyNumberFormat="1" borderId="2" applyBorder="1" fontId="24" applyFont="1" fillId="6" applyFill="1" applyAlignment="1">
      <alignment horizontal="left"/>
    </xf>
    <xf xfId="0" numFmtId="3" applyNumberFormat="1" borderId="2" applyBorder="1" fontId="24" applyFont="1" fillId="6" applyFill="1" applyAlignment="1">
      <alignment horizontal="right"/>
    </xf>
    <xf xfId="0" numFmtId="168" applyNumberFormat="1" borderId="2" applyBorder="1" fontId="24" applyFont="1" fillId="6" applyFill="1" applyAlignment="1">
      <alignment horizontal="left"/>
    </xf>
    <xf xfId="0" numFmtId="0" borderId="2" applyBorder="1" fontId="25" applyFont="1" fillId="7" applyFill="1" applyAlignment="1">
      <alignment horizontal="left"/>
    </xf>
    <xf xfId="0" numFmtId="3" applyNumberFormat="1" borderId="2" applyBorder="1" fontId="25" applyFont="1" fillId="7" applyFill="1" applyAlignment="1">
      <alignment horizontal="right"/>
    </xf>
    <xf xfId="0" numFmtId="3" applyNumberFormat="1" borderId="2" applyBorder="1" fontId="25" applyFont="1" fillId="7" applyFill="1" applyAlignment="1">
      <alignment horizontal="left"/>
    </xf>
    <xf xfId="0" numFmtId="164" applyNumberFormat="1" borderId="2" applyBorder="1" fontId="26" applyFont="1" fillId="6" applyFill="1" applyAlignment="1">
      <alignment horizontal="right"/>
    </xf>
    <xf xfId="0" numFmtId="3" applyNumberFormat="1" borderId="2" applyBorder="1" fontId="25" applyFont="1" fillId="9" applyFill="1" applyAlignment="1">
      <alignment horizontal="right"/>
    </xf>
    <xf xfId="0" numFmtId="3" applyNumberFormat="1" borderId="2" applyBorder="1" fontId="27" applyFont="1" fillId="6" applyFill="1" applyAlignment="1">
      <alignment horizontal="right"/>
    </xf>
    <xf xfId="0" numFmtId="0" borderId="38" applyBorder="1" fontId="18" applyFont="1" fillId="6" applyFill="1" applyAlignment="1">
      <alignment horizontal="left"/>
    </xf>
    <xf xfId="0" numFmtId="3" applyNumberFormat="1" borderId="38" applyBorder="1" fontId="18" applyFont="1" fillId="6" applyFill="1" applyAlignment="1">
      <alignment horizontal="right"/>
    </xf>
    <xf xfId="0" numFmtId="164" applyNumberFormat="1" borderId="2" applyBorder="1" fontId="27" applyFont="1" fillId="6" applyFill="1" applyAlignment="1">
      <alignment horizontal="right"/>
    </xf>
    <xf xfId="0" numFmtId="168" applyNumberFormat="1" borderId="0" fontId="0" fillId="0" applyAlignment="1">
      <alignment horizontal="general"/>
    </xf>
    <xf xfId="0" numFmtId="0" borderId="2" applyBorder="1" fontId="10" applyFont="1" fillId="10" applyFill="1" applyAlignment="1">
      <alignment horizontal="left"/>
    </xf>
    <xf xfId="0" numFmtId="0" borderId="2" applyBorder="1" fontId="18" applyFont="1" fillId="11" applyFill="1" applyAlignment="1">
      <alignment horizontal="left"/>
    </xf>
    <xf xfId="0" numFmtId="3" applyNumberFormat="1" borderId="2" applyBorder="1" fontId="18" applyFont="1" fillId="11" applyFill="1" applyAlignment="1">
      <alignment horizontal="left"/>
    </xf>
    <xf xfId="0" numFmtId="3" applyNumberFormat="1" borderId="2" applyBorder="1" fontId="18" applyFont="1" fillId="6" applyFill="1" applyAlignment="1">
      <alignment horizontal="center"/>
    </xf>
    <xf xfId="0" numFmtId="4" applyNumberFormat="1" borderId="2" applyBorder="1" fontId="18" applyFont="1" fillId="6" applyFill="1" applyAlignment="1">
      <alignment horizontal="center"/>
    </xf>
    <xf xfId="0" numFmtId="164" applyNumberFormat="1" borderId="2" applyBorder="1" fontId="18" applyFont="1" fillId="6" applyFill="1" applyAlignment="1">
      <alignment horizontal="center"/>
    </xf>
    <xf xfId="0" numFmtId="0" borderId="2" applyBorder="1" fontId="10" applyFont="1" fillId="7" applyFill="1" applyAlignment="1">
      <alignment horizontal="left"/>
    </xf>
    <xf xfId="0" numFmtId="3" applyNumberFormat="1" borderId="2" applyBorder="1" fontId="10" applyFont="1" fillId="7" applyFill="1" applyAlignment="1">
      <alignment horizontal="right"/>
    </xf>
    <xf xfId="0" numFmtId="4" applyNumberFormat="1" borderId="2" applyBorder="1" fontId="10" applyFont="1" fillId="7" applyFill="1" applyAlignment="1">
      <alignment horizontal="left"/>
    </xf>
    <xf xfId="0" numFmtId="164" applyNumberFormat="1" borderId="2" applyBorder="1" fontId="10" applyFont="1" fillId="7" applyFill="1" applyAlignment="1">
      <alignment horizontal="left"/>
    </xf>
    <xf xfId="0" numFmtId="0" borderId="2" applyBorder="1" fontId="2" applyFont="1" fillId="12" applyFill="1" applyAlignment="1">
      <alignment horizontal="left"/>
    </xf>
    <xf xfId="0" numFmtId="164" applyNumberFormat="1" borderId="2" applyBorder="1" fontId="2" applyFont="1" fillId="13" applyFill="1" applyAlignment="1">
      <alignment horizontal="center"/>
    </xf>
    <xf xfId="0" numFmtId="0" borderId="39" applyBorder="1" fontId="2" applyFont="1" fillId="12" applyFill="1" applyAlignment="1">
      <alignment horizontal="left"/>
    </xf>
    <xf xfId="0" numFmtId="4" applyNumberFormat="1" borderId="39" applyBorder="1" fontId="2" applyFont="1" fillId="13" applyFill="1" applyAlignment="1">
      <alignment horizontal="center"/>
    </xf>
    <xf xfId="0" numFmtId="164" applyNumberFormat="1" borderId="39" applyBorder="1" fontId="2" applyFont="1" fillId="13" applyFill="1" applyAlignment="1">
      <alignment horizontal="center"/>
    </xf>
    <xf xfId="0" numFmtId="167" applyNumberFormat="1" borderId="1" applyBorder="1" fontId="2" applyFont="1" fillId="0" applyAlignment="1">
      <alignment horizontal="right"/>
    </xf>
    <xf xfId="0" numFmtId="164" applyNumberFormat="1" borderId="2" applyBorder="1" fontId="10" applyFont="1" fillId="7" applyFill="1" applyAlignment="1">
      <alignment horizontal="right"/>
    </xf>
    <xf xfId="0" numFmtId="3" applyNumberFormat="1" borderId="2" applyBorder="1" fontId="10" applyFont="1" fillId="7" applyFill="1" applyAlignment="1">
      <alignment horizontal="center"/>
    </xf>
    <xf xfId="0" numFmtId="4" applyNumberFormat="1" borderId="2" applyBorder="1" fontId="10" applyFont="1" fillId="7" applyFill="1" applyAlignment="1">
      <alignment horizontal="center"/>
    </xf>
    <xf xfId="0" numFmtId="4" applyNumberFormat="1" borderId="2" applyBorder="1" fontId="2" applyFont="1" fillId="13" applyFill="1" applyAlignment="1">
      <alignment horizontal="center"/>
    </xf>
    <xf xfId="0" numFmtId="0" borderId="2" applyBorder="1" fontId="2" applyFont="1" fillId="12" applyFill="1" applyAlignment="1">
      <alignment horizontal="left"/>
    </xf>
    <xf xfId="0" numFmtId="4" applyNumberFormat="1" borderId="33" applyBorder="1" fontId="10" applyFont="1" fillId="6" applyFill="1" applyAlignment="1">
      <alignment horizontal="right"/>
    </xf>
    <xf xfId="0" numFmtId="4" applyNumberFormat="1" borderId="33" applyBorder="1" fontId="11" applyFont="1" fillId="6" applyFill="1" applyAlignment="1">
      <alignment horizontal="left"/>
    </xf>
    <xf xfId="0" numFmtId="4" applyNumberFormat="1" borderId="33" applyBorder="1" fontId="12" applyFont="1" fillId="6" applyFill="1" applyAlignment="1">
      <alignment horizontal="left"/>
    </xf>
    <xf xfId="0" numFmtId="0" borderId="2" applyBorder="1" fontId="13" applyFont="1" fillId="6" applyFill="1" applyAlignment="1">
      <alignment horizontal="left"/>
    </xf>
    <xf xfId="0" numFmtId="0" borderId="2" applyBorder="1" fontId="14" applyFont="1" fillId="6" applyFill="1" applyAlignment="1">
      <alignment horizontal="right"/>
    </xf>
    <xf xfId="0" numFmtId="164" applyNumberFormat="1" borderId="2" applyBorder="1" fontId="14" applyFont="1" fillId="6" applyFill="1" applyAlignment="1">
      <alignment horizontal="right"/>
    </xf>
    <xf xfId="0" numFmtId="4" applyNumberFormat="1" borderId="2" applyBorder="1" fontId="2" applyFont="1" fillId="6" applyFill="1" applyAlignment="1">
      <alignment horizontal="center"/>
    </xf>
    <xf xfId="0" numFmtId="0" borderId="39" applyBorder="1" fontId="17" applyFont="1" fillId="12" applyFill="1" applyAlignment="1">
      <alignment horizontal="left"/>
    </xf>
    <xf xfId="0" numFmtId="4" applyNumberFormat="1" borderId="39" applyBorder="1" fontId="2" applyFont="1" fillId="6" applyFill="1" applyAlignment="1">
      <alignment horizontal="center"/>
    </xf>
    <xf xfId="0" numFmtId="0" borderId="40" applyBorder="1" fontId="24" applyFont="1" fillId="12" applyFill="1" applyAlignment="1">
      <alignment horizontal="left"/>
    </xf>
    <xf xfId="0" numFmtId="4" applyNumberFormat="1" borderId="39" applyBorder="1" fontId="28" applyFont="1" fillId="6" applyFill="1" applyAlignment="1">
      <alignment horizontal="center"/>
    </xf>
    <xf xfId="0" numFmtId="1" applyNumberFormat="1" borderId="33" applyBorder="1" fontId="10" applyFont="1" fillId="6" applyFill="1" applyAlignment="1">
      <alignment horizontal="right"/>
    </xf>
    <xf xfId="0" numFmtId="1" applyNumberFormat="1" borderId="33" applyBorder="1" fontId="11" applyFont="1" fillId="6" applyFill="1" applyAlignment="1">
      <alignment horizontal="left"/>
    </xf>
    <xf xfId="0" numFmtId="1" applyNumberFormat="1" borderId="33" applyBorder="1" fontId="12" applyFont="1" fillId="6" applyFill="1" applyAlignment="1">
      <alignment horizontal="left"/>
    </xf>
    <xf xfId="0" numFmtId="0" borderId="1" applyBorder="1" fontId="16" applyFont="1" fillId="0" applyAlignment="1">
      <alignment horizontal="left"/>
    </xf>
    <xf xfId="0" numFmtId="164" applyNumberFormat="1" borderId="1" applyBorder="1" fontId="16" applyFont="1" fillId="0" applyAlignment="1">
      <alignment horizontal="right"/>
    </xf>
    <xf xfId="0" numFmtId="0" borderId="1" applyBorder="1" fontId="29" applyFont="1" fillId="0" applyAlignment="1">
      <alignment horizontal="left"/>
    </xf>
    <xf xfId="0" numFmtId="164" applyNumberFormat="1" borderId="1" applyBorder="1" fontId="30" applyFont="1" fillId="0" applyAlignment="1">
      <alignment horizontal="right"/>
    </xf>
    <xf xfId="0" numFmtId="3" applyNumberFormat="1" borderId="2" applyBorder="1" fontId="10" applyFont="1" fillId="10" applyFill="1" applyAlignment="1">
      <alignment horizontal="left"/>
    </xf>
    <xf xfId="0" numFmtId="3" applyNumberFormat="1" borderId="2" applyBorder="1" fontId="10" applyFont="1" fillId="7" applyFill="1" applyAlignment="1">
      <alignment horizontal="left"/>
    </xf>
    <xf xfId="0" numFmtId="0" borderId="1" applyBorder="1" fontId="31" applyFont="1" fillId="0" applyAlignment="1">
      <alignment horizontal="left"/>
    </xf>
    <xf xfId="0" numFmtId="3" applyNumberFormat="1" borderId="1" applyBorder="1" fontId="31" applyFont="1" fillId="0" applyAlignment="1">
      <alignment horizontal="left"/>
    </xf>
    <xf xfId="0" numFmtId="0" borderId="41" applyBorder="1" fontId="31" applyFont="1" fillId="0" applyAlignment="1">
      <alignment horizontal="left"/>
    </xf>
    <xf xfId="0" numFmtId="164" applyNumberFormat="1" borderId="41" applyBorder="1" fontId="2" applyFont="1" fillId="0" applyAlignment="1">
      <alignment horizontal="right"/>
    </xf>
    <xf xfId="0" numFmtId="3" applyNumberFormat="1" borderId="41" applyBorder="1" fontId="31" applyFont="1" fillId="0" applyAlignment="1">
      <alignment horizontal="left"/>
    </xf>
    <xf xfId="0" numFmtId="3" applyNumberFormat="1" borderId="41" applyBorder="1" fontId="2" applyFont="1" fillId="0" applyAlignment="1">
      <alignment horizontal="right"/>
    </xf>
    <xf xfId="0" numFmtId="0" borderId="41" applyBorder="1" fontId="17" applyFont="1" fillId="0" applyAlignment="1">
      <alignment horizontal="left"/>
    </xf>
    <xf xfId="0" numFmtId="3" applyNumberFormat="1" borderId="41" applyBorder="1" fontId="17" applyFont="1" fillId="0" applyAlignment="1">
      <alignment horizontal="right"/>
    </xf>
    <xf xfId="0" numFmtId="164" applyNumberFormat="1" borderId="1" applyBorder="1" fontId="24" applyFont="1" fillId="0" applyAlignment="1">
      <alignment horizontal="right"/>
    </xf>
    <xf xfId="0" numFmtId="164" applyNumberFormat="1" borderId="1" applyBorder="1" fontId="17" applyFont="1" fillId="0" applyAlignment="1">
      <alignment horizontal="right"/>
    </xf>
    <xf xfId="0" numFmtId="164" applyNumberFormat="1" borderId="1" applyBorder="1" fontId="14" applyFont="1" fillId="0" applyAlignment="1">
      <alignment horizontal="right"/>
    </xf>
    <xf xfId="0" numFmtId="0" borderId="1" applyBorder="1" fontId="2" applyFont="1" fillId="0" applyAlignment="1">
      <alignment horizontal="left"/>
    </xf>
    <xf xfId="0" numFmtId="1" applyNumberFormat="1" borderId="1" applyBorder="1" fontId="2" applyFont="1" fillId="0" applyAlignment="1">
      <alignment horizontal="right"/>
    </xf>
    <xf xfId="0" numFmtId="1" applyNumberFormat="1" borderId="41" applyBorder="1" fontId="2" applyFont="1" fillId="0" applyAlignment="1">
      <alignment horizontal="right"/>
    </xf>
    <xf xfId="0" numFmtId="0" borderId="40" applyBorder="1" fontId="17" applyFont="1" fillId="5" applyFill="1" applyAlignment="1">
      <alignment horizontal="left"/>
    </xf>
    <xf xfId="0" numFmtId="1" applyNumberFormat="1" borderId="40" applyBorder="1" fontId="2" applyFont="1" fillId="13" applyFill="1" applyAlignment="1">
      <alignment horizontal="right"/>
    </xf>
    <xf xfId="0" numFmtId="1" applyNumberFormat="1" borderId="1" applyBorder="1" fontId="2" applyFont="1" fillId="0" applyAlignment="1">
      <alignment horizontal="left"/>
    </xf>
    <xf xfId="0" numFmtId="3" applyNumberFormat="1" borderId="40" applyBorder="1" fontId="17" applyFont="1" fillId="5" applyFill="1" applyAlignment="1">
      <alignment horizontal="left"/>
    </xf>
    <xf xfId="0" numFmtId="164" applyNumberFormat="1" borderId="1" applyBorder="1" fontId="32" applyFont="1" fillId="0" applyAlignment="1">
      <alignment horizontal="right"/>
    </xf>
    <xf xfId="0" numFmtId="1" applyNumberFormat="1" borderId="1" applyBorder="1" fontId="17" applyFont="1" fillId="0" applyAlignment="1">
      <alignment horizontal="left"/>
    </xf>
    <xf xfId="0" numFmtId="164" applyNumberFormat="1" borderId="2" applyBorder="1" fontId="18" applyFont="1" fillId="11" applyFill="1" applyAlignment="1">
      <alignment horizontal="right"/>
    </xf>
    <xf xfId="0" numFmtId="3" applyNumberFormat="1" borderId="42" applyBorder="1" fontId="10" applyFont="1" fillId="7" applyFill="1" applyAlignment="1">
      <alignment horizontal="center"/>
    </xf>
    <xf xfId="0" numFmtId="3" applyNumberFormat="1" borderId="1" applyBorder="1" fontId="27" applyFont="1" fillId="0" applyAlignment="1">
      <alignment horizontal="right"/>
    </xf>
    <xf xfId="0" numFmtId="3" applyNumberFormat="1" borderId="1" applyBorder="1" fontId="27" applyFont="1" fillId="0" applyAlignment="1">
      <alignment horizontal="left"/>
    </xf>
    <xf xfId="0" numFmtId="3" applyNumberFormat="1" borderId="43" applyBorder="1" fontId="27" applyFont="1" fillId="0" applyAlignment="1">
      <alignment horizontal="left"/>
    </xf>
    <xf xfId="0" numFmtId="3" applyNumberFormat="1" borderId="43" applyBorder="1" fontId="27" applyFont="1" fillId="0" applyAlignment="1">
      <alignment horizontal="right"/>
    </xf>
    <xf xfId="0" numFmtId="164" applyNumberFormat="1" borderId="1" applyBorder="1" fontId="27" applyFont="1" fillId="0" applyAlignment="1">
      <alignment horizontal="right"/>
    </xf>
    <xf xfId="0" numFmtId="164" applyNumberFormat="1" borderId="1" applyBorder="1" fontId="10" applyFont="1" fillId="0" applyAlignment="1">
      <alignment horizontal="right"/>
    </xf>
    <xf xfId="0" numFmtId="164" applyNumberFormat="1" borderId="43" applyBorder="1" fontId="2" applyFont="1" fillId="0" applyAlignment="1">
      <alignment horizontal="right"/>
    </xf>
    <xf xfId="0" numFmtId="3" applyNumberFormat="1" borderId="1" applyBorder="1" fontId="17" applyFont="1" fillId="0" applyAlignment="1">
      <alignment horizontal="center"/>
    </xf>
    <xf xfId="0" numFmtId="164" applyNumberFormat="1" borderId="1" applyBorder="1" fontId="10" applyFont="1" fillId="0" applyAlignment="1">
      <alignment horizontal="center"/>
    </xf>
    <xf xfId="0" numFmtId="3" applyNumberFormat="1" borderId="1" applyBorder="1" fontId="10" applyFont="1" fillId="0" applyAlignment="1">
      <alignment horizontal="center"/>
    </xf>
    <xf xfId="0" numFmtId="3" applyNumberFormat="1" borderId="44" applyBorder="1" fontId="10" applyFont="1" fillId="7" applyFill="1" applyAlignment="1">
      <alignment horizontal="center"/>
    </xf>
    <xf xfId="0" numFmtId="3" applyNumberFormat="1" borderId="45" applyBorder="1" fontId="10" applyFont="1" fillId="7" applyFill="1" applyAlignment="1">
      <alignment horizontal="center"/>
    </xf>
    <xf xfId="0" numFmtId="3" applyNumberFormat="1" borderId="46" applyBorder="1" fontId="10" applyFont="1" fillId="7" applyFill="1" applyAlignment="1">
      <alignment horizontal="center"/>
    </xf>
    <xf xfId="0" numFmtId="3" applyNumberFormat="1" borderId="47" applyBorder="1" fontId="10" applyFont="1" fillId="7" applyFill="1" applyAlignment="1">
      <alignment horizontal="center"/>
    </xf>
    <xf xfId="0" numFmtId="0" borderId="1" applyBorder="1" fontId="10" applyFont="1" fillId="0" applyAlignment="1">
      <alignment horizontal="center"/>
    </xf>
    <xf xfId="0" numFmtId="1" applyNumberFormat="1" borderId="2" applyBorder="1" fontId="2" applyFont="1" fillId="13" applyFill="1" applyAlignment="1">
      <alignment horizontal="right"/>
    </xf>
    <xf xfId="0" numFmtId="1" applyNumberFormat="1" borderId="43" applyBorder="1" fontId="2" applyFont="1" fillId="0" applyAlignment="1">
      <alignment horizontal="right"/>
    </xf>
    <xf xfId="0" numFmtId="1" applyNumberFormat="1" borderId="48" applyBorder="1" fontId="2" applyFont="1" fillId="0" applyAlignment="1">
      <alignment horizontal="right"/>
    </xf>
    <xf xfId="0" numFmtId="1" applyNumberFormat="1" borderId="32" applyBorder="1" fontId="2" applyFont="1" fillId="0" applyAlignment="1">
      <alignment horizontal="right"/>
    </xf>
    <xf xfId="0" numFmtId="1" applyNumberFormat="1" borderId="34" applyBorder="1" fontId="2" applyFont="1" fillId="0" applyAlignment="1">
      <alignment horizontal="right"/>
    </xf>
    <xf xfId="0" numFmtId="1" applyNumberFormat="1" borderId="49" applyBorder="1" fontId="2" applyFont="1" fillId="0" applyAlignment="1">
      <alignment horizontal="right"/>
    </xf>
    <xf xfId="0" numFmtId="1" applyNumberFormat="1" borderId="50" applyBorder="1" fontId="2" applyFont="1" fillId="0" applyAlignment="1">
      <alignment horizontal="right"/>
    </xf>
    <xf xfId="0" numFmtId="3" applyNumberFormat="1" borderId="41" applyBorder="1" fontId="2" applyFont="1" fillId="0" applyAlignment="1">
      <alignment horizontal="left"/>
    </xf>
    <xf xfId="0" numFmtId="0" borderId="40" applyBorder="1" fontId="2" applyFont="1" fillId="5" applyFill="1" applyAlignment="1">
      <alignment horizontal="left"/>
    </xf>
    <xf xfId="0" numFmtId="164" applyNumberFormat="1" borderId="40" applyBorder="1" fontId="2" applyFont="1" fillId="13" applyFill="1" applyAlignment="1">
      <alignment horizontal="right"/>
    </xf>
    <xf xfId="0" numFmtId="3" applyNumberFormat="1" borderId="41" applyBorder="1" fontId="17" applyFont="1" fillId="0" applyAlignment="1">
      <alignment horizontal="left"/>
    </xf>
    <xf xfId="0" numFmtId="1" applyNumberFormat="1" borderId="20" applyBorder="1" fontId="2" applyFont="1" fillId="0" applyAlignment="1">
      <alignment horizontal="right"/>
    </xf>
    <xf xfId="0" numFmtId="1" applyNumberFormat="1" borderId="35" applyBorder="1" fontId="2" applyFont="1" fillId="0" applyAlignment="1">
      <alignment horizontal="right"/>
    </xf>
    <xf xfId="0" numFmtId="1" applyNumberFormat="1" borderId="18" applyBorder="1" fontId="2" applyFont="1" fillId="0" applyAlignment="1">
      <alignment horizontal="right"/>
    </xf>
    <xf xfId="0" numFmtId="1" applyNumberFormat="1" borderId="51" applyBorder="1" fontId="2" applyFont="1" fillId="0" applyAlignment="1">
      <alignment horizontal="right"/>
    </xf>
    <xf xfId="0" numFmtId="1" applyNumberFormat="1" borderId="52" applyBorder="1" fontId="2" applyFont="1" fillId="0" applyAlignment="1">
      <alignment horizontal="right"/>
    </xf>
    <xf xfId="0" numFmtId="1" applyNumberFormat="1" borderId="53" applyBorder="1" fontId="2" applyFont="1" fillId="0" applyAlignment="1">
      <alignment horizontal="right"/>
    </xf>
    <xf xfId="0" numFmtId="3" applyNumberFormat="1" borderId="1" applyBorder="1" fontId="10" applyFont="1" fillId="0" applyAlignment="1">
      <alignment horizontal="left"/>
    </xf>
    <xf xfId="0" numFmtId="3" applyNumberFormat="1" borderId="32" applyBorder="1" fontId="17" applyFont="1" fillId="0" applyAlignment="1">
      <alignment horizontal="left"/>
    </xf>
    <xf xfId="0" numFmtId="164" applyNumberFormat="1" borderId="34" applyBorder="1" fontId="2" applyFont="1" fillId="0" applyAlignment="1">
      <alignment horizontal="right"/>
    </xf>
    <xf xfId="0" numFmtId="164" applyNumberFormat="1" borderId="31" applyBorder="1" fontId="2" applyFont="1" fillId="0" applyAlignment="1">
      <alignment horizontal="right"/>
    </xf>
    <xf xfId="0" numFmtId="164" applyNumberFormat="1" borderId="34" applyBorder="1" fontId="17" applyFont="1" fillId="0" applyAlignment="1">
      <alignment horizontal="right"/>
    </xf>
    <xf xfId="0" numFmtId="164" applyNumberFormat="1" borderId="31" applyBorder="1" fontId="17" applyFont="1" fillId="0" applyAlignment="1">
      <alignment horizontal="right"/>
    </xf>
    <xf xfId="0" numFmtId="1" applyNumberFormat="1" borderId="42" applyBorder="1" fontId="2" applyFont="1" fillId="13" applyFill="1" applyAlignment="1">
      <alignment horizontal="right"/>
    </xf>
    <xf xfId="0" numFmtId="1" applyNumberFormat="1" borderId="54" applyBorder="1" fontId="2" applyFont="1" fillId="13" applyFill="1" applyAlignment="1">
      <alignment horizontal="right"/>
    </xf>
    <xf xfId="0" numFmtId="164" applyNumberFormat="1" borderId="20" applyBorder="1" fontId="2" applyFont="1" fillId="0" applyAlignment="1">
      <alignment horizontal="right"/>
    </xf>
    <xf xfId="0" numFmtId="164" applyNumberFormat="1" borderId="35" applyBorder="1" fontId="32" applyFont="1" fillId="0" applyAlignment="1">
      <alignment horizontal="right"/>
    </xf>
    <xf xfId="0" numFmtId="164" applyNumberFormat="1" borderId="18" applyBorder="1" fontId="2" applyFont="1" fillId="0" applyAlignment="1">
      <alignment horizontal="right"/>
    </xf>
    <xf xfId="0" numFmtId="164" applyNumberFormat="1" borderId="20" applyBorder="1" fontId="27" applyFont="1" fillId="0" applyAlignment="1">
      <alignment horizontal="right"/>
    </xf>
    <xf xfId="0" numFmtId="164" applyNumberFormat="1" borderId="1" applyBorder="1" fontId="18" applyFont="1" fillId="0" applyAlignment="1">
      <alignment horizontal="right"/>
    </xf>
    <xf xfId="0" numFmtId="1" applyNumberFormat="1" borderId="1" applyBorder="1" fontId="10" applyFont="1" fillId="0" applyAlignment="1">
      <alignment horizontal="center"/>
    </xf>
    <xf xfId="0" numFmtId="164" applyNumberFormat="1" borderId="43" applyBorder="1" fontId="2" applyFont="1" fillId="0" applyAlignment="1">
      <alignment horizontal="left"/>
    </xf>
    <xf xfId="0" numFmtId="164" applyNumberFormat="1" borderId="1" applyBorder="1" fontId="17" applyFont="1" fillId="0" applyAlignment="1">
      <alignment horizontal="center"/>
    </xf>
    <xf xfId="0" numFmtId="164" applyNumberFormat="1" borderId="2" applyBorder="1" fontId="2" applyFont="1" fillId="7" applyFill="1" applyAlignment="1">
      <alignment horizontal="right"/>
    </xf>
    <xf xfId="0" numFmtId="164" applyNumberFormat="1" borderId="49" applyBorder="1" fontId="2" applyFont="1" fillId="0" applyAlignment="1">
      <alignment horizontal="right"/>
    </xf>
    <xf xfId="0" numFmtId="1" applyNumberFormat="1" borderId="41" applyBorder="1" fontId="2" applyFont="1" fillId="0" applyAlignment="1">
      <alignment horizontal="left"/>
    </xf>
    <xf xfId="0" numFmtId="164" applyNumberFormat="1" borderId="55" applyBorder="1" fontId="2" applyFont="1" fillId="5" applyFill="1" applyAlignment="1">
      <alignment horizontal="right"/>
    </xf>
    <xf xfId="0" numFmtId="169" applyNumberFormat="1" borderId="1" applyBorder="1" fontId="2" applyFont="1" fillId="0" applyAlignment="1">
      <alignment horizontal="right"/>
    </xf>
    <xf xfId="0" numFmtId="0" borderId="1" applyBorder="1" fontId="23" applyFont="1" fillId="0" applyAlignment="1">
      <alignment horizontal="left"/>
    </xf>
    <xf xfId="0" numFmtId="0" borderId="1" applyBorder="1" fontId="13" applyFont="1" fillId="0" applyAlignment="1">
      <alignment horizontal="left"/>
    </xf>
    <xf xfId="0" numFmtId="3" applyNumberFormat="1" borderId="1" applyBorder="1" fontId="13" applyFont="1" fillId="0" applyAlignment="1">
      <alignment horizontal="left"/>
    </xf>
    <xf xfId="0" numFmtId="164" applyNumberFormat="1" borderId="1" applyBorder="1" fontId="29" applyFont="1" fillId="0" applyAlignment="1">
      <alignment horizontal="right"/>
    </xf>
    <xf xfId="0" numFmtId="3" applyNumberFormat="1" borderId="1" applyBorder="1" fontId="29" applyFont="1" fillId="0" applyAlignment="1">
      <alignment horizontal="right"/>
    </xf>
    <xf xfId="0" numFmtId="1" applyNumberFormat="1" borderId="1" applyBorder="1" fontId="17" applyFont="1" fillId="0" applyAlignment="1">
      <alignment horizontal="right"/>
    </xf>
    <xf xfId="0" numFmtId="1" applyNumberFormat="1" borderId="1" applyBorder="1" fontId="29" applyFont="1" fillId="0" applyAlignment="1">
      <alignment horizontal="left"/>
    </xf>
    <xf xfId="0" numFmtId="164" applyNumberFormat="1" borderId="1" applyBorder="1" fontId="29" applyFont="1" fillId="0" applyAlignment="1">
      <alignment horizontal="left"/>
    </xf>
    <xf xfId="0" numFmtId="164" applyNumberFormat="1" borderId="52" applyBorder="1" fontId="2" applyFont="1" fillId="0" applyAlignment="1">
      <alignment horizontal="right"/>
    </xf>
    <xf xfId="0" numFmtId="0" borderId="40" applyBorder="1" fontId="2" applyFont="1" fillId="14" applyFill="1" applyAlignment="1">
      <alignment horizontal="left"/>
    </xf>
    <xf xfId="0" numFmtId="3" applyNumberFormat="1" borderId="1" applyBorder="1" fontId="30" applyFont="1" fillId="0" applyAlignment="1">
      <alignment horizontal="right"/>
    </xf>
    <xf xfId="0" numFmtId="1" applyNumberFormat="1" borderId="1" applyBorder="1" fontId="30" applyFont="1" fillId="0" applyAlignment="1">
      <alignment horizontal="left"/>
    </xf>
    <xf xfId="0" numFmtId="164" applyNumberFormat="1" borderId="2" applyBorder="1" fontId="2" applyFont="1" fillId="13" applyFill="1" applyAlignment="1">
      <alignment horizontal="right"/>
    </xf>
    <xf xfId="0" numFmtId="3" applyNumberFormat="1" borderId="2" applyBorder="1" fontId="2" applyFont="1" fillId="13" applyFill="1" applyAlignment="1">
      <alignment horizontal="right"/>
    </xf>
    <xf xfId="0" numFmtId="3" applyNumberFormat="1" borderId="40" applyBorder="1" fontId="2" applyFont="1" fillId="13" applyFill="1" applyAlignment="1">
      <alignment horizontal="right"/>
    </xf>
    <xf xfId="0" numFmtId="0" borderId="1" applyBorder="1" fontId="33" applyFont="1" fillId="0" applyAlignment="1">
      <alignment horizontal="left"/>
    </xf>
    <xf xfId="0" numFmtId="3" applyNumberFormat="1" borderId="43" applyBorder="1" fontId="2" applyFont="1" fillId="0" applyAlignment="1">
      <alignment horizontal="right"/>
    </xf>
    <xf xfId="0" numFmtId="3" applyNumberFormat="1" borderId="43" applyBorder="1" fontId="17" applyFont="1" fillId="0" applyAlignment="1">
      <alignment horizontal="right"/>
    </xf>
    <xf xfId="0" numFmtId="164" applyNumberFormat="1" borderId="36" applyBorder="1" fontId="32" applyFont="1" fillId="0" applyAlignment="1">
      <alignment horizontal="right"/>
    </xf>
    <xf xfId="0" numFmtId="164" applyNumberFormat="1" borderId="23" applyBorder="1" fontId="2" applyFont="1" fillId="0" applyAlignment="1">
      <alignment horizontal="right"/>
    </xf>
    <xf xfId="0" numFmtId="3" applyNumberFormat="1" borderId="36" applyBorder="1" fontId="2" applyFont="1" fillId="0" applyAlignment="1">
      <alignment horizontal="right"/>
    </xf>
    <xf xfId="0" numFmtId="0" borderId="2" applyBorder="1" fontId="24" applyFont="1" fillId="5" applyFill="1" applyAlignment="1">
      <alignment horizontal="left"/>
    </xf>
    <xf xfId="0" numFmtId="164" applyNumberFormat="1" borderId="1" applyBorder="1" fontId="25" applyFont="1" fillId="0" applyAlignment="1">
      <alignment horizontal="right"/>
    </xf>
    <xf xfId="0" numFmtId="3" applyNumberFormat="1" borderId="2" applyBorder="1" fontId="25" applyFont="1" fillId="15" applyFill="1" applyAlignment="1">
      <alignment horizontal="left"/>
    </xf>
    <xf xfId="0" numFmtId="3" applyNumberFormat="1" borderId="18" applyBorder="1" fontId="17" applyFont="1" fillId="0" applyAlignment="1">
      <alignment horizontal="left"/>
    </xf>
    <xf xfId="0" numFmtId="3" applyNumberFormat="1" borderId="35" applyBorder="1" fontId="17" applyFont="1" fillId="0" applyAlignment="1">
      <alignment horizontal="left"/>
    </xf>
    <xf xfId="0" numFmtId="3" applyNumberFormat="1" borderId="35" applyBorder="1" fontId="17" applyFont="1" fillId="0" applyAlignment="1">
      <alignment horizontal="center"/>
    </xf>
    <xf xfId="0" numFmtId="1" applyNumberFormat="1" borderId="1" applyBorder="1" fontId="27" applyFont="1" fillId="0" applyAlignment="1">
      <alignment horizontal="right"/>
    </xf>
    <xf xfId="0" numFmtId="1" applyNumberFormat="1" borderId="43" applyBorder="1" fontId="27" applyFont="1" fillId="0" applyAlignment="1">
      <alignment horizontal="right"/>
    </xf>
    <xf xfId="0" numFmtId="1" applyNumberFormat="1" borderId="36" applyBorder="1" fontId="2" applyFont="1" fillId="0" applyAlignment="1">
      <alignment horizontal="right"/>
    </xf>
    <xf xfId="0" numFmtId="1" applyNumberFormat="1" borderId="23" applyBorder="1" fontId="2" applyFont="1" fillId="0" applyAlignment="1">
      <alignment horizontal="right"/>
    </xf>
    <xf xfId="0" numFmtId="164" applyNumberFormat="1" borderId="36" applyBorder="1" fontId="2" applyFont="1" fillId="0" applyAlignment="1">
      <alignment horizontal="center"/>
    </xf>
    <xf xfId="0" numFmtId="164" applyNumberFormat="1" borderId="36" applyBorder="1" fontId="17" applyFont="1" fillId="0" applyAlignment="1">
      <alignment horizontal="right"/>
    </xf>
    <xf xfId="0" numFmtId="3" applyNumberFormat="1" borderId="1" applyBorder="1" fontId="24" applyFont="1" fillId="0" applyAlignment="1">
      <alignment horizontal="right"/>
    </xf>
    <xf xfId="0" numFmtId="0" borderId="40" applyBorder="1" fontId="17" applyFont="1" fillId="5" applyFill="1" applyAlignment="1">
      <alignment horizontal="left"/>
    </xf>
    <xf xfId="0" numFmtId="0" borderId="40" applyBorder="1" fontId="2" applyFont="1" fillId="14" applyFill="1" applyAlignment="1">
      <alignment horizontal="left"/>
    </xf>
    <xf xfId="0" numFmtId="3" applyNumberFormat="1" borderId="2" applyBorder="1" fontId="15" applyFont="1" fillId="16" applyFill="1" applyAlignment="1">
      <alignment horizontal="center"/>
    </xf>
    <xf xfId="0" numFmtId="0" borderId="1" applyBorder="1" fontId="34" applyFont="1" fillId="0" applyAlignment="1">
      <alignment horizontal="left"/>
    </xf>
    <xf xfId="0" numFmtId="3" applyNumberFormat="1" borderId="2" applyBorder="1" fontId="10" applyFont="1" fillId="17" applyFill="1" applyAlignment="1">
      <alignment horizontal="left"/>
    </xf>
    <xf xfId="0" numFmtId="0" borderId="2" applyBorder="1" fontId="10" applyFont="1" fillId="17" applyFill="1" applyAlignment="1">
      <alignment horizontal="left"/>
    </xf>
    <xf xfId="0" numFmtId="3" applyNumberFormat="1" borderId="2" applyBorder="1" fontId="18" applyFont="1" fillId="14" applyFill="1" applyAlignment="1">
      <alignment horizontal="left"/>
    </xf>
    <xf xfId="0" numFmtId="0" borderId="2" applyBorder="1" fontId="18" applyFont="1" fillId="14" applyFill="1" applyAlignment="1">
      <alignment horizontal="left"/>
    </xf>
    <xf xfId="0" numFmtId="3" applyNumberFormat="1" borderId="1" applyBorder="1" fontId="18" applyFont="1" fillId="0" applyAlignment="1">
      <alignment horizontal="left"/>
    </xf>
    <xf xfId="0" numFmtId="0" borderId="2" applyBorder="1" fontId="10" applyFont="1" fillId="17" applyFill="1" applyAlignment="1">
      <alignment horizontal="left"/>
    </xf>
    <xf xfId="0" numFmtId="3" applyNumberFormat="1" borderId="2" applyBorder="1" fontId="10" applyFont="1" fillId="17" applyFill="1" applyAlignment="1">
      <alignment horizontal="right"/>
    </xf>
    <xf xfId="0" numFmtId="4" applyNumberFormat="1" borderId="2" applyBorder="1" fontId="2" applyFont="1" fillId="14" applyFill="1" applyAlignment="1">
      <alignment horizontal="center"/>
    </xf>
    <xf xfId="0" numFmtId="0" borderId="40" applyBorder="1" fontId="2" applyFont="1" fillId="18" applyFill="1" applyAlignment="1">
      <alignment horizontal="left"/>
    </xf>
    <xf xfId="0" numFmtId="164" applyNumberFormat="1" borderId="40" applyBorder="1" fontId="2" applyFont="1" fillId="14" applyFill="1" applyAlignment="1">
      <alignment horizontal="right"/>
    </xf>
    <xf xfId="0" numFmtId="0" borderId="40" applyBorder="1" fontId="17" applyFont="1" fillId="14" applyFill="1" applyAlignment="1">
      <alignment horizontal="left"/>
    </xf>
    <xf xfId="0" numFmtId="164" applyNumberFormat="1" borderId="56" applyBorder="1" fontId="2" applyFont="1" fillId="0" applyAlignment="1">
      <alignment horizontal="right"/>
    </xf>
    <xf xfId="0" numFmtId="164" applyNumberFormat="1" borderId="57" applyBorder="1" fontId="2" applyFont="1" fillId="0" applyAlignment="1">
      <alignment horizontal="right"/>
    </xf>
    <xf xfId="0" numFmtId="3" applyNumberFormat="1" borderId="57" applyBorder="1" fontId="35" applyFont="1" fillId="0" applyAlignment="1">
      <alignment horizontal="center"/>
    </xf>
    <xf xfId="0" numFmtId="164" applyNumberFormat="1" borderId="58" applyBorder="1" fontId="35" applyFont="1" fillId="0" applyAlignment="1">
      <alignment horizontal="center"/>
    </xf>
    <xf xfId="0" numFmtId="3" applyNumberFormat="1" borderId="7" applyBorder="1" fontId="35" applyFont="1" fillId="0" applyAlignment="1">
      <alignment horizontal="left"/>
    </xf>
    <xf xfId="0" numFmtId="3" applyNumberFormat="1" borderId="59" applyBorder="1" fontId="25" applyFont="1" fillId="17" applyFill="1" applyAlignment="1">
      <alignment horizontal="left"/>
    </xf>
    <xf xfId="0" numFmtId="3" applyNumberFormat="1" borderId="2" applyBorder="1" fontId="36" applyFont="1" fillId="5" applyFill="1" applyAlignment="1">
      <alignment horizontal="left"/>
    </xf>
    <xf xfId="0" numFmtId="3" applyNumberFormat="1" borderId="42" applyBorder="1" fontId="2" applyFont="1" fillId="6" applyFill="1" applyAlignment="1">
      <alignment horizontal="right"/>
    </xf>
    <xf xfId="0" numFmtId="3" applyNumberFormat="1" borderId="27" applyBorder="1" fontId="2" applyFont="1" fillId="0" applyAlignment="1">
      <alignment horizontal="left"/>
    </xf>
    <xf xfId="0" numFmtId="3" applyNumberFormat="1" borderId="60" applyBorder="1" fontId="37" applyFont="1" fillId="17" applyFill="1" applyAlignment="1">
      <alignment horizontal="left"/>
    </xf>
    <xf xfId="0" numFmtId="3" applyNumberFormat="1" borderId="61" applyBorder="1" fontId="36" applyFont="1" fillId="5" applyFill="1" applyAlignment="1">
      <alignment horizontal="left"/>
    </xf>
    <xf xfId="0" numFmtId="3" applyNumberFormat="1" borderId="61" applyBorder="1" fontId="2" applyFont="1" fillId="6" applyFill="1" applyAlignment="1">
      <alignment horizontal="right"/>
    </xf>
    <xf xfId="0" numFmtId="3" applyNumberFormat="1" borderId="62" applyBorder="1" fontId="2" applyFont="1" fillId="6" applyFill="1" applyAlignment="1">
      <alignment horizontal="right"/>
    </xf>
    <xf xfId="0" numFmtId="3" applyNumberFormat="1" borderId="19" applyBorder="1" fontId="2" applyFont="1" fillId="0" applyAlignment="1">
      <alignment horizontal="left"/>
    </xf>
    <xf xfId="0" numFmtId="1" applyNumberFormat="1" borderId="2" applyBorder="1" fontId="2" applyFont="1" fillId="13" applyFill="1" applyAlignment="1">
      <alignment horizontal="center"/>
    </xf>
    <xf xfId="0" numFmtId="3" applyNumberFormat="1" borderId="2" applyBorder="1" fontId="17" applyFont="1" fillId="6" applyFill="1" applyAlignment="1">
      <alignment horizontal="center"/>
    </xf>
    <xf xfId="0" numFmtId="4" applyNumberFormat="1" borderId="63" applyBorder="1" fontId="2" applyFont="1" fillId="0" applyAlignment="1">
      <alignment horizontal="center"/>
    </xf>
    <xf xfId="0" numFmtId="170" applyNumberFormat="1" borderId="1" applyBorder="1" fontId="2" applyFont="1" fillId="0" applyAlignment="1">
      <alignment horizontal="right"/>
    </xf>
    <xf xfId="0" numFmtId="3" applyNumberFormat="1" borderId="37" applyBorder="1" fontId="18" applyFont="1" fillId="6" applyFill="1" applyAlignment="1">
      <alignment horizontal="center"/>
    </xf>
    <xf xfId="0" numFmtId="4" applyNumberFormat="1" borderId="41" applyBorder="1" fontId="28" applyFont="1" fillId="0" applyAlignment="1">
      <alignment horizontal="center"/>
    </xf>
    <xf xfId="0" numFmtId="4" applyNumberFormat="1" borderId="55" applyBorder="1" fontId="28" applyFont="1" fillId="13" applyFill="1" applyAlignment="1">
      <alignment horizontal="center"/>
    </xf>
    <xf xfId="0" numFmtId="3" applyNumberFormat="1" borderId="38" applyBorder="1" fontId="18" applyFont="1" fillId="6" applyFill="1" applyAlignment="1">
      <alignment horizontal="center"/>
    </xf>
    <xf xfId="0" numFmtId="3" applyNumberFormat="1" borderId="2" applyBorder="1" fontId="25" applyFont="1" fillId="6" applyFill="1" applyAlignment="1">
      <alignment horizontal="right"/>
    </xf>
    <xf xfId="0" numFmtId="3" applyNumberFormat="1" borderId="15" applyBorder="1" fontId="17" applyFont="1" fillId="0" applyAlignment="1">
      <alignment horizontal="left"/>
    </xf>
    <xf xfId="0" numFmtId="164" applyNumberFormat="1" borderId="7" applyBorder="1" fontId="18" applyFont="1" fillId="6" applyFill="1" applyAlignment="1">
      <alignment horizontal="right"/>
    </xf>
    <xf xfId="0" numFmtId="0" borderId="2" applyBorder="1" fontId="2" applyFont="1" fillId="19" applyFill="1" applyAlignment="1">
      <alignment horizontal="left"/>
    </xf>
    <xf xfId="0" numFmtId="164" applyNumberFormat="1" borderId="2" applyBorder="1" fontId="2" applyFont="1" fillId="6" applyFill="1" applyAlignment="1">
      <alignment horizontal="center"/>
    </xf>
    <xf xfId="0" numFmtId="0" borderId="2" applyBorder="1" fontId="2" applyFont="1" fillId="8" applyFill="1" applyAlignment="1">
      <alignment horizontal="left"/>
    </xf>
    <xf xfId="0" numFmtId="4" applyNumberFormat="1" borderId="40" applyBorder="1" fontId="28" applyFont="1" fillId="6" applyFill="1" applyAlignment="1">
      <alignment horizontal="center"/>
    </xf>
    <xf xfId="0" numFmtId="4" applyNumberFormat="1" borderId="39" applyBorder="1" fontId="28" applyFont="1" fillId="13" applyFill="1" applyAlignment="1">
      <alignment horizontal="center"/>
    </xf>
    <xf xfId="0" numFmtId="3" applyNumberFormat="1" borderId="15" applyBorder="1" fontId="17" applyFont="1" fillId="0" applyAlignment="1">
      <alignment horizontal="center"/>
    </xf>
    <xf xfId="0" numFmtId="164" applyNumberFormat="1" borderId="36" applyBorder="1" fontId="17" applyFont="1" fillId="0" applyAlignment="1">
      <alignment horizontal="center"/>
    </xf>
    <xf xfId="0" numFmtId="164" applyNumberFormat="1" borderId="23" applyBorder="1" fontId="17" applyFont="1" fillId="0" applyAlignment="1">
      <alignment horizontal="center"/>
    </xf>
    <xf xfId="0" numFmtId="3" applyNumberFormat="1" borderId="2" applyBorder="1" fontId="2" applyFont="1" fillId="13" applyFill="1" applyAlignment="1">
      <alignment horizontal="center"/>
    </xf>
    <xf xfId="0" numFmtId="164" applyNumberFormat="1" borderId="2" applyBorder="1" fontId="38" applyFont="1" fillId="13" applyFill="1" applyAlignment="1">
      <alignment horizontal="center"/>
    </xf>
    <xf xfId="0" numFmtId="164" applyNumberFormat="1" borderId="2" applyBorder="1" fontId="17" applyFont="1" fillId="4" applyFill="1" applyAlignment="1">
      <alignment horizontal="right"/>
    </xf>
    <xf xfId="0" numFmtId="164" applyNumberFormat="1" borderId="2" applyBorder="1" fontId="39" applyFont="1" fillId="6" applyFill="1" applyAlignment="1">
      <alignment horizontal="left"/>
    </xf>
    <xf xfId="0" numFmtId="164" applyNumberFormat="1" borderId="2" applyBorder="1" fontId="2" applyFont="1" fillId="6" applyFill="1" applyAlignment="1">
      <alignment horizontal="left"/>
    </xf>
    <xf xfId="0" numFmtId="3" applyNumberFormat="1" borderId="2" applyBorder="1" fontId="17" applyFont="1" fillId="4" applyFill="1" applyAlignment="1">
      <alignment horizontal="left"/>
    </xf>
    <xf xfId="0" numFmtId="3" applyNumberFormat="1" borderId="63" applyBorder="1" fontId="2" applyFont="1" fillId="0" applyAlignment="1">
      <alignment horizontal="center"/>
    </xf>
    <xf xfId="0" numFmtId="3" applyNumberFormat="1" borderId="39" applyBorder="1" fontId="2" applyFont="1" fillId="13" applyFill="1" applyAlignment="1">
      <alignment horizontal="center"/>
    </xf>
    <xf xfId="0" numFmtId="164" applyNumberFormat="1" borderId="39" applyBorder="1" fontId="18" applyFont="1" fillId="6" applyFill="1" applyAlignment="1">
      <alignment horizontal="center"/>
    </xf>
    <xf xfId="0" numFmtId="164" applyNumberFormat="1" borderId="39" applyBorder="1" fontId="18" applyFont="1" fillId="13" applyFill="1" applyAlignment="1">
      <alignment horizontal="center"/>
    </xf>
    <xf xfId="0" numFmtId="0" borderId="2" applyBorder="1" fontId="15" applyFont="1" fillId="7" applyFill="1" applyAlignment="1">
      <alignment horizontal="center"/>
    </xf>
    <xf xfId="0" numFmtId="164" applyNumberFormat="1" borderId="2" applyBorder="1" fontId="2" applyFont="1" fillId="4" applyFill="1" applyAlignment="1">
      <alignment horizontal="right"/>
    </xf>
    <xf xfId="0" numFmtId="3" applyNumberFormat="1" borderId="2" applyBorder="1" fontId="10" applyFont="1" fillId="15" applyFill="1" applyAlignment="1">
      <alignment horizontal="left"/>
    </xf>
    <xf xfId="0" numFmtId="0" borderId="1" applyBorder="1" fontId="17" applyFont="1" fillId="0" applyAlignment="1">
      <alignment horizontal="left"/>
    </xf>
    <xf xfId="0" numFmtId="4" applyNumberFormat="1" borderId="2" applyBorder="1" fontId="17" applyFont="1" fillId="6" applyFill="1" applyAlignment="1">
      <alignment horizontal="center"/>
    </xf>
    <xf xfId="0" numFmtId="168" applyNumberFormat="1" borderId="2" applyBorder="1" fontId="18" applyFont="1" fillId="6" applyFill="1" applyAlignment="1">
      <alignment horizontal="center"/>
    </xf>
    <xf xfId="0" numFmtId="4" applyNumberFormat="1" borderId="2" applyBorder="1" fontId="2" applyFont="1" fillId="4" applyFill="1" applyAlignment="1">
      <alignment horizontal="right"/>
    </xf>
    <xf xfId="0" numFmtId="164" applyNumberFormat="1" borderId="1" applyBorder="1" fontId="17" applyFont="1" fillId="0" applyAlignment="1">
      <alignment horizontal="left"/>
    </xf>
    <xf xfId="0" numFmtId="164" applyNumberFormat="1" borderId="39" applyBorder="1" fontId="17" applyFont="1" fillId="12" applyFill="1" applyAlignment="1">
      <alignment horizontal="right"/>
    </xf>
    <xf xfId="0" numFmtId="3" applyNumberFormat="1" borderId="2" applyBorder="1" fontId="38" applyFont="1" fillId="6" applyFill="1" applyAlignment="1">
      <alignment horizontal="left"/>
    </xf>
    <xf xfId="0" numFmtId="3" applyNumberFormat="1" borderId="2" applyBorder="1" fontId="18" applyFont="1" fillId="6" applyFill="1" applyAlignment="1">
      <alignment horizontal="left"/>
    </xf>
    <xf xfId="0" numFmtId="164" applyNumberFormat="1" borderId="2" applyBorder="1" fontId="25" applyFont="1" fillId="6" applyFill="1" applyAlignment="1">
      <alignment horizontal="right"/>
    </xf>
    <xf xfId="0" numFmtId="3" applyNumberFormat="1" borderId="2" applyBorder="1" fontId="2" applyFont="1" fillId="6" applyFill="1" applyAlignment="1">
      <alignment horizontal="left"/>
    </xf>
    <xf xfId="0" numFmtId="3" applyNumberFormat="1" borderId="2" applyBorder="1" fontId="10" applyFont="1" fillId="6" applyFill="1" applyAlignment="1">
      <alignment horizontal="left"/>
    </xf>
    <xf xfId="0" numFmtId="164" applyNumberFormat="1" borderId="2" applyBorder="1" fontId="10" applyFont="1" fillId="6" applyFill="1" applyAlignment="1">
      <alignment horizontal="center"/>
    </xf>
    <xf xfId="0" numFmtId="4" applyNumberFormat="1" borderId="1" applyBorder="1" fontId="17" applyFont="1" fillId="0" applyAlignment="1">
      <alignment horizontal="center"/>
    </xf>
    <xf xfId="0" numFmtId="164" applyNumberFormat="1" borderId="2" applyBorder="1" fontId="17" applyFont="1" fillId="6" applyFill="1" applyAlignment="1">
      <alignment horizontal="left"/>
    </xf>
    <xf xfId="0" numFmtId="164" applyNumberFormat="1" borderId="2" applyBorder="1" fontId="25" applyFont="1" fillId="6" applyFill="1" applyAlignment="1">
      <alignment horizontal="left"/>
    </xf>
    <xf xfId="0" numFmtId="0" borderId="35" applyBorder="1" fontId="24" applyFont="1" fillId="0" applyAlignment="1">
      <alignment horizontal="left"/>
    </xf>
    <xf xfId="0" numFmtId="4" applyNumberFormat="1" borderId="35" applyBorder="1" fontId="2" applyFont="1" fillId="0" applyAlignment="1">
      <alignment horizontal="center"/>
    </xf>
    <xf xfId="0" numFmtId="0" borderId="1" applyBorder="1" fontId="36" applyFont="1" fillId="0" applyAlignment="1">
      <alignment horizontal="left"/>
    </xf>
    <xf xfId="0" numFmtId="3" applyNumberFormat="1" borderId="1" applyBorder="1" fontId="36" applyFont="1" fillId="0" applyAlignment="1">
      <alignment horizontal="left"/>
    </xf>
    <xf xfId="0" numFmtId="3" applyNumberFormat="1" borderId="2" applyBorder="1" fontId="24" applyFont="1" fillId="5" applyFill="1" applyAlignment="1">
      <alignment horizontal="center"/>
    </xf>
    <xf xfId="0" numFmtId="164" applyNumberFormat="1" borderId="2" applyBorder="1" fontId="24" applyFont="1" fillId="5" applyFill="1" applyAlignment="1">
      <alignment horizontal="center"/>
    </xf>
    <xf xfId="0" numFmtId="3" applyNumberFormat="1" borderId="2" applyBorder="1" fontId="26" applyFont="1" fillId="5" applyFill="1" applyAlignment="1">
      <alignment horizontal="right"/>
    </xf>
    <xf xfId="0" numFmtId="3" applyNumberFormat="1" borderId="36" applyBorder="1" fontId="17" applyFont="1" fillId="0" applyAlignment="1">
      <alignment horizontal="center"/>
    </xf>
    <xf xfId="0" numFmtId="164" applyNumberFormat="1" borderId="2" applyBorder="1" fontId="2" applyFont="1" fillId="20" applyFill="1" applyAlignment="1">
      <alignment horizontal="right"/>
    </xf>
    <xf xfId="0" numFmtId="167" applyNumberFormat="1" borderId="2" applyBorder="1" fontId="2" applyFont="1" fillId="13" applyFill="1" applyAlignment="1">
      <alignment horizontal="center"/>
    </xf>
    <xf xfId="0" numFmtId="164" applyNumberFormat="1" borderId="2" applyBorder="1" fontId="17" applyFont="1" fillId="13" applyFill="1" applyAlignment="1">
      <alignment horizontal="center"/>
    </xf>
    <xf xfId="0" numFmtId="164" applyNumberFormat="1" borderId="2" applyBorder="1" fontId="38" applyFont="1" fillId="4" applyFill="1" applyAlignment="1">
      <alignment horizontal="left"/>
    </xf>
    <xf xfId="0" numFmtId="164" applyNumberFormat="1" borderId="1" applyBorder="1" fontId="38" applyFont="1" fillId="0" applyAlignment="1">
      <alignment horizontal="left"/>
    </xf>
    <xf xfId="0" numFmtId="4" applyNumberFormat="1" borderId="2" applyBorder="1" fontId="17" applyFont="1" fillId="13" applyFill="1" applyAlignment="1">
      <alignment horizontal="center"/>
    </xf>
    <xf xfId="0" numFmtId="0" borderId="2" applyBorder="1" fontId="2" applyFont="1" fillId="4" applyFill="1" applyAlignment="1">
      <alignment horizontal="left"/>
    </xf>
    <xf xfId="0" numFmtId="4" applyNumberFormat="1" borderId="1" applyBorder="1" fontId="17" applyFont="1" fillId="0" applyAlignment="1">
      <alignment horizontal="right"/>
    </xf>
    <xf xfId="0" numFmtId="1" applyNumberFormat="1" borderId="2" applyBorder="1" fontId="25" applyFont="1" fillId="6" applyFill="1" applyAlignment="1">
      <alignment horizontal="left"/>
    </xf>
    <xf xfId="0" numFmtId="164" applyNumberFormat="1" borderId="2" applyBorder="1" fontId="10" applyFont="1" fillId="6" applyFill="1" applyAlignment="1">
      <alignment horizontal="left"/>
    </xf>
    <xf xfId="0" numFmtId="3" applyNumberFormat="1" borderId="2" applyBorder="1" fontId="24" applyFont="1" fillId="4" applyFill="1" applyAlignment="1">
      <alignment horizontal="left"/>
    </xf>
    <xf xfId="0" numFmtId="164" applyNumberFormat="1" borderId="1" applyBorder="1" fontId="2" applyFont="1" fillId="0" applyAlignment="1">
      <alignment horizontal="center"/>
    </xf>
    <xf xfId="0" numFmtId="164" applyNumberFormat="1" borderId="1" applyBorder="1" fontId="27" applyFont="1" fillId="0" applyAlignment="1">
      <alignment horizontal="center"/>
    </xf>
    <xf xfId="0" numFmtId="164" applyNumberFormat="1" borderId="2" applyBorder="1" fontId="18" applyFont="1" fillId="5" applyFill="1" applyAlignment="1">
      <alignment horizontal="center"/>
    </xf>
    <xf xfId="0" numFmtId="0" borderId="34" applyBorder="1" fontId="36" applyFont="1" fillId="0" applyAlignment="1">
      <alignment horizontal="left"/>
    </xf>
    <xf xfId="0" numFmtId="3" applyNumberFormat="1" borderId="34" applyBorder="1" fontId="36" applyFont="1" fillId="0" applyAlignment="1">
      <alignment horizontal="left"/>
    </xf>
    <xf xfId="0" numFmtId="164" applyNumberFormat="1" borderId="34" applyBorder="1" fontId="36" applyFont="1" fillId="0" applyAlignment="1">
      <alignment horizontal="right"/>
    </xf>
    <xf xfId="0" numFmtId="164" applyNumberFormat="1" borderId="2" applyBorder="1" fontId="2" applyFont="1" fillId="11" applyFill="1" applyAlignment="1">
      <alignment horizontal="right"/>
    </xf>
    <xf xfId="0" numFmtId="3" applyNumberFormat="1" borderId="37" applyBorder="1" fontId="2" applyFont="1" fillId="11" applyFill="1" applyAlignment="1">
      <alignment horizontal="right"/>
    </xf>
    <xf xfId="0" numFmtId="0" borderId="64" applyBorder="1" fontId="16" applyFont="1" fillId="0" applyAlignment="1">
      <alignment horizontal="left"/>
    </xf>
    <xf xfId="0" numFmtId="164" applyNumberFormat="1" borderId="65" applyBorder="1" fontId="17" applyFont="1" fillId="0" applyAlignment="1">
      <alignment horizontal="right"/>
    </xf>
    <xf xfId="0" numFmtId="164" applyNumberFormat="1" borderId="65" applyBorder="1" fontId="2" applyFont="1" fillId="0" applyAlignment="1">
      <alignment horizontal="right"/>
    </xf>
    <xf xfId="0" numFmtId="164" applyNumberFormat="1" borderId="66" applyBorder="1" fontId="2" applyFont="1" fillId="0" applyAlignment="1">
      <alignment horizontal="right"/>
    </xf>
    <xf xfId="0" numFmtId="164" applyNumberFormat="1" borderId="65" applyBorder="1" fontId="40" applyFont="1" fillId="0" applyAlignment="1">
      <alignment horizontal="right"/>
    </xf>
    <xf xfId="0" numFmtId="0" borderId="67" applyBorder="1" fontId="17" applyFont="1" fillId="0" applyAlignment="1">
      <alignment horizontal="left"/>
    </xf>
    <xf xfId="0" numFmtId="164" applyNumberFormat="1" borderId="68" applyBorder="1" fontId="2" applyFont="1" fillId="0" applyAlignment="1">
      <alignment horizontal="right"/>
    </xf>
    <xf xfId="0" numFmtId="164" applyNumberFormat="1" borderId="67" applyBorder="1" fontId="2" applyFont="1" fillId="0" applyAlignment="1">
      <alignment horizontal="right"/>
    </xf>
    <xf xfId="0" numFmtId="0" borderId="2" applyBorder="1" fontId="17" applyFont="1" fillId="21" applyFill="1" applyAlignment="1">
      <alignment horizontal="center"/>
    </xf>
    <xf xfId="0" numFmtId="164" applyNumberFormat="1" borderId="67" applyBorder="1" fontId="17" applyFont="1" fillId="0" applyAlignment="1">
      <alignment horizontal="right"/>
    </xf>
    <xf xfId="0" numFmtId="0" borderId="1" applyBorder="1" fontId="27" applyFont="1" fillId="0" applyAlignment="1">
      <alignment horizontal="center"/>
    </xf>
    <xf xfId="0" numFmtId="0" borderId="1" applyBorder="1" fontId="2" applyFont="1" fillId="0" applyAlignment="1">
      <alignment horizontal="center"/>
    </xf>
    <xf xfId="0" numFmtId="164" applyNumberFormat="1" borderId="69" applyBorder="1" fontId="17" applyFont="1" fillId="0" applyAlignment="1">
      <alignment horizontal="right"/>
    </xf>
    <xf xfId="0" numFmtId="164" applyNumberFormat="1" borderId="70" applyBorder="1" fontId="17" applyFont="1" fillId="0" applyAlignment="1">
      <alignment horizontal="right"/>
    </xf>
    <xf xfId="0" numFmtId="164" applyNumberFormat="1" borderId="70" applyBorder="1" fontId="2" applyFont="1" fillId="0" applyAlignment="1">
      <alignment horizontal="right"/>
    </xf>
    <xf xfId="0" numFmtId="164" applyNumberFormat="1" borderId="71" applyBorder="1" fontId="2" applyFont="1" fillId="0" applyAlignment="1">
      <alignment horizontal="right"/>
    </xf>
    <xf xfId="0" numFmtId="164" applyNumberFormat="1" borderId="69" applyBorder="1" fontId="2" applyFont="1" fillId="0" applyAlignment="1">
      <alignment horizontal="right"/>
    </xf>
    <xf xfId="0" numFmtId="164" applyNumberFormat="1" borderId="72" applyBorder="1" fontId="41" applyFont="1" fillId="6"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worksheets/sheet15.xml" Type="http://schemas.openxmlformats.org/officeDocument/2006/relationships/worksheet" Id="rId15"/><Relationship Target="sharedStrings.xml" Type="http://schemas.openxmlformats.org/officeDocument/2006/relationships/sharedStrings" Id="rId16"/><Relationship Target="styles.xml" Type="http://schemas.openxmlformats.org/officeDocument/2006/relationships/styles" Id="rId17"/><Relationship Target="theme/theme1.xml" Type="http://schemas.openxmlformats.org/officeDocument/2006/relationships/theme" Id="rId18"/></Relationships>
</file>

<file path=xl/theme/theme1.xml><?xml version="1.0" encoding="utf-8"?>
<a:theme xmlns:a="http://schemas.openxmlformats.org/drawingml/2006/main" name="Office Theme">
  <a:themeElements>
    <a:clrScheme name="Office">
      <a:dk1>
        <a:sysClr lastClr="575757" val="windowText"/>
      </a:dk1>
      <a:lt1>
        <a:sysClr lastClr="FFFFFF" val="window"/>
      </a:lt1>
      <a:dk2>
        <a:srgbClr val="29BA74"/>
      </a:dk2>
      <a:lt2>
        <a:srgbClr val="F2F2F2"/>
      </a:lt2>
      <a:accent1>
        <a:srgbClr val="03522D"/>
      </a:accent1>
      <a:accent2>
        <a:srgbClr val="197A56"/>
      </a:accent2>
      <a:accent3>
        <a:srgbClr val="D4DF33"/>
      </a:accent3>
      <a:accent4>
        <a:srgbClr val="3EAD92"/>
      </a:accent4>
      <a:accent5>
        <a:srgbClr val="6E6F73"/>
      </a:accent5>
      <a:accent6>
        <a:srgbClr val="295E7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9"/>
  <sheetViews>
    <sheetView workbookViewId="0">
      <pane state="frozen" activePane="bottomLeft" topLeftCell="A6" ySplit="5" xSplit="0"/>
    </sheetView>
  </sheetViews>
  <sheetFormatPr defaultRowHeight="15" x14ac:dyDescent="0.25"/>
  <cols>
    <col min="1" max="1" style="100" width="1.719285714285714" customWidth="1" bestFit="1"/>
    <col min="2" max="2" style="100" width="38.86214285714286" customWidth="1" bestFit="1"/>
    <col min="3" max="3" style="100" width="11.005" customWidth="1" bestFit="1"/>
    <col min="4" max="4" style="100" width="11.005" customWidth="1" bestFit="1"/>
    <col min="5" max="5" style="100" width="11.005" customWidth="1" bestFit="1"/>
    <col min="6" max="6" style="100" width="11.005" customWidth="1" bestFit="1"/>
    <col min="7" max="7" style="100" width="11.005" customWidth="1" bestFit="1"/>
    <col min="8" max="8" style="100" width="11.005" customWidth="1" bestFit="1"/>
    <col min="9" max="9" style="100" width="11.005" customWidth="1" bestFit="1"/>
    <col min="10" max="10" style="100" width="11.005" customWidth="1" bestFit="1"/>
    <col min="11" max="11" style="100" width="1.290714285714286" customWidth="1" bestFit="1"/>
    <col min="12" max="12" style="100" width="0.8621428571428571" customWidth="1" bestFit="1"/>
    <col min="13" max="13" style="100" width="16.862142857142857" customWidth="1" bestFit="1"/>
    <col min="14" max="14" style="100" width="2.1478571428571427" customWidth="1" bestFit="1"/>
    <col min="15" max="15" style="100" width="10.005" customWidth="1" bestFit="1"/>
    <col min="16" max="16" style="100" width="13.576428571428572" customWidth="1" bestFit="1"/>
    <col min="17" max="17" style="100" width="13.576428571428572" customWidth="1" bestFit="1"/>
  </cols>
  <sheetData>
    <row x14ac:dyDescent="0.25" r="1" customHeight="1" ht="11.25">
      <c r="A1" s="104"/>
      <c r="B1" s="105"/>
      <c r="C1" s="106"/>
      <c r="D1" s="2"/>
      <c r="E1" s="105"/>
      <c r="F1" s="105"/>
      <c r="G1" s="105"/>
      <c r="H1" s="105"/>
      <c r="I1" s="105"/>
      <c r="J1" s="105"/>
      <c r="K1" s="105"/>
      <c r="L1" s="105"/>
      <c r="M1" s="105"/>
      <c r="N1" s="105"/>
      <c r="O1" s="105"/>
      <c r="P1" s="105"/>
      <c r="Q1" s="2"/>
    </row>
    <row x14ac:dyDescent="0.25" r="2" customHeight="1" ht="15.75">
      <c r="A2" s="104"/>
      <c r="B2" s="105"/>
      <c r="C2" s="109">
        <f>C9&amp;" - "&amp;C11</f>
      </c>
      <c r="D2" s="2"/>
      <c r="E2" s="105"/>
      <c r="F2" s="105"/>
      <c r="G2" s="105"/>
      <c r="H2" s="105"/>
      <c r="I2" s="105"/>
      <c r="J2" s="105"/>
      <c r="K2" s="105"/>
      <c r="L2" s="105"/>
      <c r="M2" s="105"/>
      <c r="N2" s="105"/>
      <c r="O2" s="105"/>
      <c r="P2" s="105"/>
      <c r="Q2" s="2"/>
    </row>
    <row x14ac:dyDescent="0.25" r="3" customHeight="1" ht="12.75">
      <c r="A3" s="104"/>
      <c r="B3" s="105"/>
      <c r="C3" s="110">
        <f>MID(CELL("filename",C3),FIND("]",CELL("filename",C3))+1,256)</f>
      </c>
      <c r="D3" s="2"/>
      <c r="E3" s="105"/>
      <c r="F3" s="105"/>
      <c r="G3" s="105"/>
      <c r="H3" s="105"/>
      <c r="I3" s="105"/>
      <c r="J3" s="105"/>
      <c r="K3" s="105"/>
      <c r="L3" s="105"/>
      <c r="M3" s="105"/>
      <c r="N3" s="105"/>
      <c r="O3" s="105"/>
      <c r="P3" s="105"/>
      <c r="Q3" s="2"/>
    </row>
    <row x14ac:dyDescent="0.25" r="4" customHeight="1" ht="15.75">
      <c r="A4" s="104"/>
      <c r="B4" s="105"/>
      <c r="C4" s="106"/>
      <c r="D4" s="2"/>
      <c r="E4" s="105"/>
      <c r="F4" s="105"/>
      <c r="G4" s="105"/>
      <c r="H4" s="105"/>
      <c r="I4" s="105"/>
      <c r="J4" s="105"/>
      <c r="K4" s="105"/>
      <c r="L4" s="105"/>
      <c r="M4" s="105"/>
      <c r="N4" s="105"/>
      <c r="O4" s="105"/>
      <c r="P4" s="105"/>
      <c r="Q4" s="2"/>
    </row>
    <row x14ac:dyDescent="0.25" r="5" customHeight="1" ht="9">
      <c r="A5" s="112"/>
      <c r="B5" s="113"/>
      <c r="C5" s="114"/>
      <c r="D5" s="114"/>
      <c r="E5" s="114"/>
      <c r="F5" s="114"/>
      <c r="G5" s="114"/>
      <c r="H5" s="114"/>
      <c r="I5" s="114"/>
      <c r="J5" s="114"/>
      <c r="K5" s="114"/>
      <c r="L5" s="114"/>
      <c r="M5" s="114"/>
      <c r="N5" s="114"/>
      <c r="O5" s="114"/>
      <c r="P5" s="114"/>
      <c r="Q5" s="2"/>
    </row>
    <row x14ac:dyDescent="0.25" r="6" customHeight="1" ht="18.75">
      <c r="A6" s="2"/>
      <c r="B6" s="2"/>
      <c r="C6" s="2"/>
      <c r="D6" s="2"/>
      <c r="E6" s="2"/>
      <c r="F6" s="2"/>
      <c r="G6" s="2"/>
      <c r="H6" s="2"/>
      <c r="I6" s="2"/>
      <c r="J6" s="2"/>
      <c r="K6" s="2"/>
      <c r="L6" s="2"/>
      <c r="M6" s="2"/>
      <c r="N6" s="2"/>
      <c r="O6" s="2"/>
      <c r="P6" s="2"/>
      <c r="Q6" s="124"/>
    </row>
    <row x14ac:dyDescent="0.25" r="7" customHeight="1" ht="18.75">
      <c r="A7" s="2"/>
      <c r="B7" s="2"/>
      <c r="C7" s="2"/>
      <c r="D7" s="2"/>
      <c r="E7" s="2"/>
      <c r="F7" s="2"/>
      <c r="G7" s="2"/>
      <c r="H7" s="2"/>
      <c r="I7" s="2"/>
      <c r="J7" s="2"/>
      <c r="K7" s="2"/>
      <c r="L7" s="2"/>
      <c r="M7" s="2"/>
      <c r="N7" s="2"/>
      <c r="O7" s="2"/>
      <c r="P7" s="2"/>
      <c r="Q7" s="115"/>
    </row>
    <row x14ac:dyDescent="0.25" r="8" customHeight="1" ht="18.75">
      <c r="A8" s="2"/>
      <c r="B8" s="493" t="s">
        <v>611</v>
      </c>
      <c r="C8" s="494"/>
      <c r="D8" s="495"/>
      <c r="E8" s="495"/>
      <c r="F8" s="495"/>
      <c r="G8" s="495"/>
      <c r="H8" s="495"/>
      <c r="I8" s="495"/>
      <c r="J8" s="496"/>
      <c r="K8" s="2"/>
      <c r="L8" s="493" t="s">
        <v>612</v>
      </c>
      <c r="M8" s="497"/>
      <c r="N8" s="495"/>
      <c r="O8" s="495"/>
      <c r="P8" s="496"/>
      <c r="Q8" s="2"/>
    </row>
    <row x14ac:dyDescent="0.25" r="9" customHeight="1" ht="18.75">
      <c r="A9" s="2"/>
      <c r="B9" s="498" t="s">
        <v>613</v>
      </c>
      <c r="C9" s="118" t="s">
        <v>614</v>
      </c>
      <c r="D9" s="124"/>
      <c r="E9" s="124"/>
      <c r="F9" s="124"/>
      <c r="G9" s="124"/>
      <c r="H9" s="124"/>
      <c r="I9" s="124"/>
      <c r="J9" s="499"/>
      <c r="K9" s="2"/>
      <c r="L9" s="500"/>
      <c r="M9" s="501" t="s">
        <v>615</v>
      </c>
      <c r="N9" s="124"/>
      <c r="O9" s="123" t="s">
        <v>616</v>
      </c>
      <c r="P9" s="499"/>
      <c r="Q9" s="2"/>
    </row>
    <row x14ac:dyDescent="0.25" r="10" customHeight="1" ht="18.75">
      <c r="A10" s="2"/>
      <c r="B10" s="502"/>
      <c r="C10" s="290"/>
      <c r="D10" s="124"/>
      <c r="E10" s="124"/>
      <c r="F10" s="124"/>
      <c r="G10" s="124"/>
      <c r="H10" s="124"/>
      <c r="I10" s="124"/>
      <c r="J10" s="499"/>
      <c r="K10" s="2"/>
      <c r="L10" s="500"/>
      <c r="M10" s="503" t="s">
        <v>615</v>
      </c>
      <c r="N10" s="124"/>
      <c r="O10" s="123" t="s">
        <v>617</v>
      </c>
      <c r="P10" s="499"/>
      <c r="Q10" s="2"/>
    </row>
    <row x14ac:dyDescent="0.25" r="11" customHeight="1" ht="18.75">
      <c r="A11" s="2"/>
      <c r="B11" s="498" t="s">
        <v>618</v>
      </c>
      <c r="C11" s="118" t="s">
        <v>619</v>
      </c>
      <c r="D11" s="124"/>
      <c r="E11" s="124"/>
      <c r="F11" s="124"/>
      <c r="G11" s="124"/>
      <c r="H11" s="124"/>
      <c r="I11" s="124"/>
      <c r="J11" s="499"/>
      <c r="K11" s="2"/>
      <c r="L11" s="500"/>
      <c r="M11" s="504" t="s">
        <v>615</v>
      </c>
      <c r="N11" s="124"/>
      <c r="O11" s="123" t="s">
        <v>620</v>
      </c>
      <c r="P11" s="499"/>
      <c r="Q11" s="2"/>
    </row>
    <row x14ac:dyDescent="0.25" r="12" customHeight="1" ht="18.75">
      <c r="A12" s="2"/>
      <c r="B12" s="502"/>
      <c r="C12" s="290"/>
      <c r="D12" s="124"/>
      <c r="E12" s="124"/>
      <c r="F12" s="124"/>
      <c r="G12" s="124"/>
      <c r="H12" s="124"/>
      <c r="I12" s="124"/>
      <c r="J12" s="499"/>
      <c r="K12" s="2"/>
      <c r="L12" s="500"/>
      <c r="M12" s="368"/>
      <c r="N12" s="124"/>
      <c r="O12" s="118" t="s">
        <v>548</v>
      </c>
      <c r="P12" s="499"/>
      <c r="Q12" s="2"/>
    </row>
    <row x14ac:dyDescent="0.25" r="13" customHeight="1" ht="18.75">
      <c r="A13" s="2"/>
      <c r="B13" s="505"/>
      <c r="C13" s="506"/>
      <c r="D13" s="507"/>
      <c r="E13" s="507"/>
      <c r="F13" s="507"/>
      <c r="G13" s="507"/>
      <c r="H13" s="507"/>
      <c r="I13" s="507"/>
      <c r="J13" s="508"/>
      <c r="K13" s="2"/>
      <c r="L13" s="509"/>
      <c r="M13" s="510"/>
      <c r="N13" s="507"/>
      <c r="O13" s="506"/>
      <c r="P13" s="508"/>
      <c r="Q13" s="2"/>
    </row>
    <row x14ac:dyDescent="0.25" r="14" customHeight="1" ht="4.75">
      <c r="A14" s="2"/>
      <c r="B14" s="2"/>
      <c r="C14" s="2"/>
      <c r="D14" s="2"/>
      <c r="E14" s="2"/>
      <c r="F14" s="2"/>
      <c r="G14" s="2"/>
      <c r="H14" s="2"/>
      <c r="I14" s="2"/>
      <c r="J14" s="2"/>
      <c r="K14" s="2"/>
      <c r="L14" s="2"/>
      <c r="M14" s="2"/>
      <c r="N14" s="2"/>
      <c r="O14" s="2"/>
      <c r="P14" s="2"/>
      <c r="Q14" s="2"/>
    </row>
    <row x14ac:dyDescent="0.25" r="15" customHeight="1" ht="18.75">
      <c r="A15" s="2"/>
      <c r="B15" s="2"/>
      <c r="C15" s="2"/>
      <c r="D15" s="2"/>
      <c r="E15" s="2"/>
      <c r="F15" s="2"/>
      <c r="G15" s="2"/>
      <c r="H15" s="2"/>
      <c r="I15" s="2"/>
      <c r="J15" s="2"/>
      <c r="K15" s="2"/>
      <c r="L15" s="2"/>
      <c r="M15" s="2"/>
      <c r="N15" s="2"/>
      <c r="O15" s="2"/>
      <c r="P15" s="2"/>
      <c r="Q15" s="2"/>
    </row>
    <row x14ac:dyDescent="0.25" r="16" customHeight="1" ht="18.75">
      <c r="A16" s="2"/>
      <c r="B16" s="2"/>
      <c r="C16" s="2"/>
      <c r="D16" s="2"/>
      <c r="E16" s="2"/>
      <c r="F16" s="2"/>
      <c r="G16" s="2"/>
      <c r="H16" s="2"/>
      <c r="I16" s="2"/>
      <c r="J16" s="2"/>
      <c r="K16" s="2"/>
      <c r="L16" s="2"/>
      <c r="M16" s="2"/>
      <c r="N16" s="2"/>
      <c r="O16" s="2"/>
      <c r="P16" s="2"/>
      <c r="Q16" s="2"/>
    </row>
    <row x14ac:dyDescent="0.25" r="17" customHeight="1" ht="18.75">
      <c r="A17" s="2"/>
      <c r="B17" s="2"/>
      <c r="C17" s="2"/>
      <c r="D17" s="2"/>
      <c r="E17" s="2"/>
      <c r="F17" s="2"/>
      <c r="G17" s="2"/>
      <c r="H17" s="2"/>
      <c r="I17" s="2"/>
      <c r="J17" s="2"/>
      <c r="K17" s="2"/>
      <c r="L17" s="2"/>
      <c r="M17" s="2"/>
      <c r="N17" s="2"/>
      <c r="O17" s="2"/>
      <c r="P17" s="2"/>
      <c r="Q17" s="2"/>
    </row>
    <row x14ac:dyDescent="0.25" r="18" customHeight="1" ht="18.75">
      <c r="A18" s="2"/>
      <c r="B18" s="2"/>
      <c r="C18" s="2"/>
      <c r="D18" s="2"/>
      <c r="E18" s="2"/>
      <c r="F18" s="2"/>
      <c r="G18" s="2"/>
      <c r="H18" s="2"/>
      <c r="I18" s="2"/>
      <c r="J18" s="2"/>
      <c r="K18" s="2"/>
      <c r="L18" s="2"/>
      <c r="M18" s="2"/>
      <c r="N18" s="2"/>
      <c r="O18" s="2"/>
      <c r="P18" s="2"/>
      <c r="Q18" s="2"/>
    </row>
    <row x14ac:dyDescent="0.25" r="19" customHeight="1" ht="18.75">
      <c r="A19" s="2"/>
      <c r="B19" s="2"/>
      <c r="C19" s="2"/>
      <c r="D19" s="2"/>
      <c r="E19" s="2"/>
      <c r="F19" s="2"/>
      <c r="G19" s="2"/>
      <c r="H19" s="2"/>
      <c r="I19" s="2"/>
      <c r="J19" s="2"/>
      <c r="K19" s="2"/>
      <c r="L19" s="2"/>
      <c r="M19" s="2"/>
      <c r="N19" s="2"/>
      <c r="O19" s="2"/>
      <c r="P19" s="2"/>
      <c r="Q19"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77"/>
  <sheetViews>
    <sheetView workbookViewId="0"/>
  </sheetViews>
  <sheetFormatPr defaultRowHeight="15" x14ac:dyDescent="0.25"/>
  <cols>
    <col min="1" max="1" style="100" width="1.719285714285714" customWidth="1" bestFit="1"/>
    <col min="2" max="2" style="100" width="2.7192857142857143" customWidth="1" bestFit="1"/>
    <col min="3" max="3" style="100" width="2.005" customWidth="1" bestFit="1"/>
    <col min="4" max="4" style="100" width="37.29071428571429" customWidth="1" bestFit="1"/>
    <col min="5" max="5" style="100" width="29.862142857142857" customWidth="1" bestFit="1"/>
    <col min="6" max="6" style="100" width="18.14785714285714" customWidth="1" bestFit="1"/>
    <col min="7" max="7" style="151" width="14.147857142857141" customWidth="1" bestFit="1"/>
    <col min="8" max="8" style="100" width="14.147857142857141" customWidth="1" bestFit="1"/>
    <col min="9" max="9" style="151" width="14.147857142857141" customWidth="1" bestFit="1"/>
    <col min="10" max="10" style="100" width="14.147857142857141" customWidth="1" bestFit="1"/>
    <col min="11" max="11" style="100" width="16.290714285714284" customWidth="1" bestFit="1"/>
    <col min="12" max="12" style="100" width="14.147857142857141" customWidth="1" bestFit="1"/>
    <col min="13" max="13" style="100" width="14.147857142857141" customWidth="1" bestFit="1"/>
    <col min="14" max="14" style="100" width="9.290714285714287" customWidth="1" bestFit="1"/>
    <col min="15" max="15" style="100" width="14.290714285714287" customWidth="1" bestFit="1"/>
    <col min="16" max="16" style="100" width="11.290714285714287" customWidth="1" bestFit="1"/>
    <col min="17" max="17" style="100" width="26.719285714285714" customWidth="1" bestFit="1"/>
    <col min="18" max="18" style="100" width="29.433571428571426" customWidth="1" bestFit="1"/>
    <col min="19" max="19" style="100" width="11.719285714285713" customWidth="1" bestFit="1"/>
    <col min="20" max="20" style="138" width="13.576428571428572" customWidth="1" bestFit="1"/>
  </cols>
  <sheetData>
    <row x14ac:dyDescent="0.25" r="1" customHeight="1" ht="13.5">
      <c r="A1" s="104"/>
      <c r="B1" s="104"/>
      <c r="C1" s="104"/>
      <c r="D1" s="105"/>
      <c r="E1" s="106"/>
      <c r="F1" s="2"/>
      <c r="G1" s="142"/>
      <c r="H1" s="2"/>
      <c r="I1" s="142"/>
      <c r="J1" s="2"/>
      <c r="K1" s="2"/>
      <c r="L1" s="2"/>
      <c r="M1" s="2"/>
      <c r="N1" s="2"/>
      <c r="O1" s="2"/>
      <c r="P1" s="2"/>
      <c r="Q1" s="2"/>
      <c r="R1" s="2"/>
      <c r="S1" s="2"/>
      <c r="T1" s="134"/>
    </row>
    <row x14ac:dyDescent="0.25" r="2" customHeight="1" ht="13.5">
      <c r="A2" s="104"/>
      <c r="B2" s="104"/>
      <c r="C2" s="104"/>
      <c r="D2" s="105"/>
      <c r="E2" s="109">
        <f>Title</f>
      </c>
      <c r="F2" s="2"/>
      <c r="G2" s="142"/>
      <c r="H2" s="2"/>
      <c r="I2" s="142"/>
      <c r="J2" s="2"/>
      <c r="K2" s="2"/>
      <c r="L2" s="2"/>
      <c r="M2" s="2"/>
      <c r="N2" s="2"/>
      <c r="O2" s="2"/>
      <c r="P2" s="2"/>
      <c r="Q2" s="2"/>
      <c r="R2" s="2"/>
      <c r="S2" s="2"/>
      <c r="T2" s="134"/>
    </row>
    <row x14ac:dyDescent="0.25" r="3" customHeight="1" ht="13.5">
      <c r="A3" s="104"/>
      <c r="B3" s="104"/>
      <c r="C3" s="104"/>
      <c r="D3" s="105"/>
      <c r="E3" s="110">
        <f>MID(CELL("filename",E3),FIND("]",CELL("filename",E3))+1,256)</f>
      </c>
      <c r="F3" s="2"/>
      <c r="G3" s="142"/>
      <c r="H3" s="2"/>
      <c r="I3" s="142"/>
      <c r="J3" s="2"/>
      <c r="K3" s="2"/>
      <c r="L3" s="2"/>
      <c r="M3" s="2"/>
      <c r="N3" s="2"/>
      <c r="O3" s="2"/>
      <c r="P3" s="2"/>
      <c r="Q3" s="2"/>
      <c r="R3" s="2"/>
      <c r="S3" s="2"/>
      <c r="T3" s="134"/>
    </row>
    <row x14ac:dyDescent="0.25" r="4" customHeight="1" ht="13.5">
      <c r="A4" s="104"/>
      <c r="B4" s="104"/>
      <c r="C4" s="104"/>
      <c r="D4" s="105"/>
      <c r="E4" s="111"/>
      <c r="F4" s="2"/>
      <c r="G4" s="142"/>
      <c r="H4" s="2"/>
      <c r="I4" s="142"/>
      <c r="J4" s="2"/>
      <c r="K4" s="2"/>
      <c r="L4" s="2"/>
      <c r="M4" s="2"/>
      <c r="N4" s="2"/>
      <c r="O4" s="2"/>
      <c r="P4" s="2"/>
      <c r="Q4" s="2"/>
      <c r="R4" s="2"/>
      <c r="S4" s="2"/>
      <c r="T4" s="134"/>
    </row>
    <row x14ac:dyDescent="0.25" r="5" customHeight="1" ht="13.5">
      <c r="A5" s="112"/>
      <c r="B5" s="112"/>
      <c r="C5" s="112"/>
      <c r="D5" s="113"/>
      <c r="E5" s="114"/>
      <c r="F5" s="2"/>
      <c r="G5" s="142"/>
      <c r="H5" s="2"/>
      <c r="I5" s="142"/>
      <c r="J5" s="2"/>
      <c r="K5" s="2"/>
      <c r="L5" s="2"/>
      <c r="M5" s="2"/>
      <c r="N5" s="2"/>
      <c r="O5" s="2"/>
      <c r="P5" s="2"/>
      <c r="Q5" s="2"/>
      <c r="R5" s="2"/>
      <c r="S5" s="2"/>
      <c r="T5" s="134"/>
    </row>
    <row x14ac:dyDescent="0.25" r="6" customHeight="1" ht="13.5">
      <c r="A6" s="2"/>
      <c r="B6" s="115"/>
      <c r="C6" s="115"/>
      <c r="D6" s="115"/>
      <c r="E6" s="143" t="s">
        <v>293</v>
      </c>
      <c r="F6" s="115"/>
      <c r="G6" s="115"/>
      <c r="H6" s="115"/>
      <c r="I6" s="115"/>
      <c r="J6" s="115"/>
      <c r="K6" s="115"/>
      <c r="L6" s="115"/>
      <c r="M6" s="115"/>
      <c r="N6" s="115"/>
      <c r="O6" s="2"/>
      <c r="P6" s="2"/>
      <c r="Q6" s="2"/>
      <c r="R6" s="2"/>
      <c r="S6" s="2"/>
      <c r="T6" s="134"/>
    </row>
    <row x14ac:dyDescent="0.25" r="7" customHeight="1" ht="13.5">
      <c r="A7" s="2"/>
      <c r="B7" s="116"/>
      <c r="C7" s="115"/>
      <c r="D7" s="117"/>
      <c r="E7" s="115"/>
      <c r="F7" s="115"/>
      <c r="G7" s="144" t="s">
        <v>294</v>
      </c>
      <c r="H7" s="115"/>
      <c r="I7" s="144" t="s">
        <v>295</v>
      </c>
      <c r="J7" s="115"/>
      <c r="K7" s="115"/>
      <c r="L7" s="115"/>
      <c r="M7" s="115"/>
      <c r="N7" s="115"/>
      <c r="O7" s="2"/>
      <c r="P7" s="2"/>
      <c r="Q7" s="2"/>
      <c r="R7" s="2"/>
      <c r="S7" s="2"/>
      <c r="T7" s="134"/>
    </row>
    <row x14ac:dyDescent="0.25" r="8" customHeight="1" ht="13.5">
      <c r="A8" s="2"/>
      <c r="B8" s="115"/>
      <c r="C8" s="115"/>
      <c r="D8" s="115"/>
      <c r="E8" s="68" t="s">
        <v>296</v>
      </c>
      <c r="F8" s="68"/>
      <c r="G8" s="145">
        <v>31.05</v>
      </c>
      <c r="H8" s="145"/>
      <c r="I8" s="145">
        <v>31.05</v>
      </c>
      <c r="J8" s="68"/>
      <c r="K8" s="68"/>
      <c r="L8" s="68"/>
      <c r="M8" s="115"/>
      <c r="N8" s="115"/>
      <c r="O8" s="2"/>
      <c r="P8" s="2"/>
      <c r="Q8" s="2"/>
      <c r="R8" s="2"/>
      <c r="S8" s="2"/>
      <c r="T8" s="134"/>
    </row>
    <row x14ac:dyDescent="0.25" r="9" customHeight="1" ht="13.5">
      <c r="A9" s="2"/>
      <c r="B9" s="115"/>
      <c r="C9" s="115"/>
      <c r="D9" s="121"/>
      <c r="E9" s="68" t="s">
        <v>297</v>
      </c>
      <c r="F9" s="68"/>
      <c r="G9" s="145">
        <v>184</v>
      </c>
      <c r="H9" s="145"/>
      <c r="I9" s="145">
        <v>184</v>
      </c>
      <c r="J9" s="68"/>
      <c r="K9" s="68"/>
      <c r="L9" s="146"/>
      <c r="M9" s="2"/>
      <c r="N9" s="2"/>
      <c r="O9" s="2"/>
      <c r="P9" s="8"/>
      <c r="Q9" s="2"/>
      <c r="R9" s="2"/>
      <c r="S9" s="2"/>
      <c r="T9" s="134"/>
    </row>
    <row x14ac:dyDescent="0.25" r="10" customHeight="1" ht="13.5">
      <c r="A10" s="2"/>
      <c r="B10" s="115"/>
      <c r="C10" s="115"/>
      <c r="D10" s="122"/>
      <c r="E10" s="68" t="s">
        <v>298</v>
      </c>
      <c r="F10" s="2"/>
      <c r="G10" s="145">
        <v>44.895833333333336</v>
      </c>
      <c r="H10" s="145"/>
      <c r="I10" s="145">
        <v>36.0421626984127</v>
      </c>
      <c r="J10" s="68"/>
      <c r="K10" s="68"/>
      <c r="L10" s="146"/>
      <c r="M10" s="2"/>
      <c r="N10" s="2"/>
      <c r="O10" s="2"/>
      <c r="P10" s="8"/>
      <c r="Q10" s="2"/>
      <c r="R10" s="2"/>
      <c r="S10" s="2"/>
      <c r="T10" s="134"/>
    </row>
    <row x14ac:dyDescent="0.25" r="11" customHeight="1" ht="13.5">
      <c r="A11" s="2"/>
      <c r="B11" s="115"/>
      <c r="C11" s="115"/>
      <c r="D11" s="115"/>
      <c r="E11" s="68" t="s">
        <v>231</v>
      </c>
      <c r="F11" s="2"/>
      <c r="G11" s="145">
        <v>51.857142857142854</v>
      </c>
      <c r="H11" s="145"/>
      <c r="I11" s="145"/>
      <c r="J11" s="68"/>
      <c r="K11" s="68"/>
      <c r="L11" s="146"/>
      <c r="M11" s="2"/>
      <c r="N11" s="2"/>
      <c r="O11" s="2"/>
      <c r="P11" s="8"/>
      <c r="Q11" s="2"/>
      <c r="R11" s="2"/>
      <c r="S11" s="2"/>
      <c r="T11" s="134"/>
    </row>
    <row x14ac:dyDescent="0.25" r="12" customHeight="1" ht="13.5">
      <c r="A12" s="2"/>
      <c r="B12" s="115"/>
      <c r="C12" s="115"/>
      <c r="D12" s="121"/>
      <c r="E12" s="68" t="s">
        <v>259</v>
      </c>
      <c r="F12" s="2"/>
      <c r="G12" s="145">
        <v>53.5</v>
      </c>
      <c r="H12" s="145"/>
      <c r="I12" s="145"/>
      <c r="J12" s="68"/>
      <c r="K12" s="68"/>
      <c r="L12" s="146"/>
      <c r="M12" s="2"/>
      <c r="N12" s="2"/>
      <c r="O12" s="2"/>
      <c r="P12" s="8"/>
      <c r="Q12" s="2"/>
      <c r="R12" s="2"/>
      <c r="S12" s="2"/>
      <c r="T12" s="134"/>
    </row>
    <row x14ac:dyDescent="0.25" r="13" customHeight="1" ht="13.5">
      <c r="A13" s="2"/>
      <c r="B13" s="115"/>
      <c r="C13" s="115"/>
      <c r="D13" s="115"/>
      <c r="E13" s="68" t="s">
        <v>241</v>
      </c>
      <c r="F13" s="2"/>
      <c r="G13" s="145">
        <v>22.75</v>
      </c>
      <c r="H13" s="145"/>
      <c r="I13" s="145"/>
      <c r="J13" s="68"/>
      <c r="K13" s="68"/>
      <c r="L13" s="146"/>
      <c r="M13" s="2"/>
      <c r="N13" s="2"/>
      <c r="O13" s="2"/>
      <c r="P13" s="8"/>
      <c r="Q13" s="2"/>
      <c r="R13" s="2"/>
      <c r="S13" s="2"/>
      <c r="T13" s="134"/>
    </row>
    <row x14ac:dyDescent="0.25" r="14" customHeight="1" ht="13.5">
      <c r="A14" s="2"/>
      <c r="B14" s="115"/>
      <c r="C14" s="115"/>
      <c r="D14" s="115"/>
      <c r="E14" s="2" t="s">
        <v>299</v>
      </c>
      <c r="F14" s="2"/>
      <c r="G14" s="147">
        <v>22.5</v>
      </c>
      <c r="H14" s="147"/>
      <c r="I14" s="147"/>
      <c r="J14" s="2"/>
      <c r="K14" s="2"/>
      <c r="L14" s="135"/>
      <c r="M14" s="135"/>
      <c r="N14" s="115"/>
      <c r="O14" s="2"/>
      <c r="P14" s="2"/>
      <c r="Q14" s="2"/>
      <c r="R14" s="2"/>
      <c r="S14" s="2"/>
      <c r="T14" s="134"/>
    </row>
    <row x14ac:dyDescent="0.25" r="15" customHeight="1" ht="13.5">
      <c r="A15" s="2"/>
      <c r="B15" s="115"/>
      <c r="C15" s="115"/>
      <c r="D15" s="115"/>
      <c r="E15" s="118" t="s">
        <v>183</v>
      </c>
      <c r="F15" s="2"/>
      <c r="G15" s="147">
        <v>20.75</v>
      </c>
      <c r="H15" s="147"/>
      <c r="I15" s="147"/>
      <c r="J15" s="2"/>
      <c r="K15" s="2"/>
      <c r="L15" s="135"/>
      <c r="M15" s="135"/>
      <c r="N15" s="115"/>
      <c r="O15" s="2"/>
      <c r="P15" s="2"/>
      <c r="Q15" s="2"/>
      <c r="R15" s="2"/>
      <c r="S15" s="2"/>
      <c r="T15" s="134"/>
    </row>
    <row x14ac:dyDescent="0.25" r="16" customHeight="1" ht="13.5">
      <c r="A16" s="2"/>
      <c r="B16" s="115"/>
      <c r="C16" s="115"/>
      <c r="D16" s="115"/>
      <c r="E16" s="2" t="s">
        <v>300</v>
      </c>
      <c r="F16" s="2" t="s">
        <v>301</v>
      </c>
      <c r="G16" s="147">
        <v>39.125</v>
      </c>
      <c r="H16" s="147"/>
      <c r="I16" s="147">
        <v>39.125</v>
      </c>
      <c r="J16" s="2"/>
      <c r="K16" s="2"/>
      <c r="L16" s="135"/>
      <c r="M16" s="135"/>
      <c r="N16" s="115"/>
      <c r="O16" s="2"/>
      <c r="P16" s="2"/>
      <c r="Q16" s="2"/>
      <c r="R16" s="2"/>
      <c r="S16" s="2"/>
      <c r="T16" s="134"/>
    </row>
    <row x14ac:dyDescent="0.25" r="17" customHeight="1" ht="13.5">
      <c r="A17" s="2"/>
      <c r="B17" s="115"/>
      <c r="C17" s="115"/>
      <c r="D17" s="115"/>
      <c r="E17" s="148" t="s">
        <v>302</v>
      </c>
      <c r="F17" s="143" t="s">
        <v>302</v>
      </c>
      <c r="G17" s="149">
        <v>82.40625</v>
      </c>
      <c r="H17" s="149"/>
      <c r="I17" s="149">
        <v>82.40625</v>
      </c>
      <c r="J17" s="135"/>
      <c r="K17" s="135"/>
      <c r="L17" s="135"/>
      <c r="M17" s="135"/>
      <c r="N17" s="115"/>
      <c r="O17" s="2"/>
      <c r="P17" s="2"/>
      <c r="Q17" s="2"/>
      <c r="R17" s="2"/>
      <c r="S17" s="2"/>
      <c r="T17" s="134"/>
    </row>
    <row x14ac:dyDescent="0.25" r="18" customHeight="1" ht="13.5">
      <c r="A18" s="2"/>
      <c r="B18" s="115"/>
      <c r="C18" s="115"/>
      <c r="D18" s="115"/>
      <c r="E18" s="148" t="s">
        <v>303</v>
      </c>
      <c r="F18" s="148" t="s">
        <v>303</v>
      </c>
      <c r="G18" s="149">
        <v>143.3125</v>
      </c>
      <c r="H18" s="149"/>
      <c r="I18" s="149">
        <v>143.3125</v>
      </c>
      <c r="J18" s="135"/>
      <c r="K18" s="135"/>
      <c r="L18" s="135"/>
      <c r="M18" s="135"/>
      <c r="N18" s="115"/>
      <c r="O18" s="2"/>
      <c r="P18" s="2"/>
      <c r="Q18" s="2"/>
      <c r="R18" s="2"/>
      <c r="S18" s="2"/>
      <c r="T18" s="134"/>
    </row>
    <row x14ac:dyDescent="0.25" r="19" customHeight="1" ht="13.5">
      <c r="A19" s="2"/>
      <c r="B19" s="115"/>
      <c r="C19" s="115"/>
      <c r="D19" s="115"/>
      <c r="E19" s="148" t="s">
        <v>304</v>
      </c>
      <c r="F19" s="135"/>
      <c r="G19" s="149">
        <v>60.765625</v>
      </c>
      <c r="H19" s="149"/>
      <c r="I19" s="142"/>
      <c r="J19" s="135"/>
      <c r="K19" s="135"/>
      <c r="L19" s="135"/>
      <c r="M19" s="135"/>
      <c r="N19" s="115"/>
      <c r="O19" s="2"/>
      <c r="P19" s="2"/>
      <c r="Q19" s="2"/>
      <c r="R19" s="2"/>
      <c r="S19" s="2"/>
      <c r="T19" s="134"/>
    </row>
    <row x14ac:dyDescent="0.25" r="20" customHeight="1" ht="13.5">
      <c r="A20" s="2"/>
      <c r="B20" s="115"/>
      <c r="C20" s="115"/>
      <c r="D20" s="115"/>
      <c r="E20" s="135"/>
      <c r="F20" s="135"/>
      <c r="G20" s="144"/>
      <c r="H20" s="150"/>
      <c r="I20" s="150"/>
      <c r="J20" s="135"/>
      <c r="K20" s="135"/>
      <c r="L20" s="135"/>
      <c r="M20" s="135"/>
      <c r="N20" s="115"/>
      <c r="O20" s="2"/>
      <c r="P20" s="2"/>
      <c r="Q20" s="2"/>
      <c r="R20" s="2"/>
      <c r="S20" s="2"/>
      <c r="T20" s="134"/>
    </row>
    <row x14ac:dyDescent="0.25" r="21" customHeight="1" ht="13.5">
      <c r="A21" s="2"/>
      <c r="B21" s="115"/>
      <c r="C21" s="115"/>
      <c r="D21" s="115"/>
      <c r="E21" s="115"/>
      <c r="F21" s="115"/>
      <c r="G21" s="115"/>
      <c r="H21" s="115"/>
      <c r="I21" s="115"/>
      <c r="J21" s="115"/>
      <c r="K21" s="115"/>
      <c r="L21" s="115"/>
      <c r="M21" s="115"/>
      <c r="N21" s="115"/>
      <c r="O21" s="2"/>
      <c r="P21" s="2"/>
      <c r="Q21" s="2"/>
      <c r="R21" s="2"/>
      <c r="S21" s="2"/>
      <c r="T21" s="134"/>
    </row>
    <row x14ac:dyDescent="0.25" r="22" customHeight="1" ht="13.5">
      <c r="A22" s="2"/>
      <c r="B22" s="115"/>
      <c r="C22" s="115"/>
      <c r="D22" s="115"/>
      <c r="E22" s="115"/>
      <c r="F22" s="136"/>
      <c r="G22" s="115"/>
      <c r="H22" s="115"/>
      <c r="I22" s="115"/>
      <c r="J22" s="115"/>
      <c r="K22" s="115"/>
      <c r="L22" s="115"/>
      <c r="M22" s="115"/>
      <c r="N22" s="115"/>
      <c r="O22" s="2"/>
      <c r="P22" s="2"/>
      <c r="Q22" s="2"/>
      <c r="R22" s="2"/>
      <c r="S22" s="2"/>
      <c r="T22" s="134"/>
    </row>
    <row x14ac:dyDescent="0.25" r="23" customHeight="1" ht="13.5">
      <c r="A23" s="2"/>
      <c r="B23" s="115"/>
      <c r="C23" s="115"/>
      <c r="D23" s="115"/>
      <c r="E23" s="115"/>
      <c r="F23" s="115"/>
      <c r="G23" s="115"/>
      <c r="H23" s="115"/>
      <c r="I23" s="115"/>
      <c r="J23" s="115"/>
      <c r="K23" s="115"/>
      <c r="L23" s="115"/>
      <c r="M23" s="115"/>
      <c r="N23" s="115"/>
      <c r="O23" s="2"/>
      <c r="P23" s="2"/>
      <c r="Q23" s="2"/>
      <c r="R23" s="2"/>
      <c r="S23" s="2"/>
      <c r="T23" s="134"/>
    </row>
    <row x14ac:dyDescent="0.25" r="24" customHeight="1" ht="13.5">
      <c r="A24" s="2"/>
      <c r="B24" s="116"/>
      <c r="C24" s="115"/>
      <c r="D24" s="117"/>
      <c r="E24" s="115"/>
      <c r="F24" s="115"/>
      <c r="G24" s="115"/>
      <c r="H24" s="115"/>
      <c r="I24" s="115"/>
      <c r="J24" s="115"/>
      <c r="K24" s="115"/>
      <c r="L24" s="115"/>
      <c r="M24" s="115"/>
      <c r="N24" s="115"/>
      <c r="O24" s="2"/>
      <c r="P24" s="2"/>
      <c r="Q24" s="2"/>
      <c r="R24" s="2"/>
      <c r="S24" s="2"/>
      <c r="T24" s="134"/>
    </row>
    <row x14ac:dyDescent="0.25" r="25" customHeight="1" ht="13.5">
      <c r="A25" s="2"/>
      <c r="B25" s="115"/>
      <c r="C25" s="115"/>
      <c r="D25" s="115"/>
      <c r="E25" s="115"/>
      <c r="F25" s="115"/>
      <c r="G25" s="115"/>
      <c r="H25" s="115"/>
      <c r="I25" s="115"/>
      <c r="J25" s="115"/>
      <c r="K25" s="115"/>
      <c r="L25" s="115"/>
      <c r="M25" s="115"/>
      <c r="N25" s="115"/>
      <c r="O25" s="2"/>
      <c r="P25" s="2"/>
      <c r="Q25" s="2"/>
      <c r="R25" s="2"/>
      <c r="S25" s="2"/>
      <c r="T25" s="134"/>
    </row>
    <row x14ac:dyDescent="0.25" r="26" customHeight="1" ht="13.5">
      <c r="A26" s="2"/>
      <c r="B26" s="115"/>
      <c r="C26" s="115"/>
      <c r="D26" s="115"/>
      <c r="E26" s="115"/>
      <c r="F26" s="115"/>
      <c r="G26" s="115"/>
      <c r="H26" s="115"/>
      <c r="I26" s="115"/>
      <c r="J26" s="115"/>
      <c r="K26" s="115"/>
      <c r="L26" s="115"/>
      <c r="M26" s="115"/>
      <c r="N26" s="115"/>
      <c r="O26" s="2"/>
      <c r="P26" s="2"/>
      <c r="Q26" s="2"/>
      <c r="R26" s="2"/>
      <c r="S26" s="2"/>
      <c r="T26" s="134"/>
    </row>
    <row x14ac:dyDescent="0.25" r="27" customHeight="1" ht="13.5">
      <c r="A27" s="2"/>
      <c r="B27" s="115"/>
      <c r="C27" s="115"/>
      <c r="D27" s="115"/>
      <c r="E27" s="115"/>
      <c r="F27" s="115"/>
      <c r="G27" s="115"/>
      <c r="H27" s="115"/>
      <c r="I27" s="115"/>
      <c r="J27" s="115"/>
      <c r="K27" s="115"/>
      <c r="L27" s="115"/>
      <c r="M27" s="115"/>
      <c r="N27" s="115"/>
      <c r="O27" s="2"/>
      <c r="P27" s="2"/>
      <c r="Q27" s="2"/>
      <c r="R27" s="2"/>
      <c r="S27" s="2"/>
      <c r="T27" s="134"/>
    </row>
    <row x14ac:dyDescent="0.25" r="28" customHeight="1" ht="13.5">
      <c r="A28" s="2"/>
      <c r="B28" s="115"/>
      <c r="C28" s="115"/>
      <c r="D28" s="115"/>
      <c r="E28" s="115"/>
      <c r="F28" s="115"/>
      <c r="G28" s="115"/>
      <c r="H28" s="115"/>
      <c r="I28" s="115"/>
      <c r="J28" s="115"/>
      <c r="K28" s="115"/>
      <c r="L28" s="115"/>
      <c r="M28" s="115"/>
      <c r="N28" s="115"/>
      <c r="O28" s="2"/>
      <c r="P28" s="2"/>
      <c r="Q28" s="2"/>
      <c r="R28" s="2"/>
      <c r="S28" s="2"/>
      <c r="T28" s="134"/>
    </row>
    <row x14ac:dyDescent="0.25" r="29" customHeight="1" ht="13.5">
      <c r="A29" s="2"/>
      <c r="B29" s="115"/>
      <c r="C29" s="115"/>
      <c r="D29" s="115"/>
      <c r="E29" s="115"/>
      <c r="F29" s="115"/>
      <c r="G29" s="115"/>
      <c r="H29" s="115"/>
      <c r="I29" s="115"/>
      <c r="J29" s="115"/>
      <c r="K29" s="115"/>
      <c r="L29" s="115"/>
      <c r="M29" s="115"/>
      <c r="N29" s="115"/>
      <c r="O29" s="2"/>
      <c r="P29" s="2"/>
      <c r="Q29" s="2"/>
      <c r="R29" s="2"/>
      <c r="S29" s="2"/>
      <c r="T29" s="134"/>
    </row>
    <row x14ac:dyDescent="0.25" r="30" customHeight="1" ht="13.5">
      <c r="A30" s="2"/>
      <c r="B30" s="115"/>
      <c r="C30" s="115"/>
      <c r="D30" s="115"/>
      <c r="E30" s="115"/>
      <c r="F30" s="115"/>
      <c r="G30" s="115"/>
      <c r="H30" s="115"/>
      <c r="I30" s="115"/>
      <c r="J30" s="115"/>
      <c r="K30" s="115"/>
      <c r="L30" s="115"/>
      <c r="M30" s="115"/>
      <c r="N30" s="115"/>
      <c r="O30" s="2"/>
      <c r="P30" s="2"/>
      <c r="Q30" s="2"/>
      <c r="R30" s="2"/>
      <c r="S30" s="2"/>
      <c r="T30" s="134"/>
    </row>
    <row x14ac:dyDescent="0.25" r="31" customHeight="1" ht="13.5">
      <c r="A31" s="2"/>
      <c r="B31" s="115"/>
      <c r="C31" s="115"/>
      <c r="D31" s="115"/>
      <c r="E31" s="115"/>
      <c r="F31" s="115"/>
      <c r="G31" s="115"/>
      <c r="H31" s="115"/>
      <c r="I31" s="115"/>
      <c r="J31" s="115"/>
      <c r="K31" s="115"/>
      <c r="L31" s="115"/>
      <c r="M31" s="115"/>
      <c r="N31" s="115"/>
      <c r="O31" s="2"/>
      <c r="P31" s="2"/>
      <c r="Q31" s="2"/>
      <c r="R31" s="2"/>
      <c r="S31" s="2"/>
      <c r="T31" s="134"/>
    </row>
    <row x14ac:dyDescent="0.25" r="32" customHeight="1" ht="13.5">
      <c r="A32" s="2"/>
      <c r="B32" s="115"/>
      <c r="C32" s="115"/>
      <c r="D32" s="115"/>
      <c r="E32" s="115"/>
      <c r="F32" s="115"/>
      <c r="G32" s="115"/>
      <c r="H32" s="115"/>
      <c r="I32" s="115"/>
      <c r="J32" s="115"/>
      <c r="K32" s="115"/>
      <c r="L32" s="115"/>
      <c r="M32" s="115"/>
      <c r="N32" s="115"/>
      <c r="O32" s="2"/>
      <c r="P32" s="2"/>
      <c r="Q32" s="2"/>
      <c r="R32" s="2"/>
      <c r="S32" s="2"/>
      <c r="T32" s="134"/>
    </row>
    <row x14ac:dyDescent="0.25" r="33" customHeight="1" ht="13.5">
      <c r="A33" s="2"/>
      <c r="B33" s="115"/>
      <c r="C33" s="115"/>
      <c r="D33" s="115"/>
      <c r="E33" s="115"/>
      <c r="F33" s="115"/>
      <c r="G33" s="115"/>
      <c r="H33" s="115"/>
      <c r="I33" s="115"/>
      <c r="J33" s="115"/>
      <c r="K33" s="115"/>
      <c r="L33" s="115"/>
      <c r="M33" s="115"/>
      <c r="N33" s="115"/>
      <c r="O33" s="2"/>
      <c r="P33" s="2"/>
      <c r="Q33" s="2"/>
      <c r="R33" s="2"/>
      <c r="S33" s="2"/>
      <c r="T33" s="134"/>
    </row>
    <row x14ac:dyDescent="0.25" r="34" customHeight="1" ht="18.75">
      <c r="A34" s="2"/>
      <c r="B34" s="2"/>
      <c r="C34" s="2"/>
      <c r="D34" s="2"/>
      <c r="E34" s="2"/>
      <c r="F34" s="2"/>
      <c r="G34" s="142"/>
      <c r="H34" s="2"/>
      <c r="I34" s="142"/>
      <c r="J34" s="2"/>
      <c r="K34" s="2"/>
      <c r="L34" s="2"/>
      <c r="M34" s="2"/>
      <c r="N34" s="2"/>
      <c r="O34" s="2"/>
      <c r="P34" s="2"/>
      <c r="Q34" s="2"/>
      <c r="R34" s="2"/>
      <c r="S34" s="2"/>
      <c r="T34" s="134"/>
    </row>
    <row x14ac:dyDescent="0.25" r="35" customHeight="1" ht="18.75">
      <c r="A35" s="2"/>
      <c r="B35" s="2"/>
      <c r="C35" s="2"/>
      <c r="D35" s="2"/>
      <c r="E35" s="2"/>
      <c r="F35" s="2"/>
      <c r="G35" s="142"/>
      <c r="H35" s="2"/>
      <c r="I35" s="142"/>
      <c r="J35" s="2"/>
      <c r="K35" s="2"/>
      <c r="L35" s="2"/>
      <c r="M35" s="2"/>
      <c r="N35" s="2"/>
      <c r="O35" s="2"/>
      <c r="P35" s="2"/>
      <c r="Q35" s="2"/>
      <c r="R35" s="2"/>
      <c r="S35" s="2"/>
      <c r="T35" s="134"/>
    </row>
    <row x14ac:dyDescent="0.25" r="36" customHeight="1" ht="18.75">
      <c r="A36" s="2"/>
      <c r="B36" s="2"/>
      <c r="C36" s="2"/>
      <c r="D36" s="2"/>
      <c r="E36" s="2"/>
      <c r="F36" s="2"/>
      <c r="G36" s="142"/>
      <c r="H36" s="2"/>
      <c r="I36" s="142"/>
      <c r="J36" s="2"/>
      <c r="K36" s="2"/>
      <c r="L36" s="2"/>
      <c r="M36" s="2"/>
      <c r="N36" s="2"/>
      <c r="O36" s="2"/>
      <c r="P36" s="2"/>
      <c r="Q36" s="2"/>
      <c r="R36" s="2"/>
      <c r="S36" s="2"/>
      <c r="T36" s="134"/>
    </row>
    <row x14ac:dyDescent="0.25" r="37" customHeight="1" ht="18.75">
      <c r="A37" s="2"/>
      <c r="B37" s="2"/>
      <c r="C37" s="2"/>
      <c r="D37" s="2"/>
      <c r="E37" s="2"/>
      <c r="F37" s="2"/>
      <c r="G37" s="142"/>
      <c r="H37" s="2"/>
      <c r="I37" s="142"/>
      <c r="J37" s="2"/>
      <c r="K37" s="2"/>
      <c r="L37" s="2"/>
      <c r="M37" s="2"/>
      <c r="N37" s="2"/>
      <c r="O37" s="2"/>
      <c r="P37" s="2"/>
      <c r="Q37" s="2"/>
      <c r="R37" s="2"/>
      <c r="S37" s="2"/>
      <c r="T37" s="134"/>
    </row>
    <row x14ac:dyDescent="0.25" r="38" customHeight="1" ht="18.75">
      <c r="A38" s="2"/>
      <c r="B38" s="2"/>
      <c r="C38" s="2"/>
      <c r="D38" s="2"/>
      <c r="E38" s="2"/>
      <c r="F38" s="2"/>
      <c r="G38" s="142"/>
      <c r="H38" s="2"/>
      <c r="I38" s="142"/>
      <c r="J38" s="2"/>
      <c r="K38" s="2"/>
      <c r="L38" s="2"/>
      <c r="M38" s="2"/>
      <c r="N38" s="2"/>
      <c r="O38" s="2"/>
      <c r="P38" s="2"/>
      <c r="Q38" s="2"/>
      <c r="R38" s="2"/>
      <c r="S38" s="2"/>
      <c r="T38" s="134"/>
    </row>
    <row x14ac:dyDescent="0.25" r="39" customHeight="1" ht="18.75">
      <c r="A39" s="2"/>
      <c r="B39" s="2"/>
      <c r="C39" s="2"/>
      <c r="D39" s="2"/>
      <c r="E39" s="2"/>
      <c r="F39" s="2"/>
      <c r="G39" s="142"/>
      <c r="H39" s="2"/>
      <c r="I39" s="142"/>
      <c r="J39" s="2"/>
      <c r="K39" s="2"/>
      <c r="L39" s="2"/>
      <c r="M39" s="2"/>
      <c r="N39" s="2"/>
      <c r="O39" s="2"/>
      <c r="P39" s="2"/>
      <c r="Q39" s="2"/>
      <c r="R39" s="2"/>
      <c r="S39" s="2"/>
      <c r="T39" s="134"/>
    </row>
    <row x14ac:dyDescent="0.25" r="40" customHeight="1" ht="18.75">
      <c r="A40" s="2"/>
      <c r="B40" s="2"/>
      <c r="C40" s="2"/>
      <c r="D40" s="2"/>
      <c r="E40" s="2"/>
      <c r="F40" s="2"/>
      <c r="G40" s="142"/>
      <c r="H40" s="2"/>
      <c r="I40" s="142"/>
      <c r="J40" s="2"/>
      <c r="K40" s="2"/>
      <c r="L40" s="2"/>
      <c r="M40" s="2"/>
      <c r="N40" s="2"/>
      <c r="O40" s="2"/>
      <c r="P40" s="2"/>
      <c r="Q40" s="2"/>
      <c r="R40" s="2"/>
      <c r="S40" s="2"/>
      <c r="T40" s="134"/>
    </row>
    <row x14ac:dyDescent="0.25" r="41" customHeight="1" ht="18.75">
      <c r="A41" s="2"/>
      <c r="B41" s="2"/>
      <c r="C41" s="2"/>
      <c r="D41" s="2"/>
      <c r="E41" s="2"/>
      <c r="F41" s="2"/>
      <c r="G41" s="142"/>
      <c r="H41" s="2"/>
      <c r="I41" s="142"/>
      <c r="J41" s="2"/>
      <c r="K41" s="2"/>
      <c r="L41" s="2"/>
      <c r="M41" s="2"/>
      <c r="N41" s="2"/>
      <c r="O41" s="2"/>
      <c r="P41" s="2"/>
      <c r="Q41" s="2"/>
      <c r="R41" s="2"/>
      <c r="S41" s="2"/>
      <c r="T41" s="134"/>
    </row>
    <row x14ac:dyDescent="0.25" r="42" customHeight="1" ht="18.75">
      <c r="A42" s="2"/>
      <c r="B42" s="2"/>
      <c r="C42" s="2"/>
      <c r="D42" s="2"/>
      <c r="E42" s="2"/>
      <c r="F42" s="2"/>
      <c r="G42" s="142"/>
      <c r="H42" s="2"/>
      <c r="I42" s="142"/>
      <c r="J42" s="2"/>
      <c r="K42" s="2"/>
      <c r="L42" s="2"/>
      <c r="M42" s="2"/>
      <c r="N42" s="2"/>
      <c r="O42" s="2"/>
      <c r="P42" s="2"/>
      <c r="Q42" s="2"/>
      <c r="R42" s="2"/>
      <c r="S42" s="2"/>
      <c r="T42" s="134"/>
    </row>
    <row x14ac:dyDescent="0.25" r="43" customHeight="1" ht="18.75">
      <c r="A43" s="2"/>
      <c r="B43" s="2"/>
      <c r="C43" s="2"/>
      <c r="D43" s="2"/>
      <c r="E43" s="2"/>
      <c r="F43" s="2"/>
      <c r="G43" s="142"/>
      <c r="H43" s="2"/>
      <c r="I43" s="142"/>
      <c r="J43" s="2"/>
      <c r="K43" s="2"/>
      <c r="L43" s="2"/>
      <c r="M43" s="2"/>
      <c r="N43" s="2"/>
      <c r="O43" s="2"/>
      <c r="P43" s="2"/>
      <c r="Q43" s="2"/>
      <c r="R43" s="2"/>
      <c r="S43" s="2"/>
      <c r="T43" s="134"/>
    </row>
    <row x14ac:dyDescent="0.25" r="44" customHeight="1" ht="18.75">
      <c r="A44" s="2"/>
      <c r="B44" s="2"/>
      <c r="C44" s="2"/>
      <c r="D44" s="2"/>
      <c r="E44" s="2"/>
      <c r="F44" s="2"/>
      <c r="G44" s="142"/>
      <c r="H44" s="2"/>
      <c r="I44" s="142"/>
      <c r="J44" s="2"/>
      <c r="K44" s="2"/>
      <c r="L44" s="2"/>
      <c r="M44" s="2"/>
      <c r="N44" s="2"/>
      <c r="O44" s="2"/>
      <c r="P44" s="2"/>
      <c r="Q44" s="2"/>
      <c r="R44" s="2"/>
      <c r="S44" s="2"/>
      <c r="T44" s="134"/>
    </row>
    <row x14ac:dyDescent="0.25" r="45" customHeight="1" ht="18.75">
      <c r="A45" s="2"/>
      <c r="B45" s="2"/>
      <c r="C45" s="2"/>
      <c r="D45" s="2"/>
      <c r="E45" s="2"/>
      <c r="F45" s="2"/>
      <c r="G45" s="142"/>
      <c r="H45" s="2"/>
      <c r="I45" s="142"/>
      <c r="J45" s="2"/>
      <c r="K45" s="2"/>
      <c r="L45" s="2"/>
      <c r="M45" s="2"/>
      <c r="N45" s="2"/>
      <c r="O45" s="2"/>
      <c r="P45" s="2"/>
      <c r="Q45" s="2"/>
      <c r="R45" s="2"/>
      <c r="S45" s="2"/>
      <c r="T45" s="134"/>
    </row>
    <row x14ac:dyDescent="0.25" r="46" customHeight="1" ht="18.75">
      <c r="A46" s="2"/>
      <c r="B46" s="2"/>
      <c r="C46" s="2"/>
      <c r="D46" s="2"/>
      <c r="E46" s="2"/>
      <c r="F46" s="2"/>
      <c r="G46" s="142"/>
      <c r="H46" s="2"/>
      <c r="I46" s="142"/>
      <c r="J46" s="2"/>
      <c r="K46" s="2"/>
      <c r="L46" s="2"/>
      <c r="M46" s="2"/>
      <c r="N46" s="2"/>
      <c r="O46" s="2"/>
      <c r="P46" s="2"/>
      <c r="Q46" s="2"/>
      <c r="R46" s="2"/>
      <c r="S46" s="2"/>
      <c r="T46" s="134"/>
    </row>
    <row x14ac:dyDescent="0.25" r="47" customHeight="1" ht="18.75">
      <c r="A47" s="2"/>
      <c r="B47" s="2"/>
      <c r="C47" s="2"/>
      <c r="D47" s="2"/>
      <c r="E47" s="2"/>
      <c r="F47" s="2"/>
      <c r="G47" s="142"/>
      <c r="H47" s="2"/>
      <c r="I47" s="142"/>
      <c r="J47" s="2"/>
      <c r="K47" s="2"/>
      <c r="L47" s="2"/>
      <c r="M47" s="2"/>
      <c r="N47" s="2"/>
      <c r="O47" s="2"/>
      <c r="P47" s="2"/>
      <c r="Q47" s="2"/>
      <c r="R47" s="2"/>
      <c r="S47" s="2"/>
      <c r="T47" s="134"/>
    </row>
    <row x14ac:dyDescent="0.25" r="48" customHeight="1" ht="18.75">
      <c r="A48" s="2"/>
      <c r="B48" s="2"/>
      <c r="C48" s="2"/>
      <c r="D48" s="2"/>
      <c r="E48" s="2"/>
      <c r="F48" s="2"/>
      <c r="G48" s="142"/>
      <c r="H48" s="2"/>
      <c r="I48" s="142"/>
      <c r="J48" s="2"/>
      <c r="K48" s="2"/>
      <c r="L48" s="2"/>
      <c r="M48" s="2"/>
      <c r="N48" s="2"/>
      <c r="O48" s="2"/>
      <c r="P48" s="2"/>
      <c r="Q48" s="2"/>
      <c r="R48" s="2"/>
      <c r="S48" s="2"/>
      <c r="T48" s="134"/>
    </row>
    <row x14ac:dyDescent="0.25" r="49" customHeight="1" ht="18.75">
      <c r="A49" s="2"/>
      <c r="B49" s="2"/>
      <c r="C49" s="2"/>
      <c r="D49" s="2"/>
      <c r="E49" s="2"/>
      <c r="F49" s="2"/>
      <c r="G49" s="142"/>
      <c r="H49" s="2"/>
      <c r="I49" s="142"/>
      <c r="J49" s="2"/>
      <c r="K49" s="2"/>
      <c r="L49" s="2"/>
      <c r="M49" s="2"/>
      <c r="N49" s="2"/>
      <c r="O49" s="2"/>
      <c r="P49" s="2"/>
      <c r="Q49" s="2"/>
      <c r="R49" s="2"/>
      <c r="S49" s="2"/>
      <c r="T49" s="134"/>
    </row>
    <row x14ac:dyDescent="0.25" r="50" customHeight="1" ht="18.75">
      <c r="A50" s="2"/>
      <c r="B50" s="2"/>
      <c r="C50" s="2"/>
      <c r="D50" s="2"/>
      <c r="E50" s="2"/>
      <c r="F50" s="2"/>
      <c r="G50" s="142"/>
      <c r="H50" s="2"/>
      <c r="I50" s="142"/>
      <c r="J50" s="2"/>
      <c r="K50" s="2"/>
      <c r="L50" s="2"/>
      <c r="M50" s="2"/>
      <c r="N50" s="2"/>
      <c r="O50" s="2"/>
      <c r="P50" s="2"/>
      <c r="Q50" s="2"/>
      <c r="R50" s="2"/>
      <c r="S50" s="2"/>
      <c r="T50" s="134"/>
    </row>
    <row x14ac:dyDescent="0.25" r="51" customHeight="1" ht="18.75">
      <c r="A51" s="2"/>
      <c r="B51" s="2"/>
      <c r="C51" s="2"/>
      <c r="D51" s="2"/>
      <c r="E51" s="2"/>
      <c r="F51" s="2"/>
      <c r="G51" s="142"/>
      <c r="H51" s="2"/>
      <c r="I51" s="142"/>
      <c r="J51" s="2"/>
      <c r="K51" s="2"/>
      <c r="L51" s="2"/>
      <c r="M51" s="2"/>
      <c r="N51" s="2"/>
      <c r="O51" s="2"/>
      <c r="P51" s="2"/>
      <c r="Q51" s="2"/>
      <c r="R51" s="2"/>
      <c r="S51" s="2"/>
      <c r="T51" s="134"/>
    </row>
    <row x14ac:dyDescent="0.25" r="52" customHeight="1" ht="18.75">
      <c r="A52" s="2"/>
      <c r="B52" s="2"/>
      <c r="C52" s="2"/>
      <c r="D52" s="2"/>
      <c r="E52" s="2"/>
      <c r="F52" s="2"/>
      <c r="G52" s="142"/>
      <c r="H52" s="2"/>
      <c r="I52" s="142"/>
      <c r="J52" s="2"/>
      <c r="K52" s="2"/>
      <c r="L52" s="2"/>
      <c r="M52" s="2"/>
      <c r="N52" s="2"/>
      <c r="O52" s="2"/>
      <c r="P52" s="2"/>
      <c r="Q52" s="2"/>
      <c r="R52" s="2"/>
      <c r="S52" s="2"/>
      <c r="T52" s="134"/>
    </row>
    <row x14ac:dyDescent="0.25" r="53" customHeight="1" ht="18.75">
      <c r="A53" s="2"/>
      <c r="B53" s="2"/>
      <c r="C53" s="2"/>
      <c r="D53" s="2"/>
      <c r="E53" s="2"/>
      <c r="F53" s="2"/>
      <c r="G53" s="142"/>
      <c r="H53" s="2"/>
      <c r="I53" s="142"/>
      <c r="J53" s="2"/>
      <c r="K53" s="2"/>
      <c r="L53" s="2"/>
      <c r="M53" s="2"/>
      <c r="N53" s="2"/>
      <c r="O53" s="2"/>
      <c r="P53" s="2"/>
      <c r="Q53" s="2"/>
      <c r="R53" s="2"/>
      <c r="S53" s="2"/>
      <c r="T53" s="134"/>
    </row>
    <row x14ac:dyDescent="0.25" r="54" customHeight="1" ht="18.75">
      <c r="A54" s="2"/>
      <c r="B54" s="2"/>
      <c r="C54" s="2"/>
      <c r="D54" s="2"/>
      <c r="E54" s="2"/>
      <c r="F54" s="2"/>
      <c r="G54" s="142"/>
      <c r="H54" s="2"/>
      <c r="I54" s="142"/>
      <c r="J54" s="2"/>
      <c r="K54" s="2"/>
      <c r="L54" s="2"/>
      <c r="M54" s="2"/>
      <c r="N54" s="2"/>
      <c r="O54" s="2"/>
      <c r="P54" s="2"/>
      <c r="Q54" s="2"/>
      <c r="R54" s="2"/>
      <c r="S54" s="2"/>
      <c r="T54" s="134"/>
    </row>
    <row x14ac:dyDescent="0.25" r="55" customHeight="1" ht="18.75">
      <c r="A55" s="2"/>
      <c r="B55" s="2"/>
      <c r="C55" s="2"/>
      <c r="D55" s="2"/>
      <c r="E55" s="2"/>
      <c r="F55" s="2"/>
      <c r="G55" s="142"/>
      <c r="H55" s="2"/>
      <c r="I55" s="142"/>
      <c r="J55" s="2"/>
      <c r="K55" s="2"/>
      <c r="L55" s="2"/>
      <c r="M55" s="2"/>
      <c r="N55" s="2"/>
      <c r="O55" s="2"/>
      <c r="P55" s="2"/>
      <c r="Q55" s="2"/>
      <c r="R55" s="2"/>
      <c r="S55" s="2"/>
      <c r="T55" s="134"/>
    </row>
    <row x14ac:dyDescent="0.25" r="56" customHeight="1" ht="18.75">
      <c r="A56" s="2"/>
      <c r="B56" s="2"/>
      <c r="C56" s="2"/>
      <c r="D56" s="2"/>
      <c r="E56" s="2"/>
      <c r="F56" s="2"/>
      <c r="G56" s="142"/>
      <c r="H56" s="2"/>
      <c r="I56" s="142"/>
      <c r="J56" s="2"/>
      <c r="K56" s="2"/>
      <c r="L56" s="2"/>
      <c r="M56" s="2"/>
      <c r="N56" s="2"/>
      <c r="O56" s="2"/>
      <c r="P56" s="2"/>
      <c r="Q56" s="2"/>
      <c r="R56" s="2"/>
      <c r="S56" s="2"/>
      <c r="T56" s="134"/>
    </row>
    <row x14ac:dyDescent="0.25" r="57" customHeight="1" ht="18.75">
      <c r="A57" s="2"/>
      <c r="B57" s="2"/>
      <c r="C57" s="2"/>
      <c r="D57" s="2"/>
      <c r="E57" s="2"/>
      <c r="F57" s="2"/>
      <c r="G57" s="142"/>
      <c r="H57" s="2"/>
      <c r="I57" s="142"/>
      <c r="J57" s="2"/>
      <c r="K57" s="2"/>
      <c r="L57" s="2"/>
      <c r="M57" s="2"/>
      <c r="N57" s="2"/>
      <c r="O57" s="2"/>
      <c r="P57" s="2"/>
      <c r="Q57" s="2"/>
      <c r="R57" s="2"/>
      <c r="S57" s="2"/>
      <c r="T57" s="134"/>
    </row>
    <row x14ac:dyDescent="0.25" r="58" customHeight="1" ht="18.75">
      <c r="A58" s="2"/>
      <c r="B58" s="2"/>
      <c r="C58" s="2"/>
      <c r="D58" s="2"/>
      <c r="E58" s="2"/>
      <c r="F58" s="2"/>
      <c r="G58" s="142"/>
      <c r="H58" s="2"/>
      <c r="I58" s="142"/>
      <c r="J58" s="2"/>
      <c r="K58" s="2"/>
      <c r="L58" s="2"/>
      <c r="M58" s="2"/>
      <c r="N58" s="2"/>
      <c r="O58" s="2"/>
      <c r="P58" s="2"/>
      <c r="Q58" s="2"/>
      <c r="R58" s="2"/>
      <c r="S58" s="2"/>
      <c r="T58" s="134"/>
    </row>
    <row x14ac:dyDescent="0.25" r="59" customHeight="1" ht="18.75">
      <c r="A59" s="2"/>
      <c r="B59" s="2"/>
      <c r="C59" s="2"/>
      <c r="D59" s="2"/>
      <c r="E59" s="2"/>
      <c r="F59" s="2"/>
      <c r="G59" s="142"/>
      <c r="H59" s="2"/>
      <c r="I59" s="142"/>
      <c r="J59" s="2"/>
      <c r="K59" s="2"/>
      <c r="L59" s="2"/>
      <c r="M59" s="2"/>
      <c r="N59" s="2"/>
      <c r="O59" s="2"/>
      <c r="P59" s="2"/>
      <c r="Q59" s="2"/>
      <c r="R59" s="2"/>
      <c r="S59" s="2"/>
      <c r="T59" s="134"/>
    </row>
    <row x14ac:dyDescent="0.25" r="60" customHeight="1" ht="18.75">
      <c r="A60" s="2"/>
      <c r="B60" s="2"/>
      <c r="C60" s="2"/>
      <c r="D60" s="2"/>
      <c r="E60" s="2"/>
      <c r="F60" s="2"/>
      <c r="G60" s="142"/>
      <c r="H60" s="2"/>
      <c r="I60" s="142"/>
      <c r="J60" s="2"/>
      <c r="K60" s="2"/>
      <c r="L60" s="2"/>
      <c r="M60" s="2"/>
      <c r="N60" s="2"/>
      <c r="O60" s="2"/>
      <c r="P60" s="2"/>
      <c r="Q60" s="2"/>
      <c r="R60" s="2"/>
      <c r="S60" s="2"/>
      <c r="T60" s="134"/>
    </row>
    <row x14ac:dyDescent="0.25" r="61" customHeight="1" ht="18.75">
      <c r="A61" s="2"/>
      <c r="B61" s="2"/>
      <c r="C61" s="2"/>
      <c r="D61" s="2"/>
      <c r="E61" s="2"/>
      <c r="F61" s="2"/>
      <c r="G61" s="142"/>
      <c r="H61" s="2"/>
      <c r="I61" s="142"/>
      <c r="J61" s="2"/>
      <c r="K61" s="2"/>
      <c r="L61" s="2"/>
      <c r="M61" s="2"/>
      <c r="N61" s="2"/>
      <c r="O61" s="2"/>
      <c r="P61" s="2"/>
      <c r="Q61" s="2"/>
      <c r="R61" s="2"/>
      <c r="S61" s="2"/>
      <c r="T61" s="134"/>
    </row>
    <row x14ac:dyDescent="0.25" r="62" customHeight="1" ht="18.75">
      <c r="A62" s="2"/>
      <c r="B62" s="2"/>
      <c r="C62" s="2"/>
      <c r="D62" s="2"/>
      <c r="E62" s="2"/>
      <c r="F62" s="2"/>
      <c r="G62" s="142"/>
      <c r="H62" s="2"/>
      <c r="I62" s="142"/>
      <c r="J62" s="2"/>
      <c r="K62" s="2"/>
      <c r="L62" s="2"/>
      <c r="M62" s="2"/>
      <c r="N62" s="2"/>
      <c r="O62" s="2"/>
      <c r="P62" s="2"/>
      <c r="Q62" s="2"/>
      <c r="R62" s="2"/>
      <c r="S62" s="2"/>
      <c r="T62" s="134"/>
    </row>
    <row x14ac:dyDescent="0.25" r="63" customHeight="1" ht="13.5">
      <c r="A63" s="2"/>
      <c r="B63" s="2"/>
      <c r="C63" s="2"/>
      <c r="D63" s="2"/>
      <c r="E63" s="2"/>
      <c r="F63" s="2"/>
      <c r="G63" s="142"/>
      <c r="H63" s="2"/>
      <c r="I63" s="142"/>
      <c r="J63" s="2"/>
      <c r="K63" s="2"/>
      <c r="L63" s="2"/>
      <c r="M63" s="2"/>
      <c r="N63" s="2"/>
      <c r="O63" s="2"/>
      <c r="P63" s="2"/>
      <c r="Q63" s="2"/>
      <c r="R63" s="2"/>
      <c r="S63" s="2"/>
      <c r="T63" s="115"/>
    </row>
    <row x14ac:dyDescent="0.25" r="64" customHeight="1" ht="13.5">
      <c r="A64" s="2"/>
      <c r="B64" s="2"/>
      <c r="C64" s="2"/>
      <c r="D64" s="2"/>
      <c r="E64" s="2"/>
      <c r="F64" s="2"/>
      <c r="G64" s="142"/>
      <c r="H64" s="2"/>
      <c r="I64" s="142"/>
      <c r="J64" s="2"/>
      <c r="K64" s="2"/>
      <c r="L64" s="2"/>
      <c r="M64" s="2"/>
      <c r="N64" s="2"/>
      <c r="O64" s="2"/>
      <c r="P64" s="2"/>
      <c r="Q64" s="2"/>
      <c r="R64" s="2"/>
      <c r="S64" s="2"/>
      <c r="T64" s="115"/>
    </row>
    <row x14ac:dyDescent="0.25" r="65" customHeight="1" ht="13.5">
      <c r="A65" s="2"/>
      <c r="B65" s="2"/>
      <c r="C65" s="2"/>
      <c r="D65" s="2"/>
      <c r="E65" s="2"/>
      <c r="F65" s="2"/>
      <c r="G65" s="142"/>
      <c r="H65" s="2"/>
      <c r="I65" s="142"/>
      <c r="J65" s="2"/>
      <c r="K65" s="2"/>
      <c r="L65" s="2"/>
      <c r="M65" s="2"/>
      <c r="N65" s="2"/>
      <c r="O65" s="2"/>
      <c r="P65" s="2"/>
      <c r="Q65" s="2"/>
      <c r="R65" s="2"/>
      <c r="S65" s="2"/>
      <c r="T65" s="115"/>
    </row>
    <row x14ac:dyDescent="0.25" r="66" customHeight="1" ht="13.5">
      <c r="A66" s="2"/>
      <c r="B66" s="2"/>
      <c r="C66" s="2"/>
      <c r="D66" s="2"/>
      <c r="E66" s="2"/>
      <c r="F66" s="2"/>
      <c r="G66" s="142"/>
      <c r="H66" s="2"/>
      <c r="I66" s="142"/>
      <c r="J66" s="2"/>
      <c r="K66" s="2"/>
      <c r="L66" s="2"/>
      <c r="M66" s="2"/>
      <c r="N66" s="2"/>
      <c r="O66" s="2"/>
      <c r="P66" s="2"/>
      <c r="Q66" s="2"/>
      <c r="R66" s="2"/>
      <c r="S66" s="2"/>
      <c r="T66" s="115"/>
    </row>
    <row x14ac:dyDescent="0.25" r="67" customHeight="1" ht="13.5">
      <c r="A67" s="2"/>
      <c r="B67" s="2"/>
      <c r="C67" s="2"/>
      <c r="D67" s="2"/>
      <c r="E67" s="2"/>
      <c r="F67" s="2"/>
      <c r="G67" s="142"/>
      <c r="H67" s="2"/>
      <c r="I67" s="142"/>
      <c r="J67" s="2"/>
      <c r="K67" s="2"/>
      <c r="L67" s="2"/>
      <c r="M67" s="2"/>
      <c r="N67" s="2"/>
      <c r="O67" s="2"/>
      <c r="P67" s="2"/>
      <c r="Q67" s="2"/>
      <c r="R67" s="2"/>
      <c r="S67" s="2"/>
      <c r="T67" s="115"/>
    </row>
    <row x14ac:dyDescent="0.25" r="68" customHeight="1" ht="13.5">
      <c r="A68" s="2"/>
      <c r="B68" s="2"/>
      <c r="C68" s="2"/>
      <c r="D68" s="2"/>
      <c r="E68" s="2"/>
      <c r="F68" s="2"/>
      <c r="G68" s="142"/>
      <c r="H68" s="2"/>
      <c r="I68" s="142"/>
      <c r="J68" s="2"/>
      <c r="K68" s="2"/>
      <c r="L68" s="2"/>
      <c r="M68" s="2"/>
      <c r="N68" s="2"/>
      <c r="O68" s="2"/>
      <c r="P68" s="2"/>
      <c r="Q68" s="2"/>
      <c r="R68" s="2"/>
      <c r="S68" s="2"/>
      <c r="T68" s="115"/>
    </row>
    <row x14ac:dyDescent="0.25" r="69" customHeight="1" ht="13.5">
      <c r="A69" s="2"/>
      <c r="B69" s="2"/>
      <c r="C69" s="2"/>
      <c r="D69" s="2"/>
      <c r="E69" s="2"/>
      <c r="F69" s="2"/>
      <c r="G69" s="142"/>
      <c r="H69" s="2"/>
      <c r="I69" s="142"/>
      <c r="J69" s="2"/>
      <c r="K69" s="2"/>
      <c r="L69" s="2"/>
      <c r="M69" s="2"/>
      <c r="N69" s="2"/>
      <c r="O69" s="2"/>
      <c r="P69" s="2"/>
      <c r="Q69" s="2"/>
      <c r="R69" s="2"/>
      <c r="S69" s="2"/>
      <c r="T69" s="115"/>
    </row>
    <row x14ac:dyDescent="0.25" r="70" customHeight="1" ht="13.5">
      <c r="A70" s="2"/>
      <c r="B70" s="2"/>
      <c r="C70" s="2"/>
      <c r="D70" s="2"/>
      <c r="E70" s="2"/>
      <c r="F70" s="2"/>
      <c r="G70" s="142"/>
      <c r="H70" s="2"/>
      <c r="I70" s="142"/>
      <c r="J70" s="2"/>
      <c r="K70" s="2"/>
      <c r="L70" s="2"/>
      <c r="M70" s="2"/>
      <c r="N70" s="2"/>
      <c r="O70" s="2"/>
      <c r="P70" s="2"/>
      <c r="Q70" s="2"/>
      <c r="R70" s="2"/>
      <c r="S70" s="2"/>
      <c r="T70" s="115"/>
    </row>
    <row x14ac:dyDescent="0.25" r="71" customHeight="1" ht="13.5">
      <c r="A71" s="2"/>
      <c r="B71" s="2"/>
      <c r="C71" s="2"/>
      <c r="D71" s="2"/>
      <c r="E71" s="2"/>
      <c r="F71" s="2"/>
      <c r="G71" s="142"/>
      <c r="H71" s="2"/>
      <c r="I71" s="142"/>
      <c r="J71" s="2"/>
      <c r="K71" s="2"/>
      <c r="L71" s="2"/>
      <c r="M71" s="2"/>
      <c r="N71" s="2"/>
      <c r="O71" s="2"/>
      <c r="P71" s="2"/>
      <c r="Q71" s="2"/>
      <c r="R71" s="2"/>
      <c r="S71" s="2"/>
      <c r="T71" s="115"/>
    </row>
    <row x14ac:dyDescent="0.25" r="72" customHeight="1" ht="13.5">
      <c r="A72" s="2"/>
      <c r="B72" s="2"/>
      <c r="C72" s="2"/>
      <c r="D72" s="2"/>
      <c r="E72" s="2"/>
      <c r="F72" s="2"/>
      <c r="G72" s="142"/>
      <c r="H72" s="2"/>
      <c r="I72" s="142"/>
      <c r="J72" s="2"/>
      <c r="K72" s="2"/>
      <c r="L72" s="2"/>
      <c r="M72" s="2"/>
      <c r="N72" s="2"/>
      <c r="O72" s="2"/>
      <c r="P72" s="2"/>
      <c r="Q72" s="2"/>
      <c r="R72" s="2"/>
      <c r="S72" s="2"/>
      <c r="T72" s="115"/>
    </row>
    <row x14ac:dyDescent="0.25" r="73" customHeight="1" ht="13.5">
      <c r="A73" s="2"/>
      <c r="B73" s="2"/>
      <c r="C73" s="2"/>
      <c r="D73" s="2"/>
      <c r="E73" s="2"/>
      <c r="F73" s="2"/>
      <c r="G73" s="142"/>
      <c r="H73" s="2"/>
      <c r="I73" s="142"/>
      <c r="J73" s="2"/>
      <c r="K73" s="2"/>
      <c r="L73" s="2"/>
      <c r="M73" s="2"/>
      <c r="N73" s="2"/>
      <c r="O73" s="2"/>
      <c r="P73" s="2"/>
      <c r="Q73" s="2"/>
      <c r="R73" s="2"/>
      <c r="S73" s="2"/>
      <c r="T73" s="115"/>
    </row>
    <row x14ac:dyDescent="0.25" r="74" customHeight="1" ht="13.5">
      <c r="A74" s="2"/>
      <c r="B74" s="2"/>
      <c r="C74" s="2"/>
      <c r="D74" s="2"/>
      <c r="E74" s="2"/>
      <c r="F74" s="2"/>
      <c r="G74" s="142"/>
      <c r="H74" s="2"/>
      <c r="I74" s="142"/>
      <c r="J74" s="2"/>
      <c r="K74" s="2"/>
      <c r="L74" s="2"/>
      <c r="M74" s="2"/>
      <c r="N74" s="2"/>
      <c r="O74" s="2"/>
      <c r="P74" s="2"/>
      <c r="Q74" s="2"/>
      <c r="R74" s="2"/>
      <c r="S74" s="2"/>
      <c r="T74" s="115"/>
    </row>
    <row x14ac:dyDescent="0.25" r="75" customHeight="1" ht="13.5">
      <c r="A75" s="2"/>
      <c r="B75" s="2"/>
      <c r="C75" s="2"/>
      <c r="D75" s="2"/>
      <c r="E75" s="2"/>
      <c r="F75" s="2"/>
      <c r="G75" s="142"/>
      <c r="H75" s="2"/>
      <c r="I75" s="142"/>
      <c r="J75" s="2"/>
      <c r="K75" s="2"/>
      <c r="L75" s="2"/>
      <c r="M75" s="2"/>
      <c r="N75" s="2"/>
      <c r="O75" s="2"/>
      <c r="P75" s="2"/>
      <c r="Q75" s="2"/>
      <c r="R75" s="2"/>
      <c r="S75" s="2"/>
      <c r="T75" s="115"/>
    </row>
    <row x14ac:dyDescent="0.25" r="76" customHeight="1" ht="13.5">
      <c r="A76" s="2"/>
      <c r="B76" s="2"/>
      <c r="C76" s="2"/>
      <c r="D76" s="2"/>
      <c r="E76" s="2"/>
      <c r="F76" s="2"/>
      <c r="G76" s="142"/>
      <c r="H76" s="2"/>
      <c r="I76" s="142"/>
      <c r="J76" s="2"/>
      <c r="K76" s="2"/>
      <c r="L76" s="2"/>
      <c r="M76" s="2"/>
      <c r="N76" s="2"/>
      <c r="O76" s="2"/>
      <c r="P76" s="2"/>
      <c r="Q76" s="2"/>
      <c r="R76" s="2"/>
      <c r="S76" s="2"/>
      <c r="T76" s="115"/>
    </row>
    <row x14ac:dyDescent="0.25" r="77" customHeight="1" ht="13.5">
      <c r="A77" s="2"/>
      <c r="B77" s="2"/>
      <c r="C77" s="2"/>
      <c r="D77" s="2"/>
      <c r="E77" s="2"/>
      <c r="F77" s="2"/>
      <c r="G77" s="142"/>
      <c r="H77" s="2"/>
      <c r="I77" s="142"/>
      <c r="J77" s="2"/>
      <c r="K77" s="2"/>
      <c r="L77" s="2"/>
      <c r="M77" s="2"/>
      <c r="N77" s="2"/>
      <c r="O77" s="2"/>
      <c r="P77" s="2"/>
      <c r="Q77" s="2"/>
      <c r="R77" s="2"/>
      <c r="S77" s="2"/>
      <c r="T77" s="1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77"/>
  <sheetViews>
    <sheetView workbookViewId="0"/>
  </sheetViews>
  <sheetFormatPr defaultRowHeight="15" x14ac:dyDescent="0.25"/>
  <cols>
    <col min="1" max="1" style="100" width="1.719285714285714" customWidth="1" bestFit="1"/>
    <col min="2" max="2" style="100" width="2.7192857142857143" customWidth="1" bestFit="1"/>
    <col min="3" max="3" style="100" width="2.005" customWidth="1" bestFit="1"/>
    <col min="4" max="4" style="100" width="37.29071428571429" customWidth="1" bestFit="1"/>
    <col min="5" max="5" style="100" width="23.576428571428572" customWidth="1" bestFit="1"/>
    <col min="6" max="6" style="101" width="22.433571428571426" customWidth="1" bestFit="1"/>
    <col min="7" max="7" style="100" width="10.576428571428572" customWidth="1" bestFit="1"/>
    <col min="8" max="8" style="100" width="5.147857142857143" customWidth="1" bestFit="1"/>
    <col min="9" max="9" style="100" width="11.576428571428572" customWidth="1" bestFit="1"/>
    <col min="10" max="10" style="100" width="11.576428571428572" customWidth="1" bestFit="1"/>
    <col min="11" max="11" style="100" width="11.576428571428572" customWidth="1" bestFit="1"/>
    <col min="12" max="12" style="100" width="14.147857142857141" customWidth="1" bestFit="1"/>
    <col min="13" max="13" style="100" width="14.147857142857141" customWidth="1" bestFit="1"/>
    <col min="14" max="14" style="100" width="9.290714285714287" customWidth="1" bestFit="1"/>
    <col min="15" max="15" style="100" width="14.290714285714287" customWidth="1" bestFit="1"/>
    <col min="16" max="16" style="100" width="11.290714285714287" customWidth="1" bestFit="1"/>
    <col min="17" max="17" style="100" width="26.719285714285714" customWidth="1" bestFit="1"/>
    <col min="18" max="18" style="100" width="29.433571428571426" customWidth="1" bestFit="1"/>
    <col min="19" max="19" style="100" width="11.719285714285713" customWidth="1" bestFit="1"/>
    <col min="20" max="20" style="138" width="13.576428571428572" customWidth="1" bestFit="1"/>
  </cols>
  <sheetData>
    <row x14ac:dyDescent="0.25" r="1" customHeight="1" ht="13.5">
      <c r="A1" s="104"/>
      <c r="B1" s="104"/>
      <c r="C1" s="104"/>
      <c r="D1" s="105"/>
      <c r="E1" s="106"/>
      <c r="F1" s="3"/>
      <c r="G1" s="2"/>
      <c r="H1" s="2"/>
      <c r="I1" s="2"/>
      <c r="J1" s="2"/>
      <c r="K1" s="2"/>
      <c r="L1" s="2"/>
      <c r="M1" s="2"/>
      <c r="N1" s="2"/>
      <c r="O1" s="2"/>
      <c r="P1" s="2"/>
      <c r="Q1" s="2"/>
      <c r="R1" s="2"/>
      <c r="S1" s="2"/>
      <c r="T1" s="134"/>
    </row>
    <row x14ac:dyDescent="0.25" r="2" customHeight="1" ht="13.5">
      <c r="A2" s="104"/>
      <c r="B2" s="104"/>
      <c r="C2" s="104"/>
      <c r="D2" s="105"/>
      <c r="E2" s="109">
        <f>Title</f>
      </c>
      <c r="F2" s="3"/>
      <c r="G2" s="2"/>
      <c r="H2" s="2"/>
      <c r="I2" s="2"/>
      <c r="J2" s="2"/>
      <c r="K2" s="2"/>
      <c r="L2" s="2"/>
      <c r="M2" s="2"/>
      <c r="N2" s="2"/>
      <c r="O2" s="2"/>
      <c r="P2" s="2"/>
      <c r="Q2" s="2"/>
      <c r="R2" s="2"/>
      <c r="S2" s="2"/>
      <c r="T2" s="134"/>
    </row>
    <row x14ac:dyDescent="0.25" r="3" customHeight="1" ht="13.5">
      <c r="A3" s="104"/>
      <c r="B3" s="104"/>
      <c r="C3" s="104"/>
      <c r="D3" s="105"/>
      <c r="E3" s="110">
        <f>MID(CELL("filename",E3),FIND("]",CELL("filename",E3))+1,256)</f>
      </c>
      <c r="F3" s="3"/>
      <c r="G3" s="2"/>
      <c r="H3" s="2"/>
      <c r="I3" s="2"/>
      <c r="J3" s="2"/>
      <c r="K3" s="2"/>
      <c r="L3" s="2"/>
      <c r="M3" s="2"/>
      <c r="N3" s="2"/>
      <c r="O3" s="2"/>
      <c r="P3" s="2"/>
      <c r="Q3" s="2"/>
      <c r="R3" s="2"/>
      <c r="S3" s="2"/>
      <c r="T3" s="134"/>
    </row>
    <row x14ac:dyDescent="0.25" r="4" customHeight="1" ht="13.5">
      <c r="A4" s="104"/>
      <c r="B4" s="104"/>
      <c r="C4" s="104"/>
      <c r="D4" s="105"/>
      <c r="E4" s="111" t="s">
        <v>284</v>
      </c>
      <c r="F4" s="3"/>
      <c r="G4" s="2"/>
      <c r="H4" s="2"/>
      <c r="I4" s="2"/>
      <c r="J4" s="2"/>
      <c r="K4" s="2"/>
      <c r="L4" s="2"/>
      <c r="M4" s="2"/>
      <c r="N4" s="2"/>
      <c r="O4" s="2"/>
      <c r="P4" s="2"/>
      <c r="Q4" s="2"/>
      <c r="R4" s="2"/>
      <c r="S4" s="2"/>
      <c r="T4" s="134"/>
    </row>
    <row x14ac:dyDescent="0.25" r="5" customHeight="1" ht="13.5">
      <c r="A5" s="112"/>
      <c r="B5" s="112"/>
      <c r="C5" s="112"/>
      <c r="D5" s="113"/>
      <c r="E5" s="114"/>
      <c r="F5" s="3"/>
      <c r="G5" s="2"/>
      <c r="H5" s="2"/>
      <c r="I5" s="2"/>
      <c r="J5" s="2"/>
      <c r="K5" s="2"/>
      <c r="L5" s="2"/>
      <c r="M5" s="2"/>
      <c r="N5" s="2"/>
      <c r="O5" s="2"/>
      <c r="P5" s="2"/>
      <c r="Q5" s="2"/>
      <c r="R5" s="2"/>
      <c r="S5" s="2"/>
      <c r="T5" s="134"/>
    </row>
    <row x14ac:dyDescent="0.25" r="6" customHeight="1" ht="13.5">
      <c r="A6" s="2"/>
      <c r="B6" s="115"/>
      <c r="C6" s="115"/>
      <c r="D6" s="115"/>
      <c r="E6" s="115"/>
      <c r="F6" s="115"/>
      <c r="G6" s="115"/>
      <c r="H6" s="115"/>
      <c r="I6" s="115"/>
      <c r="J6" s="115"/>
      <c r="K6" s="115"/>
      <c r="L6" s="115"/>
      <c r="M6" s="115"/>
      <c r="N6" s="115"/>
      <c r="O6" s="2"/>
      <c r="P6" s="2"/>
      <c r="Q6" s="2"/>
      <c r="R6" s="2"/>
      <c r="S6" s="2"/>
      <c r="T6" s="134"/>
    </row>
    <row x14ac:dyDescent="0.25" r="7" customHeight="1" ht="13.5">
      <c r="A7" s="2"/>
      <c r="B7" s="116"/>
      <c r="C7" s="115"/>
      <c r="D7" s="117"/>
      <c r="E7" s="115"/>
      <c r="F7" s="115"/>
      <c r="G7" s="115"/>
      <c r="H7" s="115"/>
      <c r="I7" s="115"/>
      <c r="J7" s="115"/>
      <c r="K7" s="115"/>
      <c r="L7" s="115"/>
      <c r="M7" s="115"/>
      <c r="N7" s="115"/>
      <c r="O7" s="2"/>
      <c r="P7" s="2"/>
      <c r="Q7" s="2"/>
      <c r="R7" s="2"/>
      <c r="S7" s="2"/>
      <c r="T7" s="134"/>
    </row>
    <row x14ac:dyDescent="0.25" r="8" customHeight="1" ht="18.75">
      <c r="A8" s="2"/>
      <c r="B8" s="115"/>
      <c r="C8" s="115"/>
      <c r="D8" s="115"/>
      <c r="E8" s="2" t="s">
        <v>285</v>
      </c>
      <c r="F8" s="130" t="s">
        <v>286</v>
      </c>
      <c r="G8" s="139"/>
      <c r="H8" s="139"/>
      <c r="I8" s="139"/>
      <c r="J8" s="139"/>
      <c r="K8" s="139"/>
      <c r="L8" s="115"/>
      <c r="M8" s="115"/>
      <c r="N8" s="115"/>
      <c r="O8" s="2"/>
      <c r="P8" s="2"/>
      <c r="Q8" s="2"/>
      <c r="R8" s="2"/>
      <c r="S8" s="2"/>
      <c r="T8" s="134"/>
    </row>
    <row x14ac:dyDescent="0.25" r="9" customHeight="1" ht="18.75">
      <c r="A9" s="2"/>
      <c r="B9" s="115"/>
      <c r="C9" s="115"/>
      <c r="D9" s="121"/>
      <c r="E9" s="2" t="s">
        <v>287</v>
      </c>
      <c r="F9" s="140">
        <v>6</v>
      </c>
      <c r="G9" s="139"/>
      <c r="H9" s="139"/>
      <c r="I9" s="139"/>
      <c r="J9" s="139"/>
      <c r="K9" s="139"/>
      <c r="L9" s="2"/>
      <c r="M9" s="2"/>
      <c r="N9" s="2"/>
      <c r="O9" s="2"/>
      <c r="P9" s="8"/>
      <c r="Q9" s="2"/>
      <c r="R9" s="2"/>
      <c r="S9" s="2"/>
      <c r="T9" s="134"/>
    </row>
    <row x14ac:dyDescent="0.25" r="10" customHeight="1" ht="18.75">
      <c r="A10" s="2"/>
      <c r="B10" s="115"/>
      <c r="C10" s="115"/>
      <c r="D10" s="122"/>
      <c r="E10" s="2" t="s">
        <v>288</v>
      </c>
      <c r="F10" s="130" t="s">
        <v>289</v>
      </c>
      <c r="G10" s="139"/>
      <c r="H10" s="139"/>
      <c r="I10" s="139"/>
      <c r="J10" s="139"/>
      <c r="K10" s="139"/>
      <c r="L10" s="2"/>
      <c r="M10" s="2"/>
      <c r="N10" s="2"/>
      <c r="O10" s="2"/>
      <c r="P10" s="8"/>
      <c r="Q10" s="2"/>
      <c r="R10" s="2"/>
      <c r="S10" s="2"/>
      <c r="T10" s="134"/>
    </row>
    <row x14ac:dyDescent="0.25" r="11" customHeight="1" ht="18.75">
      <c r="A11" s="2"/>
      <c r="B11" s="115"/>
      <c r="C11" s="115"/>
      <c r="D11" s="115"/>
      <c r="E11" s="2" t="s">
        <v>290</v>
      </c>
      <c r="F11" s="130" t="s">
        <v>291</v>
      </c>
      <c r="G11" s="139"/>
      <c r="H11" s="139"/>
      <c r="I11" s="139"/>
      <c r="J11" s="139"/>
      <c r="K11" s="139"/>
      <c r="L11" s="2"/>
      <c r="M11" s="2"/>
      <c r="N11" s="2"/>
      <c r="O11" s="2"/>
      <c r="P11" s="8"/>
      <c r="Q11" s="2"/>
      <c r="R11" s="2"/>
      <c r="S11" s="2"/>
      <c r="T11" s="134"/>
    </row>
    <row x14ac:dyDescent="0.25" r="12" customHeight="1" ht="13.5">
      <c r="A12" s="2"/>
      <c r="B12" s="115"/>
      <c r="C12" s="115"/>
      <c r="D12" s="121"/>
      <c r="E12" s="139"/>
      <c r="F12" s="141"/>
      <c r="G12" s="139"/>
      <c r="H12" s="139"/>
      <c r="I12" s="139"/>
      <c r="J12" s="139"/>
      <c r="K12" s="139"/>
      <c r="L12" s="2"/>
      <c r="M12" s="2"/>
      <c r="N12" s="2"/>
      <c r="O12" s="2"/>
      <c r="P12" s="8"/>
      <c r="Q12" s="2"/>
      <c r="R12" s="2"/>
      <c r="S12" s="2"/>
      <c r="T12" s="134"/>
    </row>
    <row x14ac:dyDescent="0.25" r="13" customHeight="1" ht="18.75">
      <c r="A13" s="2"/>
      <c r="B13" s="115"/>
      <c r="C13" s="115"/>
      <c r="D13" s="115"/>
      <c r="E13" s="2" t="s">
        <v>292</v>
      </c>
      <c r="F13" s="130" t="s">
        <v>267</v>
      </c>
      <c r="G13" s="2"/>
      <c r="H13" s="2"/>
      <c r="I13" s="2"/>
      <c r="J13" s="2"/>
      <c r="K13" s="2"/>
      <c r="L13" s="2"/>
      <c r="M13" s="2"/>
      <c r="N13" s="2"/>
      <c r="O13" s="2"/>
      <c r="P13" s="8"/>
      <c r="Q13" s="2"/>
      <c r="R13" s="2"/>
      <c r="S13" s="2"/>
      <c r="T13" s="134"/>
    </row>
    <row x14ac:dyDescent="0.25" r="14" customHeight="1" ht="18.75">
      <c r="A14" s="2"/>
      <c r="B14" s="115"/>
      <c r="C14" s="115"/>
      <c r="D14" s="115"/>
      <c r="E14" s="2" t="s">
        <v>268</v>
      </c>
      <c r="F14" s="130" t="s">
        <v>269</v>
      </c>
      <c r="G14" s="2"/>
      <c r="H14" s="2"/>
      <c r="I14" s="2"/>
      <c r="J14" s="2"/>
      <c r="K14" s="2"/>
      <c r="L14" s="135"/>
      <c r="M14" s="135"/>
      <c r="N14" s="115"/>
      <c r="O14" s="2"/>
      <c r="P14" s="2"/>
      <c r="Q14" s="2"/>
      <c r="R14" s="2"/>
      <c r="S14" s="2"/>
      <c r="T14" s="134"/>
    </row>
    <row x14ac:dyDescent="0.25" r="15" customHeight="1" ht="18.75">
      <c r="A15" s="2"/>
      <c r="B15" s="115"/>
      <c r="C15" s="115"/>
      <c r="D15" s="115"/>
      <c r="E15" s="123" t="s">
        <v>269</v>
      </c>
      <c r="F15" s="63"/>
      <c r="G15" s="2"/>
      <c r="H15" s="2"/>
      <c r="I15" s="2"/>
      <c r="J15" s="2"/>
      <c r="K15" s="2"/>
      <c r="L15" s="135"/>
      <c r="M15" s="135"/>
      <c r="N15" s="115"/>
      <c r="O15" s="2"/>
      <c r="P15" s="2"/>
      <c r="Q15" s="2"/>
      <c r="R15" s="2"/>
      <c r="S15" s="2"/>
      <c r="T15" s="134"/>
    </row>
    <row x14ac:dyDescent="0.25" r="16" customHeight="1" ht="18.75">
      <c r="A16" s="2"/>
      <c r="B16" s="115"/>
      <c r="C16" s="115"/>
      <c r="D16" s="115"/>
      <c r="E16" s="2"/>
      <c r="F16" s="3"/>
      <c r="G16" s="2"/>
      <c r="H16" s="2"/>
      <c r="I16" s="2"/>
      <c r="J16" s="2"/>
      <c r="K16" s="2"/>
      <c r="L16" s="135"/>
      <c r="M16" s="135"/>
      <c r="N16" s="115"/>
      <c r="O16" s="2"/>
      <c r="P16" s="2"/>
      <c r="Q16" s="2"/>
      <c r="R16" s="2"/>
      <c r="S16" s="2"/>
      <c r="T16" s="134"/>
    </row>
    <row x14ac:dyDescent="0.25" r="17" customHeight="1" ht="13.5">
      <c r="A17" s="2"/>
      <c r="B17" s="115"/>
      <c r="C17" s="115"/>
      <c r="D17" s="115"/>
      <c r="E17" s="135"/>
      <c r="F17" s="135"/>
      <c r="G17" s="135"/>
      <c r="H17" s="135"/>
      <c r="I17" s="135"/>
      <c r="J17" s="135"/>
      <c r="K17" s="135"/>
      <c r="L17" s="135"/>
      <c r="M17" s="135"/>
      <c r="N17" s="115"/>
      <c r="O17" s="2"/>
      <c r="P17" s="2"/>
      <c r="Q17" s="2"/>
      <c r="R17" s="2"/>
      <c r="S17" s="2"/>
      <c r="T17" s="134"/>
    </row>
    <row x14ac:dyDescent="0.25" r="18" customHeight="1" ht="13.5">
      <c r="A18" s="2"/>
      <c r="B18" s="115"/>
      <c r="C18" s="115"/>
      <c r="D18" s="115"/>
      <c r="E18" s="135"/>
      <c r="F18" s="135"/>
      <c r="G18" s="135"/>
      <c r="H18" s="135"/>
      <c r="I18" s="135"/>
      <c r="J18" s="135"/>
      <c r="K18" s="135"/>
      <c r="L18" s="135"/>
      <c r="M18" s="135"/>
      <c r="N18" s="115"/>
      <c r="O18" s="2"/>
      <c r="P18" s="2"/>
      <c r="Q18" s="2"/>
      <c r="R18" s="2"/>
      <c r="S18" s="2"/>
      <c r="T18" s="134"/>
    </row>
    <row x14ac:dyDescent="0.25" r="19" customHeight="1" ht="13.5">
      <c r="A19" s="2"/>
      <c r="B19" s="115"/>
      <c r="C19" s="115"/>
      <c r="D19" s="115"/>
      <c r="E19" s="135"/>
      <c r="F19" s="135"/>
      <c r="G19" s="135"/>
      <c r="H19" s="135"/>
      <c r="I19" s="135"/>
      <c r="J19" s="135"/>
      <c r="K19" s="135"/>
      <c r="L19" s="135"/>
      <c r="M19" s="135"/>
      <c r="N19" s="115"/>
      <c r="O19" s="2"/>
      <c r="P19" s="2"/>
      <c r="Q19" s="2"/>
      <c r="R19" s="2"/>
      <c r="S19" s="2"/>
      <c r="T19" s="134"/>
    </row>
    <row x14ac:dyDescent="0.25" r="20" customHeight="1" ht="13.5">
      <c r="A20" s="2"/>
      <c r="B20" s="115"/>
      <c r="C20" s="115"/>
      <c r="D20" s="115"/>
      <c r="E20" s="135"/>
      <c r="F20" s="135"/>
      <c r="G20" s="135"/>
      <c r="H20" s="135"/>
      <c r="I20" s="135"/>
      <c r="J20" s="135"/>
      <c r="K20" s="135"/>
      <c r="L20" s="135"/>
      <c r="M20" s="135"/>
      <c r="N20" s="115"/>
      <c r="O20" s="2"/>
      <c r="P20" s="2"/>
      <c r="Q20" s="2"/>
      <c r="R20" s="2"/>
      <c r="S20" s="2"/>
      <c r="T20" s="134"/>
    </row>
    <row x14ac:dyDescent="0.25" r="21" customHeight="1" ht="13.5">
      <c r="A21" s="2"/>
      <c r="B21" s="115"/>
      <c r="C21" s="115"/>
      <c r="D21" s="115"/>
      <c r="E21" s="115"/>
      <c r="F21" s="115"/>
      <c r="G21" s="115"/>
      <c r="H21" s="115"/>
      <c r="I21" s="115"/>
      <c r="J21" s="115"/>
      <c r="K21" s="115"/>
      <c r="L21" s="115"/>
      <c r="M21" s="115"/>
      <c r="N21" s="115"/>
      <c r="O21" s="2"/>
      <c r="P21" s="2"/>
      <c r="Q21" s="2"/>
      <c r="R21" s="2"/>
      <c r="S21" s="2"/>
      <c r="T21" s="134"/>
    </row>
    <row x14ac:dyDescent="0.25" r="22" customHeight="1" ht="13.5">
      <c r="A22" s="2"/>
      <c r="B22" s="115"/>
      <c r="C22" s="115"/>
      <c r="D22" s="115"/>
      <c r="E22" s="115"/>
      <c r="F22" s="136"/>
      <c r="G22" s="115"/>
      <c r="H22" s="115"/>
      <c r="I22" s="115"/>
      <c r="J22" s="115"/>
      <c r="K22" s="115"/>
      <c r="L22" s="115"/>
      <c r="M22" s="115"/>
      <c r="N22" s="115"/>
      <c r="O22" s="2"/>
      <c r="P22" s="2"/>
      <c r="Q22" s="2"/>
      <c r="R22" s="2"/>
      <c r="S22" s="2"/>
      <c r="T22" s="134"/>
    </row>
    <row x14ac:dyDescent="0.25" r="23" customHeight="1" ht="13.5">
      <c r="A23" s="2"/>
      <c r="B23" s="115"/>
      <c r="C23" s="115"/>
      <c r="D23" s="115"/>
      <c r="E23" s="115"/>
      <c r="F23" s="115"/>
      <c r="G23" s="115"/>
      <c r="H23" s="115"/>
      <c r="I23" s="115"/>
      <c r="J23" s="115"/>
      <c r="K23" s="115"/>
      <c r="L23" s="115"/>
      <c r="M23" s="115"/>
      <c r="N23" s="115"/>
      <c r="O23" s="2"/>
      <c r="P23" s="2"/>
      <c r="Q23" s="2"/>
      <c r="R23" s="2"/>
      <c r="S23" s="2"/>
      <c r="T23" s="134"/>
    </row>
    <row x14ac:dyDescent="0.25" r="24" customHeight="1" ht="13.5">
      <c r="A24" s="2"/>
      <c r="B24" s="116"/>
      <c r="C24" s="115"/>
      <c r="D24" s="117"/>
      <c r="E24" s="115"/>
      <c r="F24" s="115"/>
      <c r="G24" s="115"/>
      <c r="H24" s="115"/>
      <c r="I24" s="115"/>
      <c r="J24" s="115"/>
      <c r="K24" s="115"/>
      <c r="L24" s="115"/>
      <c r="M24" s="115"/>
      <c r="N24" s="115"/>
      <c r="O24" s="2"/>
      <c r="P24" s="2"/>
      <c r="Q24" s="2"/>
      <c r="R24" s="2"/>
      <c r="S24" s="2"/>
      <c r="T24" s="134"/>
    </row>
    <row x14ac:dyDescent="0.25" r="25" customHeight="1" ht="13.5">
      <c r="A25" s="2"/>
      <c r="B25" s="115"/>
      <c r="C25" s="115"/>
      <c r="D25" s="115"/>
      <c r="E25" s="115"/>
      <c r="F25" s="115"/>
      <c r="G25" s="115"/>
      <c r="H25" s="115"/>
      <c r="I25" s="115"/>
      <c r="J25" s="115"/>
      <c r="K25" s="115"/>
      <c r="L25" s="115"/>
      <c r="M25" s="115"/>
      <c r="N25" s="115"/>
      <c r="O25" s="2"/>
      <c r="P25" s="2"/>
      <c r="Q25" s="2"/>
      <c r="R25" s="2"/>
      <c r="S25" s="2"/>
      <c r="T25" s="134"/>
    </row>
    <row x14ac:dyDescent="0.25" r="26" customHeight="1" ht="13.5">
      <c r="A26" s="2"/>
      <c r="B26" s="115"/>
      <c r="C26" s="115"/>
      <c r="D26" s="115"/>
      <c r="E26" s="115"/>
      <c r="F26" s="115"/>
      <c r="G26" s="115"/>
      <c r="H26" s="115"/>
      <c r="I26" s="115"/>
      <c r="J26" s="115"/>
      <c r="K26" s="115"/>
      <c r="L26" s="115"/>
      <c r="M26" s="115"/>
      <c r="N26" s="115"/>
      <c r="O26" s="2"/>
      <c r="P26" s="2"/>
      <c r="Q26" s="2"/>
      <c r="R26" s="2"/>
      <c r="S26" s="2"/>
      <c r="T26" s="134"/>
    </row>
    <row x14ac:dyDescent="0.25" r="27" customHeight="1" ht="13.5">
      <c r="A27" s="2"/>
      <c r="B27" s="115"/>
      <c r="C27" s="115"/>
      <c r="D27" s="115"/>
      <c r="E27" s="115"/>
      <c r="F27" s="115"/>
      <c r="G27" s="115"/>
      <c r="H27" s="115"/>
      <c r="I27" s="115"/>
      <c r="J27" s="115"/>
      <c r="K27" s="115"/>
      <c r="L27" s="115"/>
      <c r="M27" s="115"/>
      <c r="N27" s="115"/>
      <c r="O27" s="2"/>
      <c r="P27" s="2"/>
      <c r="Q27" s="2"/>
      <c r="R27" s="2"/>
      <c r="S27" s="2"/>
      <c r="T27" s="134"/>
    </row>
    <row x14ac:dyDescent="0.25" r="28" customHeight="1" ht="13.5">
      <c r="A28" s="2"/>
      <c r="B28" s="115"/>
      <c r="C28" s="115"/>
      <c r="D28" s="115"/>
      <c r="E28" s="115"/>
      <c r="F28" s="115"/>
      <c r="G28" s="115"/>
      <c r="H28" s="115"/>
      <c r="I28" s="115"/>
      <c r="J28" s="115"/>
      <c r="K28" s="115"/>
      <c r="L28" s="115"/>
      <c r="M28" s="115"/>
      <c r="N28" s="115"/>
      <c r="O28" s="2"/>
      <c r="P28" s="2"/>
      <c r="Q28" s="2"/>
      <c r="R28" s="2"/>
      <c r="S28" s="2"/>
      <c r="T28" s="134"/>
    </row>
    <row x14ac:dyDescent="0.25" r="29" customHeight="1" ht="13.5">
      <c r="A29" s="2"/>
      <c r="B29" s="115"/>
      <c r="C29" s="115"/>
      <c r="D29" s="115"/>
      <c r="E29" s="115"/>
      <c r="F29" s="115"/>
      <c r="G29" s="115"/>
      <c r="H29" s="115"/>
      <c r="I29" s="115"/>
      <c r="J29" s="115"/>
      <c r="K29" s="115"/>
      <c r="L29" s="115"/>
      <c r="M29" s="115"/>
      <c r="N29" s="115"/>
      <c r="O29" s="2"/>
      <c r="P29" s="2"/>
      <c r="Q29" s="2"/>
      <c r="R29" s="2"/>
      <c r="S29" s="2"/>
      <c r="T29" s="134"/>
    </row>
    <row x14ac:dyDescent="0.25" r="30" customHeight="1" ht="13.5">
      <c r="A30" s="2"/>
      <c r="B30" s="115"/>
      <c r="C30" s="115"/>
      <c r="D30" s="115"/>
      <c r="E30" s="115"/>
      <c r="F30" s="115"/>
      <c r="G30" s="115"/>
      <c r="H30" s="115"/>
      <c r="I30" s="115"/>
      <c r="J30" s="115"/>
      <c r="K30" s="115"/>
      <c r="L30" s="115"/>
      <c r="M30" s="115"/>
      <c r="N30" s="115"/>
      <c r="O30" s="2"/>
      <c r="P30" s="2"/>
      <c r="Q30" s="2"/>
      <c r="R30" s="2"/>
      <c r="S30" s="2"/>
      <c r="T30" s="134"/>
    </row>
    <row x14ac:dyDescent="0.25" r="31" customHeight="1" ht="13.5">
      <c r="A31" s="2"/>
      <c r="B31" s="115"/>
      <c r="C31" s="115"/>
      <c r="D31" s="115"/>
      <c r="E31" s="115"/>
      <c r="F31" s="115"/>
      <c r="G31" s="115"/>
      <c r="H31" s="115"/>
      <c r="I31" s="115"/>
      <c r="J31" s="115"/>
      <c r="K31" s="115"/>
      <c r="L31" s="115"/>
      <c r="M31" s="115"/>
      <c r="N31" s="115"/>
      <c r="O31" s="2"/>
      <c r="P31" s="2"/>
      <c r="Q31" s="2"/>
      <c r="R31" s="2"/>
      <c r="S31" s="2"/>
      <c r="T31" s="134"/>
    </row>
    <row x14ac:dyDescent="0.25" r="32" customHeight="1" ht="13.5">
      <c r="A32" s="2"/>
      <c r="B32" s="115"/>
      <c r="C32" s="115"/>
      <c r="D32" s="115"/>
      <c r="E32" s="115"/>
      <c r="F32" s="115"/>
      <c r="G32" s="115"/>
      <c r="H32" s="115"/>
      <c r="I32" s="115"/>
      <c r="J32" s="115"/>
      <c r="K32" s="115"/>
      <c r="L32" s="115"/>
      <c r="M32" s="115"/>
      <c r="N32" s="115"/>
      <c r="O32" s="2"/>
      <c r="P32" s="2"/>
      <c r="Q32" s="2"/>
      <c r="R32" s="2"/>
      <c r="S32" s="2"/>
      <c r="T32" s="134"/>
    </row>
    <row x14ac:dyDescent="0.25" r="33" customHeight="1" ht="13.5">
      <c r="A33" s="2"/>
      <c r="B33" s="115"/>
      <c r="C33" s="115"/>
      <c r="D33" s="115"/>
      <c r="E33" s="115"/>
      <c r="F33" s="115"/>
      <c r="G33" s="115"/>
      <c r="H33" s="115"/>
      <c r="I33" s="115"/>
      <c r="J33" s="115"/>
      <c r="K33" s="115"/>
      <c r="L33" s="115"/>
      <c r="M33" s="115"/>
      <c r="N33" s="115"/>
      <c r="O33" s="2"/>
      <c r="P33" s="2"/>
      <c r="Q33" s="2"/>
      <c r="R33" s="2"/>
      <c r="S33" s="2"/>
      <c r="T33" s="134"/>
    </row>
    <row x14ac:dyDescent="0.25" r="34" customHeight="1" ht="18.75">
      <c r="A34" s="2"/>
      <c r="B34" s="2"/>
      <c r="C34" s="2"/>
      <c r="D34" s="2"/>
      <c r="E34" s="2"/>
      <c r="F34" s="3"/>
      <c r="G34" s="2"/>
      <c r="H34" s="2"/>
      <c r="I34" s="2"/>
      <c r="J34" s="2"/>
      <c r="K34" s="2"/>
      <c r="L34" s="2"/>
      <c r="M34" s="2"/>
      <c r="N34" s="2"/>
      <c r="O34" s="2"/>
      <c r="P34" s="2"/>
      <c r="Q34" s="2"/>
      <c r="R34" s="2"/>
      <c r="S34" s="2"/>
      <c r="T34" s="134"/>
    </row>
    <row x14ac:dyDescent="0.25" r="35" customHeight="1" ht="18.75">
      <c r="A35" s="2"/>
      <c r="B35" s="2"/>
      <c r="C35" s="2"/>
      <c r="D35" s="2"/>
      <c r="E35" s="2"/>
      <c r="F35" s="3"/>
      <c r="G35" s="2"/>
      <c r="H35" s="2"/>
      <c r="I35" s="2"/>
      <c r="J35" s="2"/>
      <c r="K35" s="2"/>
      <c r="L35" s="2"/>
      <c r="M35" s="2"/>
      <c r="N35" s="2"/>
      <c r="O35" s="2"/>
      <c r="P35" s="2"/>
      <c r="Q35" s="2"/>
      <c r="R35" s="2"/>
      <c r="S35" s="2"/>
      <c r="T35" s="134"/>
    </row>
    <row x14ac:dyDescent="0.25" r="36" customHeight="1" ht="18.75">
      <c r="A36" s="2"/>
      <c r="B36" s="2"/>
      <c r="C36" s="2"/>
      <c r="D36" s="2"/>
      <c r="E36" s="2"/>
      <c r="F36" s="3"/>
      <c r="G36" s="2"/>
      <c r="H36" s="2"/>
      <c r="I36" s="2"/>
      <c r="J36" s="2"/>
      <c r="K36" s="2"/>
      <c r="L36" s="2"/>
      <c r="M36" s="2"/>
      <c r="N36" s="2"/>
      <c r="O36" s="2"/>
      <c r="P36" s="2"/>
      <c r="Q36" s="2"/>
      <c r="R36" s="2"/>
      <c r="S36" s="2"/>
      <c r="T36" s="134"/>
    </row>
    <row x14ac:dyDescent="0.25" r="37" customHeight="1" ht="18.75">
      <c r="A37" s="2"/>
      <c r="B37" s="2"/>
      <c r="C37" s="2"/>
      <c r="D37" s="2"/>
      <c r="E37" s="2"/>
      <c r="F37" s="3"/>
      <c r="G37" s="2"/>
      <c r="H37" s="2"/>
      <c r="I37" s="2"/>
      <c r="J37" s="2"/>
      <c r="K37" s="2"/>
      <c r="L37" s="2"/>
      <c r="M37" s="2"/>
      <c r="N37" s="2"/>
      <c r="O37" s="2"/>
      <c r="P37" s="2"/>
      <c r="Q37" s="2"/>
      <c r="R37" s="2"/>
      <c r="S37" s="2"/>
      <c r="T37" s="134"/>
    </row>
    <row x14ac:dyDescent="0.25" r="38" customHeight="1" ht="18.75">
      <c r="A38" s="2"/>
      <c r="B38" s="2"/>
      <c r="C38" s="2"/>
      <c r="D38" s="2"/>
      <c r="E38" s="2"/>
      <c r="F38" s="3"/>
      <c r="G38" s="2"/>
      <c r="H38" s="2"/>
      <c r="I38" s="2"/>
      <c r="J38" s="2"/>
      <c r="K38" s="2"/>
      <c r="L38" s="2"/>
      <c r="M38" s="2"/>
      <c r="N38" s="2"/>
      <c r="O38" s="2"/>
      <c r="P38" s="2"/>
      <c r="Q38" s="2"/>
      <c r="R38" s="2"/>
      <c r="S38" s="2"/>
      <c r="T38" s="134"/>
    </row>
    <row x14ac:dyDescent="0.25" r="39" customHeight="1" ht="18.75">
      <c r="A39" s="2"/>
      <c r="B39" s="2"/>
      <c r="C39" s="2"/>
      <c r="D39" s="2"/>
      <c r="E39" s="2"/>
      <c r="F39" s="3"/>
      <c r="G39" s="2"/>
      <c r="H39" s="2"/>
      <c r="I39" s="2"/>
      <c r="J39" s="2"/>
      <c r="K39" s="2"/>
      <c r="L39" s="2"/>
      <c r="M39" s="2"/>
      <c r="N39" s="2"/>
      <c r="O39" s="2"/>
      <c r="P39" s="2"/>
      <c r="Q39" s="2"/>
      <c r="R39" s="2"/>
      <c r="S39" s="2"/>
      <c r="T39" s="134"/>
    </row>
    <row x14ac:dyDescent="0.25" r="40" customHeight="1" ht="18.75">
      <c r="A40" s="2"/>
      <c r="B40" s="2"/>
      <c r="C40" s="2"/>
      <c r="D40" s="2"/>
      <c r="E40" s="2"/>
      <c r="F40" s="3"/>
      <c r="G40" s="2"/>
      <c r="H40" s="2"/>
      <c r="I40" s="2"/>
      <c r="J40" s="2"/>
      <c r="K40" s="2"/>
      <c r="L40" s="2"/>
      <c r="M40" s="2"/>
      <c r="N40" s="2"/>
      <c r="O40" s="2"/>
      <c r="P40" s="2"/>
      <c r="Q40" s="2"/>
      <c r="R40" s="2"/>
      <c r="S40" s="2"/>
      <c r="T40" s="134"/>
    </row>
    <row x14ac:dyDescent="0.25" r="41" customHeight="1" ht="18.75">
      <c r="A41" s="2"/>
      <c r="B41" s="2"/>
      <c r="C41" s="2"/>
      <c r="D41" s="2"/>
      <c r="E41" s="2"/>
      <c r="F41" s="3"/>
      <c r="G41" s="2"/>
      <c r="H41" s="2"/>
      <c r="I41" s="2"/>
      <c r="J41" s="2"/>
      <c r="K41" s="2"/>
      <c r="L41" s="2"/>
      <c r="M41" s="2"/>
      <c r="N41" s="2"/>
      <c r="O41" s="2"/>
      <c r="P41" s="2"/>
      <c r="Q41" s="2"/>
      <c r="R41" s="2"/>
      <c r="S41" s="2"/>
      <c r="T41" s="134"/>
    </row>
    <row x14ac:dyDescent="0.25" r="42" customHeight="1" ht="18.75">
      <c r="A42" s="2"/>
      <c r="B42" s="2"/>
      <c r="C42" s="2"/>
      <c r="D42" s="2"/>
      <c r="E42" s="2"/>
      <c r="F42" s="3"/>
      <c r="G42" s="2"/>
      <c r="H42" s="2"/>
      <c r="I42" s="2"/>
      <c r="J42" s="2"/>
      <c r="K42" s="2"/>
      <c r="L42" s="2"/>
      <c r="M42" s="2"/>
      <c r="N42" s="2"/>
      <c r="O42" s="2"/>
      <c r="P42" s="2"/>
      <c r="Q42" s="2"/>
      <c r="R42" s="2"/>
      <c r="S42" s="2"/>
      <c r="T42" s="134"/>
    </row>
    <row x14ac:dyDescent="0.25" r="43" customHeight="1" ht="18.75">
      <c r="A43" s="2"/>
      <c r="B43" s="2"/>
      <c r="C43" s="2"/>
      <c r="D43" s="2"/>
      <c r="E43" s="2"/>
      <c r="F43" s="3"/>
      <c r="G43" s="2"/>
      <c r="H43" s="2"/>
      <c r="I43" s="2"/>
      <c r="J43" s="2"/>
      <c r="K43" s="2"/>
      <c r="L43" s="2"/>
      <c r="M43" s="2"/>
      <c r="N43" s="2"/>
      <c r="O43" s="2"/>
      <c r="P43" s="2"/>
      <c r="Q43" s="2"/>
      <c r="R43" s="2"/>
      <c r="S43" s="2"/>
      <c r="T43" s="134"/>
    </row>
    <row x14ac:dyDescent="0.25" r="44" customHeight="1" ht="18.75">
      <c r="A44" s="2"/>
      <c r="B44" s="2"/>
      <c r="C44" s="2"/>
      <c r="D44" s="2"/>
      <c r="E44" s="2"/>
      <c r="F44" s="3"/>
      <c r="G44" s="2"/>
      <c r="H44" s="2"/>
      <c r="I44" s="2"/>
      <c r="J44" s="2"/>
      <c r="K44" s="2"/>
      <c r="L44" s="2"/>
      <c r="M44" s="2"/>
      <c r="N44" s="2"/>
      <c r="O44" s="2"/>
      <c r="P44" s="2"/>
      <c r="Q44" s="2"/>
      <c r="R44" s="2"/>
      <c r="S44" s="2"/>
      <c r="T44" s="134"/>
    </row>
    <row x14ac:dyDescent="0.25" r="45" customHeight="1" ht="18.75">
      <c r="A45" s="2"/>
      <c r="B45" s="2"/>
      <c r="C45" s="2"/>
      <c r="D45" s="2"/>
      <c r="E45" s="2"/>
      <c r="F45" s="3"/>
      <c r="G45" s="2"/>
      <c r="H45" s="2"/>
      <c r="I45" s="2"/>
      <c r="J45" s="2"/>
      <c r="K45" s="2"/>
      <c r="L45" s="2"/>
      <c r="M45" s="2"/>
      <c r="N45" s="2"/>
      <c r="O45" s="2"/>
      <c r="P45" s="2"/>
      <c r="Q45" s="2"/>
      <c r="R45" s="2"/>
      <c r="S45" s="2"/>
      <c r="T45" s="134"/>
    </row>
    <row x14ac:dyDescent="0.25" r="46" customHeight="1" ht="18.75">
      <c r="A46" s="2"/>
      <c r="B46" s="2"/>
      <c r="C46" s="2"/>
      <c r="D46" s="2"/>
      <c r="E46" s="2"/>
      <c r="F46" s="3"/>
      <c r="G46" s="2"/>
      <c r="H46" s="2"/>
      <c r="I46" s="2"/>
      <c r="J46" s="2"/>
      <c r="K46" s="2"/>
      <c r="L46" s="2"/>
      <c r="M46" s="2"/>
      <c r="N46" s="2"/>
      <c r="O46" s="2"/>
      <c r="P46" s="2"/>
      <c r="Q46" s="2"/>
      <c r="R46" s="2"/>
      <c r="S46" s="2"/>
      <c r="T46" s="134"/>
    </row>
    <row x14ac:dyDescent="0.25" r="47" customHeight="1" ht="18.75">
      <c r="A47" s="2"/>
      <c r="B47" s="2"/>
      <c r="C47" s="2"/>
      <c r="D47" s="2"/>
      <c r="E47" s="2"/>
      <c r="F47" s="3"/>
      <c r="G47" s="2"/>
      <c r="H47" s="2"/>
      <c r="I47" s="2"/>
      <c r="J47" s="2"/>
      <c r="K47" s="2"/>
      <c r="L47" s="2"/>
      <c r="M47" s="2"/>
      <c r="N47" s="2"/>
      <c r="O47" s="2"/>
      <c r="P47" s="2"/>
      <c r="Q47" s="2"/>
      <c r="R47" s="2"/>
      <c r="S47" s="2"/>
      <c r="T47" s="134"/>
    </row>
    <row x14ac:dyDescent="0.25" r="48" customHeight="1" ht="18.75">
      <c r="A48" s="2"/>
      <c r="B48" s="2"/>
      <c r="C48" s="2"/>
      <c r="D48" s="2"/>
      <c r="E48" s="2"/>
      <c r="F48" s="3"/>
      <c r="G48" s="2"/>
      <c r="H48" s="2"/>
      <c r="I48" s="2"/>
      <c r="J48" s="2"/>
      <c r="K48" s="2"/>
      <c r="L48" s="2"/>
      <c r="M48" s="2"/>
      <c r="N48" s="2"/>
      <c r="O48" s="2"/>
      <c r="P48" s="2"/>
      <c r="Q48" s="2"/>
      <c r="R48" s="2"/>
      <c r="S48" s="2"/>
      <c r="T48" s="134"/>
    </row>
    <row x14ac:dyDescent="0.25" r="49" customHeight="1" ht="18.75">
      <c r="A49" s="2"/>
      <c r="B49" s="2"/>
      <c r="C49" s="2"/>
      <c r="D49" s="2"/>
      <c r="E49" s="2"/>
      <c r="F49" s="3"/>
      <c r="G49" s="2"/>
      <c r="H49" s="2"/>
      <c r="I49" s="2"/>
      <c r="J49" s="2"/>
      <c r="K49" s="2"/>
      <c r="L49" s="2"/>
      <c r="M49" s="2"/>
      <c r="N49" s="2"/>
      <c r="O49" s="2"/>
      <c r="P49" s="2"/>
      <c r="Q49" s="2"/>
      <c r="R49" s="2"/>
      <c r="S49" s="2"/>
      <c r="T49" s="134"/>
    </row>
    <row x14ac:dyDescent="0.25" r="50" customHeight="1" ht="18.75">
      <c r="A50" s="2"/>
      <c r="B50" s="2"/>
      <c r="C50" s="2"/>
      <c r="D50" s="2"/>
      <c r="E50" s="2"/>
      <c r="F50" s="3"/>
      <c r="G50" s="2"/>
      <c r="H50" s="2"/>
      <c r="I50" s="2"/>
      <c r="J50" s="2"/>
      <c r="K50" s="2"/>
      <c r="L50" s="2"/>
      <c r="M50" s="2"/>
      <c r="N50" s="2"/>
      <c r="O50" s="2"/>
      <c r="P50" s="2"/>
      <c r="Q50" s="2"/>
      <c r="R50" s="2"/>
      <c r="S50" s="2"/>
      <c r="T50" s="134"/>
    </row>
    <row x14ac:dyDescent="0.25" r="51" customHeight="1" ht="18.75">
      <c r="A51" s="2"/>
      <c r="B51" s="2"/>
      <c r="C51" s="2"/>
      <c r="D51" s="2"/>
      <c r="E51" s="2"/>
      <c r="F51" s="3"/>
      <c r="G51" s="2"/>
      <c r="H51" s="2"/>
      <c r="I51" s="2"/>
      <c r="J51" s="2"/>
      <c r="K51" s="2"/>
      <c r="L51" s="2"/>
      <c r="M51" s="2"/>
      <c r="N51" s="2"/>
      <c r="O51" s="2"/>
      <c r="P51" s="2"/>
      <c r="Q51" s="2"/>
      <c r="R51" s="2"/>
      <c r="S51" s="2"/>
      <c r="T51" s="134"/>
    </row>
    <row x14ac:dyDescent="0.25" r="52" customHeight="1" ht="18.75">
      <c r="A52" s="2"/>
      <c r="B52" s="2"/>
      <c r="C52" s="2"/>
      <c r="D52" s="2"/>
      <c r="E52" s="2"/>
      <c r="F52" s="3"/>
      <c r="G52" s="2"/>
      <c r="H52" s="2"/>
      <c r="I52" s="2"/>
      <c r="J52" s="2"/>
      <c r="K52" s="2"/>
      <c r="L52" s="2"/>
      <c r="M52" s="2"/>
      <c r="N52" s="2"/>
      <c r="O52" s="2"/>
      <c r="P52" s="2"/>
      <c r="Q52" s="2"/>
      <c r="R52" s="2"/>
      <c r="S52" s="2"/>
      <c r="T52" s="134"/>
    </row>
    <row x14ac:dyDescent="0.25" r="53" customHeight="1" ht="18.75">
      <c r="A53" s="2"/>
      <c r="B53" s="2"/>
      <c r="C53" s="2"/>
      <c r="D53" s="2"/>
      <c r="E53" s="2"/>
      <c r="F53" s="3"/>
      <c r="G53" s="2"/>
      <c r="H53" s="2"/>
      <c r="I53" s="2"/>
      <c r="J53" s="2"/>
      <c r="K53" s="2"/>
      <c r="L53" s="2"/>
      <c r="M53" s="2"/>
      <c r="N53" s="2"/>
      <c r="O53" s="2"/>
      <c r="P53" s="2"/>
      <c r="Q53" s="2"/>
      <c r="R53" s="2"/>
      <c r="S53" s="2"/>
      <c r="T53" s="134"/>
    </row>
    <row x14ac:dyDescent="0.25" r="54" customHeight="1" ht="18.75">
      <c r="A54" s="2"/>
      <c r="B54" s="2"/>
      <c r="C54" s="2"/>
      <c r="D54" s="2"/>
      <c r="E54" s="2"/>
      <c r="F54" s="3"/>
      <c r="G54" s="2"/>
      <c r="H54" s="2"/>
      <c r="I54" s="2"/>
      <c r="J54" s="2"/>
      <c r="K54" s="2"/>
      <c r="L54" s="2"/>
      <c r="M54" s="2"/>
      <c r="N54" s="2"/>
      <c r="O54" s="2"/>
      <c r="P54" s="2"/>
      <c r="Q54" s="2"/>
      <c r="R54" s="2"/>
      <c r="S54" s="2"/>
      <c r="T54" s="134"/>
    </row>
    <row x14ac:dyDescent="0.25" r="55" customHeight="1" ht="18.75">
      <c r="A55" s="2"/>
      <c r="B55" s="2"/>
      <c r="C55" s="2"/>
      <c r="D55" s="2"/>
      <c r="E55" s="2"/>
      <c r="F55" s="3"/>
      <c r="G55" s="2"/>
      <c r="H55" s="2"/>
      <c r="I55" s="2"/>
      <c r="J55" s="2"/>
      <c r="K55" s="2"/>
      <c r="L55" s="2"/>
      <c r="M55" s="2"/>
      <c r="N55" s="2"/>
      <c r="O55" s="2"/>
      <c r="P55" s="2"/>
      <c r="Q55" s="2"/>
      <c r="R55" s="2"/>
      <c r="S55" s="2"/>
      <c r="T55" s="134"/>
    </row>
    <row x14ac:dyDescent="0.25" r="56" customHeight="1" ht="18.75">
      <c r="A56" s="2"/>
      <c r="B56" s="2"/>
      <c r="C56" s="2"/>
      <c r="D56" s="2"/>
      <c r="E56" s="2"/>
      <c r="F56" s="3"/>
      <c r="G56" s="2"/>
      <c r="H56" s="2"/>
      <c r="I56" s="2"/>
      <c r="J56" s="2"/>
      <c r="K56" s="2"/>
      <c r="L56" s="2"/>
      <c r="M56" s="2"/>
      <c r="N56" s="2"/>
      <c r="O56" s="2"/>
      <c r="P56" s="2"/>
      <c r="Q56" s="2"/>
      <c r="R56" s="2"/>
      <c r="S56" s="2"/>
      <c r="T56" s="134"/>
    </row>
    <row x14ac:dyDescent="0.25" r="57" customHeight="1" ht="18.75">
      <c r="A57" s="2"/>
      <c r="B57" s="2"/>
      <c r="C57" s="2"/>
      <c r="D57" s="2"/>
      <c r="E57" s="2"/>
      <c r="F57" s="3"/>
      <c r="G57" s="2"/>
      <c r="H57" s="2"/>
      <c r="I57" s="2"/>
      <c r="J57" s="2"/>
      <c r="K57" s="2"/>
      <c r="L57" s="2"/>
      <c r="M57" s="2"/>
      <c r="N57" s="2"/>
      <c r="O57" s="2"/>
      <c r="P57" s="2"/>
      <c r="Q57" s="2"/>
      <c r="R57" s="2"/>
      <c r="S57" s="2"/>
      <c r="T57" s="134"/>
    </row>
    <row x14ac:dyDescent="0.25" r="58" customHeight="1" ht="18.75">
      <c r="A58" s="2"/>
      <c r="B58" s="2"/>
      <c r="C58" s="2"/>
      <c r="D58" s="2"/>
      <c r="E58" s="2"/>
      <c r="F58" s="3"/>
      <c r="G58" s="2"/>
      <c r="H58" s="2"/>
      <c r="I58" s="2"/>
      <c r="J58" s="2"/>
      <c r="K58" s="2"/>
      <c r="L58" s="2"/>
      <c r="M58" s="2"/>
      <c r="N58" s="2"/>
      <c r="O58" s="2"/>
      <c r="P58" s="2"/>
      <c r="Q58" s="2"/>
      <c r="R58" s="2"/>
      <c r="S58" s="2"/>
      <c r="T58" s="134"/>
    </row>
    <row x14ac:dyDescent="0.25" r="59" customHeight="1" ht="18.75">
      <c r="A59" s="2"/>
      <c r="B59" s="2"/>
      <c r="C59" s="2"/>
      <c r="D59" s="2"/>
      <c r="E59" s="2"/>
      <c r="F59" s="3"/>
      <c r="G59" s="2"/>
      <c r="H59" s="2"/>
      <c r="I59" s="2"/>
      <c r="J59" s="2"/>
      <c r="K59" s="2"/>
      <c r="L59" s="2"/>
      <c r="M59" s="2"/>
      <c r="N59" s="2"/>
      <c r="O59" s="2"/>
      <c r="P59" s="2"/>
      <c r="Q59" s="2"/>
      <c r="R59" s="2"/>
      <c r="S59" s="2"/>
      <c r="T59" s="134"/>
    </row>
    <row x14ac:dyDescent="0.25" r="60" customHeight="1" ht="18.75">
      <c r="A60" s="2"/>
      <c r="B60" s="2"/>
      <c r="C60" s="2"/>
      <c r="D60" s="2"/>
      <c r="E60" s="2"/>
      <c r="F60" s="3"/>
      <c r="G60" s="2"/>
      <c r="H60" s="2"/>
      <c r="I60" s="2"/>
      <c r="J60" s="2"/>
      <c r="K60" s="2"/>
      <c r="L60" s="2"/>
      <c r="M60" s="2"/>
      <c r="N60" s="2"/>
      <c r="O60" s="2"/>
      <c r="P60" s="2"/>
      <c r="Q60" s="2"/>
      <c r="R60" s="2"/>
      <c r="S60" s="2"/>
      <c r="T60" s="134"/>
    </row>
    <row x14ac:dyDescent="0.25" r="61" customHeight="1" ht="18.75">
      <c r="A61" s="2"/>
      <c r="B61" s="2"/>
      <c r="C61" s="2"/>
      <c r="D61" s="2"/>
      <c r="E61" s="2"/>
      <c r="F61" s="3"/>
      <c r="G61" s="2"/>
      <c r="H61" s="2"/>
      <c r="I61" s="2"/>
      <c r="J61" s="2"/>
      <c r="K61" s="2"/>
      <c r="L61" s="2"/>
      <c r="M61" s="2"/>
      <c r="N61" s="2"/>
      <c r="O61" s="2"/>
      <c r="P61" s="2"/>
      <c r="Q61" s="2"/>
      <c r="R61" s="2"/>
      <c r="S61" s="2"/>
      <c r="T61" s="134"/>
    </row>
    <row x14ac:dyDescent="0.25" r="62" customHeight="1" ht="18.75">
      <c r="A62" s="2"/>
      <c r="B62" s="2"/>
      <c r="C62" s="2"/>
      <c r="D62" s="2"/>
      <c r="E62" s="2"/>
      <c r="F62" s="3"/>
      <c r="G62" s="2"/>
      <c r="H62" s="2"/>
      <c r="I62" s="2"/>
      <c r="J62" s="2"/>
      <c r="K62" s="2"/>
      <c r="L62" s="2"/>
      <c r="M62" s="2"/>
      <c r="N62" s="2"/>
      <c r="O62" s="2"/>
      <c r="P62" s="2"/>
      <c r="Q62" s="2"/>
      <c r="R62" s="2"/>
      <c r="S62" s="2"/>
      <c r="T62" s="134"/>
    </row>
    <row x14ac:dyDescent="0.25" r="63" customHeight="1" ht="13.5">
      <c r="A63" s="2"/>
      <c r="B63" s="2"/>
      <c r="C63" s="2"/>
      <c r="D63" s="2"/>
      <c r="E63" s="2"/>
      <c r="F63" s="3"/>
      <c r="G63" s="2"/>
      <c r="H63" s="2"/>
      <c r="I63" s="2"/>
      <c r="J63" s="2"/>
      <c r="K63" s="2"/>
      <c r="L63" s="2"/>
      <c r="M63" s="2"/>
      <c r="N63" s="2"/>
      <c r="O63" s="2"/>
      <c r="P63" s="2"/>
      <c r="Q63" s="2"/>
      <c r="R63" s="2"/>
      <c r="S63" s="2"/>
      <c r="T63" s="115"/>
    </row>
    <row x14ac:dyDescent="0.25" r="64" customHeight="1" ht="13.5">
      <c r="A64" s="2"/>
      <c r="B64" s="2"/>
      <c r="C64" s="2"/>
      <c r="D64" s="2"/>
      <c r="E64" s="2"/>
      <c r="F64" s="3"/>
      <c r="G64" s="2"/>
      <c r="H64" s="2"/>
      <c r="I64" s="2"/>
      <c r="J64" s="2"/>
      <c r="K64" s="2"/>
      <c r="L64" s="2"/>
      <c r="M64" s="2"/>
      <c r="N64" s="2"/>
      <c r="O64" s="2"/>
      <c r="P64" s="2"/>
      <c r="Q64" s="2"/>
      <c r="R64" s="2"/>
      <c r="S64" s="2"/>
      <c r="T64" s="115"/>
    </row>
    <row x14ac:dyDescent="0.25" r="65" customHeight="1" ht="13.5">
      <c r="A65" s="2"/>
      <c r="B65" s="2"/>
      <c r="C65" s="2"/>
      <c r="D65" s="2"/>
      <c r="E65" s="2"/>
      <c r="F65" s="3"/>
      <c r="G65" s="2"/>
      <c r="H65" s="2"/>
      <c r="I65" s="2"/>
      <c r="J65" s="2"/>
      <c r="K65" s="2"/>
      <c r="L65" s="2"/>
      <c r="M65" s="2"/>
      <c r="N65" s="2"/>
      <c r="O65" s="2"/>
      <c r="P65" s="2"/>
      <c r="Q65" s="2"/>
      <c r="R65" s="2"/>
      <c r="S65" s="2"/>
      <c r="T65" s="115"/>
    </row>
    <row x14ac:dyDescent="0.25" r="66" customHeight="1" ht="13.5">
      <c r="A66" s="2"/>
      <c r="B66" s="2"/>
      <c r="C66" s="2"/>
      <c r="D66" s="2"/>
      <c r="E66" s="2"/>
      <c r="F66" s="3"/>
      <c r="G66" s="2"/>
      <c r="H66" s="2"/>
      <c r="I66" s="2"/>
      <c r="J66" s="2"/>
      <c r="K66" s="2"/>
      <c r="L66" s="2"/>
      <c r="M66" s="2"/>
      <c r="N66" s="2"/>
      <c r="O66" s="2"/>
      <c r="P66" s="2"/>
      <c r="Q66" s="2"/>
      <c r="R66" s="2"/>
      <c r="S66" s="2"/>
      <c r="T66" s="115"/>
    </row>
    <row x14ac:dyDescent="0.25" r="67" customHeight="1" ht="13.5">
      <c r="A67" s="2"/>
      <c r="B67" s="2"/>
      <c r="C67" s="2"/>
      <c r="D67" s="2"/>
      <c r="E67" s="2"/>
      <c r="F67" s="3"/>
      <c r="G67" s="2"/>
      <c r="H67" s="2"/>
      <c r="I67" s="2"/>
      <c r="J67" s="2"/>
      <c r="K67" s="2"/>
      <c r="L67" s="2"/>
      <c r="M67" s="2"/>
      <c r="N67" s="2"/>
      <c r="O67" s="2"/>
      <c r="P67" s="2"/>
      <c r="Q67" s="2"/>
      <c r="R67" s="2"/>
      <c r="S67" s="2"/>
      <c r="T67" s="115"/>
    </row>
    <row x14ac:dyDescent="0.25" r="68" customHeight="1" ht="13.5">
      <c r="A68" s="2"/>
      <c r="B68" s="2"/>
      <c r="C68" s="2"/>
      <c r="D68" s="2"/>
      <c r="E68" s="2"/>
      <c r="F68" s="3"/>
      <c r="G68" s="2"/>
      <c r="H68" s="2"/>
      <c r="I68" s="2"/>
      <c r="J68" s="2"/>
      <c r="K68" s="2"/>
      <c r="L68" s="2"/>
      <c r="M68" s="2"/>
      <c r="N68" s="2"/>
      <c r="O68" s="2"/>
      <c r="P68" s="2"/>
      <c r="Q68" s="2"/>
      <c r="R68" s="2"/>
      <c r="S68" s="2"/>
      <c r="T68" s="115"/>
    </row>
    <row x14ac:dyDescent="0.25" r="69" customHeight="1" ht="13.5">
      <c r="A69" s="2"/>
      <c r="B69" s="2"/>
      <c r="C69" s="2"/>
      <c r="D69" s="2"/>
      <c r="E69" s="2"/>
      <c r="F69" s="3"/>
      <c r="G69" s="2"/>
      <c r="H69" s="2"/>
      <c r="I69" s="2"/>
      <c r="J69" s="2"/>
      <c r="K69" s="2"/>
      <c r="L69" s="2"/>
      <c r="M69" s="2"/>
      <c r="N69" s="2"/>
      <c r="O69" s="2"/>
      <c r="P69" s="2"/>
      <c r="Q69" s="2"/>
      <c r="R69" s="2"/>
      <c r="S69" s="2"/>
      <c r="T69" s="115"/>
    </row>
    <row x14ac:dyDescent="0.25" r="70" customHeight="1" ht="13.5">
      <c r="A70" s="2"/>
      <c r="B70" s="2"/>
      <c r="C70" s="2"/>
      <c r="D70" s="2"/>
      <c r="E70" s="2"/>
      <c r="F70" s="3"/>
      <c r="G70" s="2"/>
      <c r="H70" s="2"/>
      <c r="I70" s="2"/>
      <c r="J70" s="2"/>
      <c r="K70" s="2"/>
      <c r="L70" s="2"/>
      <c r="M70" s="2"/>
      <c r="N70" s="2"/>
      <c r="O70" s="2"/>
      <c r="P70" s="2"/>
      <c r="Q70" s="2"/>
      <c r="R70" s="2"/>
      <c r="S70" s="2"/>
      <c r="T70" s="115"/>
    </row>
    <row x14ac:dyDescent="0.25" r="71" customHeight="1" ht="13.5">
      <c r="A71" s="2"/>
      <c r="B71" s="2"/>
      <c r="C71" s="2"/>
      <c r="D71" s="2"/>
      <c r="E71" s="2"/>
      <c r="F71" s="3"/>
      <c r="G71" s="2"/>
      <c r="H71" s="2"/>
      <c r="I71" s="2"/>
      <c r="J71" s="2"/>
      <c r="K71" s="2"/>
      <c r="L71" s="2"/>
      <c r="M71" s="2"/>
      <c r="N71" s="2"/>
      <c r="O71" s="2"/>
      <c r="P71" s="2"/>
      <c r="Q71" s="2"/>
      <c r="R71" s="2"/>
      <c r="S71" s="2"/>
      <c r="T71" s="115"/>
    </row>
    <row x14ac:dyDescent="0.25" r="72" customHeight="1" ht="13.5">
      <c r="A72" s="2"/>
      <c r="B72" s="2"/>
      <c r="C72" s="2"/>
      <c r="D72" s="2"/>
      <c r="E72" s="2"/>
      <c r="F72" s="3"/>
      <c r="G72" s="2"/>
      <c r="H72" s="2"/>
      <c r="I72" s="2"/>
      <c r="J72" s="2"/>
      <c r="K72" s="2"/>
      <c r="L72" s="2"/>
      <c r="M72" s="2"/>
      <c r="N72" s="2"/>
      <c r="O72" s="2"/>
      <c r="P72" s="2"/>
      <c r="Q72" s="2"/>
      <c r="R72" s="2"/>
      <c r="S72" s="2"/>
      <c r="T72" s="115"/>
    </row>
    <row x14ac:dyDescent="0.25" r="73" customHeight="1" ht="13.5">
      <c r="A73" s="2"/>
      <c r="B73" s="2"/>
      <c r="C73" s="2"/>
      <c r="D73" s="2"/>
      <c r="E73" s="2"/>
      <c r="F73" s="3"/>
      <c r="G73" s="2"/>
      <c r="H73" s="2"/>
      <c r="I73" s="2"/>
      <c r="J73" s="2"/>
      <c r="K73" s="2"/>
      <c r="L73" s="2"/>
      <c r="M73" s="2"/>
      <c r="N73" s="2"/>
      <c r="O73" s="2"/>
      <c r="P73" s="2"/>
      <c r="Q73" s="2"/>
      <c r="R73" s="2"/>
      <c r="S73" s="2"/>
      <c r="T73" s="115"/>
    </row>
    <row x14ac:dyDescent="0.25" r="74" customHeight="1" ht="13.5">
      <c r="A74" s="2"/>
      <c r="B74" s="2"/>
      <c r="C74" s="2"/>
      <c r="D74" s="2"/>
      <c r="E74" s="2"/>
      <c r="F74" s="3"/>
      <c r="G74" s="2"/>
      <c r="H74" s="2"/>
      <c r="I74" s="2"/>
      <c r="J74" s="2"/>
      <c r="K74" s="2"/>
      <c r="L74" s="2"/>
      <c r="M74" s="2"/>
      <c r="N74" s="2"/>
      <c r="O74" s="2"/>
      <c r="P74" s="2"/>
      <c r="Q74" s="2"/>
      <c r="R74" s="2"/>
      <c r="S74" s="2"/>
      <c r="T74" s="115"/>
    </row>
    <row x14ac:dyDescent="0.25" r="75" customHeight="1" ht="13.5">
      <c r="A75" s="2"/>
      <c r="B75" s="2"/>
      <c r="C75" s="2"/>
      <c r="D75" s="2"/>
      <c r="E75" s="2"/>
      <c r="F75" s="3"/>
      <c r="G75" s="2"/>
      <c r="H75" s="2"/>
      <c r="I75" s="2"/>
      <c r="J75" s="2"/>
      <c r="K75" s="2"/>
      <c r="L75" s="2"/>
      <c r="M75" s="2"/>
      <c r="N75" s="2"/>
      <c r="O75" s="2"/>
      <c r="P75" s="2"/>
      <c r="Q75" s="2"/>
      <c r="R75" s="2"/>
      <c r="S75" s="2"/>
      <c r="T75" s="115"/>
    </row>
    <row x14ac:dyDescent="0.25" r="76" customHeight="1" ht="13.5">
      <c r="A76" s="2"/>
      <c r="B76" s="2"/>
      <c r="C76" s="2"/>
      <c r="D76" s="2"/>
      <c r="E76" s="2"/>
      <c r="F76" s="3"/>
      <c r="G76" s="2"/>
      <c r="H76" s="2"/>
      <c r="I76" s="2"/>
      <c r="J76" s="2"/>
      <c r="K76" s="2"/>
      <c r="L76" s="2"/>
      <c r="M76" s="2"/>
      <c r="N76" s="2"/>
      <c r="O76" s="2"/>
      <c r="P76" s="2"/>
      <c r="Q76" s="2"/>
      <c r="R76" s="2"/>
      <c r="S76" s="2"/>
      <c r="T76" s="115"/>
    </row>
    <row x14ac:dyDescent="0.25" r="77" customHeight="1" ht="13.5">
      <c r="A77" s="2"/>
      <c r="B77" s="2"/>
      <c r="C77" s="2"/>
      <c r="D77" s="2"/>
      <c r="E77" s="2"/>
      <c r="F77" s="3"/>
      <c r="G77" s="2"/>
      <c r="H77" s="2"/>
      <c r="I77" s="2"/>
      <c r="J77" s="2"/>
      <c r="K77" s="2"/>
      <c r="L77" s="2"/>
      <c r="M77" s="2"/>
      <c r="N77" s="2"/>
      <c r="O77" s="2"/>
      <c r="P77" s="2"/>
      <c r="Q77" s="2"/>
      <c r="R77" s="2"/>
      <c r="S77" s="2"/>
      <c r="T77" s="1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77"/>
  <sheetViews>
    <sheetView workbookViewId="0"/>
  </sheetViews>
  <sheetFormatPr defaultRowHeight="15" x14ac:dyDescent="0.25"/>
  <cols>
    <col min="1" max="1" style="100" width="1.719285714285714" customWidth="1" bestFit="1"/>
    <col min="2" max="2" style="100" width="2.7192857142857143" customWidth="1" bestFit="1"/>
    <col min="3" max="3" style="100" width="2.005" customWidth="1" bestFit="1"/>
    <col min="4" max="4" style="100" width="37.29071428571429" customWidth="1" bestFit="1"/>
    <col min="5" max="5" style="100" width="19.14785714285714" customWidth="1" bestFit="1"/>
    <col min="6" max="6" style="100" width="30.576428571428572" customWidth="1" bestFit="1"/>
    <col min="7" max="7" style="101" width="14.147857142857141" customWidth="1" bestFit="1"/>
    <col min="8" max="8" style="100" width="14.147857142857141" customWidth="1" bestFit="1"/>
    <col min="9" max="9" style="100" width="14.147857142857141" customWidth="1" bestFit="1"/>
    <col min="10" max="10" style="100" width="14.147857142857141" customWidth="1" bestFit="1"/>
    <col min="11" max="11" style="100" width="14.147857142857141" customWidth="1" bestFit="1"/>
    <col min="12" max="12" style="100" width="14.147857142857141" customWidth="1" bestFit="1"/>
    <col min="13" max="13" style="100" width="14.147857142857141" customWidth="1" bestFit="1"/>
    <col min="14" max="14" style="100" width="9.290714285714287" customWidth="1" bestFit="1"/>
    <col min="15" max="15" style="100" width="14.290714285714287" customWidth="1" bestFit="1"/>
    <col min="16" max="16" style="137" width="11.290714285714287" customWidth="1" bestFit="1"/>
    <col min="17" max="17" style="100" width="26.719285714285714" customWidth="1" bestFit="1"/>
    <col min="18" max="18" style="100" width="29.433571428571426" customWidth="1" bestFit="1"/>
    <col min="19" max="19" style="100" width="11.719285714285713" customWidth="1" bestFit="1"/>
    <col min="20" max="20" style="138" width="13.576428571428572" customWidth="1" bestFit="1"/>
  </cols>
  <sheetData>
    <row x14ac:dyDescent="0.25" r="1" customHeight="1" ht="13.5">
      <c r="A1" s="104"/>
      <c r="B1" s="104"/>
      <c r="C1" s="104"/>
      <c r="D1" s="105"/>
      <c r="E1" s="106"/>
      <c r="F1" s="2"/>
      <c r="G1" s="3"/>
      <c r="H1" s="2"/>
      <c r="I1" s="2"/>
      <c r="J1" s="2"/>
      <c r="K1" s="2"/>
      <c r="L1" s="2"/>
      <c r="M1" s="2"/>
      <c r="N1" s="2"/>
      <c r="O1" s="2"/>
      <c r="P1" s="108"/>
      <c r="Q1" s="2"/>
      <c r="R1" s="2"/>
      <c r="S1" s="2"/>
      <c r="T1" s="134"/>
    </row>
    <row x14ac:dyDescent="0.25" r="2" customHeight="1" ht="13.5">
      <c r="A2" s="104"/>
      <c r="B2" s="104"/>
      <c r="C2" s="104"/>
      <c r="D2" s="105"/>
      <c r="E2" s="109">
        <f>Title</f>
      </c>
      <c r="F2" s="2"/>
      <c r="G2" s="3"/>
      <c r="H2" s="2"/>
      <c r="I2" s="2"/>
      <c r="J2" s="2"/>
      <c r="K2" s="2"/>
      <c r="L2" s="2"/>
      <c r="M2" s="2"/>
      <c r="N2" s="2"/>
      <c r="O2" s="2"/>
      <c r="P2" s="108"/>
      <c r="Q2" s="2"/>
      <c r="R2" s="2"/>
      <c r="S2" s="2"/>
      <c r="T2" s="134"/>
    </row>
    <row x14ac:dyDescent="0.25" r="3" customHeight="1" ht="13.5">
      <c r="A3" s="104"/>
      <c r="B3" s="104"/>
      <c r="C3" s="104"/>
      <c r="D3" s="105"/>
      <c r="E3" s="110">
        <f>MID(CELL("filename",E3),FIND("]",CELL("filename",E3))+1,256)</f>
      </c>
      <c r="F3" s="2"/>
      <c r="G3" s="3"/>
      <c r="H3" s="2"/>
      <c r="I3" s="2"/>
      <c r="J3" s="2"/>
      <c r="K3" s="2"/>
      <c r="L3" s="2"/>
      <c r="M3" s="2"/>
      <c r="N3" s="2"/>
      <c r="O3" s="2"/>
      <c r="P3" s="108"/>
      <c r="Q3" s="2"/>
      <c r="R3" s="2"/>
      <c r="S3" s="2"/>
      <c r="T3" s="134"/>
    </row>
    <row x14ac:dyDescent="0.25" r="4" customHeight="1" ht="13.5">
      <c r="A4" s="104"/>
      <c r="B4" s="104"/>
      <c r="C4" s="104"/>
      <c r="D4" s="105"/>
      <c r="E4" s="111" t="s">
        <v>271</v>
      </c>
      <c r="F4" s="2"/>
      <c r="G4" s="3"/>
      <c r="H4" s="2"/>
      <c r="I4" s="2"/>
      <c r="J4" s="2"/>
      <c r="K4" s="2"/>
      <c r="L4" s="2"/>
      <c r="M4" s="2"/>
      <c r="N4" s="2"/>
      <c r="O4" s="2"/>
      <c r="P4" s="108"/>
      <c r="Q4" s="2"/>
      <c r="R4" s="2"/>
      <c r="S4" s="2"/>
      <c r="T4" s="134"/>
    </row>
    <row x14ac:dyDescent="0.25" r="5" customHeight="1" ht="13.5">
      <c r="A5" s="112"/>
      <c r="B5" s="112"/>
      <c r="C5" s="112"/>
      <c r="D5" s="113"/>
      <c r="E5" s="114"/>
      <c r="F5" s="2"/>
      <c r="G5" s="3"/>
      <c r="H5" s="2"/>
      <c r="I5" s="2"/>
      <c r="J5" s="2"/>
      <c r="K5" s="2"/>
      <c r="L5" s="2"/>
      <c r="M5" s="2"/>
      <c r="N5" s="2"/>
      <c r="O5" s="2"/>
      <c r="P5" s="108"/>
      <c r="Q5" s="2"/>
      <c r="R5" s="2"/>
      <c r="S5" s="2"/>
      <c r="T5" s="134"/>
    </row>
    <row x14ac:dyDescent="0.25" r="6" customHeight="1" ht="13.5">
      <c r="A6" s="2"/>
      <c r="B6" s="115"/>
      <c r="C6" s="115"/>
      <c r="D6" s="115"/>
      <c r="E6" s="115"/>
      <c r="F6" s="115"/>
      <c r="G6" s="115"/>
      <c r="H6" s="115"/>
      <c r="I6" s="115"/>
      <c r="J6" s="115"/>
      <c r="K6" s="115"/>
      <c r="L6" s="115"/>
      <c r="M6" s="115"/>
      <c r="N6" s="115"/>
      <c r="O6" s="2"/>
      <c r="P6" s="108"/>
      <c r="Q6" s="2"/>
      <c r="R6" s="2"/>
      <c r="S6" s="2"/>
      <c r="T6" s="134"/>
    </row>
    <row x14ac:dyDescent="0.25" r="7" customHeight="1" ht="13.5">
      <c r="A7" s="2"/>
      <c r="B7" s="116"/>
      <c r="C7" s="115"/>
      <c r="D7" s="117"/>
      <c r="E7" s="115"/>
      <c r="F7" s="115"/>
      <c r="G7" s="115"/>
      <c r="H7" s="115"/>
      <c r="I7" s="115"/>
      <c r="J7" s="115"/>
      <c r="K7" s="115"/>
      <c r="L7" s="115"/>
      <c r="M7" s="115"/>
      <c r="N7" s="115"/>
      <c r="O7" s="2"/>
      <c r="P7" s="108"/>
      <c r="Q7" s="2"/>
      <c r="R7" s="2"/>
      <c r="S7" s="2"/>
      <c r="T7" s="134"/>
    </row>
    <row x14ac:dyDescent="0.25" r="8" customHeight="1" ht="13.5">
      <c r="A8" s="2"/>
      <c r="B8" s="115"/>
      <c r="C8" s="115"/>
      <c r="D8" s="115"/>
      <c r="E8" s="115"/>
      <c r="F8" s="115"/>
      <c r="G8" s="115"/>
      <c r="H8" s="115"/>
      <c r="I8" s="115"/>
      <c r="J8" s="115"/>
      <c r="K8" s="115"/>
      <c r="L8" s="115"/>
      <c r="M8" s="115"/>
      <c r="N8" s="115"/>
      <c r="O8" s="2"/>
      <c r="P8" s="108"/>
      <c r="Q8" s="2"/>
      <c r="R8" s="2"/>
      <c r="S8" s="2"/>
      <c r="T8" s="134"/>
    </row>
    <row x14ac:dyDescent="0.25" r="9" customHeight="1" ht="13.5">
      <c r="A9" s="2"/>
      <c r="B9" s="115"/>
      <c r="C9" s="115"/>
      <c r="D9" s="121"/>
      <c r="E9" s="2" t="s">
        <v>97</v>
      </c>
      <c r="F9" s="2" t="s">
        <v>98</v>
      </c>
      <c r="G9" s="130" t="s">
        <v>99</v>
      </c>
      <c r="H9" s="2" t="s">
        <v>100</v>
      </c>
      <c r="I9" s="2" t="s">
        <v>101</v>
      </c>
      <c r="J9" s="2" t="s">
        <v>102</v>
      </c>
      <c r="K9" s="2" t="s">
        <v>272</v>
      </c>
      <c r="L9" s="2" t="s">
        <v>104</v>
      </c>
      <c r="M9" s="2" t="s">
        <v>105</v>
      </c>
      <c r="N9" s="2" t="s">
        <v>106</v>
      </c>
      <c r="O9" s="2" t="s">
        <v>107</v>
      </c>
      <c r="P9" s="120" t="s">
        <v>108</v>
      </c>
      <c r="Q9" s="2" t="s">
        <v>109</v>
      </c>
      <c r="R9" s="2" t="s">
        <v>110</v>
      </c>
      <c r="S9" s="2"/>
      <c r="T9" s="134"/>
    </row>
    <row x14ac:dyDescent="0.25" r="10" customHeight="1" ht="13.5">
      <c r="A10" s="2"/>
      <c r="B10" s="115"/>
      <c r="C10" s="115"/>
      <c r="D10" s="122"/>
      <c r="E10" s="2" t="s">
        <v>273</v>
      </c>
      <c r="F10" s="2" t="s">
        <v>274</v>
      </c>
      <c r="G10" s="63">
        <v>729</v>
      </c>
      <c r="H10" s="2" t="s">
        <v>113</v>
      </c>
      <c r="I10" s="2" t="s">
        <v>275</v>
      </c>
      <c r="J10" s="2" t="s">
        <v>276</v>
      </c>
      <c r="K10" s="2" t="s">
        <v>277</v>
      </c>
      <c r="L10" s="2" t="s">
        <v>278</v>
      </c>
      <c r="M10" s="2" t="s">
        <v>279</v>
      </c>
      <c r="N10" s="2" t="s">
        <v>279</v>
      </c>
      <c r="O10" s="2" t="s">
        <v>280</v>
      </c>
      <c r="P10" s="124">
        <v>3.13</v>
      </c>
      <c r="Q10" s="2" t="s">
        <v>118</v>
      </c>
      <c r="R10" s="2" t="s">
        <v>119</v>
      </c>
      <c r="S10" s="2"/>
      <c r="T10" s="134"/>
    </row>
    <row x14ac:dyDescent="0.25" r="11" customHeight="1" ht="13.5">
      <c r="A11" s="2"/>
      <c r="B11" s="115"/>
      <c r="C11" s="115"/>
      <c r="D11" s="115"/>
      <c r="E11" s="2" t="s">
        <v>273</v>
      </c>
      <c r="F11" s="2" t="s">
        <v>274</v>
      </c>
      <c r="G11" s="63">
        <v>729</v>
      </c>
      <c r="H11" s="2" t="s">
        <v>113</v>
      </c>
      <c r="I11" s="2" t="s">
        <v>275</v>
      </c>
      <c r="J11" s="2" t="s">
        <v>276</v>
      </c>
      <c r="K11" s="2" t="s">
        <v>277</v>
      </c>
      <c r="L11" s="2" t="s">
        <v>278</v>
      </c>
      <c r="M11" s="2" t="s">
        <v>281</v>
      </c>
      <c r="N11" s="2" t="s">
        <v>281</v>
      </c>
      <c r="O11" s="2" t="s">
        <v>280</v>
      </c>
      <c r="P11" s="124">
        <v>3.79</v>
      </c>
      <c r="Q11" s="2" t="s">
        <v>118</v>
      </c>
      <c r="R11" s="2" t="s">
        <v>119</v>
      </c>
      <c r="S11" s="2"/>
      <c r="T11" s="134"/>
    </row>
    <row x14ac:dyDescent="0.25" r="12" customHeight="1" ht="13.5">
      <c r="A12" s="2"/>
      <c r="B12" s="115"/>
      <c r="C12" s="115"/>
      <c r="D12" s="121"/>
      <c r="E12" s="2" t="s">
        <v>273</v>
      </c>
      <c r="F12" s="2" t="s">
        <v>274</v>
      </c>
      <c r="G12" s="63">
        <v>729</v>
      </c>
      <c r="H12" s="2" t="s">
        <v>113</v>
      </c>
      <c r="I12" s="2" t="s">
        <v>275</v>
      </c>
      <c r="J12" s="2" t="s">
        <v>276</v>
      </c>
      <c r="K12" s="2" t="s">
        <v>277</v>
      </c>
      <c r="L12" s="2" t="s">
        <v>278</v>
      </c>
      <c r="M12" s="2" t="s">
        <v>282</v>
      </c>
      <c r="N12" s="2" t="s">
        <v>282</v>
      </c>
      <c r="O12" s="2" t="s">
        <v>280</v>
      </c>
      <c r="P12" s="124">
        <v>3.74</v>
      </c>
      <c r="Q12" s="2" t="s">
        <v>118</v>
      </c>
      <c r="R12" s="2" t="s">
        <v>119</v>
      </c>
      <c r="S12" s="2"/>
      <c r="T12" s="134"/>
    </row>
    <row x14ac:dyDescent="0.25" r="13" customHeight="1" ht="13.5">
      <c r="A13" s="2"/>
      <c r="B13" s="115"/>
      <c r="C13" s="115"/>
      <c r="D13" s="115"/>
      <c r="E13" s="2" t="s">
        <v>273</v>
      </c>
      <c r="F13" s="2" t="s">
        <v>274</v>
      </c>
      <c r="G13" s="63">
        <v>729</v>
      </c>
      <c r="H13" s="2" t="s">
        <v>113</v>
      </c>
      <c r="I13" s="2" t="s">
        <v>275</v>
      </c>
      <c r="J13" s="2" t="s">
        <v>276</v>
      </c>
      <c r="K13" s="2" t="s">
        <v>277</v>
      </c>
      <c r="L13" s="2" t="s">
        <v>278</v>
      </c>
      <c r="M13" s="2" t="s">
        <v>283</v>
      </c>
      <c r="N13" s="2" t="s">
        <v>283</v>
      </c>
      <c r="O13" s="2" t="s">
        <v>280</v>
      </c>
      <c r="P13" s="124">
        <v>2.12</v>
      </c>
      <c r="Q13" s="2" t="s">
        <v>118</v>
      </c>
      <c r="R13" s="2" t="s">
        <v>119</v>
      </c>
      <c r="S13" s="2"/>
      <c r="T13" s="134"/>
    </row>
    <row x14ac:dyDescent="0.25" r="14" customHeight="1" ht="13.5">
      <c r="A14" s="2"/>
      <c r="B14" s="115"/>
      <c r="C14" s="115"/>
      <c r="D14" s="115"/>
      <c r="E14" s="135"/>
      <c r="F14" s="135"/>
      <c r="G14" s="135"/>
      <c r="H14" s="135"/>
      <c r="I14" s="135"/>
      <c r="J14" s="135"/>
      <c r="K14" s="135"/>
      <c r="L14" s="135"/>
      <c r="M14" s="135"/>
      <c r="N14" s="115"/>
      <c r="O14" s="2"/>
      <c r="P14" s="108"/>
      <c r="Q14" s="2"/>
      <c r="R14" s="2"/>
      <c r="S14" s="2"/>
      <c r="T14" s="134"/>
    </row>
    <row x14ac:dyDescent="0.25" r="15" customHeight="1" ht="13.5">
      <c r="A15" s="2"/>
      <c r="B15" s="115"/>
      <c r="C15" s="115"/>
      <c r="D15" s="115"/>
      <c r="E15" s="135"/>
      <c r="F15" s="135"/>
      <c r="G15" s="135"/>
      <c r="H15" s="135"/>
      <c r="I15" s="135"/>
      <c r="J15" s="135"/>
      <c r="K15" s="135"/>
      <c r="L15" s="135"/>
      <c r="M15" s="135"/>
      <c r="N15" s="115"/>
      <c r="O15" s="2"/>
      <c r="P15" s="108"/>
      <c r="Q15" s="2"/>
      <c r="R15" s="2"/>
      <c r="S15" s="2"/>
      <c r="T15" s="134"/>
    </row>
    <row x14ac:dyDescent="0.25" r="16" customHeight="1" ht="13.5">
      <c r="A16" s="2"/>
      <c r="B16" s="115"/>
      <c r="C16" s="115"/>
      <c r="D16" s="115"/>
      <c r="E16" s="135"/>
      <c r="F16" s="135"/>
      <c r="G16" s="135"/>
      <c r="H16" s="135"/>
      <c r="I16" s="135"/>
      <c r="J16" s="135"/>
      <c r="K16" s="135"/>
      <c r="L16" s="135"/>
      <c r="M16" s="135"/>
      <c r="N16" s="115"/>
      <c r="O16" s="2"/>
      <c r="P16" s="108"/>
      <c r="Q16" s="2"/>
      <c r="R16" s="2"/>
      <c r="S16" s="2"/>
      <c r="T16" s="134"/>
    </row>
    <row x14ac:dyDescent="0.25" r="17" customHeight="1" ht="13.5">
      <c r="A17" s="2"/>
      <c r="B17" s="115"/>
      <c r="C17" s="115"/>
      <c r="D17" s="115"/>
      <c r="E17" s="135"/>
      <c r="F17" s="135"/>
      <c r="G17" s="135"/>
      <c r="H17" s="135"/>
      <c r="I17" s="135"/>
      <c r="J17" s="135"/>
      <c r="K17" s="135"/>
      <c r="L17" s="135"/>
      <c r="M17" s="135"/>
      <c r="N17" s="115"/>
      <c r="O17" s="2"/>
      <c r="P17" s="108"/>
      <c r="Q17" s="2"/>
      <c r="R17" s="2"/>
      <c r="S17" s="2"/>
      <c r="T17" s="134"/>
    </row>
    <row x14ac:dyDescent="0.25" r="18" customHeight="1" ht="13.5">
      <c r="A18" s="2"/>
      <c r="B18" s="115"/>
      <c r="C18" s="115"/>
      <c r="D18" s="115"/>
      <c r="E18" s="135"/>
      <c r="F18" s="135"/>
      <c r="G18" s="135"/>
      <c r="H18" s="135"/>
      <c r="I18" s="135"/>
      <c r="J18" s="135"/>
      <c r="K18" s="135"/>
      <c r="L18" s="135"/>
      <c r="M18" s="135"/>
      <c r="N18" s="115"/>
      <c r="O18" s="2"/>
      <c r="P18" s="108"/>
      <c r="Q18" s="2"/>
      <c r="R18" s="2"/>
      <c r="S18" s="2"/>
      <c r="T18" s="134"/>
    </row>
    <row x14ac:dyDescent="0.25" r="19" customHeight="1" ht="13.5">
      <c r="A19" s="2"/>
      <c r="B19" s="115"/>
      <c r="C19" s="115"/>
      <c r="D19" s="115"/>
      <c r="E19" s="135"/>
      <c r="F19" s="135"/>
      <c r="G19" s="135"/>
      <c r="H19" s="135"/>
      <c r="I19" s="135"/>
      <c r="J19" s="135"/>
      <c r="K19" s="135"/>
      <c r="L19" s="135"/>
      <c r="M19" s="135"/>
      <c r="N19" s="115"/>
      <c r="O19" s="2"/>
      <c r="P19" s="108"/>
      <c r="Q19" s="2"/>
      <c r="R19" s="2"/>
      <c r="S19" s="2"/>
      <c r="T19" s="134"/>
    </row>
    <row x14ac:dyDescent="0.25" r="20" customHeight="1" ht="13.5">
      <c r="A20" s="2"/>
      <c r="B20" s="115"/>
      <c r="C20" s="115"/>
      <c r="D20" s="115"/>
      <c r="E20" s="135"/>
      <c r="F20" s="135"/>
      <c r="G20" s="135"/>
      <c r="H20" s="135"/>
      <c r="I20" s="135"/>
      <c r="J20" s="135"/>
      <c r="K20" s="135"/>
      <c r="L20" s="135"/>
      <c r="M20" s="135"/>
      <c r="N20" s="115"/>
      <c r="O20" s="2"/>
      <c r="P20" s="108"/>
      <c r="Q20" s="2"/>
      <c r="R20" s="2"/>
      <c r="S20" s="2"/>
      <c r="T20" s="134"/>
    </row>
    <row x14ac:dyDescent="0.25" r="21" customHeight="1" ht="13.5">
      <c r="A21" s="2"/>
      <c r="B21" s="115"/>
      <c r="C21" s="115"/>
      <c r="D21" s="115"/>
      <c r="E21" s="115"/>
      <c r="F21" s="115"/>
      <c r="G21" s="115"/>
      <c r="H21" s="115"/>
      <c r="I21" s="115"/>
      <c r="J21" s="115"/>
      <c r="K21" s="115"/>
      <c r="L21" s="115"/>
      <c r="M21" s="115"/>
      <c r="N21" s="115"/>
      <c r="O21" s="2"/>
      <c r="P21" s="108"/>
      <c r="Q21" s="2"/>
      <c r="R21" s="2"/>
      <c r="S21" s="2"/>
      <c r="T21" s="134"/>
    </row>
    <row x14ac:dyDescent="0.25" r="22" customHeight="1" ht="13.5">
      <c r="A22" s="2"/>
      <c r="B22" s="115"/>
      <c r="C22" s="115"/>
      <c r="D22" s="115"/>
      <c r="E22" s="115"/>
      <c r="F22" s="136"/>
      <c r="G22" s="115"/>
      <c r="H22" s="115"/>
      <c r="I22" s="115"/>
      <c r="J22" s="115"/>
      <c r="K22" s="115"/>
      <c r="L22" s="115"/>
      <c r="M22" s="115"/>
      <c r="N22" s="115"/>
      <c r="O22" s="2"/>
      <c r="P22" s="108"/>
      <c r="Q22" s="2"/>
      <c r="R22" s="2"/>
      <c r="S22" s="2"/>
      <c r="T22" s="134"/>
    </row>
    <row x14ac:dyDescent="0.25" r="23" customHeight="1" ht="13.5">
      <c r="A23" s="2"/>
      <c r="B23" s="115"/>
      <c r="C23" s="115"/>
      <c r="D23" s="115"/>
      <c r="E23" s="115"/>
      <c r="F23" s="115"/>
      <c r="G23" s="115"/>
      <c r="H23" s="115"/>
      <c r="I23" s="115"/>
      <c r="J23" s="115"/>
      <c r="K23" s="115"/>
      <c r="L23" s="115"/>
      <c r="M23" s="115"/>
      <c r="N23" s="115"/>
      <c r="O23" s="2"/>
      <c r="P23" s="108"/>
      <c r="Q23" s="2"/>
      <c r="R23" s="2"/>
      <c r="S23" s="2"/>
      <c r="T23" s="134"/>
    </row>
    <row x14ac:dyDescent="0.25" r="24" customHeight="1" ht="13.5">
      <c r="A24" s="2"/>
      <c r="B24" s="116"/>
      <c r="C24" s="115"/>
      <c r="D24" s="117"/>
      <c r="E24" s="115"/>
      <c r="F24" s="115"/>
      <c r="G24" s="115"/>
      <c r="H24" s="115"/>
      <c r="I24" s="115"/>
      <c r="J24" s="115"/>
      <c r="K24" s="115"/>
      <c r="L24" s="115"/>
      <c r="M24" s="115"/>
      <c r="N24" s="115"/>
      <c r="O24" s="2"/>
      <c r="P24" s="108"/>
      <c r="Q24" s="2"/>
      <c r="R24" s="2"/>
      <c r="S24" s="2"/>
      <c r="T24" s="134"/>
    </row>
    <row x14ac:dyDescent="0.25" r="25" customHeight="1" ht="13.5">
      <c r="A25" s="2"/>
      <c r="B25" s="115"/>
      <c r="C25" s="115"/>
      <c r="D25" s="115"/>
      <c r="E25" s="115"/>
      <c r="F25" s="115"/>
      <c r="G25" s="115"/>
      <c r="H25" s="115"/>
      <c r="I25" s="115"/>
      <c r="J25" s="115"/>
      <c r="K25" s="115"/>
      <c r="L25" s="115"/>
      <c r="M25" s="115"/>
      <c r="N25" s="115"/>
      <c r="O25" s="2"/>
      <c r="P25" s="108"/>
      <c r="Q25" s="2"/>
      <c r="R25" s="2"/>
      <c r="S25" s="2"/>
      <c r="T25" s="134"/>
    </row>
    <row x14ac:dyDescent="0.25" r="26" customHeight="1" ht="13.5">
      <c r="A26" s="2"/>
      <c r="B26" s="115"/>
      <c r="C26" s="115"/>
      <c r="D26" s="115"/>
      <c r="E26" s="115"/>
      <c r="F26" s="115"/>
      <c r="G26" s="115"/>
      <c r="H26" s="115"/>
      <c r="I26" s="115"/>
      <c r="J26" s="115"/>
      <c r="K26" s="115"/>
      <c r="L26" s="115"/>
      <c r="M26" s="115"/>
      <c r="N26" s="115"/>
      <c r="O26" s="2"/>
      <c r="P26" s="108"/>
      <c r="Q26" s="2"/>
      <c r="R26" s="2"/>
      <c r="S26" s="2"/>
      <c r="T26" s="134"/>
    </row>
    <row x14ac:dyDescent="0.25" r="27" customHeight="1" ht="13.5">
      <c r="A27" s="2"/>
      <c r="B27" s="115"/>
      <c r="C27" s="115"/>
      <c r="D27" s="115"/>
      <c r="E27" s="115"/>
      <c r="F27" s="115"/>
      <c r="G27" s="115"/>
      <c r="H27" s="115"/>
      <c r="I27" s="115"/>
      <c r="J27" s="115"/>
      <c r="K27" s="115"/>
      <c r="L27" s="115"/>
      <c r="M27" s="115"/>
      <c r="N27" s="115"/>
      <c r="O27" s="2"/>
      <c r="P27" s="108"/>
      <c r="Q27" s="2"/>
      <c r="R27" s="2"/>
      <c r="S27" s="2"/>
      <c r="T27" s="134"/>
    </row>
    <row x14ac:dyDescent="0.25" r="28" customHeight="1" ht="13.5">
      <c r="A28" s="2"/>
      <c r="B28" s="115"/>
      <c r="C28" s="115"/>
      <c r="D28" s="115"/>
      <c r="E28" s="115"/>
      <c r="F28" s="115"/>
      <c r="G28" s="115"/>
      <c r="H28" s="115"/>
      <c r="I28" s="115"/>
      <c r="J28" s="115"/>
      <c r="K28" s="115"/>
      <c r="L28" s="115"/>
      <c r="M28" s="115"/>
      <c r="N28" s="115"/>
      <c r="O28" s="2"/>
      <c r="P28" s="108"/>
      <c r="Q28" s="2"/>
      <c r="R28" s="2"/>
      <c r="S28" s="2"/>
      <c r="T28" s="134"/>
    </row>
    <row x14ac:dyDescent="0.25" r="29" customHeight="1" ht="13.5">
      <c r="A29" s="2"/>
      <c r="B29" s="115"/>
      <c r="C29" s="115"/>
      <c r="D29" s="115"/>
      <c r="E29" s="115"/>
      <c r="F29" s="115"/>
      <c r="G29" s="115"/>
      <c r="H29" s="115"/>
      <c r="I29" s="115"/>
      <c r="J29" s="115"/>
      <c r="K29" s="115"/>
      <c r="L29" s="115"/>
      <c r="M29" s="115"/>
      <c r="N29" s="115"/>
      <c r="O29" s="2"/>
      <c r="P29" s="108"/>
      <c r="Q29" s="2"/>
      <c r="R29" s="2"/>
      <c r="S29" s="2"/>
      <c r="T29" s="134"/>
    </row>
    <row x14ac:dyDescent="0.25" r="30" customHeight="1" ht="13.5">
      <c r="A30" s="2"/>
      <c r="B30" s="115"/>
      <c r="C30" s="115"/>
      <c r="D30" s="115"/>
      <c r="E30" s="115"/>
      <c r="F30" s="115"/>
      <c r="G30" s="115"/>
      <c r="H30" s="115"/>
      <c r="I30" s="115"/>
      <c r="J30" s="115"/>
      <c r="K30" s="115"/>
      <c r="L30" s="115"/>
      <c r="M30" s="115"/>
      <c r="N30" s="115"/>
      <c r="O30" s="2"/>
      <c r="P30" s="108"/>
      <c r="Q30" s="2"/>
      <c r="R30" s="2"/>
      <c r="S30" s="2"/>
      <c r="T30" s="134"/>
    </row>
    <row x14ac:dyDescent="0.25" r="31" customHeight="1" ht="13.5">
      <c r="A31" s="2"/>
      <c r="B31" s="115"/>
      <c r="C31" s="115"/>
      <c r="D31" s="115"/>
      <c r="E31" s="115"/>
      <c r="F31" s="115"/>
      <c r="G31" s="115"/>
      <c r="H31" s="115"/>
      <c r="I31" s="115"/>
      <c r="J31" s="115"/>
      <c r="K31" s="115"/>
      <c r="L31" s="115"/>
      <c r="M31" s="115"/>
      <c r="N31" s="115"/>
      <c r="O31" s="2"/>
      <c r="P31" s="108"/>
      <c r="Q31" s="2"/>
      <c r="R31" s="2"/>
      <c r="S31" s="2"/>
      <c r="T31" s="134"/>
    </row>
    <row x14ac:dyDescent="0.25" r="32" customHeight="1" ht="13.5">
      <c r="A32" s="2"/>
      <c r="B32" s="115"/>
      <c r="C32" s="115"/>
      <c r="D32" s="115"/>
      <c r="E32" s="115"/>
      <c r="F32" s="115"/>
      <c r="G32" s="115"/>
      <c r="H32" s="115"/>
      <c r="I32" s="115"/>
      <c r="J32" s="115"/>
      <c r="K32" s="115"/>
      <c r="L32" s="115"/>
      <c r="M32" s="115"/>
      <c r="N32" s="115"/>
      <c r="O32" s="2"/>
      <c r="P32" s="108"/>
      <c r="Q32" s="2"/>
      <c r="R32" s="2"/>
      <c r="S32" s="2"/>
      <c r="T32" s="134"/>
    </row>
    <row x14ac:dyDescent="0.25" r="33" customHeight="1" ht="13.5">
      <c r="A33" s="2"/>
      <c r="B33" s="115"/>
      <c r="C33" s="115"/>
      <c r="D33" s="115"/>
      <c r="E33" s="115"/>
      <c r="F33" s="115"/>
      <c r="G33" s="115"/>
      <c r="H33" s="115"/>
      <c r="I33" s="115"/>
      <c r="J33" s="115"/>
      <c r="K33" s="115"/>
      <c r="L33" s="115"/>
      <c r="M33" s="115"/>
      <c r="N33" s="115"/>
      <c r="O33" s="2"/>
      <c r="P33" s="108"/>
      <c r="Q33" s="2"/>
      <c r="R33" s="2"/>
      <c r="S33" s="2"/>
      <c r="T33" s="134"/>
    </row>
    <row x14ac:dyDescent="0.25" r="34" customHeight="1" ht="18.75">
      <c r="A34" s="2"/>
      <c r="B34" s="2"/>
      <c r="C34" s="2"/>
      <c r="D34" s="2"/>
      <c r="E34" s="2"/>
      <c r="F34" s="2"/>
      <c r="G34" s="3"/>
      <c r="H34" s="2"/>
      <c r="I34" s="2"/>
      <c r="J34" s="2"/>
      <c r="K34" s="2"/>
      <c r="L34" s="2"/>
      <c r="M34" s="2"/>
      <c r="N34" s="2"/>
      <c r="O34" s="2"/>
      <c r="P34" s="108"/>
      <c r="Q34" s="2"/>
      <c r="R34" s="2"/>
      <c r="S34" s="2"/>
      <c r="T34" s="134"/>
    </row>
    <row x14ac:dyDescent="0.25" r="35" customHeight="1" ht="18.75">
      <c r="A35" s="2"/>
      <c r="B35" s="2"/>
      <c r="C35" s="2"/>
      <c r="D35" s="2"/>
      <c r="E35" s="2"/>
      <c r="F35" s="2"/>
      <c r="G35" s="3"/>
      <c r="H35" s="2"/>
      <c r="I35" s="2"/>
      <c r="J35" s="2"/>
      <c r="K35" s="2"/>
      <c r="L35" s="2"/>
      <c r="M35" s="2"/>
      <c r="N35" s="2"/>
      <c r="O35" s="2"/>
      <c r="P35" s="108"/>
      <c r="Q35" s="2"/>
      <c r="R35" s="2"/>
      <c r="S35" s="2"/>
      <c r="T35" s="134"/>
    </row>
    <row x14ac:dyDescent="0.25" r="36" customHeight="1" ht="18.75">
      <c r="A36" s="2"/>
      <c r="B36" s="2"/>
      <c r="C36" s="2"/>
      <c r="D36" s="2"/>
      <c r="E36" s="2"/>
      <c r="F36" s="2"/>
      <c r="G36" s="3"/>
      <c r="H36" s="2"/>
      <c r="I36" s="2"/>
      <c r="J36" s="2"/>
      <c r="K36" s="2"/>
      <c r="L36" s="2"/>
      <c r="M36" s="2"/>
      <c r="N36" s="2"/>
      <c r="O36" s="2"/>
      <c r="P36" s="108"/>
      <c r="Q36" s="2"/>
      <c r="R36" s="2"/>
      <c r="S36" s="2"/>
      <c r="T36" s="134"/>
    </row>
    <row x14ac:dyDescent="0.25" r="37" customHeight="1" ht="18.75">
      <c r="A37" s="2"/>
      <c r="B37" s="2"/>
      <c r="C37" s="2"/>
      <c r="D37" s="2"/>
      <c r="E37" s="2"/>
      <c r="F37" s="2"/>
      <c r="G37" s="3"/>
      <c r="H37" s="2"/>
      <c r="I37" s="2"/>
      <c r="J37" s="2"/>
      <c r="K37" s="2"/>
      <c r="L37" s="2"/>
      <c r="M37" s="2"/>
      <c r="N37" s="2"/>
      <c r="O37" s="2"/>
      <c r="P37" s="108"/>
      <c r="Q37" s="2"/>
      <c r="R37" s="2"/>
      <c r="S37" s="2"/>
      <c r="T37" s="134"/>
    </row>
    <row x14ac:dyDescent="0.25" r="38" customHeight="1" ht="18.75">
      <c r="A38" s="2"/>
      <c r="B38" s="2"/>
      <c r="C38" s="2"/>
      <c r="D38" s="2"/>
      <c r="E38" s="2"/>
      <c r="F38" s="2"/>
      <c r="G38" s="3"/>
      <c r="H38" s="2"/>
      <c r="I38" s="2"/>
      <c r="J38" s="2"/>
      <c r="K38" s="2"/>
      <c r="L38" s="2"/>
      <c r="M38" s="2"/>
      <c r="N38" s="2"/>
      <c r="O38" s="2"/>
      <c r="P38" s="108"/>
      <c r="Q38" s="2"/>
      <c r="R38" s="2"/>
      <c r="S38" s="2"/>
      <c r="T38" s="134"/>
    </row>
    <row x14ac:dyDescent="0.25" r="39" customHeight="1" ht="18.75">
      <c r="A39" s="2"/>
      <c r="B39" s="2"/>
      <c r="C39" s="2"/>
      <c r="D39" s="2"/>
      <c r="E39" s="2"/>
      <c r="F39" s="2"/>
      <c r="G39" s="3"/>
      <c r="H39" s="2"/>
      <c r="I39" s="2"/>
      <c r="J39" s="2"/>
      <c r="K39" s="2"/>
      <c r="L39" s="2"/>
      <c r="M39" s="2"/>
      <c r="N39" s="2"/>
      <c r="O39" s="2"/>
      <c r="P39" s="108"/>
      <c r="Q39" s="2"/>
      <c r="R39" s="2"/>
      <c r="S39" s="2"/>
      <c r="T39" s="134"/>
    </row>
    <row x14ac:dyDescent="0.25" r="40" customHeight="1" ht="18.75">
      <c r="A40" s="2"/>
      <c r="B40" s="2"/>
      <c r="C40" s="2"/>
      <c r="D40" s="2"/>
      <c r="E40" s="2"/>
      <c r="F40" s="2"/>
      <c r="G40" s="3"/>
      <c r="H40" s="2"/>
      <c r="I40" s="2"/>
      <c r="J40" s="2"/>
      <c r="K40" s="2"/>
      <c r="L40" s="2"/>
      <c r="M40" s="2"/>
      <c r="N40" s="2"/>
      <c r="O40" s="2"/>
      <c r="P40" s="108"/>
      <c r="Q40" s="2"/>
      <c r="R40" s="2"/>
      <c r="S40" s="2"/>
      <c r="T40" s="134"/>
    </row>
    <row x14ac:dyDescent="0.25" r="41" customHeight="1" ht="18.75">
      <c r="A41" s="2"/>
      <c r="B41" s="2"/>
      <c r="C41" s="2"/>
      <c r="D41" s="2"/>
      <c r="E41" s="2"/>
      <c r="F41" s="2"/>
      <c r="G41" s="3"/>
      <c r="H41" s="2"/>
      <c r="I41" s="2"/>
      <c r="J41" s="2"/>
      <c r="K41" s="2"/>
      <c r="L41" s="2"/>
      <c r="M41" s="2"/>
      <c r="N41" s="2"/>
      <c r="O41" s="2"/>
      <c r="P41" s="108"/>
      <c r="Q41" s="2"/>
      <c r="R41" s="2"/>
      <c r="S41" s="2"/>
      <c r="T41" s="134"/>
    </row>
    <row x14ac:dyDescent="0.25" r="42" customHeight="1" ht="18.75">
      <c r="A42" s="2"/>
      <c r="B42" s="2"/>
      <c r="C42" s="2"/>
      <c r="D42" s="2"/>
      <c r="E42" s="2"/>
      <c r="F42" s="2"/>
      <c r="G42" s="3"/>
      <c r="H42" s="2"/>
      <c r="I42" s="2"/>
      <c r="J42" s="2"/>
      <c r="K42" s="2"/>
      <c r="L42" s="2"/>
      <c r="M42" s="2"/>
      <c r="N42" s="2"/>
      <c r="O42" s="2"/>
      <c r="P42" s="108"/>
      <c r="Q42" s="2"/>
      <c r="R42" s="2"/>
      <c r="S42" s="2"/>
      <c r="T42" s="134"/>
    </row>
    <row x14ac:dyDescent="0.25" r="43" customHeight="1" ht="18.75">
      <c r="A43" s="2"/>
      <c r="B43" s="2"/>
      <c r="C43" s="2"/>
      <c r="D43" s="2"/>
      <c r="E43" s="2"/>
      <c r="F43" s="2"/>
      <c r="G43" s="3"/>
      <c r="H43" s="2"/>
      <c r="I43" s="2"/>
      <c r="J43" s="2"/>
      <c r="K43" s="2"/>
      <c r="L43" s="2"/>
      <c r="M43" s="2"/>
      <c r="N43" s="2"/>
      <c r="O43" s="2"/>
      <c r="P43" s="108"/>
      <c r="Q43" s="2"/>
      <c r="R43" s="2"/>
      <c r="S43" s="2"/>
      <c r="T43" s="134"/>
    </row>
    <row x14ac:dyDescent="0.25" r="44" customHeight="1" ht="18.75">
      <c r="A44" s="2"/>
      <c r="B44" s="2"/>
      <c r="C44" s="2"/>
      <c r="D44" s="2"/>
      <c r="E44" s="2"/>
      <c r="F44" s="2"/>
      <c r="G44" s="3"/>
      <c r="H44" s="2"/>
      <c r="I44" s="2"/>
      <c r="J44" s="2"/>
      <c r="K44" s="2"/>
      <c r="L44" s="2"/>
      <c r="M44" s="2"/>
      <c r="N44" s="2"/>
      <c r="O44" s="2"/>
      <c r="P44" s="108"/>
      <c r="Q44" s="2"/>
      <c r="R44" s="2"/>
      <c r="S44" s="2"/>
      <c r="T44" s="134"/>
    </row>
    <row x14ac:dyDescent="0.25" r="45" customHeight="1" ht="18.75">
      <c r="A45" s="2"/>
      <c r="B45" s="2"/>
      <c r="C45" s="2"/>
      <c r="D45" s="2"/>
      <c r="E45" s="2"/>
      <c r="F45" s="2"/>
      <c r="G45" s="3"/>
      <c r="H45" s="2"/>
      <c r="I45" s="2"/>
      <c r="J45" s="2"/>
      <c r="K45" s="2"/>
      <c r="L45" s="2"/>
      <c r="M45" s="2"/>
      <c r="N45" s="2"/>
      <c r="O45" s="2"/>
      <c r="P45" s="108"/>
      <c r="Q45" s="2"/>
      <c r="R45" s="2"/>
      <c r="S45" s="2"/>
      <c r="T45" s="134"/>
    </row>
    <row x14ac:dyDescent="0.25" r="46" customHeight="1" ht="18.75">
      <c r="A46" s="2"/>
      <c r="B46" s="2"/>
      <c r="C46" s="2"/>
      <c r="D46" s="2"/>
      <c r="E46" s="2"/>
      <c r="F46" s="2"/>
      <c r="G46" s="3"/>
      <c r="H46" s="2"/>
      <c r="I46" s="2"/>
      <c r="J46" s="2"/>
      <c r="K46" s="2"/>
      <c r="L46" s="2"/>
      <c r="M46" s="2"/>
      <c r="N46" s="2"/>
      <c r="O46" s="2"/>
      <c r="P46" s="108"/>
      <c r="Q46" s="2"/>
      <c r="R46" s="2"/>
      <c r="S46" s="2"/>
      <c r="T46" s="134"/>
    </row>
    <row x14ac:dyDescent="0.25" r="47" customHeight="1" ht="18.75">
      <c r="A47" s="2"/>
      <c r="B47" s="2"/>
      <c r="C47" s="2"/>
      <c r="D47" s="2"/>
      <c r="E47" s="2"/>
      <c r="F47" s="2"/>
      <c r="G47" s="3"/>
      <c r="H47" s="2"/>
      <c r="I47" s="2"/>
      <c r="J47" s="2"/>
      <c r="K47" s="2"/>
      <c r="L47" s="2"/>
      <c r="M47" s="2"/>
      <c r="N47" s="2"/>
      <c r="O47" s="2"/>
      <c r="P47" s="108"/>
      <c r="Q47" s="2"/>
      <c r="R47" s="2"/>
      <c r="S47" s="2"/>
      <c r="T47" s="134"/>
    </row>
    <row x14ac:dyDescent="0.25" r="48" customHeight="1" ht="18.75">
      <c r="A48" s="2"/>
      <c r="B48" s="2"/>
      <c r="C48" s="2"/>
      <c r="D48" s="2"/>
      <c r="E48" s="2"/>
      <c r="F48" s="2"/>
      <c r="G48" s="3"/>
      <c r="H48" s="2"/>
      <c r="I48" s="2"/>
      <c r="J48" s="2"/>
      <c r="K48" s="2"/>
      <c r="L48" s="2"/>
      <c r="M48" s="2"/>
      <c r="N48" s="2"/>
      <c r="O48" s="2"/>
      <c r="P48" s="108"/>
      <c r="Q48" s="2"/>
      <c r="R48" s="2"/>
      <c r="S48" s="2"/>
      <c r="T48" s="134"/>
    </row>
    <row x14ac:dyDescent="0.25" r="49" customHeight="1" ht="18.75">
      <c r="A49" s="2"/>
      <c r="B49" s="2"/>
      <c r="C49" s="2"/>
      <c r="D49" s="2"/>
      <c r="E49" s="2"/>
      <c r="F49" s="2"/>
      <c r="G49" s="3"/>
      <c r="H49" s="2"/>
      <c r="I49" s="2"/>
      <c r="J49" s="2"/>
      <c r="K49" s="2"/>
      <c r="L49" s="2"/>
      <c r="M49" s="2"/>
      <c r="N49" s="2"/>
      <c r="O49" s="2"/>
      <c r="P49" s="108"/>
      <c r="Q49" s="2"/>
      <c r="R49" s="2"/>
      <c r="S49" s="2"/>
      <c r="T49" s="134"/>
    </row>
    <row x14ac:dyDescent="0.25" r="50" customHeight="1" ht="18.75">
      <c r="A50" s="2"/>
      <c r="B50" s="2"/>
      <c r="C50" s="2"/>
      <c r="D50" s="2"/>
      <c r="E50" s="2"/>
      <c r="F50" s="2"/>
      <c r="G50" s="3"/>
      <c r="H50" s="2"/>
      <c r="I50" s="2"/>
      <c r="J50" s="2"/>
      <c r="K50" s="2"/>
      <c r="L50" s="2"/>
      <c r="M50" s="2"/>
      <c r="N50" s="2"/>
      <c r="O50" s="2"/>
      <c r="P50" s="108"/>
      <c r="Q50" s="2"/>
      <c r="R50" s="2"/>
      <c r="S50" s="2"/>
      <c r="T50" s="134"/>
    </row>
    <row x14ac:dyDescent="0.25" r="51" customHeight="1" ht="18.75">
      <c r="A51" s="2"/>
      <c r="B51" s="2"/>
      <c r="C51" s="2"/>
      <c r="D51" s="2"/>
      <c r="E51" s="2"/>
      <c r="F51" s="2"/>
      <c r="G51" s="3"/>
      <c r="H51" s="2"/>
      <c r="I51" s="2"/>
      <c r="J51" s="2"/>
      <c r="K51" s="2"/>
      <c r="L51" s="2"/>
      <c r="M51" s="2"/>
      <c r="N51" s="2"/>
      <c r="O51" s="2"/>
      <c r="P51" s="108"/>
      <c r="Q51" s="2"/>
      <c r="R51" s="2"/>
      <c r="S51" s="2"/>
      <c r="T51" s="134"/>
    </row>
    <row x14ac:dyDescent="0.25" r="52" customHeight="1" ht="18.75">
      <c r="A52" s="2"/>
      <c r="B52" s="2"/>
      <c r="C52" s="2"/>
      <c r="D52" s="2"/>
      <c r="E52" s="2"/>
      <c r="F52" s="2"/>
      <c r="G52" s="3"/>
      <c r="H52" s="2"/>
      <c r="I52" s="2"/>
      <c r="J52" s="2"/>
      <c r="K52" s="2"/>
      <c r="L52" s="2"/>
      <c r="M52" s="2"/>
      <c r="N52" s="2"/>
      <c r="O52" s="2"/>
      <c r="P52" s="108"/>
      <c r="Q52" s="2"/>
      <c r="R52" s="2"/>
      <c r="S52" s="2"/>
      <c r="T52" s="134"/>
    </row>
    <row x14ac:dyDescent="0.25" r="53" customHeight="1" ht="18.75">
      <c r="A53" s="2"/>
      <c r="B53" s="2"/>
      <c r="C53" s="2"/>
      <c r="D53" s="2"/>
      <c r="E53" s="2"/>
      <c r="F53" s="2"/>
      <c r="G53" s="3"/>
      <c r="H53" s="2"/>
      <c r="I53" s="2"/>
      <c r="J53" s="2"/>
      <c r="K53" s="2"/>
      <c r="L53" s="2"/>
      <c r="M53" s="2"/>
      <c r="N53" s="2"/>
      <c r="O53" s="2"/>
      <c r="P53" s="108"/>
      <c r="Q53" s="2"/>
      <c r="R53" s="2"/>
      <c r="S53" s="2"/>
      <c r="T53" s="134"/>
    </row>
    <row x14ac:dyDescent="0.25" r="54" customHeight="1" ht="18.75">
      <c r="A54" s="2"/>
      <c r="B54" s="2"/>
      <c r="C54" s="2"/>
      <c r="D54" s="2"/>
      <c r="E54" s="2"/>
      <c r="F54" s="2"/>
      <c r="G54" s="3"/>
      <c r="H54" s="2"/>
      <c r="I54" s="2"/>
      <c r="J54" s="2"/>
      <c r="K54" s="2"/>
      <c r="L54" s="2"/>
      <c r="M54" s="2"/>
      <c r="N54" s="2"/>
      <c r="O54" s="2"/>
      <c r="P54" s="108"/>
      <c r="Q54" s="2"/>
      <c r="R54" s="2"/>
      <c r="S54" s="2"/>
      <c r="T54" s="134"/>
    </row>
    <row x14ac:dyDescent="0.25" r="55" customHeight="1" ht="18.75">
      <c r="A55" s="2"/>
      <c r="B55" s="2"/>
      <c r="C55" s="2"/>
      <c r="D55" s="2"/>
      <c r="E55" s="2"/>
      <c r="F55" s="2"/>
      <c r="G55" s="3"/>
      <c r="H55" s="2"/>
      <c r="I55" s="2"/>
      <c r="J55" s="2"/>
      <c r="K55" s="2"/>
      <c r="L55" s="2"/>
      <c r="M55" s="2"/>
      <c r="N55" s="2"/>
      <c r="O55" s="2"/>
      <c r="P55" s="108"/>
      <c r="Q55" s="2"/>
      <c r="R55" s="2"/>
      <c r="S55" s="2"/>
      <c r="T55" s="134"/>
    </row>
    <row x14ac:dyDescent="0.25" r="56" customHeight="1" ht="18.75">
      <c r="A56" s="2"/>
      <c r="B56" s="2"/>
      <c r="C56" s="2"/>
      <c r="D56" s="2"/>
      <c r="E56" s="2"/>
      <c r="F56" s="2"/>
      <c r="G56" s="3"/>
      <c r="H56" s="2"/>
      <c r="I56" s="2"/>
      <c r="J56" s="2"/>
      <c r="K56" s="2"/>
      <c r="L56" s="2"/>
      <c r="M56" s="2"/>
      <c r="N56" s="2"/>
      <c r="O56" s="2"/>
      <c r="P56" s="108"/>
      <c r="Q56" s="2"/>
      <c r="R56" s="2"/>
      <c r="S56" s="2"/>
      <c r="T56" s="134"/>
    </row>
    <row x14ac:dyDescent="0.25" r="57" customHeight="1" ht="18.75">
      <c r="A57" s="2"/>
      <c r="B57" s="2"/>
      <c r="C57" s="2"/>
      <c r="D57" s="2"/>
      <c r="E57" s="2"/>
      <c r="F57" s="2"/>
      <c r="G57" s="3"/>
      <c r="H57" s="2"/>
      <c r="I57" s="2"/>
      <c r="J57" s="2"/>
      <c r="K57" s="2"/>
      <c r="L57" s="2"/>
      <c r="M57" s="2"/>
      <c r="N57" s="2"/>
      <c r="O57" s="2"/>
      <c r="P57" s="108"/>
      <c r="Q57" s="2"/>
      <c r="R57" s="2"/>
      <c r="S57" s="2"/>
      <c r="T57" s="134"/>
    </row>
    <row x14ac:dyDescent="0.25" r="58" customHeight="1" ht="18.75">
      <c r="A58" s="2"/>
      <c r="B58" s="2"/>
      <c r="C58" s="2"/>
      <c r="D58" s="2"/>
      <c r="E58" s="2"/>
      <c r="F58" s="2"/>
      <c r="G58" s="3"/>
      <c r="H58" s="2"/>
      <c r="I58" s="2"/>
      <c r="J58" s="2"/>
      <c r="K58" s="2"/>
      <c r="L58" s="2"/>
      <c r="M58" s="2"/>
      <c r="N58" s="2"/>
      <c r="O58" s="2"/>
      <c r="P58" s="108"/>
      <c r="Q58" s="2"/>
      <c r="R58" s="2"/>
      <c r="S58" s="2"/>
      <c r="T58" s="134"/>
    </row>
    <row x14ac:dyDescent="0.25" r="59" customHeight="1" ht="18.75">
      <c r="A59" s="2"/>
      <c r="B59" s="2"/>
      <c r="C59" s="2"/>
      <c r="D59" s="2"/>
      <c r="E59" s="2"/>
      <c r="F59" s="2"/>
      <c r="G59" s="3"/>
      <c r="H59" s="2"/>
      <c r="I59" s="2"/>
      <c r="J59" s="2"/>
      <c r="K59" s="2"/>
      <c r="L59" s="2"/>
      <c r="M59" s="2"/>
      <c r="N59" s="2"/>
      <c r="O59" s="2"/>
      <c r="P59" s="108"/>
      <c r="Q59" s="2"/>
      <c r="R59" s="2"/>
      <c r="S59" s="2"/>
      <c r="T59" s="134"/>
    </row>
    <row x14ac:dyDescent="0.25" r="60" customHeight="1" ht="18.75">
      <c r="A60" s="2"/>
      <c r="B60" s="2"/>
      <c r="C60" s="2"/>
      <c r="D60" s="2"/>
      <c r="E60" s="2"/>
      <c r="F60" s="2"/>
      <c r="G60" s="3"/>
      <c r="H60" s="2"/>
      <c r="I60" s="2"/>
      <c r="J60" s="2"/>
      <c r="K60" s="2"/>
      <c r="L60" s="2"/>
      <c r="M60" s="2"/>
      <c r="N60" s="2"/>
      <c r="O60" s="2"/>
      <c r="P60" s="108"/>
      <c r="Q60" s="2"/>
      <c r="R60" s="2"/>
      <c r="S60" s="2"/>
      <c r="T60" s="134"/>
    </row>
    <row x14ac:dyDescent="0.25" r="61" customHeight="1" ht="18.75">
      <c r="A61" s="2"/>
      <c r="B61" s="2"/>
      <c r="C61" s="2"/>
      <c r="D61" s="2"/>
      <c r="E61" s="2"/>
      <c r="F61" s="2"/>
      <c r="G61" s="3"/>
      <c r="H61" s="2"/>
      <c r="I61" s="2"/>
      <c r="J61" s="2"/>
      <c r="K61" s="2"/>
      <c r="L61" s="2"/>
      <c r="M61" s="2"/>
      <c r="N61" s="2"/>
      <c r="O61" s="2"/>
      <c r="P61" s="108"/>
      <c r="Q61" s="2"/>
      <c r="R61" s="2"/>
      <c r="S61" s="2"/>
      <c r="T61" s="134"/>
    </row>
    <row x14ac:dyDescent="0.25" r="62" customHeight="1" ht="18.75">
      <c r="A62" s="2"/>
      <c r="B62" s="2"/>
      <c r="C62" s="2"/>
      <c r="D62" s="2"/>
      <c r="E62" s="2"/>
      <c r="F62" s="2"/>
      <c r="G62" s="3"/>
      <c r="H62" s="2"/>
      <c r="I62" s="2"/>
      <c r="J62" s="2"/>
      <c r="K62" s="2"/>
      <c r="L62" s="2"/>
      <c r="M62" s="2"/>
      <c r="N62" s="2"/>
      <c r="O62" s="2"/>
      <c r="P62" s="108"/>
      <c r="Q62" s="2"/>
      <c r="R62" s="2"/>
      <c r="S62" s="2"/>
      <c r="T62" s="134"/>
    </row>
    <row x14ac:dyDescent="0.25" r="63" customHeight="1" ht="13.5">
      <c r="A63" s="2"/>
      <c r="B63" s="2"/>
      <c r="C63" s="2"/>
      <c r="D63" s="2"/>
      <c r="E63" s="2"/>
      <c r="F63" s="2"/>
      <c r="G63" s="3"/>
      <c r="H63" s="2"/>
      <c r="I63" s="2"/>
      <c r="J63" s="2"/>
      <c r="K63" s="2"/>
      <c r="L63" s="2"/>
      <c r="M63" s="2"/>
      <c r="N63" s="2"/>
      <c r="O63" s="2"/>
      <c r="P63" s="108"/>
      <c r="Q63" s="2"/>
      <c r="R63" s="2"/>
      <c r="S63" s="2"/>
      <c r="T63" s="115"/>
    </row>
    <row x14ac:dyDescent="0.25" r="64" customHeight="1" ht="13.5">
      <c r="A64" s="2"/>
      <c r="B64" s="2"/>
      <c r="C64" s="2"/>
      <c r="D64" s="2"/>
      <c r="E64" s="2"/>
      <c r="F64" s="2"/>
      <c r="G64" s="3"/>
      <c r="H64" s="2"/>
      <c r="I64" s="2"/>
      <c r="J64" s="2"/>
      <c r="K64" s="2"/>
      <c r="L64" s="2"/>
      <c r="M64" s="2"/>
      <c r="N64" s="2"/>
      <c r="O64" s="2"/>
      <c r="P64" s="108"/>
      <c r="Q64" s="2"/>
      <c r="R64" s="2"/>
      <c r="S64" s="2"/>
      <c r="T64" s="115"/>
    </row>
    <row x14ac:dyDescent="0.25" r="65" customHeight="1" ht="13.5">
      <c r="A65" s="2"/>
      <c r="B65" s="2"/>
      <c r="C65" s="2"/>
      <c r="D65" s="2"/>
      <c r="E65" s="2"/>
      <c r="F65" s="2"/>
      <c r="G65" s="3"/>
      <c r="H65" s="2"/>
      <c r="I65" s="2"/>
      <c r="J65" s="2"/>
      <c r="K65" s="2"/>
      <c r="L65" s="2"/>
      <c r="M65" s="2"/>
      <c r="N65" s="2"/>
      <c r="O65" s="2"/>
      <c r="P65" s="108"/>
      <c r="Q65" s="2"/>
      <c r="R65" s="2"/>
      <c r="S65" s="2"/>
      <c r="T65" s="115"/>
    </row>
    <row x14ac:dyDescent="0.25" r="66" customHeight="1" ht="13.5">
      <c r="A66" s="2"/>
      <c r="B66" s="2"/>
      <c r="C66" s="2"/>
      <c r="D66" s="2"/>
      <c r="E66" s="2"/>
      <c r="F66" s="2"/>
      <c r="G66" s="3"/>
      <c r="H66" s="2"/>
      <c r="I66" s="2"/>
      <c r="J66" s="2"/>
      <c r="K66" s="2"/>
      <c r="L66" s="2"/>
      <c r="M66" s="2"/>
      <c r="N66" s="2"/>
      <c r="O66" s="2"/>
      <c r="P66" s="108"/>
      <c r="Q66" s="2"/>
      <c r="R66" s="2"/>
      <c r="S66" s="2"/>
      <c r="T66" s="115"/>
    </row>
    <row x14ac:dyDescent="0.25" r="67" customHeight="1" ht="13.5">
      <c r="A67" s="2"/>
      <c r="B67" s="2"/>
      <c r="C67" s="2"/>
      <c r="D67" s="2"/>
      <c r="E67" s="2"/>
      <c r="F67" s="2"/>
      <c r="G67" s="3"/>
      <c r="H67" s="2"/>
      <c r="I67" s="2"/>
      <c r="J67" s="2"/>
      <c r="K67" s="2"/>
      <c r="L67" s="2"/>
      <c r="M67" s="2"/>
      <c r="N67" s="2"/>
      <c r="O67" s="2"/>
      <c r="P67" s="108"/>
      <c r="Q67" s="2"/>
      <c r="R67" s="2"/>
      <c r="S67" s="2"/>
      <c r="T67" s="115"/>
    </row>
    <row x14ac:dyDescent="0.25" r="68" customHeight="1" ht="13.5">
      <c r="A68" s="2"/>
      <c r="B68" s="2"/>
      <c r="C68" s="2"/>
      <c r="D68" s="2"/>
      <c r="E68" s="2"/>
      <c r="F68" s="2"/>
      <c r="G68" s="3"/>
      <c r="H68" s="2"/>
      <c r="I68" s="2"/>
      <c r="J68" s="2"/>
      <c r="K68" s="2"/>
      <c r="L68" s="2"/>
      <c r="M68" s="2"/>
      <c r="N68" s="2"/>
      <c r="O68" s="2"/>
      <c r="P68" s="108"/>
      <c r="Q68" s="2"/>
      <c r="R68" s="2"/>
      <c r="S68" s="2"/>
      <c r="T68" s="115"/>
    </row>
    <row x14ac:dyDescent="0.25" r="69" customHeight="1" ht="13.5">
      <c r="A69" s="2"/>
      <c r="B69" s="2"/>
      <c r="C69" s="2"/>
      <c r="D69" s="2"/>
      <c r="E69" s="2"/>
      <c r="F69" s="2"/>
      <c r="G69" s="3"/>
      <c r="H69" s="2"/>
      <c r="I69" s="2"/>
      <c r="J69" s="2"/>
      <c r="K69" s="2"/>
      <c r="L69" s="2"/>
      <c r="M69" s="2"/>
      <c r="N69" s="2"/>
      <c r="O69" s="2"/>
      <c r="P69" s="108"/>
      <c r="Q69" s="2"/>
      <c r="R69" s="2"/>
      <c r="S69" s="2"/>
      <c r="T69" s="115"/>
    </row>
    <row x14ac:dyDescent="0.25" r="70" customHeight="1" ht="13.5">
      <c r="A70" s="2"/>
      <c r="B70" s="2"/>
      <c r="C70" s="2"/>
      <c r="D70" s="2"/>
      <c r="E70" s="2"/>
      <c r="F70" s="2"/>
      <c r="G70" s="3"/>
      <c r="H70" s="2"/>
      <c r="I70" s="2"/>
      <c r="J70" s="2"/>
      <c r="K70" s="2"/>
      <c r="L70" s="2"/>
      <c r="M70" s="2"/>
      <c r="N70" s="2"/>
      <c r="O70" s="2"/>
      <c r="P70" s="108"/>
      <c r="Q70" s="2"/>
      <c r="R70" s="2"/>
      <c r="S70" s="2"/>
      <c r="T70" s="115"/>
    </row>
    <row x14ac:dyDescent="0.25" r="71" customHeight="1" ht="13.5">
      <c r="A71" s="2"/>
      <c r="B71" s="2"/>
      <c r="C71" s="2"/>
      <c r="D71" s="2"/>
      <c r="E71" s="2"/>
      <c r="F71" s="2"/>
      <c r="G71" s="3"/>
      <c r="H71" s="2"/>
      <c r="I71" s="2"/>
      <c r="J71" s="2"/>
      <c r="K71" s="2"/>
      <c r="L71" s="2"/>
      <c r="M71" s="2"/>
      <c r="N71" s="2"/>
      <c r="O71" s="2"/>
      <c r="P71" s="108"/>
      <c r="Q71" s="2"/>
      <c r="R71" s="2"/>
      <c r="S71" s="2"/>
      <c r="T71" s="115"/>
    </row>
    <row x14ac:dyDescent="0.25" r="72" customHeight="1" ht="13.5">
      <c r="A72" s="2"/>
      <c r="B72" s="2"/>
      <c r="C72" s="2"/>
      <c r="D72" s="2"/>
      <c r="E72" s="2"/>
      <c r="F72" s="2"/>
      <c r="G72" s="3"/>
      <c r="H72" s="2"/>
      <c r="I72" s="2"/>
      <c r="J72" s="2"/>
      <c r="K72" s="2"/>
      <c r="L72" s="2"/>
      <c r="M72" s="2"/>
      <c r="N72" s="2"/>
      <c r="O72" s="2"/>
      <c r="P72" s="108"/>
      <c r="Q72" s="2"/>
      <c r="R72" s="2"/>
      <c r="S72" s="2"/>
      <c r="T72" s="115"/>
    </row>
    <row x14ac:dyDescent="0.25" r="73" customHeight="1" ht="13.5">
      <c r="A73" s="2"/>
      <c r="B73" s="2"/>
      <c r="C73" s="2"/>
      <c r="D73" s="2"/>
      <c r="E73" s="2"/>
      <c r="F73" s="2"/>
      <c r="G73" s="3"/>
      <c r="H73" s="2"/>
      <c r="I73" s="2"/>
      <c r="J73" s="2"/>
      <c r="K73" s="2"/>
      <c r="L73" s="2"/>
      <c r="M73" s="2"/>
      <c r="N73" s="2"/>
      <c r="O73" s="2"/>
      <c r="P73" s="108"/>
      <c r="Q73" s="2"/>
      <c r="R73" s="2"/>
      <c r="S73" s="2"/>
      <c r="T73" s="115"/>
    </row>
    <row x14ac:dyDescent="0.25" r="74" customHeight="1" ht="13.5">
      <c r="A74" s="2"/>
      <c r="B74" s="2"/>
      <c r="C74" s="2"/>
      <c r="D74" s="2"/>
      <c r="E74" s="2"/>
      <c r="F74" s="2"/>
      <c r="G74" s="3"/>
      <c r="H74" s="2"/>
      <c r="I74" s="2"/>
      <c r="J74" s="2"/>
      <c r="K74" s="2"/>
      <c r="L74" s="2"/>
      <c r="M74" s="2"/>
      <c r="N74" s="2"/>
      <c r="O74" s="2"/>
      <c r="P74" s="108"/>
      <c r="Q74" s="2"/>
      <c r="R74" s="2"/>
      <c r="S74" s="2"/>
      <c r="T74" s="115"/>
    </row>
    <row x14ac:dyDescent="0.25" r="75" customHeight="1" ht="13.5">
      <c r="A75" s="2"/>
      <c r="B75" s="2"/>
      <c r="C75" s="2"/>
      <c r="D75" s="2"/>
      <c r="E75" s="2"/>
      <c r="F75" s="2"/>
      <c r="G75" s="3"/>
      <c r="H75" s="2"/>
      <c r="I75" s="2"/>
      <c r="J75" s="2"/>
      <c r="K75" s="2"/>
      <c r="L75" s="2"/>
      <c r="M75" s="2"/>
      <c r="N75" s="2"/>
      <c r="O75" s="2"/>
      <c r="P75" s="108"/>
      <c r="Q75" s="2"/>
      <c r="R75" s="2"/>
      <c r="S75" s="2"/>
      <c r="T75" s="115"/>
    </row>
    <row x14ac:dyDescent="0.25" r="76" customHeight="1" ht="13.5">
      <c r="A76" s="2"/>
      <c r="B76" s="2"/>
      <c r="C76" s="2"/>
      <c r="D76" s="2"/>
      <c r="E76" s="2"/>
      <c r="F76" s="2"/>
      <c r="G76" s="3"/>
      <c r="H76" s="2"/>
      <c r="I76" s="2"/>
      <c r="J76" s="2"/>
      <c r="K76" s="2"/>
      <c r="L76" s="2"/>
      <c r="M76" s="2"/>
      <c r="N76" s="2"/>
      <c r="O76" s="2"/>
      <c r="P76" s="108"/>
      <c r="Q76" s="2"/>
      <c r="R76" s="2"/>
      <c r="S76" s="2"/>
      <c r="T76" s="115"/>
    </row>
    <row x14ac:dyDescent="0.25" r="77" customHeight="1" ht="13.5">
      <c r="A77" s="2"/>
      <c r="B77" s="2"/>
      <c r="C77" s="2"/>
      <c r="D77" s="2"/>
      <c r="E77" s="2"/>
      <c r="F77" s="2"/>
      <c r="G77" s="3"/>
      <c r="H77" s="2"/>
      <c r="I77" s="2"/>
      <c r="J77" s="2"/>
      <c r="K77" s="2"/>
      <c r="L77" s="2"/>
      <c r="M77" s="2"/>
      <c r="N77" s="2"/>
      <c r="O77" s="2"/>
      <c r="P77" s="108"/>
      <c r="Q77" s="2"/>
      <c r="R77" s="2"/>
      <c r="S77" s="2"/>
      <c r="T77" s="1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78"/>
  <sheetViews>
    <sheetView workbookViewId="0"/>
  </sheetViews>
  <sheetFormatPr defaultRowHeight="15" x14ac:dyDescent="0.25"/>
  <cols>
    <col min="1" max="1" style="100" width="27.290714285714284" customWidth="1" bestFit="1"/>
    <col min="2" max="2" style="101" width="18.433571428571426" customWidth="1" bestFit="1"/>
    <col min="3" max="3" style="101" width="10.43357142857143" customWidth="1" bestFit="1"/>
    <col min="4" max="4" style="101" width="10.43357142857143" customWidth="1" bestFit="1"/>
    <col min="5" max="5" style="101" width="10.43357142857143" customWidth="1" bestFit="1"/>
    <col min="6" max="6" style="102" width="10.43357142857143" customWidth="1" bestFit="1"/>
    <col min="7" max="7" style="101" width="11.862142857142858" customWidth="1" bestFit="1"/>
    <col min="8" max="8" style="100" width="13.576428571428572" customWidth="1" bestFit="1"/>
    <col min="9" max="9" style="100" width="59.86214285714286" customWidth="1" bestFit="1"/>
    <col min="10" max="10" style="133" width="16.433571428571426" customWidth="1" bestFit="1"/>
    <col min="11" max="11" style="133" width="7.862142857142857" customWidth="1" bestFit="1"/>
    <col min="12" max="12" style="133" width="7.862142857142857" customWidth="1" bestFit="1"/>
    <col min="13" max="13" style="133" width="7.862142857142857" customWidth="1" bestFit="1"/>
    <col min="14" max="14" style="133" width="7.862142857142857" customWidth="1" bestFit="1"/>
    <col min="15" max="15" style="133" width="11.147857142857141" customWidth="1" bestFit="1"/>
  </cols>
  <sheetData>
    <row x14ac:dyDescent="0.25" r="1" customHeight="1" ht="18.75">
      <c r="A1" s="2"/>
      <c r="B1" s="3"/>
      <c r="C1" s="3"/>
      <c r="D1" s="3"/>
      <c r="E1" s="3"/>
      <c r="F1" s="3"/>
      <c r="G1" s="3"/>
      <c r="H1" s="2"/>
      <c r="I1" s="2"/>
      <c r="J1" s="129"/>
      <c r="K1" s="129"/>
      <c r="L1" s="129"/>
      <c r="M1" s="129"/>
      <c r="N1" s="129"/>
      <c r="O1" s="129"/>
    </row>
    <row x14ac:dyDescent="0.25" r="2" customHeight="1" ht="18.75">
      <c r="A2" s="2" t="s">
        <v>102</v>
      </c>
      <c r="B2" s="130" t="s">
        <v>114</v>
      </c>
      <c r="C2" s="3"/>
      <c r="D2" s="3"/>
      <c r="E2" s="3"/>
      <c r="F2" s="3"/>
      <c r="G2" s="3"/>
      <c r="H2" s="2"/>
      <c r="I2" s="2" t="s">
        <v>107</v>
      </c>
      <c r="J2" s="131" t="s">
        <v>117</v>
      </c>
      <c r="K2" s="129"/>
      <c r="L2" s="129"/>
      <c r="M2" s="129"/>
      <c r="N2" s="129"/>
      <c r="O2" s="129"/>
    </row>
    <row x14ac:dyDescent="0.25" r="3" customHeight="1" ht="18.75">
      <c r="A3" s="2"/>
      <c r="B3" s="3"/>
      <c r="C3" s="3"/>
      <c r="D3" s="3"/>
      <c r="E3" s="3"/>
      <c r="F3" s="3"/>
      <c r="G3" s="3"/>
      <c r="H3" s="2"/>
      <c r="I3" s="2"/>
      <c r="J3" s="129"/>
      <c r="K3" s="129"/>
      <c r="L3" s="129"/>
      <c r="M3" s="129"/>
      <c r="N3" s="129"/>
      <c r="O3" s="129"/>
    </row>
    <row x14ac:dyDescent="0.25" r="4" customHeight="1" ht="18.75">
      <c r="A4" s="2" t="s">
        <v>266</v>
      </c>
      <c r="B4" s="130" t="s">
        <v>267</v>
      </c>
      <c r="C4" s="3"/>
      <c r="D4" s="3"/>
      <c r="E4" s="3"/>
      <c r="F4" s="3"/>
      <c r="G4" s="3"/>
      <c r="H4" s="2"/>
      <c r="I4" s="2" t="s">
        <v>266</v>
      </c>
      <c r="J4" s="131" t="s">
        <v>267</v>
      </c>
      <c r="K4" s="129"/>
      <c r="L4" s="129"/>
      <c r="M4" s="129"/>
      <c r="N4" s="129"/>
      <c r="O4" s="129"/>
    </row>
    <row x14ac:dyDescent="0.25" r="5" customHeight="1" ht="18.75">
      <c r="A5" s="2" t="s">
        <v>268</v>
      </c>
      <c r="B5" s="63">
        <v>2017</v>
      </c>
      <c r="C5" s="63">
        <v>2018</v>
      </c>
      <c r="D5" s="63">
        <v>2019</v>
      </c>
      <c r="E5" s="63">
        <v>2020</v>
      </c>
      <c r="F5" s="63">
        <v>2021</v>
      </c>
      <c r="G5" s="130" t="s">
        <v>269</v>
      </c>
      <c r="H5" s="2"/>
      <c r="I5" s="2" t="s">
        <v>268</v>
      </c>
      <c r="J5" s="63">
        <v>2017</v>
      </c>
      <c r="K5" s="63">
        <v>2018</v>
      </c>
      <c r="L5" s="63">
        <v>2019</v>
      </c>
      <c r="M5" s="63">
        <v>2020</v>
      </c>
      <c r="N5" s="63">
        <v>2021</v>
      </c>
      <c r="O5" s="131" t="s">
        <v>269</v>
      </c>
    </row>
    <row x14ac:dyDescent="0.25" r="6" customHeight="1" ht="18.75">
      <c r="A6" s="123" t="s">
        <v>179</v>
      </c>
      <c r="B6" s="63">
        <v>3817879</v>
      </c>
      <c r="C6" s="63">
        <v>3546448</v>
      </c>
      <c r="D6" s="63">
        <v>3428630</v>
      </c>
      <c r="E6" s="63">
        <v>4200000</v>
      </c>
      <c r="F6" s="63">
        <v>4400000</v>
      </c>
      <c r="G6" s="63">
        <v>19392957</v>
      </c>
      <c r="H6" s="2"/>
      <c r="I6" s="123" t="s">
        <v>116</v>
      </c>
      <c r="J6" s="132">
        <v>0.00009143867763467818</v>
      </c>
      <c r="K6" s="132">
        <v>0.0000950836935719979</v>
      </c>
      <c r="L6" s="132">
        <v>0.00009171668735522481</v>
      </c>
      <c r="M6" s="132">
        <v>0.00008655251654541874</v>
      </c>
      <c r="N6" s="132">
        <v>0.00008595181917520684</v>
      </c>
      <c r="O6" s="132">
        <v>0.00009002728060288454</v>
      </c>
    </row>
    <row x14ac:dyDescent="0.25" r="7" customHeight="1" ht="18.75">
      <c r="A7" s="123" t="s">
        <v>231</v>
      </c>
      <c r="B7" s="63">
        <v>1097283</v>
      </c>
      <c r="C7" s="63">
        <v>1032902</v>
      </c>
      <c r="D7" s="63">
        <v>1052547</v>
      </c>
      <c r="E7" s="63">
        <v>1038343</v>
      </c>
      <c r="F7" s="63">
        <v>955729</v>
      </c>
      <c r="G7" s="63">
        <v>5176804</v>
      </c>
      <c r="H7" s="2"/>
      <c r="I7" s="123" t="s">
        <v>125</v>
      </c>
      <c r="J7" s="132">
        <v>0.028344511100796933</v>
      </c>
      <c r="K7" s="132">
        <v>0.019009040176709804</v>
      </c>
      <c r="L7" s="132">
        <v>0.02043264225922969</v>
      </c>
      <c r="M7" s="132">
        <v>0.02052764050895856</v>
      </c>
      <c r="N7" s="132">
        <v>0.021925268732573548</v>
      </c>
      <c r="O7" s="132">
        <v>0.022080013633846023</v>
      </c>
    </row>
    <row x14ac:dyDescent="0.25" r="8" customHeight="1" ht="18.75">
      <c r="A8" s="123" t="s">
        <v>141</v>
      </c>
      <c r="B8" s="63">
        <v>1202216</v>
      </c>
      <c r="C8" s="63">
        <v>983505</v>
      </c>
      <c r="D8" s="63">
        <v>990835</v>
      </c>
      <c r="E8" s="63">
        <v>992976</v>
      </c>
      <c r="F8" s="63">
        <v>986721</v>
      </c>
      <c r="G8" s="63">
        <v>5156253</v>
      </c>
      <c r="H8" s="2"/>
      <c r="I8" s="123" t="s">
        <v>129</v>
      </c>
      <c r="J8" s="132">
        <v>0.0005513970891120713</v>
      </c>
      <c r="K8" s="132">
        <v>0.0008007154507693034</v>
      </c>
      <c r="L8" s="132">
        <v>0.0007019464791623938</v>
      </c>
      <c r="M8" s="132">
        <v>0.0006670619810259028</v>
      </c>
      <c r="N8" s="132">
        <v>0.0006731860419695054</v>
      </c>
      <c r="O8" s="132">
        <v>0.0006773413483822073</v>
      </c>
    </row>
    <row x14ac:dyDescent="0.25" r="9" customHeight="1" ht="18.75">
      <c r="A9" s="123" t="s">
        <v>247</v>
      </c>
      <c r="B9" s="63">
        <v>960000</v>
      </c>
      <c r="C9" s="63">
        <v>980000</v>
      </c>
      <c r="D9" s="63">
        <v>1000000</v>
      </c>
      <c r="E9" s="63">
        <v>1030000</v>
      </c>
      <c r="F9" s="63">
        <v>1050000</v>
      </c>
      <c r="G9" s="63">
        <v>5020000</v>
      </c>
      <c r="H9" s="2"/>
      <c r="I9" s="123" t="s">
        <v>131</v>
      </c>
      <c r="J9" s="132">
        <v>0.0720080229401766</v>
      </c>
      <c r="K9" s="132">
        <v>0.060551430047271045</v>
      </c>
      <c r="L9" s="132">
        <v>0.06030557786608405</v>
      </c>
      <c r="M9" s="132">
        <v>0.059717144391917734</v>
      </c>
      <c r="N9" s="132">
        <v>0.06313216850866535</v>
      </c>
      <c r="O9" s="132">
        <v>0.06316900417407426</v>
      </c>
    </row>
    <row x14ac:dyDescent="0.25" r="10" customHeight="1" ht="18.75">
      <c r="A10" s="123" t="s">
        <v>175</v>
      </c>
      <c r="B10" s="63">
        <v>960000</v>
      </c>
      <c r="C10" s="63">
        <v>980000</v>
      </c>
      <c r="D10" s="63">
        <v>990000</v>
      </c>
      <c r="E10" s="63">
        <v>1000000</v>
      </c>
      <c r="F10" s="63">
        <v>1020000</v>
      </c>
      <c r="G10" s="63">
        <v>4950000</v>
      </c>
      <c r="H10" s="2"/>
      <c r="I10" s="123" t="s">
        <v>133</v>
      </c>
      <c r="J10" s="132">
        <v>0.00010616403430017839</v>
      </c>
      <c r="K10" s="132">
        <v>0.00011500534812010826</v>
      </c>
      <c r="L10" s="132">
        <v>0.00011203068506966385</v>
      </c>
      <c r="M10" s="132">
        <v>0.00010360261830042601</v>
      </c>
      <c r="N10" s="132">
        <v>0.00010391005228818233</v>
      </c>
      <c r="O10" s="132">
        <v>0.00010797334686389265</v>
      </c>
    </row>
    <row x14ac:dyDescent="0.25" r="11" customHeight="1" ht="18.75">
      <c r="A11" s="123" t="s">
        <v>131</v>
      </c>
      <c r="B11" s="63">
        <v>1119826</v>
      </c>
      <c r="C11" s="63">
        <v>896646</v>
      </c>
      <c r="D11" s="63">
        <v>893570</v>
      </c>
      <c r="E11" s="63">
        <v>963174</v>
      </c>
      <c r="F11" s="63">
        <v>1019495</v>
      </c>
      <c r="G11" s="63">
        <v>4892711</v>
      </c>
      <c r="H11" s="2"/>
      <c r="I11" s="123" t="s">
        <v>135</v>
      </c>
      <c r="J11" s="132">
        <v>0.0013738950677514303</v>
      </c>
      <c r="K11" s="132">
        <v>0.0014198399555051533</v>
      </c>
      <c r="L11" s="132">
        <v>0.0014526870458581413</v>
      </c>
      <c r="M11" s="132">
        <v>0.0014628367302096058</v>
      </c>
      <c r="N11" s="132">
        <v>0.0014988932155157648</v>
      </c>
      <c r="O11" s="132">
        <v>0.001442334382984547</v>
      </c>
    </row>
    <row x14ac:dyDescent="0.25" r="12" customHeight="1" ht="18.75">
      <c r="A12" s="123" t="s">
        <v>237</v>
      </c>
      <c r="B12" s="63">
        <v>850000</v>
      </c>
      <c r="C12" s="63">
        <v>900000</v>
      </c>
      <c r="D12" s="63">
        <v>940000</v>
      </c>
      <c r="E12" s="63">
        <v>960000</v>
      </c>
      <c r="F12" s="63">
        <v>970000</v>
      </c>
      <c r="G12" s="63">
        <v>4620000</v>
      </c>
      <c r="H12" s="2"/>
      <c r="I12" s="123" t="s">
        <v>137</v>
      </c>
      <c r="J12" s="132">
        <v>0.00046278773764893026</v>
      </c>
      <c r="K12" s="132">
        <v>0.0005195837630276647</v>
      </c>
      <c r="L12" s="132">
        <v>0.0004981991067375052</v>
      </c>
      <c r="M12" s="132">
        <v>0.0004602907470151782</v>
      </c>
      <c r="N12" s="132">
        <v>0.00046443706326660755</v>
      </c>
      <c r="O12" s="132">
        <v>0.0004802444796479989</v>
      </c>
    </row>
    <row x14ac:dyDescent="0.25" r="13" customHeight="1" ht="18.75">
      <c r="A13" s="123" t="s">
        <v>139</v>
      </c>
      <c r="B13" s="63">
        <v>510500</v>
      </c>
      <c r="C13" s="63">
        <v>1222134</v>
      </c>
      <c r="D13" s="63">
        <v>1056429</v>
      </c>
      <c r="E13" s="63">
        <v>795572</v>
      </c>
      <c r="F13" s="63">
        <v>712624</v>
      </c>
      <c r="G13" s="63">
        <v>4297259</v>
      </c>
      <c r="H13" s="2"/>
      <c r="I13" s="123" t="s">
        <v>139</v>
      </c>
      <c r="J13" s="132">
        <v>0.03282661387658454</v>
      </c>
      <c r="K13" s="132">
        <v>0.08253197071017052</v>
      </c>
      <c r="L13" s="132">
        <v>0.07129666542015657</v>
      </c>
      <c r="M13" s="132">
        <v>0.04932575837612599</v>
      </c>
      <c r="N13" s="132">
        <v>0.04412919970310706</v>
      </c>
      <c r="O13" s="132">
        <v>0.05548121924799527</v>
      </c>
    </row>
    <row x14ac:dyDescent="0.25" r="14" customHeight="1" ht="18.75">
      <c r="A14" s="123" t="s">
        <v>241</v>
      </c>
      <c r="B14" s="63">
        <v>753708</v>
      </c>
      <c r="C14" s="63">
        <v>609567</v>
      </c>
      <c r="D14" s="63">
        <v>646868</v>
      </c>
      <c r="E14" s="63">
        <v>994014</v>
      </c>
      <c r="F14" s="63">
        <v>1035257</v>
      </c>
      <c r="G14" s="63">
        <v>4039414</v>
      </c>
      <c r="H14" s="2"/>
      <c r="I14" s="123" t="s">
        <v>141</v>
      </c>
      <c r="J14" s="132">
        <v>0.07730593619637993</v>
      </c>
      <c r="K14" s="132">
        <v>0.06641710798759076</v>
      </c>
      <c r="L14" s="132">
        <v>0.06686983363915686</v>
      </c>
      <c r="M14" s="132">
        <v>0.06156487941920037</v>
      </c>
      <c r="N14" s="132">
        <v>0.061102640467132034</v>
      </c>
      <c r="O14" s="132">
        <v>0.06657155251548333</v>
      </c>
    </row>
    <row x14ac:dyDescent="0.25" r="15" customHeight="1" ht="18.75">
      <c r="A15" s="123" t="s">
        <v>249</v>
      </c>
      <c r="B15" s="63">
        <v>733726</v>
      </c>
      <c r="C15" s="63">
        <v>530526</v>
      </c>
      <c r="D15" s="63">
        <v>539513</v>
      </c>
      <c r="E15" s="63">
        <v>641562</v>
      </c>
      <c r="F15" s="63">
        <v>680327</v>
      </c>
      <c r="G15" s="63">
        <v>3125654</v>
      </c>
      <c r="H15" s="2"/>
      <c r="I15" s="123" t="s">
        <v>143</v>
      </c>
      <c r="J15" s="132">
        <v>0.00038581720520961254</v>
      </c>
      <c r="K15" s="132">
        <v>0.00040518619419885473</v>
      </c>
      <c r="L15" s="132">
        <v>0.0004724185514985825</v>
      </c>
      <c r="M15" s="132">
        <v>0.00043400259012745787</v>
      </c>
      <c r="N15" s="132">
        <v>0.00043347459238216707</v>
      </c>
      <c r="O15" s="132">
        <v>0.0004260576882109838</v>
      </c>
    </row>
    <row x14ac:dyDescent="0.25" r="16" customHeight="1" ht="18.75">
      <c r="A16" s="123" t="s">
        <v>235</v>
      </c>
      <c r="B16" s="63">
        <v>340000</v>
      </c>
      <c r="C16" s="63">
        <v>400000</v>
      </c>
      <c r="D16" s="63">
        <v>420000</v>
      </c>
      <c r="E16" s="63">
        <v>500000</v>
      </c>
      <c r="F16" s="63">
        <v>183326</v>
      </c>
      <c r="G16" s="63">
        <v>1843326</v>
      </c>
      <c r="H16" s="2"/>
      <c r="I16" s="123" t="s">
        <v>147</v>
      </c>
      <c r="J16" s="132">
        <v>0.003643464777396976</v>
      </c>
      <c r="K16" s="132">
        <v>0.003581170646394211</v>
      </c>
      <c r="L16" s="132">
        <v>0.0037080132107123742</v>
      </c>
      <c r="M16" s="132">
        <v>0.0035311690740170336</v>
      </c>
      <c r="N16" s="132">
        <v>0.0036508468669261486</v>
      </c>
      <c r="O16" s="132">
        <v>0.0036220584267109765</v>
      </c>
    </row>
    <row x14ac:dyDescent="0.25" r="17" customHeight="1" ht="18.75">
      <c r="A17" s="123" t="s">
        <v>125</v>
      </c>
      <c r="B17" s="63">
        <v>440797</v>
      </c>
      <c r="C17" s="63">
        <v>281486</v>
      </c>
      <c r="D17" s="63">
        <v>302758</v>
      </c>
      <c r="E17" s="63">
        <v>331089</v>
      </c>
      <c r="F17" s="63">
        <v>354062</v>
      </c>
      <c r="G17" s="63">
        <v>1710192</v>
      </c>
      <c r="H17" s="2"/>
      <c r="I17" s="123" t="s">
        <v>149</v>
      </c>
      <c r="J17" s="132">
        <v>0.0025807312856470986</v>
      </c>
      <c r="K17" s="132">
        <v>0.004959546548026348</v>
      </c>
      <c r="L17" s="132">
        <v>0.003126465973817619</v>
      </c>
      <c r="M17" s="132">
        <v>0.005922461345249309</v>
      </c>
      <c r="N17" s="132">
        <v>0.0056580200044808885</v>
      </c>
      <c r="O17" s="132">
        <v>0.0044773886020530815</v>
      </c>
    </row>
    <row x14ac:dyDescent="0.25" r="18" customHeight="1" ht="18.75">
      <c r="A18" s="123" t="s">
        <v>209</v>
      </c>
      <c r="B18" s="63">
        <v>328934</v>
      </c>
      <c r="C18" s="63">
        <v>333032</v>
      </c>
      <c r="D18" s="63">
        <v>327390</v>
      </c>
      <c r="E18" s="63">
        <v>329786</v>
      </c>
      <c r="F18" s="63">
        <v>330069</v>
      </c>
      <c r="G18" s="63">
        <v>1649211</v>
      </c>
      <c r="H18" s="2"/>
      <c r="I18" s="123" t="s">
        <v>151</v>
      </c>
      <c r="J18" s="132">
        <v>0.00019560932304127357</v>
      </c>
      <c r="K18" s="132">
        <v>0.00020981891756264028</v>
      </c>
      <c r="L18" s="132">
        <v>0.00021130606924886597</v>
      </c>
      <c r="M18" s="132">
        <v>0.00019176714446631816</v>
      </c>
      <c r="N18" s="132">
        <v>0.00019258656890121993</v>
      </c>
      <c r="O18" s="132">
        <v>0.00019989852080517156</v>
      </c>
    </row>
    <row x14ac:dyDescent="0.25" r="19" customHeight="1" ht="18.75">
      <c r="A19" s="123" t="s">
        <v>223</v>
      </c>
      <c r="B19" s="63">
        <v>305896</v>
      </c>
      <c r="C19" s="63">
        <v>306110</v>
      </c>
      <c r="D19" s="63">
        <v>305886</v>
      </c>
      <c r="E19" s="63">
        <v>308237</v>
      </c>
      <c r="F19" s="63">
        <v>310626</v>
      </c>
      <c r="G19" s="63">
        <v>1536755</v>
      </c>
      <c r="H19" s="2"/>
      <c r="I19" s="123" t="s">
        <v>153</v>
      </c>
      <c r="J19" s="132">
        <v>0.000036845543097518</v>
      </c>
      <c r="K19" s="132">
        <v>0.00003916799877255596</v>
      </c>
      <c r="L19" s="132">
        <v>0.00003833339103588498</v>
      </c>
      <c r="M19" s="132">
        <v>0.000035588212390451545</v>
      </c>
      <c r="N19" s="132">
        <v>0.0000355449165753377</v>
      </c>
      <c r="O19" s="132">
        <v>0.00003704119719628219</v>
      </c>
    </row>
    <row x14ac:dyDescent="0.25" r="20" customHeight="1" ht="18.75">
      <c r="A20" s="123" t="s">
        <v>183</v>
      </c>
      <c r="B20" s="63">
        <v>316767</v>
      </c>
      <c r="C20" s="63">
        <v>260536</v>
      </c>
      <c r="D20" s="63">
        <v>269970</v>
      </c>
      <c r="E20" s="63">
        <v>270000</v>
      </c>
      <c r="F20" s="63">
        <v>300000</v>
      </c>
      <c r="G20" s="63">
        <v>1417273</v>
      </c>
      <c r="H20" s="2"/>
      <c r="I20" s="123" t="s">
        <v>155</v>
      </c>
      <c r="J20" s="132">
        <v>0.0004683177842569347</v>
      </c>
      <c r="K20" s="132">
        <v>0.0004890597363980177</v>
      </c>
      <c r="L20" s="132">
        <v>0.0004847014338375457</v>
      </c>
      <c r="M20" s="132">
        <v>0.0004485726770817368</v>
      </c>
      <c r="N20" s="132">
        <v>0.0004470980795713209</v>
      </c>
      <c r="O20" s="132">
        <v>0.000466881761245018</v>
      </c>
    </row>
    <row x14ac:dyDescent="0.25" r="21" customHeight="1" ht="18.75">
      <c r="A21" s="123" t="s">
        <v>161</v>
      </c>
      <c r="B21" s="63">
        <v>172617</v>
      </c>
      <c r="C21" s="63">
        <v>162113</v>
      </c>
      <c r="D21" s="63">
        <v>244438</v>
      </c>
      <c r="E21" s="63">
        <v>219857</v>
      </c>
      <c r="F21" s="63">
        <v>267556</v>
      </c>
      <c r="G21" s="63">
        <v>1066581</v>
      </c>
      <c r="H21" s="2"/>
      <c r="I21" s="123" t="s">
        <v>157</v>
      </c>
      <c r="J21" s="132">
        <v>0.001167097045759078</v>
      </c>
      <c r="K21" s="132">
        <v>0.0014114661074917103</v>
      </c>
      <c r="L21" s="132">
        <v>0.0006634781113975093</v>
      </c>
      <c r="M21" s="132">
        <v>0.0012180592693777196</v>
      </c>
      <c r="N21" s="132">
        <v>0.0012155246819813652</v>
      </c>
      <c r="O21" s="132">
        <v>0.0011381808369580514</v>
      </c>
    </row>
    <row x14ac:dyDescent="0.25" r="22" customHeight="1" ht="18.75">
      <c r="A22" s="123" t="s">
        <v>219</v>
      </c>
      <c r="B22" s="63">
        <v>290322</v>
      </c>
      <c r="C22" s="63">
        <v>87189</v>
      </c>
      <c r="D22" s="63">
        <v>87425</v>
      </c>
      <c r="E22" s="63">
        <v>179189</v>
      </c>
      <c r="F22" s="63">
        <v>177351</v>
      </c>
      <c r="G22" s="63">
        <v>821476</v>
      </c>
      <c r="H22" s="2"/>
      <c r="I22" s="123" t="s">
        <v>159</v>
      </c>
      <c r="J22" s="132">
        <v>0.008230767044471735</v>
      </c>
      <c r="K22" s="132">
        <v>0.0086439721429089</v>
      </c>
      <c r="L22" s="132">
        <v>0.012062802782329305</v>
      </c>
      <c r="M22" s="132">
        <v>0.010914607138375401</v>
      </c>
      <c r="N22" s="132">
        <v>0.009685927841837754</v>
      </c>
      <c r="O22" s="132">
        <v>0.009905118243919318</v>
      </c>
    </row>
    <row x14ac:dyDescent="0.25" r="23" customHeight="1" ht="18.75">
      <c r="A23" s="123" t="s">
        <v>159</v>
      </c>
      <c r="B23" s="63">
        <v>128000</v>
      </c>
      <c r="C23" s="63">
        <v>128000</v>
      </c>
      <c r="D23" s="63">
        <v>178739</v>
      </c>
      <c r="E23" s="63">
        <v>176041</v>
      </c>
      <c r="F23" s="63">
        <v>156414</v>
      </c>
      <c r="G23" s="63">
        <v>767194</v>
      </c>
      <c r="H23" s="2"/>
      <c r="I23" s="123" t="s">
        <v>161</v>
      </c>
      <c r="J23" s="132">
        <v>0.011099768085277949</v>
      </c>
      <c r="K23" s="132">
        <v>0.01094765825002649</v>
      </c>
      <c r="L23" s="132">
        <v>0.016496720841601503</v>
      </c>
      <c r="M23" s="132">
        <v>0.013631215351093216</v>
      </c>
      <c r="N23" s="132">
        <v>0.016568389719914728</v>
      </c>
      <c r="O23" s="132">
        <v>0.013770455610598765</v>
      </c>
    </row>
    <row x14ac:dyDescent="0.25" r="24" customHeight="1" ht="18.75">
      <c r="A24" s="123" t="s">
        <v>163</v>
      </c>
      <c r="B24" s="63">
        <v>148483</v>
      </c>
      <c r="C24" s="63">
        <v>108045</v>
      </c>
      <c r="D24" s="63">
        <v>112657</v>
      </c>
      <c r="E24" s="63">
        <v>127742</v>
      </c>
      <c r="F24" s="63">
        <v>133173</v>
      </c>
      <c r="G24" s="63">
        <v>630100</v>
      </c>
      <c r="H24" s="2"/>
      <c r="I24" s="123" t="s">
        <v>163</v>
      </c>
      <c r="J24" s="132">
        <v>0.009547882680189817</v>
      </c>
      <c r="K24" s="132">
        <v>0.007296390392035877</v>
      </c>
      <c r="L24" s="132">
        <v>0.007603036679453687</v>
      </c>
      <c r="M24" s="132">
        <v>0.00792005126686596</v>
      </c>
      <c r="N24" s="132">
        <v>0.008246730270187191</v>
      </c>
      <c r="O24" s="132">
        <v>0.00813511967702245</v>
      </c>
    </row>
    <row x14ac:dyDescent="0.25" r="25" customHeight="1" ht="18.75">
      <c r="A25" s="123" t="s">
        <v>227</v>
      </c>
      <c r="B25" s="63">
        <v>164073</v>
      </c>
      <c r="C25" s="63">
        <v>96574</v>
      </c>
      <c r="D25" s="63">
        <v>96594</v>
      </c>
      <c r="E25" s="63">
        <v>116775</v>
      </c>
      <c r="F25" s="63">
        <v>129967</v>
      </c>
      <c r="G25" s="63">
        <v>603983</v>
      </c>
      <c r="H25" s="2"/>
      <c r="I25" s="123" t="s">
        <v>165</v>
      </c>
      <c r="J25" s="132">
        <v>0.0000633383245219114</v>
      </c>
      <c r="K25" s="132">
        <v>0.00006874659094907235</v>
      </c>
      <c r="L25" s="132">
        <v>0.00006573366702280277</v>
      </c>
      <c r="M25" s="132">
        <v>0.0000615043670580626</v>
      </c>
      <c r="N25" s="132">
        <v>0.0000616153170600366</v>
      </c>
      <c r="O25" s="132">
        <v>0.00006408940497816132</v>
      </c>
    </row>
    <row x14ac:dyDescent="0.25" r="26" customHeight="1" ht="18.75">
      <c r="A26" s="123" t="s">
        <v>255</v>
      </c>
      <c r="B26" s="63">
        <v>73738</v>
      </c>
      <c r="C26" s="63">
        <v>71564</v>
      </c>
      <c r="D26" s="63">
        <v>109689</v>
      </c>
      <c r="E26" s="63">
        <v>60782</v>
      </c>
      <c r="F26" s="63">
        <v>98630</v>
      </c>
      <c r="G26" s="63">
        <v>414403</v>
      </c>
      <c r="H26" s="2"/>
      <c r="I26" s="123" t="s">
        <v>167</v>
      </c>
      <c r="J26" s="132">
        <v>0.000012281847699172667</v>
      </c>
      <c r="K26" s="132">
        <v>0.000013911392667494013</v>
      </c>
      <c r="L26" s="132">
        <v>0.000014442510002956665</v>
      </c>
      <c r="M26" s="132">
        <v>0.000012648075483714487</v>
      </c>
      <c r="N26" s="132">
        <v>0.00001288038788792725</v>
      </c>
      <c r="O26" s="132">
        <v>0.000013207788334540497</v>
      </c>
    </row>
    <row x14ac:dyDescent="0.25" r="27" customHeight="1" ht="18.75">
      <c r="A27" s="123" t="s">
        <v>269</v>
      </c>
      <c r="B27" s="63">
        <v>14714765</v>
      </c>
      <c r="C27" s="63">
        <v>13916377</v>
      </c>
      <c r="D27" s="63">
        <v>13993938</v>
      </c>
      <c r="E27" s="63">
        <v>15235139</v>
      </c>
      <c r="F27" s="63">
        <v>15271327</v>
      </c>
      <c r="G27" s="63">
        <v>73131546</v>
      </c>
      <c r="H27" s="2"/>
      <c r="I27" s="123" t="s">
        <v>169</v>
      </c>
      <c r="J27" s="132">
        <v>0.0000666177707661931</v>
      </c>
      <c r="K27" s="132">
        <v>0.00006975955643456949</v>
      </c>
      <c r="L27" s="132">
        <v>0.0000702553874442892</v>
      </c>
      <c r="M27" s="132">
        <v>0.00006429438370888197</v>
      </c>
      <c r="N27" s="132">
        <v>0.00006421616461432961</v>
      </c>
      <c r="O27" s="132">
        <v>0.00006692978956623455</v>
      </c>
    </row>
    <row x14ac:dyDescent="0.25" r="28" customHeight="1" ht="18.75">
      <c r="A28" s="2"/>
      <c r="B28" s="3"/>
      <c r="C28" s="3"/>
      <c r="D28" s="3"/>
      <c r="E28" s="3"/>
      <c r="F28" s="3"/>
      <c r="G28" s="3"/>
      <c r="H28" s="2"/>
      <c r="I28" s="123" t="s">
        <v>171</v>
      </c>
      <c r="J28" s="132">
        <v>0.0008972822135824889</v>
      </c>
      <c r="K28" s="132">
        <v>0.000960899059542584</v>
      </c>
      <c r="L28" s="132">
        <v>0.0009433523589781695</v>
      </c>
      <c r="M28" s="132">
        <v>0.0008712911998658808</v>
      </c>
      <c r="N28" s="132">
        <v>0.0008723366546982268</v>
      </c>
      <c r="O28" s="132">
        <v>0.0009076448951187991</v>
      </c>
    </row>
    <row x14ac:dyDescent="0.25" r="29" customHeight="1" ht="18.75">
      <c r="A29" s="2"/>
      <c r="B29" s="3"/>
      <c r="C29" s="3"/>
      <c r="D29" s="3"/>
      <c r="E29" s="3"/>
      <c r="F29" s="3"/>
      <c r="G29" s="3"/>
      <c r="H29" s="2"/>
      <c r="I29" s="123" t="s">
        <v>173</v>
      </c>
      <c r="J29" s="132">
        <v>0.00011542364722520909</v>
      </c>
      <c r="K29" s="132">
        <v>0.00011392485160224464</v>
      </c>
      <c r="L29" s="132">
        <v>0.0001160799869396517</v>
      </c>
      <c r="M29" s="132">
        <v>0.00010750864161157314</v>
      </c>
      <c r="N29" s="132">
        <v>0.00010613935019186205</v>
      </c>
      <c r="O29" s="132">
        <v>0.00011167875766742454</v>
      </c>
    </row>
    <row x14ac:dyDescent="0.25" r="30" customHeight="1" ht="18.75">
      <c r="A30" s="2"/>
      <c r="B30" s="3"/>
      <c r="C30" s="3"/>
      <c r="D30" s="3"/>
      <c r="E30" s="3"/>
      <c r="F30" s="3"/>
      <c r="G30" s="3"/>
      <c r="H30" s="2"/>
      <c r="I30" s="123" t="s">
        <v>175</v>
      </c>
      <c r="J30" s="132">
        <v>0.06173075283353801</v>
      </c>
      <c r="K30" s="132">
        <v>0.06618041171914626</v>
      </c>
      <c r="L30" s="132">
        <v>0.06681348085479953</v>
      </c>
      <c r="M30" s="132">
        <v>0.06200037001820827</v>
      </c>
      <c r="N30" s="132">
        <v>0.06316344060425863</v>
      </c>
      <c r="O30" s="132">
        <v>0.06390865323164757</v>
      </c>
    </row>
    <row x14ac:dyDescent="0.25" r="31" customHeight="1" ht="18.75">
      <c r="A31" s="2"/>
      <c r="B31" s="63">
        <v>2017</v>
      </c>
      <c r="C31" s="63">
        <f>B31+1</f>
      </c>
      <c r="D31" s="63">
        <f>C31+1</f>
      </c>
      <c r="E31" s="63">
        <f>D31+1</f>
      </c>
      <c r="F31" s="63">
        <f>E31+1</f>
      </c>
      <c r="G31" s="3"/>
      <c r="H31" s="2"/>
      <c r="I31" s="123" t="s">
        <v>177</v>
      </c>
      <c r="J31" s="132">
        <v>0.0001279627063945215</v>
      </c>
      <c r="K31" s="132">
        <v>0.00012601290639584382</v>
      </c>
      <c r="L31" s="132">
        <v>0.00011473021964965576</v>
      </c>
      <c r="M31" s="132">
        <v>0.00011129066418268384</v>
      </c>
      <c r="N31" s="132">
        <v>0.00011468499215596763</v>
      </c>
      <c r="O31" s="132">
        <v>0.00011881845165471768</v>
      </c>
    </row>
    <row x14ac:dyDescent="0.25" r="32" customHeight="1" ht="18.75">
      <c r="A32" s="123" t="s">
        <v>270</v>
      </c>
      <c r="B32" s="63">
        <v>15551406</v>
      </c>
      <c r="C32" s="63">
        <v>14808007</v>
      </c>
      <c r="D32" s="63">
        <v>14817369</v>
      </c>
      <c r="E32" s="63">
        <v>16128936</v>
      </c>
      <c r="F32" s="63">
        <v>16148582</v>
      </c>
      <c r="G32" s="3"/>
      <c r="H32" s="2"/>
      <c r="I32" s="123" t="s">
        <v>179</v>
      </c>
      <c r="J32" s="132">
        <v>0.24550056760141173</v>
      </c>
      <c r="K32" s="132">
        <v>0.2394952946740233</v>
      </c>
      <c r="L32" s="132">
        <v>0.23139263117494072</v>
      </c>
      <c r="M32" s="132">
        <v>0.26040155407647475</v>
      </c>
      <c r="N32" s="132">
        <v>0.2724697437830764</v>
      </c>
      <c r="O32" s="132">
        <v>0.25037934627257624</v>
      </c>
    </row>
    <row x14ac:dyDescent="0.25" r="33" customHeight="1" ht="18.75">
      <c r="A33" s="2"/>
      <c r="B33" s="3"/>
      <c r="C33" s="3"/>
      <c r="D33" s="3"/>
      <c r="E33" s="3"/>
      <c r="F33" s="3"/>
      <c r="G33" s="3"/>
      <c r="H33" s="2"/>
      <c r="I33" s="123" t="s">
        <v>181</v>
      </c>
      <c r="J33" s="132">
        <v>0.002276128602134109</v>
      </c>
      <c r="K33" s="132">
        <v>0.002449688199093909</v>
      </c>
      <c r="L33" s="132">
        <v>0.0024182430767567442</v>
      </c>
      <c r="M33" s="132">
        <v>0.0022403213702379375</v>
      </c>
      <c r="N33" s="132">
        <v>0.002234251899021227</v>
      </c>
      <c r="O33" s="132">
        <v>0.0023203101699970177</v>
      </c>
    </row>
    <row x14ac:dyDescent="0.25" r="34" customHeight="1" ht="18.75">
      <c r="A34" s="2"/>
      <c r="B34" s="3"/>
      <c r="C34" s="3"/>
      <c r="D34" s="3"/>
      <c r="E34" s="3"/>
      <c r="F34" s="3"/>
      <c r="G34" s="3"/>
      <c r="H34" s="2"/>
      <c r="I34" s="123" t="s">
        <v>183</v>
      </c>
      <c r="J34" s="132">
        <v>0.02036902644043889</v>
      </c>
      <c r="K34" s="132">
        <v>0.017594265048632134</v>
      </c>
      <c r="L34" s="132">
        <v>0.018219833764010332</v>
      </c>
      <c r="M34" s="132">
        <v>0.016740099904916234</v>
      </c>
      <c r="N34" s="132">
        <v>0.018577482530664303</v>
      </c>
      <c r="O34" s="132">
        <v>0.018298183574055927</v>
      </c>
    </row>
    <row x14ac:dyDescent="0.25" r="35" customHeight="1" ht="18.75">
      <c r="A35" s="2"/>
      <c r="B35" s="3"/>
      <c r="C35" s="3"/>
      <c r="D35" s="3"/>
      <c r="E35" s="3"/>
      <c r="F35" s="3"/>
      <c r="G35" s="3"/>
      <c r="H35" s="2"/>
      <c r="I35" s="123" t="s">
        <v>185</v>
      </c>
      <c r="J35" s="132">
        <v>0.00011047232642501906</v>
      </c>
      <c r="K35" s="132">
        <v>0.00011027817585445496</v>
      </c>
      <c r="L35" s="132">
        <v>0.00010892622030267317</v>
      </c>
      <c r="M35" s="132">
        <v>0.0000989525905490604</v>
      </c>
      <c r="N35" s="132">
        <v>0.00009771755811129423</v>
      </c>
      <c r="O35" s="132">
        <v>0.00010508131891967263</v>
      </c>
    </row>
    <row x14ac:dyDescent="0.25" r="36" customHeight="1" ht="18.75">
      <c r="A36" s="2"/>
      <c r="B36" s="3"/>
      <c r="C36" s="3"/>
      <c r="D36" s="3"/>
      <c r="E36" s="3"/>
      <c r="F36" s="3"/>
      <c r="G36" s="3"/>
      <c r="H36" s="2"/>
      <c r="I36" s="123" t="s">
        <v>187</v>
      </c>
      <c r="J36" s="132">
        <v>0.0003492931764497692</v>
      </c>
      <c r="K36" s="132">
        <v>0.0003623039886461426</v>
      </c>
      <c r="L36" s="132">
        <v>0.0003636273079249089</v>
      </c>
      <c r="M36" s="132">
        <v>0.0003344919962482336</v>
      </c>
      <c r="N36" s="132">
        <v>0.00033328003660011756</v>
      </c>
      <c r="O36" s="132">
        <v>0.0003481020421074104</v>
      </c>
    </row>
    <row x14ac:dyDescent="0.25" r="37" customHeight="1" ht="18.75">
      <c r="A37" s="2"/>
      <c r="B37" s="3"/>
      <c r="C37" s="3"/>
      <c r="D37" s="3"/>
      <c r="E37" s="3"/>
      <c r="F37" s="3"/>
      <c r="G37" s="3"/>
      <c r="H37" s="2"/>
      <c r="I37" s="123" t="s">
        <v>189</v>
      </c>
      <c r="J37" s="132">
        <v>0.0012052286462072947</v>
      </c>
      <c r="K37" s="132">
        <v>0.0013225277378650618</v>
      </c>
      <c r="L37" s="132">
        <v>0.0012843710647956461</v>
      </c>
      <c r="M37" s="132">
        <v>0.0011853850743781238</v>
      </c>
      <c r="N37" s="132">
        <v>0.001191745504342115</v>
      </c>
      <c r="O37" s="132">
        <v>0.0012358513342706602</v>
      </c>
    </row>
    <row x14ac:dyDescent="0.25" r="38" customHeight="1" ht="18.75">
      <c r="A38" s="2"/>
      <c r="B38" s="3"/>
      <c r="C38" s="3"/>
      <c r="D38" s="3"/>
      <c r="E38" s="3"/>
      <c r="F38" s="3"/>
      <c r="G38" s="3"/>
      <c r="H38" s="2"/>
      <c r="I38" s="123" t="s">
        <v>191</v>
      </c>
      <c r="J38" s="132">
        <v>0.0024113575325600783</v>
      </c>
      <c r="K38" s="132">
        <v>0.002546730292604535</v>
      </c>
      <c r="L38" s="132">
        <v>0.0028600219107724183</v>
      </c>
      <c r="M38" s="132">
        <v>0.002714376199397158</v>
      </c>
      <c r="N38" s="132">
        <v>0.002792938723660071</v>
      </c>
      <c r="O38" s="132">
        <v>0.002665726757584795</v>
      </c>
    </row>
    <row x14ac:dyDescent="0.25" r="39" customHeight="1" ht="18.75">
      <c r="A39" s="2"/>
      <c r="B39" s="3"/>
      <c r="C39" s="3"/>
      <c r="D39" s="3"/>
      <c r="E39" s="3"/>
      <c r="F39" s="3"/>
      <c r="G39" s="3"/>
      <c r="H39" s="2"/>
      <c r="I39" s="123" t="s">
        <v>193</v>
      </c>
      <c r="J39" s="132">
        <v>0.00006931849120266039</v>
      </c>
      <c r="K39" s="132">
        <v>0.00007631006657411764</v>
      </c>
      <c r="L39" s="132">
        <v>0.00007666678207176996</v>
      </c>
      <c r="M39" s="132">
        <v>0.00007142442626097592</v>
      </c>
      <c r="N39" s="132">
        <v>0.00007059443361652436</v>
      </c>
      <c r="O39" s="132">
        <v>0.00007276548881082135</v>
      </c>
    </row>
    <row x14ac:dyDescent="0.25" r="40" customHeight="1" ht="18.75">
      <c r="A40" s="2"/>
      <c r="B40" s="3"/>
      <c r="C40" s="3"/>
      <c r="D40" s="3"/>
      <c r="E40" s="3"/>
      <c r="F40" s="3"/>
      <c r="G40" s="3"/>
      <c r="H40" s="2"/>
      <c r="I40" s="123" t="s">
        <v>195</v>
      </c>
      <c r="J40" s="132">
        <v>0.0008977323336552335</v>
      </c>
      <c r="K40" s="132">
        <v>0.000956509542438763</v>
      </c>
      <c r="L40" s="132">
        <v>0.0009413951964076753</v>
      </c>
      <c r="M40" s="132">
        <v>0.000869555189505371</v>
      </c>
      <c r="N40" s="132">
        <v>0.0008697977320857027</v>
      </c>
      <c r="O40" s="132">
        <v>0.0009056308042290744</v>
      </c>
    </row>
    <row x14ac:dyDescent="0.25" r="41" customHeight="1" ht="18.75">
      <c r="A41" s="2"/>
      <c r="B41" s="3"/>
      <c r="C41" s="3"/>
      <c r="D41" s="3"/>
      <c r="E41" s="3"/>
      <c r="F41" s="3"/>
      <c r="G41" s="3"/>
      <c r="H41" s="2"/>
      <c r="I41" s="123" t="s">
        <v>197</v>
      </c>
      <c r="J41" s="132">
        <v>0.00010931487480939023</v>
      </c>
      <c r="K41" s="132">
        <v>0.00011480275502300884</v>
      </c>
      <c r="L41" s="132">
        <v>0.00011473021964965576</v>
      </c>
      <c r="M41" s="132">
        <v>0.00010540062903095406</v>
      </c>
      <c r="N41" s="132">
        <v>0.00010217615391865367</v>
      </c>
      <c r="O41" s="132">
        <v>0.00010909658986008524</v>
      </c>
    </row>
    <row x14ac:dyDescent="0.25" r="42" customHeight="1" ht="18.75">
      <c r="A42" s="2"/>
      <c r="B42" s="3"/>
      <c r="C42" s="3"/>
      <c r="D42" s="3"/>
      <c r="E42" s="3"/>
      <c r="F42" s="3"/>
      <c r="G42" s="3"/>
      <c r="H42" s="2"/>
      <c r="I42" s="123" t="s">
        <v>199</v>
      </c>
      <c r="J42" s="132">
        <v>0.002042451981512154</v>
      </c>
      <c r="K42" s="132">
        <v>0.0021510659739693533</v>
      </c>
      <c r="L42" s="132">
        <v>0.002151326595160045</v>
      </c>
      <c r="M42" s="132">
        <v>0.0019780598050609167</v>
      </c>
      <c r="N42" s="132">
        <v>0.0019773253156221394</v>
      </c>
      <c r="O42" s="132">
        <v>0.0020570581620387766</v>
      </c>
    </row>
    <row x14ac:dyDescent="0.25" r="43" customHeight="1" ht="18.75">
      <c r="A43" s="2"/>
      <c r="B43" s="3"/>
      <c r="C43" s="3"/>
      <c r="D43" s="3"/>
      <c r="E43" s="3"/>
      <c r="F43" s="3"/>
      <c r="G43" s="3"/>
      <c r="H43" s="2"/>
      <c r="I43" s="123" t="s">
        <v>201</v>
      </c>
      <c r="J43" s="132">
        <v>0.00039803475004125026</v>
      </c>
      <c r="K43" s="132">
        <v>0.00040424075974572406</v>
      </c>
      <c r="L43" s="132">
        <v>0.0004063474426532808</v>
      </c>
      <c r="M43" s="132">
        <v>0.00037330422787963197</v>
      </c>
      <c r="N43" s="132">
        <v>0.00037278814944866366</v>
      </c>
      <c r="O43" s="132">
        <v>0.0003903979507916281</v>
      </c>
    </row>
    <row x14ac:dyDescent="0.25" r="44" customHeight="1" ht="18.75">
      <c r="A44" s="2"/>
      <c r="B44" s="3"/>
      <c r="C44" s="3"/>
      <c r="D44" s="3"/>
      <c r="E44" s="3"/>
      <c r="F44" s="3"/>
      <c r="G44" s="3"/>
      <c r="H44" s="2"/>
      <c r="I44" s="123" t="s">
        <v>203</v>
      </c>
      <c r="J44" s="132">
        <v>0.0027688171731867846</v>
      </c>
      <c r="K44" s="132">
        <v>0.0030065490919878686</v>
      </c>
      <c r="L44" s="132">
        <v>0.003012545614541961</v>
      </c>
      <c r="M44" s="132">
        <v>0.0027875366360186437</v>
      </c>
      <c r="N44" s="132">
        <v>0.002803404038819012</v>
      </c>
      <c r="O44" s="132">
        <v>0.0028720032328740947</v>
      </c>
    </row>
    <row x14ac:dyDescent="0.25" r="45" customHeight="1" ht="18.75">
      <c r="A45" s="2"/>
      <c r="B45" s="3"/>
      <c r="C45" s="3"/>
      <c r="D45" s="3"/>
      <c r="E45" s="3"/>
      <c r="F45" s="3"/>
      <c r="G45" s="3"/>
      <c r="H45" s="2"/>
      <c r="I45" s="123" t="s">
        <v>205</v>
      </c>
      <c r="J45" s="132">
        <v>0.007716344104192251</v>
      </c>
      <c r="K45" s="132">
        <v>0.0072240646563713805</v>
      </c>
      <c r="L45" s="132">
        <v>0.005613209740541658</v>
      </c>
      <c r="M45" s="132">
        <v>0.003597571470306535</v>
      </c>
      <c r="N45" s="132">
        <v>0.0027219108154511646</v>
      </c>
      <c r="O45" s="132">
        <v>0.00532090535967661</v>
      </c>
    </row>
    <row x14ac:dyDescent="0.25" r="46" customHeight="1" ht="18.75">
      <c r="A46" s="2"/>
      <c r="B46" s="3"/>
      <c r="C46" s="3"/>
      <c r="D46" s="3"/>
      <c r="E46" s="3"/>
      <c r="F46" s="3"/>
      <c r="G46" s="3"/>
      <c r="H46" s="2"/>
      <c r="I46" s="123" t="s">
        <v>207</v>
      </c>
      <c r="J46" s="132">
        <v>0.0012600146893470597</v>
      </c>
      <c r="K46" s="132">
        <v>0.0013323197375582007</v>
      </c>
      <c r="L46" s="132">
        <v>0.001335054826534994</v>
      </c>
      <c r="M46" s="132">
        <v>0.0012298393396811792</v>
      </c>
      <c r="N46" s="132">
        <v>0.0012317490167248122</v>
      </c>
      <c r="O46" s="132">
        <v>0.001276016954513823</v>
      </c>
    </row>
    <row x14ac:dyDescent="0.25" r="47" customHeight="1" ht="18.75">
      <c r="A47" s="2"/>
      <c r="B47" s="3"/>
      <c r="C47" s="3"/>
      <c r="D47" s="3"/>
      <c r="E47" s="3"/>
      <c r="F47" s="3"/>
      <c r="G47" s="3"/>
      <c r="H47" s="2"/>
      <c r="I47" s="123" t="s">
        <v>209</v>
      </c>
      <c r="J47" s="132">
        <v>0.02115139942973645</v>
      </c>
      <c r="K47" s="132">
        <v>0.022489994771072164</v>
      </c>
      <c r="L47" s="132">
        <v>0.022095015653588703</v>
      </c>
      <c r="M47" s="132">
        <v>0.02044685402682483</v>
      </c>
      <c r="N47" s="132">
        <v>0.020439503604712785</v>
      </c>
      <c r="O47" s="132">
        <v>0.021292697758549233</v>
      </c>
    </row>
    <row x14ac:dyDescent="0.25" r="48" customHeight="1" ht="18.75">
      <c r="A48" s="2"/>
      <c r="B48" s="3"/>
      <c r="C48" s="3"/>
      <c r="D48" s="3"/>
      <c r="E48" s="3"/>
      <c r="F48" s="3"/>
      <c r="G48" s="3"/>
      <c r="H48" s="2"/>
      <c r="I48" s="123" t="s">
        <v>211</v>
      </c>
      <c r="J48" s="132">
        <v>0.00004346873845361635</v>
      </c>
      <c r="K48" s="132">
        <v>0.00004551591581500468</v>
      </c>
      <c r="L48" s="132">
        <v>0.000045014739121364935</v>
      </c>
      <c r="M48" s="132">
        <v>0.000041726249022254166</v>
      </c>
      <c r="N48" s="132">
        <v>0.00004155163592691916</v>
      </c>
      <c r="O48" s="132">
        <v>0.00004339333000233686</v>
      </c>
    </row>
    <row x14ac:dyDescent="0.25" r="49" customHeight="1" ht="18.75">
      <c r="A49" s="2"/>
      <c r="B49" s="3"/>
      <c r="C49" s="3"/>
      <c r="D49" s="3"/>
      <c r="E49" s="3"/>
      <c r="F49" s="3"/>
      <c r="G49" s="3"/>
      <c r="H49" s="2"/>
      <c r="I49" s="123" t="s">
        <v>213</v>
      </c>
      <c r="J49" s="132">
        <v>0.003366898144129219</v>
      </c>
      <c r="K49" s="132">
        <v>0.0034573862640664608</v>
      </c>
      <c r="L49" s="132">
        <v>0.003527076905488417</v>
      </c>
      <c r="M49" s="132">
        <v>0.00397943174924868</v>
      </c>
      <c r="N49" s="132">
        <v>0.0036452116972251806</v>
      </c>
      <c r="O49" s="132">
        <v>0.0036004198604854733</v>
      </c>
    </row>
    <row x14ac:dyDescent="0.25" r="50" customHeight="1" ht="18.75">
      <c r="A50" s="2"/>
      <c r="B50" s="3"/>
      <c r="C50" s="3"/>
      <c r="D50" s="3"/>
      <c r="E50" s="3"/>
      <c r="F50" s="3"/>
      <c r="G50" s="3"/>
      <c r="H50" s="2"/>
      <c r="I50" s="123" t="s">
        <v>215</v>
      </c>
      <c r="J50" s="132">
        <v>0.0003509007481381426</v>
      </c>
      <c r="K50" s="132">
        <v>0.00036581560232919934</v>
      </c>
      <c r="L50" s="132">
        <v>0.00036200758717691377</v>
      </c>
      <c r="M50" s="132">
        <v>0.00033560800290856135</v>
      </c>
      <c r="N50" s="132">
        <v>0.00033427083566841967</v>
      </c>
      <c r="O50" s="132">
        <v>0.00034922528510360304</v>
      </c>
    </row>
    <row x14ac:dyDescent="0.25" r="51" customHeight="1" ht="18.75">
      <c r="A51" s="2"/>
      <c r="B51" s="3"/>
      <c r="C51" s="3"/>
      <c r="D51" s="3"/>
      <c r="E51" s="3"/>
      <c r="F51" s="3"/>
      <c r="G51" s="3"/>
      <c r="H51" s="2"/>
      <c r="I51" s="123" t="s">
        <v>217</v>
      </c>
      <c r="J51" s="132">
        <v>0.000060380392615304364</v>
      </c>
      <c r="K51" s="132">
        <v>0.00006564016346021447</v>
      </c>
      <c r="L51" s="132">
        <v>0.00006532873683580398</v>
      </c>
      <c r="M51" s="132">
        <v>0.000059396354477443524</v>
      </c>
      <c r="N51" s="132">
        <v>0.000058766769738668075</v>
      </c>
      <c r="O51" s="132">
        <v>0.00006179127562962934</v>
      </c>
    </row>
    <row x14ac:dyDescent="0.25" r="52" customHeight="1" ht="18.75">
      <c r="A52" s="2"/>
      <c r="B52" s="3"/>
      <c r="C52" s="3"/>
      <c r="D52" s="3"/>
      <c r="E52" s="3"/>
      <c r="F52" s="3"/>
      <c r="G52" s="3"/>
      <c r="H52" s="2"/>
      <c r="I52" s="123" t="s">
        <v>219</v>
      </c>
      <c r="J52" s="132">
        <v>0.018668537108477525</v>
      </c>
      <c r="K52" s="132">
        <v>0.005887963181000658</v>
      </c>
      <c r="L52" s="132">
        <v>0.005900170266394797</v>
      </c>
      <c r="M52" s="132">
        <v>0.011109784303192722</v>
      </c>
      <c r="N52" s="132">
        <v>0.010982450347652816</v>
      </c>
      <c r="O52" s="132">
        <v>0.010605944408509276</v>
      </c>
    </row>
    <row x14ac:dyDescent="0.25" r="53" customHeight="1" ht="18.75">
      <c r="A53" s="2"/>
      <c r="B53" s="3"/>
      <c r="C53" s="3"/>
      <c r="D53" s="3"/>
      <c r="E53" s="3"/>
      <c r="F53" s="3"/>
      <c r="G53" s="3"/>
      <c r="H53" s="2"/>
      <c r="I53" s="123" t="s">
        <v>221</v>
      </c>
      <c r="J53" s="132">
        <v>0.0010043464880281564</v>
      </c>
      <c r="K53" s="132">
        <v>0.0010288352781032586</v>
      </c>
      <c r="L53" s="132">
        <v>0.0010370262089038885</v>
      </c>
      <c r="M53" s="132">
        <v>0.0009552397008705348</v>
      </c>
      <c r="N53" s="132">
        <v>0.0009496809069675592</v>
      </c>
      <c r="O53" s="132">
        <v>0.000993656904781271</v>
      </c>
    </row>
    <row x14ac:dyDescent="0.25" r="54" customHeight="1" ht="18.75">
      <c r="A54" s="2"/>
      <c r="B54" s="3"/>
      <c r="C54" s="3"/>
      <c r="D54" s="3"/>
      <c r="E54" s="3"/>
      <c r="F54" s="3"/>
      <c r="G54" s="3"/>
      <c r="H54" s="2"/>
      <c r="I54" s="123" t="s">
        <v>223</v>
      </c>
      <c r="J54" s="132">
        <v>0.019669989967466606</v>
      </c>
      <c r="K54" s="132">
        <v>0.020671924317701904</v>
      </c>
      <c r="L54" s="132">
        <v>0.02064374586338506</v>
      </c>
      <c r="M54" s="132">
        <v>0.019110808053302463</v>
      </c>
      <c r="N54" s="132">
        <v>0.019235496961900432</v>
      </c>
      <c r="O54" s="132">
        <v>0.019840796443838495</v>
      </c>
    </row>
    <row x14ac:dyDescent="0.25" r="55" customHeight="1" ht="18.75">
      <c r="A55" s="2"/>
      <c r="B55" s="3"/>
      <c r="C55" s="3"/>
      <c r="D55" s="3"/>
      <c r="E55" s="3"/>
      <c r="F55" s="3"/>
      <c r="G55" s="3"/>
      <c r="H55" s="2"/>
      <c r="I55" s="123" t="s">
        <v>225</v>
      </c>
      <c r="J55" s="132">
        <v>0.00003980347500412503</v>
      </c>
      <c r="K55" s="132">
        <v>0.00004213936419668089</v>
      </c>
      <c r="L55" s="132">
        <v>0.00004130287907387607</v>
      </c>
      <c r="M55" s="132">
        <v>0.00003837822904127092</v>
      </c>
      <c r="N55" s="132">
        <v>0.000038269614013168464</v>
      </c>
      <c r="O55" s="132">
        <v>0.00003992031430146551</v>
      </c>
    </row>
    <row x14ac:dyDescent="0.25" r="56" customHeight="1" ht="18.75">
      <c r="A56" s="2"/>
      <c r="B56" s="3"/>
      <c r="C56" s="3"/>
      <c r="D56" s="3"/>
      <c r="E56" s="3"/>
      <c r="F56" s="3"/>
      <c r="G56" s="3"/>
      <c r="H56" s="2"/>
      <c r="I56" s="123" t="s">
        <v>227</v>
      </c>
      <c r="J56" s="132">
        <v>0.01055036438505946</v>
      </c>
      <c r="K56" s="132">
        <v>0.006521741919760032</v>
      </c>
      <c r="L56" s="132">
        <v>0.00651897108049344</v>
      </c>
      <c r="M56" s="132">
        <v>0.007240093208876271</v>
      </c>
      <c r="N56" s="132">
        <v>0.008048198906876159</v>
      </c>
      <c r="O56" s="132">
        <v>0.007797927293901049</v>
      </c>
    </row>
    <row x14ac:dyDescent="0.25" r="57" customHeight="1" ht="18.75">
      <c r="A57" s="2"/>
      <c r="B57" s="3"/>
      <c r="C57" s="3"/>
      <c r="D57" s="3"/>
      <c r="E57" s="3"/>
      <c r="F57" s="3"/>
      <c r="G57" s="3"/>
      <c r="H57" s="2"/>
      <c r="I57" s="123" t="s">
        <v>229</v>
      </c>
      <c r="J57" s="132">
        <v>0.0003273658986203563</v>
      </c>
      <c r="K57" s="132">
        <v>0.0003566989129597251</v>
      </c>
      <c r="L57" s="132">
        <v>0.00029364187393861893</v>
      </c>
      <c r="M57" s="132">
        <v>0.0003307719740471411</v>
      </c>
      <c r="N57" s="132">
        <v>0.0003124113312240047</v>
      </c>
      <c r="O57" s="132">
        <v>0.00032411370317722836</v>
      </c>
    </row>
    <row x14ac:dyDescent="0.25" r="58" customHeight="1" ht="18.75">
      <c r="A58" s="2"/>
      <c r="B58" s="3"/>
      <c r="C58" s="3"/>
      <c r="D58" s="3"/>
      <c r="E58" s="3"/>
      <c r="F58" s="3"/>
      <c r="G58" s="3"/>
      <c r="H58" s="2"/>
      <c r="I58" s="123" t="s">
        <v>231</v>
      </c>
      <c r="J58" s="132">
        <v>0.07055844339733655</v>
      </c>
      <c r="K58" s="132">
        <v>0.06975293839339758</v>
      </c>
      <c r="L58" s="132">
        <v>0.07103467558916836</v>
      </c>
      <c r="M58" s="132">
        <v>0.06437765020581643</v>
      </c>
      <c r="N58" s="132">
        <v>0.059183462671830875</v>
      </c>
      <c r="O58" s="132">
        <v>0.06683688316852647</v>
      </c>
    </row>
    <row x14ac:dyDescent="0.25" r="59" customHeight="1" ht="18.75">
      <c r="A59" s="2"/>
      <c r="B59" s="3"/>
      <c r="C59" s="3"/>
      <c r="D59" s="3"/>
      <c r="E59" s="3"/>
      <c r="F59" s="3"/>
      <c r="G59" s="3"/>
      <c r="H59" s="2"/>
      <c r="I59" s="123" t="s">
        <v>233</v>
      </c>
      <c r="J59" s="132">
        <v>0.001618117358649115</v>
      </c>
      <c r="K59" s="132">
        <v>0.0017038079466061842</v>
      </c>
      <c r="L59" s="132">
        <v>0.001693418042028919</v>
      </c>
      <c r="M59" s="132">
        <v>0.0015600533103981564</v>
      </c>
      <c r="N59" s="132">
        <v>0.0015580934598468151</v>
      </c>
      <c r="O59" s="132">
        <v>0.0016242997483677472</v>
      </c>
    </row>
    <row x14ac:dyDescent="0.25" r="60" customHeight="1" ht="18.75">
      <c r="A60" s="2"/>
      <c r="B60" s="3"/>
      <c r="C60" s="3"/>
      <c r="D60" s="3"/>
      <c r="E60" s="3"/>
      <c r="F60" s="3"/>
      <c r="G60" s="3"/>
      <c r="H60" s="2"/>
      <c r="I60" s="123" t="s">
        <v>235</v>
      </c>
      <c r="J60" s="132">
        <v>0.021862974961878046</v>
      </c>
      <c r="K60" s="132">
        <v>0.027012412946590313</v>
      </c>
      <c r="L60" s="132">
        <v>0.028345113089914952</v>
      </c>
      <c r="M60" s="132">
        <v>0.031000185009104134</v>
      </c>
      <c r="N60" s="132">
        <v>0.01135245187472188</v>
      </c>
      <c r="O60" s="132">
        <v>0.023798885278157572</v>
      </c>
    </row>
    <row x14ac:dyDescent="0.25" r="61" customHeight="1" ht="18.75">
      <c r="A61" s="2"/>
      <c r="B61" s="3"/>
      <c r="C61" s="3"/>
      <c r="D61" s="3"/>
      <c r="E61" s="3"/>
      <c r="F61" s="3"/>
      <c r="G61" s="3"/>
      <c r="H61" s="2"/>
      <c r="I61" s="123" t="s">
        <v>237</v>
      </c>
      <c r="J61" s="132">
        <v>0.054657437404695114</v>
      </c>
      <c r="K61" s="132">
        <v>0.060777929129828205</v>
      </c>
      <c r="L61" s="132">
        <v>0.06343906262980965</v>
      </c>
      <c r="M61" s="132">
        <v>0.05952035521747994</v>
      </c>
      <c r="N61" s="132">
        <v>0.060067193515814576</v>
      </c>
      <c r="O61" s="132">
        <v>0.059648076349537726</v>
      </c>
    </row>
    <row x14ac:dyDescent="0.25" r="62" customHeight="1" ht="18.75">
      <c r="A62" s="2"/>
      <c r="B62" s="3"/>
      <c r="C62" s="3"/>
      <c r="D62" s="3"/>
      <c r="E62" s="3"/>
      <c r="F62" s="3"/>
      <c r="G62" s="3"/>
      <c r="H62" s="2"/>
      <c r="I62" s="123" t="s">
        <v>239</v>
      </c>
      <c r="J62" s="132">
        <v>0.0034247707249106607</v>
      </c>
      <c r="K62" s="132">
        <v>0.003768096543984616</v>
      </c>
      <c r="L62" s="132">
        <v>0.0030178097069729452</v>
      </c>
      <c r="M62" s="132">
        <v>0.0029913938526385125</v>
      </c>
      <c r="N62" s="132">
        <v>0.00293189829298944</v>
      </c>
      <c r="O62" s="132">
        <v>0.0032195501089029273</v>
      </c>
    </row>
    <row x14ac:dyDescent="0.25" r="63" customHeight="1" ht="18.75">
      <c r="A63" s="2"/>
      <c r="B63" s="3"/>
      <c r="C63" s="3"/>
      <c r="D63" s="3"/>
      <c r="E63" s="3"/>
      <c r="F63" s="3"/>
      <c r="G63" s="3"/>
      <c r="H63" s="2"/>
      <c r="I63" s="123" t="s">
        <v>241</v>
      </c>
      <c r="J63" s="132">
        <v>0.04846558568402111</v>
      </c>
      <c r="K63" s="132">
        <v>0.041164688806535545</v>
      </c>
      <c r="L63" s="132">
        <v>0.04365606336725501</v>
      </c>
      <c r="M63" s="132">
        <v>0.061629235803279274</v>
      </c>
      <c r="N63" s="132">
        <v>0.06410822944082645</v>
      </c>
      <c r="O63" s="132">
        <v>0.052152223956578266</v>
      </c>
    </row>
    <row x14ac:dyDescent="0.25" r="64" customHeight="1" ht="18.75">
      <c r="A64" s="2"/>
      <c r="B64" s="3"/>
      <c r="C64" s="3"/>
      <c r="D64" s="3"/>
      <c r="E64" s="3"/>
      <c r="F64" s="3"/>
      <c r="G64" s="3"/>
      <c r="H64" s="2"/>
      <c r="I64" s="123" t="s">
        <v>243</v>
      </c>
      <c r="J64" s="132">
        <v>0.00038678174822263657</v>
      </c>
      <c r="K64" s="132">
        <v>0.0012751884841761623</v>
      </c>
      <c r="L64" s="132">
        <v>0.0012912548779746257</v>
      </c>
      <c r="M64" s="132">
        <v>0.0011683969729931348</v>
      </c>
      <c r="N64" s="132">
        <v>0.0009512290305117812</v>
      </c>
      <c r="O64" s="132">
        <v>0.0010101053137140223</v>
      </c>
    </row>
    <row x14ac:dyDescent="0.25" r="65" customHeight="1" ht="18.75">
      <c r="A65" s="2"/>
      <c r="B65" s="3"/>
      <c r="C65" s="3"/>
      <c r="D65" s="3"/>
      <c r="E65" s="3"/>
      <c r="F65" s="3"/>
      <c r="G65" s="3"/>
      <c r="H65" s="2"/>
      <c r="I65" s="123" t="s">
        <v>245</v>
      </c>
      <c r="J65" s="132">
        <v>0.002815115237811938</v>
      </c>
      <c r="K65" s="132">
        <v>0.003011748981480087</v>
      </c>
      <c r="L65" s="132">
        <v>0.003465122586877603</v>
      </c>
      <c r="M65" s="132">
        <v>0.003197235081098964</v>
      </c>
      <c r="N65" s="132">
        <v>0.0030571724501878865</v>
      </c>
      <c r="O65" s="132">
        <v>0.003107096700893301</v>
      </c>
    </row>
    <row x14ac:dyDescent="0.25" r="66" customHeight="1" ht="18.75">
      <c r="A66" s="2"/>
      <c r="B66" s="3"/>
      <c r="C66" s="3"/>
      <c r="D66" s="3"/>
      <c r="E66" s="3"/>
      <c r="F66" s="3"/>
      <c r="G66" s="3"/>
      <c r="H66" s="2"/>
      <c r="I66" s="123" t="s">
        <v>247</v>
      </c>
      <c r="J66" s="132">
        <v>0.06173075283353801</v>
      </c>
      <c r="K66" s="132">
        <v>0.06618041171914626</v>
      </c>
      <c r="L66" s="132">
        <v>0.0674883644997975</v>
      </c>
      <c r="M66" s="132">
        <v>0.06386038111875451</v>
      </c>
      <c r="N66" s="132">
        <v>0.06502118885732505</v>
      </c>
      <c r="O66" s="132">
        <v>0.06481241196421632</v>
      </c>
    </row>
    <row x14ac:dyDescent="0.25" r="67" customHeight="1" ht="18.75">
      <c r="A67" s="2"/>
      <c r="B67" s="3"/>
      <c r="C67" s="3"/>
      <c r="D67" s="3"/>
      <c r="E67" s="3"/>
      <c r="F67" s="3"/>
      <c r="G67" s="3"/>
      <c r="H67" s="2"/>
      <c r="I67" s="123" t="s">
        <v>249</v>
      </c>
      <c r="J67" s="132">
        <v>0.04718068578493803</v>
      </c>
      <c r="K67" s="132">
        <v>0.035826968477256936</v>
      </c>
      <c r="L67" s="132">
        <v>0.03641084999637925</v>
      </c>
      <c r="M67" s="132">
        <v>0.039777081389621737</v>
      </c>
      <c r="N67" s="132">
        <v>0.042129209858797506</v>
      </c>
      <c r="O67" s="132">
        <v>0.04035481567840649</v>
      </c>
    </row>
    <row x14ac:dyDescent="0.25" r="68" customHeight="1" ht="18.75">
      <c r="A68" s="2"/>
      <c r="B68" s="3"/>
      <c r="C68" s="3"/>
      <c r="D68" s="3"/>
      <c r="E68" s="3"/>
      <c r="F68" s="3"/>
      <c r="G68" s="3"/>
      <c r="H68" s="2"/>
      <c r="I68" s="123" t="s">
        <v>251</v>
      </c>
      <c r="J68" s="132">
        <v>0.0009716163284528743</v>
      </c>
      <c r="K68" s="132">
        <v>0.0013324547996229337</v>
      </c>
      <c r="L68" s="132">
        <v>0.0015163285735814503</v>
      </c>
      <c r="M68" s="132">
        <v>0.0010861844823489906</v>
      </c>
      <c r="N68" s="132">
        <v>0.0010526001601874394</v>
      </c>
      <c r="O68" s="132">
        <v>0.0011855507053836908</v>
      </c>
    </row>
    <row x14ac:dyDescent="0.25" r="69" customHeight="1" ht="18.75">
      <c r="A69" s="2"/>
      <c r="B69" s="3"/>
      <c r="C69" s="3"/>
      <c r="D69" s="3"/>
      <c r="E69" s="3"/>
      <c r="F69" s="3"/>
      <c r="G69" s="3"/>
      <c r="H69" s="2"/>
      <c r="I69" s="123" t="s">
        <v>253</v>
      </c>
      <c r="J69" s="132">
        <v>0.0023466045449523987</v>
      </c>
      <c r="K69" s="132">
        <v>0.0024548205575537613</v>
      </c>
      <c r="L69" s="132">
        <v>0.00244962516624915</v>
      </c>
      <c r="M69" s="132">
        <v>0.002255573461262417</v>
      </c>
      <c r="N69" s="132">
        <v>0.0022505381587064424</v>
      </c>
      <c r="O69" s="132">
        <v>0.0023480168305697684</v>
      </c>
    </row>
    <row x14ac:dyDescent="0.25" r="70" customHeight="1" ht="18.75">
      <c r="A70" s="2"/>
      <c r="B70" s="3"/>
      <c r="C70" s="3"/>
      <c r="D70" s="3"/>
      <c r="E70" s="3"/>
      <c r="F70" s="3"/>
      <c r="G70" s="3"/>
      <c r="H70" s="2"/>
      <c r="I70" s="123" t="s">
        <v>255</v>
      </c>
      <c r="J70" s="132">
        <v>0.004741564846291069</v>
      </c>
      <c r="K70" s="132">
        <v>0.004832790800274473</v>
      </c>
      <c r="L70" s="132">
        <v>0.007402731213618288</v>
      </c>
      <c r="M70" s="132">
        <v>0.003768506490446735</v>
      </c>
      <c r="N70" s="132">
        <v>0.006107657006664734</v>
      </c>
      <c r="O70" s="132">
        <v>0.005350290429324131</v>
      </c>
    </row>
    <row x14ac:dyDescent="0.25" r="71" customHeight="1" ht="18.75">
      <c r="A71" s="2"/>
      <c r="B71" s="3"/>
      <c r="C71" s="3"/>
      <c r="D71" s="3"/>
      <c r="E71" s="3"/>
      <c r="F71" s="3"/>
      <c r="G71" s="3"/>
      <c r="H71" s="2"/>
      <c r="I71" s="123" t="s">
        <v>257</v>
      </c>
      <c r="J71" s="132">
        <v>0.00024460810810289437</v>
      </c>
      <c r="K71" s="132">
        <v>0.00023987022696572198</v>
      </c>
      <c r="L71" s="132">
        <v>0.0002484246697237546</v>
      </c>
      <c r="M71" s="132">
        <v>0.00022809936129698823</v>
      </c>
      <c r="N71" s="132">
        <v>0.00022522101321342022</v>
      </c>
      <c r="O71" s="132">
        <v>0.00023695262884049047</v>
      </c>
    </row>
    <row x14ac:dyDescent="0.25" r="72" customHeight="1" ht="18.75">
      <c r="A72" s="2"/>
      <c r="B72" s="3"/>
      <c r="C72" s="3"/>
      <c r="D72" s="3"/>
      <c r="E72" s="3"/>
      <c r="F72" s="3"/>
      <c r="G72" s="3"/>
      <c r="H72" s="2"/>
      <c r="I72" s="123" t="s">
        <v>259</v>
      </c>
      <c r="J72" s="132">
        <v>0.0027411669401467623</v>
      </c>
      <c r="K72" s="132">
        <v>0.0035094526900210136</v>
      </c>
      <c r="L72" s="132">
        <v>0.0028464567495079594</v>
      </c>
      <c r="M72" s="132">
        <v>0.0037200222010924963</v>
      </c>
      <c r="N72" s="132">
        <v>0.00433474592382167</v>
      </c>
      <c r="O72" s="132">
        <v>0.003444276173175666</v>
      </c>
    </row>
    <row x14ac:dyDescent="0.25" r="73" customHeight="1" ht="18.75">
      <c r="A73" s="2"/>
      <c r="B73" s="3"/>
      <c r="C73" s="3"/>
      <c r="D73" s="3"/>
      <c r="E73" s="3"/>
      <c r="F73" s="3"/>
      <c r="G73" s="3"/>
      <c r="H73" s="2"/>
      <c r="I73" s="123" t="s">
        <v>261</v>
      </c>
      <c r="J73" s="132">
        <v>0.0000954897582893791</v>
      </c>
      <c r="K73" s="132">
        <v>0.00009893296241688702</v>
      </c>
      <c r="L73" s="132">
        <v>0.00009981529109520051</v>
      </c>
      <c r="M73" s="132">
        <v>0.0000915125461468754</v>
      </c>
      <c r="N73" s="132">
        <v>0.00009127736416733061</v>
      </c>
      <c r="O73" s="132">
        <v>0.00009526908125178331</v>
      </c>
    </row>
    <row x14ac:dyDescent="0.25" r="74" customHeight="1" ht="18.75">
      <c r="A74" s="2"/>
      <c r="B74" s="3"/>
      <c r="C74" s="3"/>
      <c r="D74" s="3"/>
      <c r="E74" s="3"/>
      <c r="F74" s="3"/>
      <c r="G74" s="3"/>
      <c r="H74" s="2"/>
      <c r="I74" s="123" t="s">
        <v>263</v>
      </c>
      <c r="J74" s="132">
        <v>0</v>
      </c>
      <c r="K74" s="132">
        <v>0</v>
      </c>
      <c r="L74" s="132">
        <v>0</v>
      </c>
      <c r="M74" s="132">
        <v>0</v>
      </c>
      <c r="N74" s="132">
        <v>0</v>
      </c>
      <c r="O74" s="132">
        <v>0</v>
      </c>
    </row>
    <row x14ac:dyDescent="0.25" r="75" customHeight="1" ht="18.75">
      <c r="A75" s="2"/>
      <c r="B75" s="3"/>
      <c r="C75" s="3"/>
      <c r="D75" s="3"/>
      <c r="E75" s="3"/>
      <c r="F75" s="3"/>
      <c r="G75" s="3"/>
      <c r="H75" s="2"/>
      <c r="I75" s="123" t="s">
        <v>269</v>
      </c>
      <c r="J75" s="132">
        <v>1</v>
      </c>
      <c r="K75" s="132">
        <v>1</v>
      </c>
      <c r="L75" s="132">
        <v>1</v>
      </c>
      <c r="M75" s="132">
        <v>1</v>
      </c>
      <c r="N75" s="132">
        <v>1</v>
      </c>
      <c r="O75" s="132">
        <v>1</v>
      </c>
    </row>
    <row x14ac:dyDescent="0.25" r="76" customHeight="1" ht="18.75">
      <c r="A76" s="2"/>
      <c r="B76" s="3"/>
      <c r="C76" s="3"/>
      <c r="D76" s="3"/>
      <c r="E76" s="3"/>
      <c r="F76" s="3"/>
      <c r="G76" s="3"/>
      <c r="H76" s="2"/>
      <c r="I76" s="2"/>
      <c r="J76" s="129"/>
      <c r="K76" s="129"/>
      <c r="L76" s="129"/>
      <c r="M76" s="129"/>
      <c r="N76" s="129"/>
      <c r="O76" s="129"/>
    </row>
    <row x14ac:dyDescent="0.25" r="77" customHeight="1" ht="18.75">
      <c r="A77" s="2"/>
      <c r="B77" s="3"/>
      <c r="C77" s="3"/>
      <c r="D77" s="3"/>
      <c r="E77" s="3"/>
      <c r="F77" s="63">
        <f>SUM(F36:F74)</f>
      </c>
      <c r="G77" s="3"/>
      <c r="H77" s="2"/>
      <c r="I77" s="2"/>
      <c r="J77" s="129"/>
      <c r="K77" s="129"/>
      <c r="L77" s="129"/>
      <c r="M77" s="129"/>
      <c r="N77" s="129"/>
      <c r="O77" s="129"/>
    </row>
    <row x14ac:dyDescent="0.25" r="78" customHeight="1" ht="18.75">
      <c r="A78" s="2"/>
      <c r="B78" s="3"/>
      <c r="C78" s="3"/>
      <c r="D78" s="3"/>
      <c r="E78" s="3"/>
      <c r="F78" s="124"/>
      <c r="G78" s="3"/>
      <c r="H78" s="2"/>
      <c r="I78" s="2"/>
      <c r="J78" s="129"/>
      <c r="K78" s="129"/>
      <c r="L78" s="129"/>
      <c r="M78" s="129"/>
      <c r="N78" s="129"/>
      <c r="O78" s="12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92"/>
  <sheetViews>
    <sheetView workbookViewId="0"/>
  </sheetViews>
  <sheetFormatPr defaultRowHeight="15" x14ac:dyDescent="0.25"/>
  <cols>
    <col min="1" max="1" style="100" width="1.719285714285714" customWidth="1" bestFit="1"/>
    <col min="2" max="2" style="100" width="2.7192857142857143" customWidth="1" bestFit="1"/>
    <col min="3" max="3" style="100" width="2.005" customWidth="1" bestFit="1"/>
    <col min="4" max="4" style="100" width="37.29071428571429" customWidth="1" bestFit="1"/>
    <col min="5" max="5" style="126" width="19.14785714285714" customWidth="1" bestFit="1"/>
    <col min="6" max="6" style="126" width="30.576428571428572" customWidth="1" bestFit="1"/>
    <col min="7" max="7" style="127" width="14.147857142857141" customWidth="1" bestFit="1"/>
    <col min="8" max="8" style="126" width="14.147857142857141" customWidth="1" bestFit="1"/>
    <col min="9" max="9" style="127" width="14.147857142857141" customWidth="1" bestFit="1"/>
    <col min="10" max="10" style="126" width="14.147857142857141" customWidth="1" bestFit="1"/>
    <col min="11" max="11" style="128" width="14.147857142857141" customWidth="1" bestFit="1"/>
    <col min="12" max="12" style="126" width="14.147857142857141" customWidth="1" bestFit="1"/>
    <col min="13" max="13" style="127" width="14.147857142857141" customWidth="1" bestFit="1"/>
    <col min="14" max="14" style="127" width="9.290714285714287" customWidth="1" bestFit="1"/>
    <col min="15" max="15" style="126" width="14.290714285714287" customWidth="1" bestFit="1"/>
    <col min="16" max="16" style="127" width="11.290714285714287" customWidth="1" bestFit="1"/>
    <col min="17" max="17" style="126" width="26.719285714285714" customWidth="1" bestFit="1"/>
    <col min="18" max="18" style="126" width="29.433571428571426" customWidth="1" bestFit="1"/>
    <col min="19" max="19" style="100" width="11.719285714285713" customWidth="1" bestFit="1"/>
    <col min="20" max="20" style="100" width="13.576428571428572" customWidth="1" bestFit="1"/>
  </cols>
  <sheetData>
    <row x14ac:dyDescent="0.25" r="1" customHeight="1" ht="13.5">
      <c r="A1" s="104"/>
      <c r="B1" s="104"/>
      <c r="C1" s="104"/>
      <c r="D1" s="105"/>
      <c r="E1" s="106"/>
      <c r="F1" s="107"/>
      <c r="G1" s="108"/>
      <c r="H1" s="107"/>
      <c r="I1" s="108"/>
      <c r="J1" s="107"/>
      <c r="K1" s="108"/>
      <c r="L1" s="107"/>
      <c r="M1" s="108"/>
      <c r="N1" s="108"/>
      <c r="O1" s="107"/>
      <c r="P1" s="108"/>
      <c r="Q1" s="107"/>
      <c r="R1" s="107"/>
      <c r="S1" s="2"/>
      <c r="T1" s="2"/>
    </row>
    <row x14ac:dyDescent="0.25" r="2" customHeight="1" ht="13.5">
      <c r="A2" s="104"/>
      <c r="B2" s="104"/>
      <c r="C2" s="104"/>
      <c r="D2" s="105"/>
      <c r="E2" s="109">
        <f>Title</f>
      </c>
      <c r="F2" s="107"/>
      <c r="G2" s="108"/>
      <c r="H2" s="107"/>
      <c r="I2" s="108"/>
      <c r="J2" s="107"/>
      <c r="K2" s="108"/>
      <c r="L2" s="107"/>
      <c r="M2" s="108"/>
      <c r="N2" s="108"/>
      <c r="O2" s="107"/>
      <c r="P2" s="108"/>
      <c r="Q2" s="107"/>
      <c r="R2" s="107"/>
      <c r="S2" s="2"/>
      <c r="T2" s="2"/>
    </row>
    <row x14ac:dyDescent="0.25" r="3" customHeight="1" ht="13.5">
      <c r="A3" s="104"/>
      <c r="B3" s="104"/>
      <c r="C3" s="104"/>
      <c r="D3" s="105"/>
      <c r="E3" s="110">
        <f>MID(CELL("filename",E3),FIND("]",CELL("filename",E3))+1,256)</f>
      </c>
      <c r="F3" s="107"/>
      <c r="G3" s="108"/>
      <c r="H3" s="107"/>
      <c r="I3" s="108"/>
      <c r="J3" s="107"/>
      <c r="K3" s="108"/>
      <c r="L3" s="107"/>
      <c r="M3" s="108"/>
      <c r="N3" s="108"/>
      <c r="O3" s="107"/>
      <c r="P3" s="108"/>
      <c r="Q3" s="107"/>
      <c r="R3" s="107"/>
      <c r="S3" s="2"/>
      <c r="T3" s="2"/>
    </row>
    <row x14ac:dyDescent="0.25" r="4" customHeight="1" ht="13.5">
      <c r="A4" s="104"/>
      <c r="B4" s="104"/>
      <c r="C4" s="104"/>
      <c r="D4" s="105"/>
      <c r="E4" s="111" t="s">
        <v>96</v>
      </c>
      <c r="F4" s="107"/>
      <c r="G4" s="108"/>
      <c r="H4" s="107"/>
      <c r="I4" s="108"/>
      <c r="J4" s="107"/>
      <c r="K4" s="108"/>
      <c r="L4" s="107"/>
      <c r="M4" s="108"/>
      <c r="N4" s="108"/>
      <c r="O4" s="107"/>
      <c r="P4" s="108"/>
      <c r="Q4" s="107"/>
      <c r="R4" s="107"/>
      <c r="S4" s="2"/>
      <c r="T4" s="2"/>
    </row>
    <row x14ac:dyDescent="0.25" r="5" customHeight="1" ht="13.5">
      <c r="A5" s="112"/>
      <c r="B5" s="112"/>
      <c r="C5" s="112"/>
      <c r="D5" s="113"/>
      <c r="E5" s="114"/>
      <c r="F5" s="107"/>
      <c r="G5" s="108"/>
      <c r="H5" s="107"/>
      <c r="I5" s="108"/>
      <c r="J5" s="107"/>
      <c r="K5" s="108"/>
      <c r="L5" s="107"/>
      <c r="M5" s="108"/>
      <c r="N5" s="108"/>
      <c r="O5" s="107"/>
      <c r="P5" s="108"/>
      <c r="Q5" s="107"/>
      <c r="R5" s="107"/>
      <c r="S5" s="2"/>
      <c r="T5" s="2"/>
    </row>
    <row x14ac:dyDescent="0.25" r="6" customHeight="1" ht="13.5">
      <c r="A6" s="2"/>
      <c r="B6" s="115"/>
      <c r="C6" s="115"/>
      <c r="D6" s="115"/>
      <c r="E6" s="115"/>
      <c r="F6" s="115"/>
      <c r="G6" s="115"/>
      <c r="H6" s="115"/>
      <c r="I6" s="115"/>
      <c r="J6" s="115"/>
      <c r="K6" s="115"/>
      <c r="L6" s="115"/>
      <c r="M6" s="115"/>
      <c r="N6" s="115"/>
      <c r="O6" s="107"/>
      <c r="P6" s="108"/>
      <c r="Q6" s="107"/>
      <c r="R6" s="107"/>
      <c r="S6" s="2"/>
      <c r="T6" s="2"/>
    </row>
    <row x14ac:dyDescent="0.25" r="7" customHeight="1" ht="13.5">
      <c r="A7" s="2"/>
      <c r="B7" s="116"/>
      <c r="C7" s="115"/>
      <c r="D7" s="117"/>
      <c r="E7" s="118" t="s">
        <v>97</v>
      </c>
      <c r="F7" s="107" t="s">
        <v>98</v>
      </c>
      <c r="G7" s="108" t="s">
        <v>99</v>
      </c>
      <c r="H7" s="107" t="s">
        <v>100</v>
      </c>
      <c r="I7" s="108" t="s">
        <v>101</v>
      </c>
      <c r="J7" s="107" t="s">
        <v>102</v>
      </c>
      <c r="K7" s="119" t="s">
        <v>103</v>
      </c>
      <c r="L7" s="107" t="s">
        <v>104</v>
      </c>
      <c r="M7" s="108" t="s">
        <v>105</v>
      </c>
      <c r="N7" s="108" t="s">
        <v>106</v>
      </c>
      <c r="O7" s="107" t="s">
        <v>107</v>
      </c>
      <c r="P7" s="120" t="s">
        <v>108</v>
      </c>
      <c r="Q7" s="107" t="s">
        <v>109</v>
      </c>
      <c r="R7" s="107" t="s">
        <v>110</v>
      </c>
      <c r="S7" s="2"/>
      <c r="T7" s="2"/>
    </row>
    <row x14ac:dyDescent="0.25" r="8" customHeight="1" ht="13.5">
      <c r="A8" s="2"/>
      <c r="B8" s="115"/>
      <c r="C8" s="115"/>
      <c r="D8" s="115"/>
      <c r="E8" s="107" t="s">
        <v>111</v>
      </c>
      <c r="F8" s="107" t="s">
        <v>112</v>
      </c>
      <c r="G8" s="63">
        <v>834</v>
      </c>
      <c r="H8" s="107" t="s">
        <v>113</v>
      </c>
      <c r="I8" s="63">
        <v>5312</v>
      </c>
      <c r="J8" s="107" t="s">
        <v>114</v>
      </c>
      <c r="K8" s="119" t="s">
        <v>115</v>
      </c>
      <c r="L8" s="107" t="s">
        <v>116</v>
      </c>
      <c r="M8" s="63">
        <v>2017</v>
      </c>
      <c r="N8" s="63">
        <v>2017</v>
      </c>
      <c r="O8" s="107" t="s">
        <v>117</v>
      </c>
      <c r="P8" s="8">
        <v>1422</v>
      </c>
      <c r="Q8" s="107" t="s">
        <v>118</v>
      </c>
      <c r="R8" s="107" t="s">
        <v>119</v>
      </c>
      <c r="S8" s="2"/>
      <c r="T8" s="2"/>
    </row>
    <row x14ac:dyDescent="0.25" r="9" customHeight="1" ht="13.5">
      <c r="A9" s="2"/>
      <c r="B9" s="115"/>
      <c r="C9" s="115"/>
      <c r="D9" s="121"/>
      <c r="E9" s="107" t="s">
        <v>111</v>
      </c>
      <c r="F9" s="107" t="s">
        <v>112</v>
      </c>
      <c r="G9" s="63">
        <v>834</v>
      </c>
      <c r="H9" s="107" t="s">
        <v>113</v>
      </c>
      <c r="I9" s="63">
        <v>5312</v>
      </c>
      <c r="J9" s="107" t="s">
        <v>114</v>
      </c>
      <c r="K9" s="119" t="s">
        <v>115</v>
      </c>
      <c r="L9" s="107" t="s">
        <v>116</v>
      </c>
      <c r="M9" s="63">
        <v>2018</v>
      </c>
      <c r="N9" s="63">
        <v>2018</v>
      </c>
      <c r="O9" s="107" t="s">
        <v>117</v>
      </c>
      <c r="P9" s="8">
        <v>1408</v>
      </c>
      <c r="Q9" s="107" t="s">
        <v>120</v>
      </c>
      <c r="R9" s="107" t="s">
        <v>121</v>
      </c>
      <c r="S9" s="2"/>
      <c r="T9" s="2"/>
    </row>
    <row x14ac:dyDescent="0.25" r="10" customHeight="1" ht="13.5">
      <c r="A10" s="2"/>
      <c r="B10" s="115"/>
      <c r="C10" s="115"/>
      <c r="D10" s="122"/>
      <c r="E10" s="107" t="s">
        <v>111</v>
      </c>
      <c r="F10" s="107" t="s">
        <v>112</v>
      </c>
      <c r="G10" s="63">
        <v>834</v>
      </c>
      <c r="H10" s="107" t="s">
        <v>113</v>
      </c>
      <c r="I10" s="63">
        <v>5312</v>
      </c>
      <c r="J10" s="107" t="s">
        <v>114</v>
      </c>
      <c r="K10" s="119" t="s">
        <v>115</v>
      </c>
      <c r="L10" s="107" t="s">
        <v>116</v>
      </c>
      <c r="M10" s="63">
        <v>2019</v>
      </c>
      <c r="N10" s="63">
        <v>2019</v>
      </c>
      <c r="O10" s="107" t="s">
        <v>117</v>
      </c>
      <c r="P10" s="8">
        <v>1359</v>
      </c>
      <c r="Q10" s="107" t="s">
        <v>120</v>
      </c>
      <c r="R10" s="107" t="s">
        <v>121</v>
      </c>
      <c r="S10" s="2"/>
      <c r="T10" s="2"/>
    </row>
    <row x14ac:dyDescent="0.25" r="11" customHeight="1" ht="13.5">
      <c r="A11" s="2"/>
      <c r="B11" s="115"/>
      <c r="C11" s="115"/>
      <c r="D11" s="115"/>
      <c r="E11" s="107" t="s">
        <v>111</v>
      </c>
      <c r="F11" s="107" t="s">
        <v>112</v>
      </c>
      <c r="G11" s="63">
        <v>834</v>
      </c>
      <c r="H11" s="107" t="s">
        <v>113</v>
      </c>
      <c r="I11" s="63">
        <v>5312</v>
      </c>
      <c r="J11" s="107" t="s">
        <v>114</v>
      </c>
      <c r="K11" s="119" t="s">
        <v>115</v>
      </c>
      <c r="L11" s="107" t="s">
        <v>116</v>
      </c>
      <c r="M11" s="63">
        <v>2020</v>
      </c>
      <c r="N11" s="63">
        <v>2020</v>
      </c>
      <c r="O11" s="107" t="s">
        <v>117</v>
      </c>
      <c r="P11" s="8">
        <v>1396</v>
      </c>
      <c r="Q11" s="107" t="s">
        <v>118</v>
      </c>
      <c r="R11" s="107" t="s">
        <v>119</v>
      </c>
      <c r="S11" s="2"/>
      <c r="T11" s="2"/>
    </row>
    <row x14ac:dyDescent="0.25" r="12" customHeight="1" ht="13.5">
      <c r="A12" s="2"/>
      <c r="B12" s="115"/>
      <c r="C12" s="115"/>
      <c r="D12" s="121"/>
      <c r="E12" s="107" t="s">
        <v>111</v>
      </c>
      <c r="F12" s="107" t="s">
        <v>112</v>
      </c>
      <c r="G12" s="63">
        <v>834</v>
      </c>
      <c r="H12" s="107" t="s">
        <v>113</v>
      </c>
      <c r="I12" s="63">
        <v>5312</v>
      </c>
      <c r="J12" s="107" t="s">
        <v>114</v>
      </c>
      <c r="K12" s="119" t="s">
        <v>115</v>
      </c>
      <c r="L12" s="107" t="s">
        <v>116</v>
      </c>
      <c r="M12" s="63">
        <v>2021</v>
      </c>
      <c r="N12" s="63">
        <v>2021</v>
      </c>
      <c r="O12" s="107" t="s">
        <v>117</v>
      </c>
      <c r="P12" s="8">
        <v>1388</v>
      </c>
      <c r="Q12" s="107" t="s">
        <v>118</v>
      </c>
      <c r="R12" s="107" t="s">
        <v>119</v>
      </c>
      <c r="S12" s="2"/>
      <c r="T12" s="2"/>
    </row>
    <row x14ac:dyDescent="0.25" r="13" customHeight="1" ht="13.5">
      <c r="A13" s="2"/>
      <c r="B13" s="115"/>
      <c r="C13" s="115"/>
      <c r="D13" s="115"/>
      <c r="E13" s="107" t="s">
        <v>111</v>
      </c>
      <c r="F13" s="107" t="s">
        <v>112</v>
      </c>
      <c r="G13" s="63">
        <v>834</v>
      </c>
      <c r="H13" s="107" t="s">
        <v>113</v>
      </c>
      <c r="I13" s="63">
        <v>5419</v>
      </c>
      <c r="J13" s="107" t="s">
        <v>122</v>
      </c>
      <c r="K13" s="119" t="s">
        <v>115</v>
      </c>
      <c r="L13" s="107" t="s">
        <v>116</v>
      </c>
      <c r="M13" s="63">
        <v>2017</v>
      </c>
      <c r="N13" s="63">
        <v>2017</v>
      </c>
      <c r="O13" s="107" t="s">
        <v>123</v>
      </c>
      <c r="P13" s="8">
        <v>9231</v>
      </c>
      <c r="Q13" s="107" t="s">
        <v>118</v>
      </c>
      <c r="R13" s="107" t="s">
        <v>119</v>
      </c>
      <c r="S13" s="2"/>
      <c r="T13" s="2"/>
    </row>
    <row x14ac:dyDescent="0.25" r="14" customHeight="1" ht="13.5">
      <c r="A14" s="2"/>
      <c r="B14" s="115"/>
      <c r="C14" s="115"/>
      <c r="D14" s="115"/>
      <c r="E14" s="107" t="s">
        <v>111</v>
      </c>
      <c r="F14" s="107" t="s">
        <v>112</v>
      </c>
      <c r="G14" s="63">
        <v>834</v>
      </c>
      <c r="H14" s="107" t="s">
        <v>113</v>
      </c>
      <c r="I14" s="63">
        <v>5419</v>
      </c>
      <c r="J14" s="107" t="s">
        <v>122</v>
      </c>
      <c r="K14" s="119" t="s">
        <v>115</v>
      </c>
      <c r="L14" s="107" t="s">
        <v>116</v>
      </c>
      <c r="M14" s="63">
        <v>2018</v>
      </c>
      <c r="N14" s="63">
        <v>2018</v>
      </c>
      <c r="O14" s="107" t="s">
        <v>123</v>
      </c>
      <c r="P14" s="8">
        <v>9417</v>
      </c>
      <c r="Q14" s="107" t="s">
        <v>118</v>
      </c>
      <c r="R14" s="107" t="s">
        <v>119</v>
      </c>
      <c r="S14" s="2"/>
      <c r="T14" s="2"/>
    </row>
    <row x14ac:dyDescent="0.25" r="15" customHeight="1" ht="13.5">
      <c r="A15" s="2"/>
      <c r="B15" s="115"/>
      <c r="C15" s="115"/>
      <c r="D15" s="115"/>
      <c r="E15" s="107" t="s">
        <v>111</v>
      </c>
      <c r="F15" s="107" t="s">
        <v>112</v>
      </c>
      <c r="G15" s="63">
        <v>834</v>
      </c>
      <c r="H15" s="107" t="s">
        <v>113</v>
      </c>
      <c r="I15" s="63">
        <v>5419</v>
      </c>
      <c r="J15" s="107" t="s">
        <v>122</v>
      </c>
      <c r="K15" s="119" t="s">
        <v>115</v>
      </c>
      <c r="L15" s="107" t="s">
        <v>116</v>
      </c>
      <c r="M15" s="63">
        <v>2019</v>
      </c>
      <c r="N15" s="63">
        <v>2019</v>
      </c>
      <c r="O15" s="107" t="s">
        <v>123</v>
      </c>
      <c r="P15" s="8">
        <v>9642</v>
      </c>
      <c r="Q15" s="107" t="s">
        <v>118</v>
      </c>
      <c r="R15" s="107" t="s">
        <v>119</v>
      </c>
      <c r="S15" s="2"/>
      <c r="T15" s="2"/>
    </row>
    <row x14ac:dyDescent="0.25" r="16" customHeight="1" ht="13.5">
      <c r="A16" s="2"/>
      <c r="B16" s="115"/>
      <c r="C16" s="115"/>
      <c r="D16" s="115"/>
      <c r="E16" s="107" t="s">
        <v>111</v>
      </c>
      <c r="F16" s="107" t="s">
        <v>112</v>
      </c>
      <c r="G16" s="63">
        <v>834</v>
      </c>
      <c r="H16" s="107" t="s">
        <v>113</v>
      </c>
      <c r="I16" s="63">
        <v>5419</v>
      </c>
      <c r="J16" s="107" t="s">
        <v>122</v>
      </c>
      <c r="K16" s="119" t="s">
        <v>115</v>
      </c>
      <c r="L16" s="107" t="s">
        <v>116</v>
      </c>
      <c r="M16" s="63">
        <v>2020</v>
      </c>
      <c r="N16" s="63">
        <v>2020</v>
      </c>
      <c r="O16" s="107" t="s">
        <v>123</v>
      </c>
      <c r="P16" s="8">
        <v>9427</v>
      </c>
      <c r="Q16" s="107" t="s">
        <v>118</v>
      </c>
      <c r="R16" s="107" t="s">
        <v>119</v>
      </c>
      <c r="S16" s="2"/>
      <c r="T16" s="2"/>
    </row>
    <row x14ac:dyDescent="0.25" r="17" customHeight="1" ht="13.5">
      <c r="A17" s="2"/>
      <c r="B17" s="115"/>
      <c r="C17" s="115"/>
      <c r="D17" s="115"/>
      <c r="E17" s="107" t="s">
        <v>111</v>
      </c>
      <c r="F17" s="107" t="s">
        <v>112</v>
      </c>
      <c r="G17" s="63">
        <v>834</v>
      </c>
      <c r="H17" s="107" t="s">
        <v>113</v>
      </c>
      <c r="I17" s="63">
        <v>5419</v>
      </c>
      <c r="J17" s="107" t="s">
        <v>122</v>
      </c>
      <c r="K17" s="119" t="s">
        <v>115</v>
      </c>
      <c r="L17" s="107" t="s">
        <v>116</v>
      </c>
      <c r="M17" s="63">
        <v>2021</v>
      </c>
      <c r="N17" s="63">
        <v>2021</v>
      </c>
      <c r="O17" s="107" t="s">
        <v>123</v>
      </c>
      <c r="P17" s="8">
        <v>9494</v>
      </c>
      <c r="Q17" s="107" t="s">
        <v>118</v>
      </c>
      <c r="R17" s="107" t="s">
        <v>119</v>
      </c>
      <c r="S17" s="2"/>
      <c r="T17" s="2"/>
    </row>
    <row x14ac:dyDescent="0.25" r="18" customHeight="1" ht="13.5">
      <c r="A18" s="2"/>
      <c r="B18" s="115"/>
      <c r="C18" s="115"/>
      <c r="D18" s="115"/>
      <c r="E18" s="107" t="s">
        <v>111</v>
      </c>
      <c r="F18" s="107" t="s">
        <v>112</v>
      </c>
      <c r="G18" s="63">
        <v>834</v>
      </c>
      <c r="H18" s="107" t="s">
        <v>113</v>
      </c>
      <c r="I18" s="63">
        <v>5312</v>
      </c>
      <c r="J18" s="107" t="s">
        <v>114</v>
      </c>
      <c r="K18" s="119" t="s">
        <v>124</v>
      </c>
      <c r="L18" s="107" t="s">
        <v>125</v>
      </c>
      <c r="M18" s="63">
        <v>2017</v>
      </c>
      <c r="N18" s="63">
        <v>2017</v>
      </c>
      <c r="O18" s="107" t="s">
        <v>117</v>
      </c>
      <c r="P18" s="8">
        <v>440797</v>
      </c>
      <c r="Q18" s="107" t="s">
        <v>126</v>
      </c>
      <c r="R18" s="107" t="s">
        <v>127</v>
      </c>
      <c r="S18" s="2"/>
      <c r="T18" s="2"/>
    </row>
    <row x14ac:dyDescent="0.25" r="19" customHeight="1" ht="13.5">
      <c r="A19" s="2"/>
      <c r="B19" s="115"/>
      <c r="C19" s="115"/>
      <c r="D19" s="115"/>
      <c r="E19" s="107" t="s">
        <v>111</v>
      </c>
      <c r="F19" s="107" t="s">
        <v>112</v>
      </c>
      <c r="G19" s="63">
        <v>834</v>
      </c>
      <c r="H19" s="107" t="s">
        <v>113</v>
      </c>
      <c r="I19" s="63">
        <v>5312</v>
      </c>
      <c r="J19" s="107" t="s">
        <v>114</v>
      </c>
      <c r="K19" s="119" t="s">
        <v>124</v>
      </c>
      <c r="L19" s="107" t="s">
        <v>125</v>
      </c>
      <c r="M19" s="63">
        <v>2018</v>
      </c>
      <c r="N19" s="63">
        <v>2018</v>
      </c>
      <c r="O19" s="107" t="s">
        <v>117</v>
      </c>
      <c r="P19" s="8">
        <v>281486</v>
      </c>
      <c r="Q19" s="107" t="s">
        <v>126</v>
      </c>
      <c r="R19" s="107" t="s">
        <v>127</v>
      </c>
      <c r="S19" s="2"/>
      <c r="T19" s="2"/>
    </row>
    <row x14ac:dyDescent="0.25" r="20" customHeight="1" ht="13.5">
      <c r="A20" s="2"/>
      <c r="B20" s="115"/>
      <c r="C20" s="115"/>
      <c r="D20" s="115"/>
      <c r="E20" s="107" t="s">
        <v>111</v>
      </c>
      <c r="F20" s="107" t="s">
        <v>112</v>
      </c>
      <c r="G20" s="63">
        <v>834</v>
      </c>
      <c r="H20" s="107" t="s">
        <v>113</v>
      </c>
      <c r="I20" s="63">
        <v>5312</v>
      </c>
      <c r="J20" s="107" t="s">
        <v>114</v>
      </c>
      <c r="K20" s="119" t="s">
        <v>124</v>
      </c>
      <c r="L20" s="107" t="s">
        <v>125</v>
      </c>
      <c r="M20" s="63">
        <v>2019</v>
      </c>
      <c r="N20" s="63">
        <v>2019</v>
      </c>
      <c r="O20" s="107" t="s">
        <v>117</v>
      </c>
      <c r="P20" s="8">
        <v>302758</v>
      </c>
      <c r="Q20" s="107" t="s">
        <v>126</v>
      </c>
      <c r="R20" s="107" t="s">
        <v>127</v>
      </c>
      <c r="S20" s="2"/>
      <c r="T20" s="2"/>
    </row>
    <row x14ac:dyDescent="0.25" r="21" customHeight="1" ht="13.5">
      <c r="A21" s="2"/>
      <c r="B21" s="115"/>
      <c r="C21" s="115"/>
      <c r="D21" s="115"/>
      <c r="E21" s="107" t="s">
        <v>111</v>
      </c>
      <c r="F21" s="107" t="s">
        <v>112</v>
      </c>
      <c r="G21" s="63">
        <v>834</v>
      </c>
      <c r="H21" s="107" t="s">
        <v>113</v>
      </c>
      <c r="I21" s="63">
        <v>5312</v>
      </c>
      <c r="J21" s="107" t="s">
        <v>114</v>
      </c>
      <c r="K21" s="119" t="s">
        <v>124</v>
      </c>
      <c r="L21" s="107" t="s">
        <v>125</v>
      </c>
      <c r="M21" s="63">
        <v>2020</v>
      </c>
      <c r="N21" s="63">
        <v>2020</v>
      </c>
      <c r="O21" s="107" t="s">
        <v>117</v>
      </c>
      <c r="P21" s="8">
        <v>331089</v>
      </c>
      <c r="Q21" s="107" t="s">
        <v>120</v>
      </c>
      <c r="R21" s="107" t="s">
        <v>121</v>
      </c>
      <c r="S21" s="2"/>
      <c r="T21" s="2"/>
    </row>
    <row x14ac:dyDescent="0.25" r="22" customHeight="1" ht="13.5">
      <c r="A22" s="2"/>
      <c r="B22" s="115"/>
      <c r="C22" s="115"/>
      <c r="D22" s="115"/>
      <c r="E22" s="107" t="s">
        <v>111</v>
      </c>
      <c r="F22" s="107" t="s">
        <v>112</v>
      </c>
      <c r="G22" s="63">
        <v>834</v>
      </c>
      <c r="H22" s="107" t="s">
        <v>113</v>
      </c>
      <c r="I22" s="63">
        <v>5312</v>
      </c>
      <c r="J22" s="107" t="s">
        <v>114</v>
      </c>
      <c r="K22" s="119" t="s">
        <v>124</v>
      </c>
      <c r="L22" s="107" t="s">
        <v>125</v>
      </c>
      <c r="M22" s="63">
        <v>2021</v>
      </c>
      <c r="N22" s="63">
        <v>2021</v>
      </c>
      <c r="O22" s="107" t="s">
        <v>117</v>
      </c>
      <c r="P22" s="8">
        <v>354062</v>
      </c>
      <c r="Q22" s="107" t="s">
        <v>120</v>
      </c>
      <c r="R22" s="107" t="s">
        <v>121</v>
      </c>
      <c r="S22" s="2"/>
      <c r="T22" s="2"/>
    </row>
    <row x14ac:dyDescent="0.25" r="23" customHeight="1" ht="13.5">
      <c r="A23" s="2"/>
      <c r="B23" s="115"/>
      <c r="C23" s="115"/>
      <c r="D23" s="115"/>
      <c r="E23" s="107" t="s">
        <v>111</v>
      </c>
      <c r="F23" s="107" t="s">
        <v>112</v>
      </c>
      <c r="G23" s="63">
        <v>834</v>
      </c>
      <c r="H23" s="107" t="s">
        <v>113</v>
      </c>
      <c r="I23" s="63">
        <v>5419</v>
      </c>
      <c r="J23" s="107" t="s">
        <v>122</v>
      </c>
      <c r="K23" s="119" t="s">
        <v>124</v>
      </c>
      <c r="L23" s="107" t="s">
        <v>125</v>
      </c>
      <c r="M23" s="63">
        <v>2017</v>
      </c>
      <c r="N23" s="63">
        <v>2017</v>
      </c>
      <c r="O23" s="107" t="s">
        <v>123</v>
      </c>
      <c r="P23" s="8">
        <v>57479</v>
      </c>
      <c r="Q23" s="107" t="s">
        <v>126</v>
      </c>
      <c r="R23" s="107" t="s">
        <v>127</v>
      </c>
      <c r="S23" s="2"/>
      <c r="T23" s="2"/>
    </row>
    <row x14ac:dyDescent="0.25" r="24" customHeight="1" ht="13.5">
      <c r="A24" s="2"/>
      <c r="B24" s="116"/>
      <c r="C24" s="115"/>
      <c r="D24" s="117"/>
      <c r="E24" s="107" t="s">
        <v>111</v>
      </c>
      <c r="F24" s="107" t="s">
        <v>112</v>
      </c>
      <c r="G24" s="63">
        <v>834</v>
      </c>
      <c r="H24" s="107" t="s">
        <v>113</v>
      </c>
      <c r="I24" s="63">
        <v>5419</v>
      </c>
      <c r="J24" s="107" t="s">
        <v>122</v>
      </c>
      <c r="K24" s="119" t="s">
        <v>124</v>
      </c>
      <c r="L24" s="107" t="s">
        <v>125</v>
      </c>
      <c r="M24" s="63">
        <v>2018</v>
      </c>
      <c r="N24" s="63">
        <v>2018</v>
      </c>
      <c r="O24" s="107" t="s">
        <v>123</v>
      </c>
      <c r="P24" s="8">
        <v>120628</v>
      </c>
      <c r="Q24" s="107" t="s">
        <v>126</v>
      </c>
      <c r="R24" s="107" t="s">
        <v>127</v>
      </c>
      <c r="S24" s="2"/>
      <c r="T24" s="2"/>
    </row>
    <row x14ac:dyDescent="0.25" r="25" customHeight="1" ht="13.5">
      <c r="A25" s="2"/>
      <c r="B25" s="115"/>
      <c r="C25" s="115"/>
      <c r="D25" s="115"/>
      <c r="E25" s="107" t="s">
        <v>111</v>
      </c>
      <c r="F25" s="107" t="s">
        <v>112</v>
      </c>
      <c r="G25" s="63">
        <v>834</v>
      </c>
      <c r="H25" s="107" t="s">
        <v>113</v>
      </c>
      <c r="I25" s="63">
        <v>5419</v>
      </c>
      <c r="J25" s="107" t="s">
        <v>122</v>
      </c>
      <c r="K25" s="119" t="s">
        <v>124</v>
      </c>
      <c r="L25" s="107" t="s">
        <v>125</v>
      </c>
      <c r="M25" s="63">
        <v>2019</v>
      </c>
      <c r="N25" s="63">
        <v>2019</v>
      </c>
      <c r="O25" s="107" t="s">
        <v>123</v>
      </c>
      <c r="P25" s="8">
        <v>112530</v>
      </c>
      <c r="Q25" s="107" t="s">
        <v>126</v>
      </c>
      <c r="R25" s="107" t="s">
        <v>127</v>
      </c>
      <c r="S25" s="2"/>
      <c r="T25" s="2"/>
    </row>
    <row x14ac:dyDescent="0.25" r="26" customHeight="1" ht="13.5">
      <c r="A26" s="2"/>
      <c r="B26" s="115"/>
      <c r="C26" s="115"/>
      <c r="D26" s="115"/>
      <c r="E26" s="107" t="s">
        <v>111</v>
      </c>
      <c r="F26" s="107" t="s">
        <v>112</v>
      </c>
      <c r="G26" s="63">
        <v>834</v>
      </c>
      <c r="H26" s="107" t="s">
        <v>113</v>
      </c>
      <c r="I26" s="63">
        <v>5419</v>
      </c>
      <c r="J26" s="107" t="s">
        <v>122</v>
      </c>
      <c r="K26" s="119" t="s">
        <v>124</v>
      </c>
      <c r="L26" s="107" t="s">
        <v>125</v>
      </c>
      <c r="M26" s="63">
        <v>2020</v>
      </c>
      <c r="N26" s="63">
        <v>2020</v>
      </c>
      <c r="O26" s="107" t="s">
        <v>123</v>
      </c>
      <c r="P26" s="8">
        <v>103920</v>
      </c>
      <c r="Q26" s="107" t="s">
        <v>118</v>
      </c>
      <c r="R26" s="107" t="s">
        <v>119</v>
      </c>
      <c r="S26" s="2"/>
      <c r="T26" s="2"/>
    </row>
    <row x14ac:dyDescent="0.25" r="27" customHeight="1" ht="13.5">
      <c r="A27" s="2"/>
      <c r="B27" s="115"/>
      <c r="C27" s="115"/>
      <c r="D27" s="115"/>
      <c r="E27" s="107" t="s">
        <v>111</v>
      </c>
      <c r="F27" s="107" t="s">
        <v>112</v>
      </c>
      <c r="G27" s="63">
        <v>834</v>
      </c>
      <c r="H27" s="107" t="s">
        <v>113</v>
      </c>
      <c r="I27" s="63">
        <v>5419</v>
      </c>
      <c r="J27" s="107" t="s">
        <v>122</v>
      </c>
      <c r="K27" s="119" t="s">
        <v>124</v>
      </c>
      <c r="L27" s="107" t="s">
        <v>125</v>
      </c>
      <c r="M27" s="63">
        <v>2021</v>
      </c>
      <c r="N27" s="63">
        <v>2021</v>
      </c>
      <c r="O27" s="107" t="s">
        <v>123</v>
      </c>
      <c r="P27" s="8">
        <v>101353</v>
      </c>
      <c r="Q27" s="107" t="s">
        <v>118</v>
      </c>
      <c r="R27" s="107" t="s">
        <v>119</v>
      </c>
      <c r="S27" s="2"/>
      <c r="T27" s="2"/>
    </row>
    <row x14ac:dyDescent="0.25" r="28" customHeight="1" ht="13.5">
      <c r="A28" s="2"/>
      <c r="B28" s="115"/>
      <c r="C28" s="115"/>
      <c r="D28" s="115"/>
      <c r="E28" s="107" t="s">
        <v>111</v>
      </c>
      <c r="F28" s="107" t="s">
        <v>112</v>
      </c>
      <c r="G28" s="63">
        <v>834</v>
      </c>
      <c r="H28" s="107" t="s">
        <v>113</v>
      </c>
      <c r="I28" s="63">
        <v>5312</v>
      </c>
      <c r="J28" s="107" t="s">
        <v>114</v>
      </c>
      <c r="K28" s="119" t="s">
        <v>128</v>
      </c>
      <c r="L28" s="107" t="s">
        <v>129</v>
      </c>
      <c r="M28" s="63">
        <v>2017</v>
      </c>
      <c r="N28" s="63">
        <v>2017</v>
      </c>
      <c r="O28" s="107" t="s">
        <v>117</v>
      </c>
      <c r="P28" s="8">
        <v>8575</v>
      </c>
      <c r="Q28" s="107" t="s">
        <v>126</v>
      </c>
      <c r="R28" s="107" t="s">
        <v>127</v>
      </c>
      <c r="S28" s="2"/>
      <c r="T28" s="2"/>
    </row>
    <row x14ac:dyDescent="0.25" r="29" customHeight="1" ht="13.5">
      <c r="A29" s="2"/>
      <c r="B29" s="115"/>
      <c r="C29" s="115"/>
      <c r="D29" s="115"/>
      <c r="E29" s="107" t="s">
        <v>111</v>
      </c>
      <c r="F29" s="107" t="s">
        <v>112</v>
      </c>
      <c r="G29" s="63">
        <v>834</v>
      </c>
      <c r="H29" s="107" t="s">
        <v>113</v>
      </c>
      <c r="I29" s="63">
        <v>5312</v>
      </c>
      <c r="J29" s="107" t="s">
        <v>114</v>
      </c>
      <c r="K29" s="119" t="s">
        <v>128</v>
      </c>
      <c r="L29" s="107" t="s">
        <v>129</v>
      </c>
      <c r="M29" s="63">
        <v>2018</v>
      </c>
      <c r="N29" s="63">
        <v>2018</v>
      </c>
      <c r="O29" s="107" t="s">
        <v>117</v>
      </c>
      <c r="P29" s="8">
        <v>11857</v>
      </c>
      <c r="Q29" s="107" t="s">
        <v>126</v>
      </c>
      <c r="R29" s="107" t="s">
        <v>127</v>
      </c>
      <c r="S29" s="2"/>
      <c r="T29" s="2"/>
    </row>
    <row x14ac:dyDescent="0.25" r="30" customHeight="1" ht="13.5">
      <c r="A30" s="2"/>
      <c r="B30" s="115"/>
      <c r="C30" s="115"/>
      <c r="D30" s="115"/>
      <c r="E30" s="107" t="s">
        <v>111</v>
      </c>
      <c r="F30" s="107" t="s">
        <v>112</v>
      </c>
      <c r="G30" s="63">
        <v>834</v>
      </c>
      <c r="H30" s="107" t="s">
        <v>113</v>
      </c>
      <c r="I30" s="63">
        <v>5312</v>
      </c>
      <c r="J30" s="107" t="s">
        <v>114</v>
      </c>
      <c r="K30" s="119" t="s">
        <v>128</v>
      </c>
      <c r="L30" s="107" t="s">
        <v>129</v>
      </c>
      <c r="M30" s="63">
        <v>2019</v>
      </c>
      <c r="N30" s="63">
        <v>2019</v>
      </c>
      <c r="O30" s="107" t="s">
        <v>117</v>
      </c>
      <c r="P30" s="8">
        <v>10401</v>
      </c>
      <c r="Q30" s="107" t="s">
        <v>126</v>
      </c>
      <c r="R30" s="107" t="s">
        <v>127</v>
      </c>
      <c r="S30" s="2"/>
      <c r="T30" s="2"/>
    </row>
    <row x14ac:dyDescent="0.25" r="31" customHeight="1" ht="13.5">
      <c r="A31" s="2"/>
      <c r="B31" s="115"/>
      <c r="C31" s="115"/>
      <c r="D31" s="115"/>
      <c r="E31" s="107" t="s">
        <v>111</v>
      </c>
      <c r="F31" s="107" t="s">
        <v>112</v>
      </c>
      <c r="G31" s="63">
        <v>834</v>
      </c>
      <c r="H31" s="107" t="s">
        <v>113</v>
      </c>
      <c r="I31" s="63">
        <v>5312</v>
      </c>
      <c r="J31" s="107" t="s">
        <v>114</v>
      </c>
      <c r="K31" s="119" t="s">
        <v>128</v>
      </c>
      <c r="L31" s="107" t="s">
        <v>129</v>
      </c>
      <c r="M31" s="63">
        <v>2020</v>
      </c>
      <c r="N31" s="63">
        <v>2020</v>
      </c>
      <c r="O31" s="107" t="s">
        <v>117</v>
      </c>
      <c r="P31" s="8">
        <v>10759</v>
      </c>
      <c r="Q31" s="107" t="s">
        <v>120</v>
      </c>
      <c r="R31" s="107" t="s">
        <v>121</v>
      </c>
      <c r="S31" s="2"/>
      <c r="T31" s="2"/>
    </row>
    <row x14ac:dyDescent="0.25" r="32" customHeight="1" ht="13.5">
      <c r="A32" s="2"/>
      <c r="B32" s="115"/>
      <c r="C32" s="115"/>
      <c r="D32" s="115"/>
      <c r="E32" s="107" t="s">
        <v>111</v>
      </c>
      <c r="F32" s="107" t="s">
        <v>112</v>
      </c>
      <c r="G32" s="63">
        <v>834</v>
      </c>
      <c r="H32" s="107" t="s">
        <v>113</v>
      </c>
      <c r="I32" s="63">
        <v>5312</v>
      </c>
      <c r="J32" s="107" t="s">
        <v>114</v>
      </c>
      <c r="K32" s="119" t="s">
        <v>128</v>
      </c>
      <c r="L32" s="107" t="s">
        <v>129</v>
      </c>
      <c r="M32" s="63">
        <v>2021</v>
      </c>
      <c r="N32" s="63">
        <v>2021</v>
      </c>
      <c r="O32" s="107" t="s">
        <v>117</v>
      </c>
      <c r="P32" s="8">
        <v>10871</v>
      </c>
      <c r="Q32" s="107" t="s">
        <v>120</v>
      </c>
      <c r="R32" s="107" t="s">
        <v>121</v>
      </c>
      <c r="S32" s="2"/>
      <c r="T32" s="2"/>
    </row>
    <row x14ac:dyDescent="0.25" r="33" customHeight="1" ht="13.5">
      <c r="A33" s="2"/>
      <c r="B33" s="115"/>
      <c r="C33" s="115"/>
      <c r="D33" s="115"/>
      <c r="E33" s="107" t="s">
        <v>111</v>
      </c>
      <c r="F33" s="107" t="s">
        <v>112</v>
      </c>
      <c r="G33" s="63">
        <v>834</v>
      </c>
      <c r="H33" s="107" t="s">
        <v>113</v>
      </c>
      <c r="I33" s="63">
        <v>5419</v>
      </c>
      <c r="J33" s="107" t="s">
        <v>122</v>
      </c>
      <c r="K33" s="119" t="s">
        <v>128</v>
      </c>
      <c r="L33" s="107" t="s">
        <v>129</v>
      </c>
      <c r="M33" s="63">
        <v>2017</v>
      </c>
      <c r="N33" s="63">
        <v>2017</v>
      </c>
      <c r="O33" s="107" t="s">
        <v>123</v>
      </c>
      <c r="P33" s="8">
        <v>20122</v>
      </c>
      <c r="Q33" s="107" t="s">
        <v>126</v>
      </c>
      <c r="R33" s="107" t="s">
        <v>127</v>
      </c>
      <c r="S33" s="2"/>
      <c r="T33" s="2"/>
    </row>
    <row x14ac:dyDescent="0.25" r="34" customHeight="1" ht="13.5">
      <c r="A34" s="2"/>
      <c r="B34" s="2"/>
      <c r="C34" s="2"/>
      <c r="D34" s="2"/>
      <c r="E34" s="107" t="s">
        <v>111</v>
      </c>
      <c r="F34" s="107" t="s">
        <v>112</v>
      </c>
      <c r="G34" s="63">
        <v>834</v>
      </c>
      <c r="H34" s="107" t="s">
        <v>113</v>
      </c>
      <c r="I34" s="63">
        <v>5419</v>
      </c>
      <c r="J34" s="107" t="s">
        <v>122</v>
      </c>
      <c r="K34" s="119" t="s">
        <v>128</v>
      </c>
      <c r="L34" s="107" t="s">
        <v>129</v>
      </c>
      <c r="M34" s="63">
        <v>2018</v>
      </c>
      <c r="N34" s="63">
        <v>2018</v>
      </c>
      <c r="O34" s="107" t="s">
        <v>123</v>
      </c>
      <c r="P34" s="8">
        <v>16447</v>
      </c>
      <c r="Q34" s="107" t="s">
        <v>126</v>
      </c>
      <c r="R34" s="107" t="s">
        <v>127</v>
      </c>
      <c r="S34" s="2"/>
      <c r="T34" s="2"/>
    </row>
    <row x14ac:dyDescent="0.25" r="35" customHeight="1" ht="13.5">
      <c r="A35" s="2"/>
      <c r="B35" s="2"/>
      <c r="C35" s="2"/>
      <c r="D35" s="2"/>
      <c r="E35" s="107" t="s">
        <v>111</v>
      </c>
      <c r="F35" s="107" t="s">
        <v>112</v>
      </c>
      <c r="G35" s="63">
        <v>834</v>
      </c>
      <c r="H35" s="107" t="s">
        <v>113</v>
      </c>
      <c r="I35" s="63">
        <v>5419</v>
      </c>
      <c r="J35" s="107" t="s">
        <v>122</v>
      </c>
      <c r="K35" s="119" t="s">
        <v>128</v>
      </c>
      <c r="L35" s="107" t="s">
        <v>129</v>
      </c>
      <c r="M35" s="63">
        <v>2019</v>
      </c>
      <c r="N35" s="63">
        <v>2019</v>
      </c>
      <c r="O35" s="107" t="s">
        <v>123</v>
      </c>
      <c r="P35" s="8">
        <v>19247</v>
      </c>
      <c r="Q35" s="107" t="s">
        <v>126</v>
      </c>
      <c r="R35" s="107" t="s">
        <v>127</v>
      </c>
      <c r="S35" s="2"/>
      <c r="T35" s="2"/>
    </row>
    <row x14ac:dyDescent="0.25" r="36" customHeight="1" ht="13.5">
      <c r="A36" s="2"/>
      <c r="B36" s="2"/>
      <c r="C36" s="2"/>
      <c r="D36" s="2"/>
      <c r="E36" s="107" t="s">
        <v>111</v>
      </c>
      <c r="F36" s="107" t="s">
        <v>112</v>
      </c>
      <c r="G36" s="63">
        <v>834</v>
      </c>
      <c r="H36" s="107" t="s">
        <v>113</v>
      </c>
      <c r="I36" s="63">
        <v>5419</v>
      </c>
      <c r="J36" s="107" t="s">
        <v>122</v>
      </c>
      <c r="K36" s="119" t="s">
        <v>128</v>
      </c>
      <c r="L36" s="107" t="s">
        <v>129</v>
      </c>
      <c r="M36" s="63">
        <v>2020</v>
      </c>
      <c r="N36" s="63">
        <v>2020</v>
      </c>
      <c r="O36" s="107" t="s">
        <v>123</v>
      </c>
      <c r="P36" s="8">
        <v>19057</v>
      </c>
      <c r="Q36" s="107" t="s">
        <v>118</v>
      </c>
      <c r="R36" s="107" t="s">
        <v>119</v>
      </c>
      <c r="S36" s="2"/>
      <c r="T36" s="2"/>
    </row>
    <row x14ac:dyDescent="0.25" r="37" customHeight="1" ht="13.5">
      <c r="A37" s="2"/>
      <c r="B37" s="2"/>
      <c r="C37" s="2"/>
      <c r="D37" s="2"/>
      <c r="E37" s="107" t="s">
        <v>111</v>
      </c>
      <c r="F37" s="107" t="s">
        <v>112</v>
      </c>
      <c r="G37" s="63">
        <v>834</v>
      </c>
      <c r="H37" s="107" t="s">
        <v>113</v>
      </c>
      <c r="I37" s="63">
        <v>5419</v>
      </c>
      <c r="J37" s="107" t="s">
        <v>122</v>
      </c>
      <c r="K37" s="119" t="s">
        <v>128</v>
      </c>
      <c r="L37" s="107" t="s">
        <v>129</v>
      </c>
      <c r="M37" s="63">
        <v>2021</v>
      </c>
      <c r="N37" s="63">
        <v>2021</v>
      </c>
      <c r="O37" s="107" t="s">
        <v>123</v>
      </c>
      <c r="P37" s="8">
        <v>18901</v>
      </c>
      <c r="Q37" s="107" t="s">
        <v>118</v>
      </c>
      <c r="R37" s="107" t="s">
        <v>119</v>
      </c>
      <c r="S37" s="2"/>
      <c r="T37" s="2"/>
    </row>
    <row x14ac:dyDescent="0.25" r="38" customHeight="1" ht="13.5">
      <c r="A38" s="2"/>
      <c r="B38" s="2"/>
      <c r="C38" s="2"/>
      <c r="D38" s="2"/>
      <c r="E38" s="107" t="s">
        <v>111</v>
      </c>
      <c r="F38" s="107" t="s">
        <v>112</v>
      </c>
      <c r="G38" s="63">
        <v>834</v>
      </c>
      <c r="H38" s="107" t="s">
        <v>113</v>
      </c>
      <c r="I38" s="63">
        <v>5312</v>
      </c>
      <c r="J38" s="107" t="s">
        <v>114</v>
      </c>
      <c r="K38" s="119" t="s">
        <v>130</v>
      </c>
      <c r="L38" s="107" t="s">
        <v>131</v>
      </c>
      <c r="M38" s="63">
        <v>2017</v>
      </c>
      <c r="N38" s="63">
        <v>2017</v>
      </c>
      <c r="O38" s="107" t="s">
        <v>117</v>
      </c>
      <c r="P38" s="8">
        <v>1119826</v>
      </c>
      <c r="Q38" s="107" t="s">
        <v>126</v>
      </c>
      <c r="R38" s="107" t="s">
        <v>127</v>
      </c>
      <c r="S38" s="2"/>
      <c r="T38" s="2"/>
    </row>
    <row x14ac:dyDescent="0.25" r="39" customHeight="1" ht="13.5">
      <c r="A39" s="2"/>
      <c r="B39" s="2"/>
      <c r="C39" s="2"/>
      <c r="D39" s="2"/>
      <c r="E39" s="107" t="s">
        <v>111</v>
      </c>
      <c r="F39" s="107" t="s">
        <v>112</v>
      </c>
      <c r="G39" s="63">
        <v>834</v>
      </c>
      <c r="H39" s="107" t="s">
        <v>113</v>
      </c>
      <c r="I39" s="63">
        <v>5312</v>
      </c>
      <c r="J39" s="107" t="s">
        <v>114</v>
      </c>
      <c r="K39" s="119" t="s">
        <v>130</v>
      </c>
      <c r="L39" s="107" t="s">
        <v>131</v>
      </c>
      <c r="M39" s="63">
        <v>2018</v>
      </c>
      <c r="N39" s="63">
        <v>2018</v>
      </c>
      <c r="O39" s="107" t="s">
        <v>117</v>
      </c>
      <c r="P39" s="8">
        <v>896646</v>
      </c>
      <c r="Q39" s="107" t="s">
        <v>126</v>
      </c>
      <c r="R39" s="107" t="s">
        <v>127</v>
      </c>
      <c r="S39" s="2"/>
      <c r="T39" s="2"/>
    </row>
    <row x14ac:dyDescent="0.25" r="40" customHeight="1" ht="13.5">
      <c r="A40" s="2"/>
      <c r="B40" s="2"/>
      <c r="C40" s="2"/>
      <c r="D40" s="2"/>
      <c r="E40" s="107" t="s">
        <v>111</v>
      </c>
      <c r="F40" s="107" t="s">
        <v>112</v>
      </c>
      <c r="G40" s="63">
        <v>834</v>
      </c>
      <c r="H40" s="107" t="s">
        <v>113</v>
      </c>
      <c r="I40" s="63">
        <v>5312</v>
      </c>
      <c r="J40" s="107" t="s">
        <v>114</v>
      </c>
      <c r="K40" s="119" t="s">
        <v>130</v>
      </c>
      <c r="L40" s="107" t="s">
        <v>131</v>
      </c>
      <c r="M40" s="63">
        <v>2019</v>
      </c>
      <c r="N40" s="63">
        <v>2019</v>
      </c>
      <c r="O40" s="107" t="s">
        <v>117</v>
      </c>
      <c r="P40" s="8">
        <v>893570</v>
      </c>
      <c r="Q40" s="107" t="s">
        <v>126</v>
      </c>
      <c r="R40" s="107" t="s">
        <v>127</v>
      </c>
      <c r="S40" s="2"/>
      <c r="T40" s="2"/>
    </row>
    <row x14ac:dyDescent="0.25" r="41" customHeight="1" ht="13.5">
      <c r="A41" s="2"/>
      <c r="B41" s="2"/>
      <c r="C41" s="2"/>
      <c r="D41" s="2"/>
      <c r="E41" s="107" t="s">
        <v>111</v>
      </c>
      <c r="F41" s="107" t="s">
        <v>112</v>
      </c>
      <c r="G41" s="63">
        <v>834</v>
      </c>
      <c r="H41" s="107" t="s">
        <v>113</v>
      </c>
      <c r="I41" s="63">
        <v>5312</v>
      </c>
      <c r="J41" s="107" t="s">
        <v>114</v>
      </c>
      <c r="K41" s="119" t="s">
        <v>130</v>
      </c>
      <c r="L41" s="107" t="s">
        <v>131</v>
      </c>
      <c r="M41" s="63">
        <v>2020</v>
      </c>
      <c r="N41" s="63">
        <v>2020</v>
      </c>
      <c r="O41" s="107" t="s">
        <v>117</v>
      </c>
      <c r="P41" s="8">
        <v>963174</v>
      </c>
      <c r="Q41" s="107" t="s">
        <v>120</v>
      </c>
      <c r="R41" s="107" t="s">
        <v>121</v>
      </c>
      <c r="S41" s="2"/>
      <c r="T41" s="2"/>
    </row>
    <row x14ac:dyDescent="0.25" r="42" customHeight="1" ht="13.5">
      <c r="A42" s="2"/>
      <c r="B42" s="2"/>
      <c r="C42" s="2"/>
      <c r="D42" s="2"/>
      <c r="E42" s="107" t="s">
        <v>111</v>
      </c>
      <c r="F42" s="107" t="s">
        <v>112</v>
      </c>
      <c r="G42" s="63">
        <v>834</v>
      </c>
      <c r="H42" s="107" t="s">
        <v>113</v>
      </c>
      <c r="I42" s="63">
        <v>5312</v>
      </c>
      <c r="J42" s="107" t="s">
        <v>114</v>
      </c>
      <c r="K42" s="119" t="s">
        <v>130</v>
      </c>
      <c r="L42" s="107" t="s">
        <v>131</v>
      </c>
      <c r="M42" s="63">
        <v>2021</v>
      </c>
      <c r="N42" s="63">
        <v>2021</v>
      </c>
      <c r="O42" s="107" t="s">
        <v>117</v>
      </c>
      <c r="P42" s="8">
        <v>1019495</v>
      </c>
      <c r="Q42" s="107" t="s">
        <v>120</v>
      </c>
      <c r="R42" s="107" t="s">
        <v>121</v>
      </c>
      <c r="S42" s="2"/>
      <c r="T42" s="2"/>
    </row>
    <row x14ac:dyDescent="0.25" r="43" customHeight="1" ht="13.5">
      <c r="A43" s="2"/>
      <c r="B43" s="2"/>
      <c r="C43" s="2"/>
      <c r="D43" s="2"/>
      <c r="E43" s="107" t="s">
        <v>111</v>
      </c>
      <c r="F43" s="107" t="s">
        <v>112</v>
      </c>
      <c r="G43" s="63">
        <v>834</v>
      </c>
      <c r="H43" s="107" t="s">
        <v>113</v>
      </c>
      <c r="I43" s="63">
        <v>5419</v>
      </c>
      <c r="J43" s="107" t="s">
        <v>122</v>
      </c>
      <c r="K43" s="119" t="s">
        <v>130</v>
      </c>
      <c r="L43" s="107" t="s">
        <v>131</v>
      </c>
      <c r="M43" s="63">
        <v>2017</v>
      </c>
      <c r="N43" s="63">
        <v>2017</v>
      </c>
      <c r="O43" s="107" t="s">
        <v>123</v>
      </c>
      <c r="P43" s="8">
        <v>12756</v>
      </c>
      <c r="Q43" s="107" t="s">
        <v>126</v>
      </c>
      <c r="R43" s="107" t="s">
        <v>127</v>
      </c>
      <c r="S43" s="2"/>
      <c r="T43" s="2"/>
    </row>
    <row x14ac:dyDescent="0.25" r="44" customHeight="1" ht="13.5">
      <c r="A44" s="2"/>
      <c r="B44" s="2"/>
      <c r="C44" s="2"/>
      <c r="D44" s="2"/>
      <c r="E44" s="107" t="s">
        <v>111</v>
      </c>
      <c r="F44" s="107" t="s">
        <v>112</v>
      </c>
      <c r="G44" s="63">
        <v>834</v>
      </c>
      <c r="H44" s="107" t="s">
        <v>113</v>
      </c>
      <c r="I44" s="63">
        <v>5419</v>
      </c>
      <c r="J44" s="107" t="s">
        <v>122</v>
      </c>
      <c r="K44" s="119" t="s">
        <v>130</v>
      </c>
      <c r="L44" s="107" t="s">
        <v>131</v>
      </c>
      <c r="M44" s="63">
        <v>2018</v>
      </c>
      <c r="N44" s="63">
        <v>2018</v>
      </c>
      <c r="O44" s="107" t="s">
        <v>123</v>
      </c>
      <c r="P44" s="8">
        <v>12234</v>
      </c>
      <c r="Q44" s="107" t="s">
        <v>126</v>
      </c>
      <c r="R44" s="107" t="s">
        <v>127</v>
      </c>
      <c r="S44" s="2"/>
      <c r="T44" s="2"/>
    </row>
    <row x14ac:dyDescent="0.25" r="45" customHeight="1" ht="13.5">
      <c r="A45" s="2"/>
      <c r="B45" s="2"/>
      <c r="C45" s="2"/>
      <c r="D45" s="2"/>
      <c r="E45" s="107" t="s">
        <v>111</v>
      </c>
      <c r="F45" s="107" t="s">
        <v>112</v>
      </c>
      <c r="G45" s="63">
        <v>834</v>
      </c>
      <c r="H45" s="107" t="s">
        <v>113</v>
      </c>
      <c r="I45" s="63">
        <v>5419</v>
      </c>
      <c r="J45" s="107" t="s">
        <v>122</v>
      </c>
      <c r="K45" s="119" t="s">
        <v>130</v>
      </c>
      <c r="L45" s="107" t="s">
        <v>131</v>
      </c>
      <c r="M45" s="63">
        <v>2019</v>
      </c>
      <c r="N45" s="63">
        <v>2019</v>
      </c>
      <c r="O45" s="107" t="s">
        <v>123</v>
      </c>
      <c r="P45" s="8">
        <v>13401</v>
      </c>
      <c r="Q45" s="107" t="s">
        <v>126</v>
      </c>
      <c r="R45" s="107" t="s">
        <v>127</v>
      </c>
      <c r="S45" s="2"/>
      <c r="T45" s="2"/>
    </row>
    <row x14ac:dyDescent="0.25" r="46" customHeight="1" ht="13.5">
      <c r="A46" s="2"/>
      <c r="B46" s="2"/>
      <c r="C46" s="2"/>
      <c r="D46" s="2"/>
      <c r="E46" s="107" t="s">
        <v>111</v>
      </c>
      <c r="F46" s="107" t="s">
        <v>112</v>
      </c>
      <c r="G46" s="63">
        <v>834</v>
      </c>
      <c r="H46" s="107" t="s">
        <v>113</v>
      </c>
      <c r="I46" s="63">
        <v>5419</v>
      </c>
      <c r="J46" s="107" t="s">
        <v>122</v>
      </c>
      <c r="K46" s="119" t="s">
        <v>130</v>
      </c>
      <c r="L46" s="107" t="s">
        <v>131</v>
      </c>
      <c r="M46" s="63">
        <v>2020</v>
      </c>
      <c r="N46" s="63">
        <v>2020</v>
      </c>
      <c r="O46" s="107" t="s">
        <v>123</v>
      </c>
      <c r="P46" s="8">
        <v>13260</v>
      </c>
      <c r="Q46" s="107" t="s">
        <v>118</v>
      </c>
      <c r="R46" s="107" t="s">
        <v>119</v>
      </c>
      <c r="S46" s="2"/>
      <c r="T46" s="2"/>
    </row>
    <row x14ac:dyDescent="0.25" r="47" customHeight="1" ht="13.5">
      <c r="A47" s="2"/>
      <c r="B47" s="2"/>
      <c r="C47" s="2"/>
      <c r="D47" s="2"/>
      <c r="E47" s="107" t="s">
        <v>111</v>
      </c>
      <c r="F47" s="107" t="s">
        <v>112</v>
      </c>
      <c r="G47" s="63">
        <v>834</v>
      </c>
      <c r="H47" s="107" t="s">
        <v>113</v>
      </c>
      <c r="I47" s="63">
        <v>5419</v>
      </c>
      <c r="J47" s="107" t="s">
        <v>122</v>
      </c>
      <c r="K47" s="119" t="s">
        <v>130</v>
      </c>
      <c r="L47" s="107" t="s">
        <v>131</v>
      </c>
      <c r="M47" s="63">
        <v>2021</v>
      </c>
      <c r="N47" s="63">
        <v>2021</v>
      </c>
      <c r="O47" s="107" t="s">
        <v>123</v>
      </c>
      <c r="P47" s="8">
        <v>13004</v>
      </c>
      <c r="Q47" s="107" t="s">
        <v>118</v>
      </c>
      <c r="R47" s="107" t="s">
        <v>119</v>
      </c>
      <c r="S47" s="2"/>
      <c r="T47" s="2"/>
    </row>
    <row x14ac:dyDescent="0.25" r="48" customHeight="1" ht="13.5">
      <c r="A48" s="2"/>
      <c r="B48" s="2"/>
      <c r="C48" s="2"/>
      <c r="D48" s="2"/>
      <c r="E48" s="107" t="s">
        <v>111</v>
      </c>
      <c r="F48" s="107" t="s">
        <v>112</v>
      </c>
      <c r="G48" s="63">
        <v>834</v>
      </c>
      <c r="H48" s="107" t="s">
        <v>113</v>
      </c>
      <c r="I48" s="63">
        <v>5312</v>
      </c>
      <c r="J48" s="107" t="s">
        <v>114</v>
      </c>
      <c r="K48" s="119" t="s">
        <v>132</v>
      </c>
      <c r="L48" s="107" t="s">
        <v>133</v>
      </c>
      <c r="M48" s="63">
        <v>2017</v>
      </c>
      <c r="N48" s="63">
        <v>2017</v>
      </c>
      <c r="O48" s="107" t="s">
        <v>117</v>
      </c>
      <c r="P48" s="8">
        <v>1651</v>
      </c>
      <c r="Q48" s="107" t="s">
        <v>120</v>
      </c>
      <c r="R48" s="107" t="s">
        <v>121</v>
      </c>
      <c r="S48" s="2"/>
      <c r="T48" s="2"/>
    </row>
    <row x14ac:dyDescent="0.25" r="49" customHeight="1" ht="13.5">
      <c r="A49" s="2"/>
      <c r="B49" s="2"/>
      <c r="C49" s="2"/>
      <c r="D49" s="2"/>
      <c r="E49" s="107" t="s">
        <v>111</v>
      </c>
      <c r="F49" s="107" t="s">
        <v>112</v>
      </c>
      <c r="G49" s="63">
        <v>834</v>
      </c>
      <c r="H49" s="107" t="s">
        <v>113</v>
      </c>
      <c r="I49" s="63">
        <v>5312</v>
      </c>
      <c r="J49" s="107" t="s">
        <v>114</v>
      </c>
      <c r="K49" s="119" t="s">
        <v>132</v>
      </c>
      <c r="L49" s="107" t="s">
        <v>133</v>
      </c>
      <c r="M49" s="63">
        <v>2018</v>
      </c>
      <c r="N49" s="63">
        <v>2018</v>
      </c>
      <c r="O49" s="107" t="s">
        <v>117</v>
      </c>
      <c r="P49" s="8">
        <v>1703</v>
      </c>
      <c r="Q49" s="107" t="s">
        <v>118</v>
      </c>
      <c r="R49" s="107" t="s">
        <v>119</v>
      </c>
      <c r="S49" s="2"/>
      <c r="T49" s="2"/>
    </row>
    <row x14ac:dyDescent="0.25" r="50" customHeight="1" ht="13.5">
      <c r="A50" s="2"/>
      <c r="B50" s="2"/>
      <c r="C50" s="2"/>
      <c r="D50" s="2"/>
      <c r="E50" s="107" t="s">
        <v>111</v>
      </c>
      <c r="F50" s="107" t="s">
        <v>112</v>
      </c>
      <c r="G50" s="63">
        <v>834</v>
      </c>
      <c r="H50" s="107" t="s">
        <v>113</v>
      </c>
      <c r="I50" s="63">
        <v>5312</v>
      </c>
      <c r="J50" s="107" t="s">
        <v>114</v>
      </c>
      <c r="K50" s="119" t="s">
        <v>132</v>
      </c>
      <c r="L50" s="107" t="s">
        <v>133</v>
      </c>
      <c r="M50" s="63">
        <v>2019</v>
      </c>
      <c r="N50" s="63">
        <v>2019</v>
      </c>
      <c r="O50" s="107" t="s">
        <v>117</v>
      </c>
      <c r="P50" s="8">
        <v>1660</v>
      </c>
      <c r="Q50" s="107" t="s">
        <v>118</v>
      </c>
      <c r="R50" s="107" t="s">
        <v>119</v>
      </c>
      <c r="S50" s="2"/>
      <c r="T50" s="2"/>
    </row>
    <row x14ac:dyDescent="0.25" r="51" customHeight="1" ht="13.5">
      <c r="A51" s="2"/>
      <c r="B51" s="2"/>
      <c r="C51" s="2"/>
      <c r="D51" s="2"/>
      <c r="E51" s="107" t="s">
        <v>111</v>
      </c>
      <c r="F51" s="107" t="s">
        <v>112</v>
      </c>
      <c r="G51" s="63">
        <v>834</v>
      </c>
      <c r="H51" s="107" t="s">
        <v>113</v>
      </c>
      <c r="I51" s="63">
        <v>5312</v>
      </c>
      <c r="J51" s="107" t="s">
        <v>114</v>
      </c>
      <c r="K51" s="119" t="s">
        <v>132</v>
      </c>
      <c r="L51" s="107" t="s">
        <v>133</v>
      </c>
      <c r="M51" s="63">
        <v>2020</v>
      </c>
      <c r="N51" s="63">
        <v>2020</v>
      </c>
      <c r="O51" s="107" t="s">
        <v>117</v>
      </c>
      <c r="P51" s="8">
        <v>1671</v>
      </c>
      <c r="Q51" s="107" t="s">
        <v>118</v>
      </c>
      <c r="R51" s="107" t="s">
        <v>119</v>
      </c>
      <c r="S51" s="2"/>
      <c r="T51" s="2"/>
    </row>
    <row x14ac:dyDescent="0.25" r="52" customHeight="1" ht="13.5">
      <c r="A52" s="2"/>
      <c r="B52" s="2"/>
      <c r="C52" s="2"/>
      <c r="D52" s="2"/>
      <c r="E52" s="107" t="s">
        <v>111</v>
      </c>
      <c r="F52" s="107" t="s">
        <v>112</v>
      </c>
      <c r="G52" s="63">
        <v>834</v>
      </c>
      <c r="H52" s="107" t="s">
        <v>113</v>
      </c>
      <c r="I52" s="63">
        <v>5312</v>
      </c>
      <c r="J52" s="107" t="s">
        <v>114</v>
      </c>
      <c r="K52" s="119" t="s">
        <v>132</v>
      </c>
      <c r="L52" s="107" t="s">
        <v>133</v>
      </c>
      <c r="M52" s="63">
        <v>2021</v>
      </c>
      <c r="N52" s="63">
        <v>2021</v>
      </c>
      <c r="O52" s="107" t="s">
        <v>117</v>
      </c>
      <c r="P52" s="8">
        <v>1678</v>
      </c>
      <c r="Q52" s="107" t="s">
        <v>118</v>
      </c>
      <c r="R52" s="107" t="s">
        <v>119</v>
      </c>
      <c r="S52" s="2"/>
      <c r="T52" s="2"/>
    </row>
    <row x14ac:dyDescent="0.25" r="53" customHeight="1" ht="13.5">
      <c r="A53" s="2"/>
      <c r="B53" s="2"/>
      <c r="C53" s="2"/>
      <c r="D53" s="2"/>
      <c r="E53" s="107" t="s">
        <v>111</v>
      </c>
      <c r="F53" s="107" t="s">
        <v>112</v>
      </c>
      <c r="G53" s="63">
        <v>834</v>
      </c>
      <c r="H53" s="107" t="s">
        <v>113</v>
      </c>
      <c r="I53" s="63">
        <v>5419</v>
      </c>
      <c r="J53" s="107" t="s">
        <v>122</v>
      </c>
      <c r="K53" s="119" t="s">
        <v>132</v>
      </c>
      <c r="L53" s="107" t="s">
        <v>133</v>
      </c>
      <c r="M53" s="63">
        <v>2017</v>
      </c>
      <c r="N53" s="63">
        <v>2017</v>
      </c>
      <c r="O53" s="107" t="s">
        <v>123</v>
      </c>
      <c r="P53" s="8">
        <v>39827</v>
      </c>
      <c r="Q53" s="107" t="s">
        <v>118</v>
      </c>
      <c r="R53" s="107" t="s">
        <v>119</v>
      </c>
      <c r="S53" s="2"/>
      <c r="T53" s="2"/>
    </row>
    <row x14ac:dyDescent="0.25" r="54" customHeight="1" ht="13.5">
      <c r="A54" s="2"/>
      <c r="B54" s="2"/>
      <c r="C54" s="2"/>
      <c r="D54" s="2"/>
      <c r="E54" s="107" t="s">
        <v>111</v>
      </c>
      <c r="F54" s="107" t="s">
        <v>112</v>
      </c>
      <c r="G54" s="63">
        <v>834</v>
      </c>
      <c r="H54" s="107" t="s">
        <v>113</v>
      </c>
      <c r="I54" s="63">
        <v>5419</v>
      </c>
      <c r="J54" s="107" t="s">
        <v>122</v>
      </c>
      <c r="K54" s="119" t="s">
        <v>132</v>
      </c>
      <c r="L54" s="107" t="s">
        <v>133</v>
      </c>
      <c r="M54" s="63">
        <v>2018</v>
      </c>
      <c r="N54" s="63">
        <v>2018</v>
      </c>
      <c r="O54" s="107" t="s">
        <v>123</v>
      </c>
      <c r="P54" s="8">
        <v>39815</v>
      </c>
      <c r="Q54" s="107" t="s">
        <v>118</v>
      </c>
      <c r="R54" s="107" t="s">
        <v>119</v>
      </c>
      <c r="S54" s="2"/>
      <c r="T54" s="2"/>
    </row>
    <row x14ac:dyDescent="0.25" r="55" customHeight="1" ht="13.5">
      <c r="A55" s="2"/>
      <c r="B55" s="2"/>
      <c r="C55" s="2"/>
      <c r="D55" s="2"/>
      <c r="E55" s="107" t="s">
        <v>111</v>
      </c>
      <c r="F55" s="107" t="s">
        <v>112</v>
      </c>
      <c r="G55" s="63">
        <v>834</v>
      </c>
      <c r="H55" s="107" t="s">
        <v>113</v>
      </c>
      <c r="I55" s="63">
        <v>5419</v>
      </c>
      <c r="J55" s="107" t="s">
        <v>122</v>
      </c>
      <c r="K55" s="119" t="s">
        <v>132</v>
      </c>
      <c r="L55" s="107" t="s">
        <v>133</v>
      </c>
      <c r="M55" s="63">
        <v>2019</v>
      </c>
      <c r="N55" s="63">
        <v>2019</v>
      </c>
      <c r="O55" s="107" t="s">
        <v>123</v>
      </c>
      <c r="P55" s="8">
        <v>39980</v>
      </c>
      <c r="Q55" s="107" t="s">
        <v>118</v>
      </c>
      <c r="R55" s="107" t="s">
        <v>119</v>
      </c>
      <c r="S55" s="2"/>
      <c r="T55" s="2"/>
    </row>
    <row x14ac:dyDescent="0.25" r="56" customHeight="1" ht="13.5">
      <c r="A56" s="2"/>
      <c r="B56" s="2"/>
      <c r="C56" s="2"/>
      <c r="D56" s="2"/>
      <c r="E56" s="107" t="s">
        <v>111</v>
      </c>
      <c r="F56" s="107" t="s">
        <v>112</v>
      </c>
      <c r="G56" s="63">
        <v>834</v>
      </c>
      <c r="H56" s="107" t="s">
        <v>113</v>
      </c>
      <c r="I56" s="63">
        <v>5419</v>
      </c>
      <c r="J56" s="107" t="s">
        <v>122</v>
      </c>
      <c r="K56" s="119" t="s">
        <v>132</v>
      </c>
      <c r="L56" s="107" t="s">
        <v>133</v>
      </c>
      <c r="M56" s="63">
        <v>2020</v>
      </c>
      <c r="N56" s="63">
        <v>2020</v>
      </c>
      <c r="O56" s="107" t="s">
        <v>123</v>
      </c>
      <c r="P56" s="8">
        <v>39874</v>
      </c>
      <c r="Q56" s="107" t="s">
        <v>118</v>
      </c>
      <c r="R56" s="107" t="s">
        <v>119</v>
      </c>
      <c r="S56" s="2"/>
      <c r="T56" s="2"/>
    </row>
    <row x14ac:dyDescent="0.25" r="57" customHeight="1" ht="13.5">
      <c r="A57" s="2"/>
      <c r="B57" s="2"/>
      <c r="C57" s="2"/>
      <c r="D57" s="2"/>
      <c r="E57" s="107" t="s">
        <v>111</v>
      </c>
      <c r="F57" s="107" t="s">
        <v>112</v>
      </c>
      <c r="G57" s="63">
        <v>834</v>
      </c>
      <c r="H57" s="107" t="s">
        <v>113</v>
      </c>
      <c r="I57" s="63">
        <v>5419</v>
      </c>
      <c r="J57" s="107" t="s">
        <v>122</v>
      </c>
      <c r="K57" s="119" t="s">
        <v>132</v>
      </c>
      <c r="L57" s="107" t="s">
        <v>133</v>
      </c>
      <c r="M57" s="63">
        <v>2021</v>
      </c>
      <c r="N57" s="63">
        <v>2021</v>
      </c>
      <c r="O57" s="107" t="s">
        <v>123</v>
      </c>
      <c r="P57" s="8">
        <v>39889</v>
      </c>
      <c r="Q57" s="107" t="s">
        <v>118</v>
      </c>
      <c r="R57" s="107" t="s">
        <v>119</v>
      </c>
      <c r="S57" s="2"/>
      <c r="T57" s="2"/>
    </row>
    <row x14ac:dyDescent="0.25" r="58" customHeight="1" ht="13.5">
      <c r="A58" s="2"/>
      <c r="B58" s="2"/>
      <c r="C58" s="2"/>
      <c r="D58" s="2"/>
      <c r="E58" s="107" t="s">
        <v>111</v>
      </c>
      <c r="F58" s="107" t="s">
        <v>112</v>
      </c>
      <c r="G58" s="63">
        <v>834</v>
      </c>
      <c r="H58" s="107" t="s">
        <v>113</v>
      </c>
      <c r="I58" s="63">
        <v>5312</v>
      </c>
      <c r="J58" s="107" t="s">
        <v>114</v>
      </c>
      <c r="K58" s="119" t="s">
        <v>134</v>
      </c>
      <c r="L58" s="107" t="s">
        <v>135</v>
      </c>
      <c r="M58" s="63">
        <v>2017</v>
      </c>
      <c r="N58" s="63">
        <v>2017</v>
      </c>
      <c r="O58" s="107" t="s">
        <v>117</v>
      </c>
      <c r="P58" s="8">
        <v>21366</v>
      </c>
      <c r="Q58" s="107" t="s">
        <v>120</v>
      </c>
      <c r="R58" s="107" t="s">
        <v>121</v>
      </c>
      <c r="S58" s="2"/>
      <c r="T58" s="2"/>
    </row>
    <row x14ac:dyDescent="0.25" r="59" customHeight="1" ht="13.5">
      <c r="A59" s="2"/>
      <c r="B59" s="2"/>
      <c r="C59" s="2"/>
      <c r="D59" s="2"/>
      <c r="E59" s="107" t="s">
        <v>111</v>
      </c>
      <c r="F59" s="107" t="s">
        <v>112</v>
      </c>
      <c r="G59" s="63">
        <v>834</v>
      </c>
      <c r="H59" s="107" t="s">
        <v>113</v>
      </c>
      <c r="I59" s="63">
        <v>5312</v>
      </c>
      <c r="J59" s="107" t="s">
        <v>114</v>
      </c>
      <c r="K59" s="119" t="s">
        <v>134</v>
      </c>
      <c r="L59" s="107" t="s">
        <v>135</v>
      </c>
      <c r="M59" s="63">
        <v>2018</v>
      </c>
      <c r="N59" s="63">
        <v>2018</v>
      </c>
      <c r="O59" s="107" t="s">
        <v>117</v>
      </c>
      <c r="P59" s="8">
        <v>21025</v>
      </c>
      <c r="Q59" s="107" t="s">
        <v>120</v>
      </c>
      <c r="R59" s="107" t="s">
        <v>121</v>
      </c>
      <c r="S59" s="2"/>
      <c r="T59" s="2"/>
    </row>
    <row x14ac:dyDescent="0.25" r="60" customHeight="1" ht="13.5">
      <c r="A60" s="2"/>
      <c r="B60" s="2"/>
      <c r="C60" s="2"/>
      <c r="D60" s="2"/>
      <c r="E60" s="107" t="s">
        <v>111</v>
      </c>
      <c r="F60" s="107" t="s">
        <v>112</v>
      </c>
      <c r="G60" s="63">
        <v>834</v>
      </c>
      <c r="H60" s="107" t="s">
        <v>113</v>
      </c>
      <c r="I60" s="63">
        <v>5312</v>
      </c>
      <c r="J60" s="107" t="s">
        <v>114</v>
      </c>
      <c r="K60" s="119" t="s">
        <v>134</v>
      </c>
      <c r="L60" s="107" t="s">
        <v>135</v>
      </c>
      <c r="M60" s="63">
        <v>2019</v>
      </c>
      <c r="N60" s="63">
        <v>2019</v>
      </c>
      <c r="O60" s="107" t="s">
        <v>117</v>
      </c>
      <c r="P60" s="8">
        <v>21525</v>
      </c>
      <c r="Q60" s="107" t="s">
        <v>120</v>
      </c>
      <c r="R60" s="107" t="s">
        <v>121</v>
      </c>
      <c r="S60" s="2"/>
      <c r="T60" s="2"/>
    </row>
    <row x14ac:dyDescent="0.25" r="61" customHeight="1" ht="13.5">
      <c r="A61" s="2"/>
      <c r="B61" s="2"/>
      <c r="C61" s="2"/>
      <c r="D61" s="2"/>
      <c r="E61" s="107" t="s">
        <v>111</v>
      </c>
      <c r="F61" s="107" t="s">
        <v>112</v>
      </c>
      <c r="G61" s="63">
        <v>834</v>
      </c>
      <c r="H61" s="107" t="s">
        <v>113</v>
      </c>
      <c r="I61" s="63">
        <v>5312</v>
      </c>
      <c r="J61" s="107" t="s">
        <v>114</v>
      </c>
      <c r="K61" s="119" t="s">
        <v>134</v>
      </c>
      <c r="L61" s="107" t="s">
        <v>135</v>
      </c>
      <c r="M61" s="63">
        <v>2020</v>
      </c>
      <c r="N61" s="63">
        <v>2020</v>
      </c>
      <c r="O61" s="107" t="s">
        <v>117</v>
      </c>
      <c r="P61" s="8">
        <v>23594</v>
      </c>
      <c r="Q61" s="107" t="s">
        <v>120</v>
      </c>
      <c r="R61" s="107" t="s">
        <v>121</v>
      </c>
      <c r="S61" s="2"/>
      <c r="T61" s="2"/>
    </row>
    <row x14ac:dyDescent="0.25" r="62" customHeight="1" ht="13.5">
      <c r="A62" s="2"/>
      <c r="B62" s="2"/>
      <c r="C62" s="2"/>
      <c r="D62" s="2"/>
      <c r="E62" s="107" t="s">
        <v>111</v>
      </c>
      <c r="F62" s="107" t="s">
        <v>112</v>
      </c>
      <c r="G62" s="63">
        <v>834</v>
      </c>
      <c r="H62" s="107" t="s">
        <v>113</v>
      </c>
      <c r="I62" s="63">
        <v>5312</v>
      </c>
      <c r="J62" s="107" t="s">
        <v>114</v>
      </c>
      <c r="K62" s="119" t="s">
        <v>134</v>
      </c>
      <c r="L62" s="107" t="s">
        <v>135</v>
      </c>
      <c r="M62" s="63">
        <v>2021</v>
      </c>
      <c r="N62" s="63">
        <v>2021</v>
      </c>
      <c r="O62" s="107" t="s">
        <v>117</v>
      </c>
      <c r="P62" s="8">
        <v>24205</v>
      </c>
      <c r="Q62" s="107" t="s">
        <v>120</v>
      </c>
      <c r="R62" s="107" t="s">
        <v>121</v>
      </c>
      <c r="S62" s="2"/>
      <c r="T62" s="2"/>
    </row>
    <row x14ac:dyDescent="0.25" r="63" customHeight="1" ht="13.5">
      <c r="A63" s="2"/>
      <c r="B63" s="2"/>
      <c r="C63" s="2"/>
      <c r="D63" s="2"/>
      <c r="E63" s="107" t="s">
        <v>111</v>
      </c>
      <c r="F63" s="107" t="s">
        <v>112</v>
      </c>
      <c r="G63" s="63">
        <v>834</v>
      </c>
      <c r="H63" s="107" t="s">
        <v>113</v>
      </c>
      <c r="I63" s="63">
        <v>5419</v>
      </c>
      <c r="J63" s="107" t="s">
        <v>122</v>
      </c>
      <c r="K63" s="119" t="s">
        <v>134</v>
      </c>
      <c r="L63" s="107" t="s">
        <v>135</v>
      </c>
      <c r="M63" s="63">
        <v>2017</v>
      </c>
      <c r="N63" s="63">
        <v>2017</v>
      </c>
      <c r="O63" s="107" t="s">
        <v>123</v>
      </c>
      <c r="P63" s="8">
        <v>10297</v>
      </c>
      <c r="Q63" s="107" t="s">
        <v>118</v>
      </c>
      <c r="R63" s="107" t="s">
        <v>119</v>
      </c>
      <c r="S63" s="2"/>
      <c r="T63" s="115"/>
    </row>
    <row x14ac:dyDescent="0.25" r="64" customHeight="1" ht="13.5">
      <c r="A64" s="2"/>
      <c r="B64" s="2"/>
      <c r="C64" s="2"/>
      <c r="D64" s="2"/>
      <c r="E64" s="107" t="s">
        <v>111</v>
      </c>
      <c r="F64" s="107" t="s">
        <v>112</v>
      </c>
      <c r="G64" s="63">
        <v>834</v>
      </c>
      <c r="H64" s="107" t="s">
        <v>113</v>
      </c>
      <c r="I64" s="63">
        <v>5419</v>
      </c>
      <c r="J64" s="107" t="s">
        <v>122</v>
      </c>
      <c r="K64" s="119" t="s">
        <v>134</v>
      </c>
      <c r="L64" s="107" t="s">
        <v>135</v>
      </c>
      <c r="M64" s="63">
        <v>2018</v>
      </c>
      <c r="N64" s="63">
        <v>2018</v>
      </c>
      <c r="O64" s="107" t="s">
        <v>123</v>
      </c>
      <c r="P64" s="8">
        <v>10464</v>
      </c>
      <c r="Q64" s="107" t="s">
        <v>118</v>
      </c>
      <c r="R64" s="107" t="s">
        <v>119</v>
      </c>
      <c r="S64" s="2"/>
      <c r="T64" s="115"/>
    </row>
    <row x14ac:dyDescent="0.25" r="65" customHeight="1" ht="13.5">
      <c r="A65" s="2"/>
      <c r="B65" s="2"/>
      <c r="C65" s="2"/>
      <c r="D65" s="2"/>
      <c r="E65" s="107" t="s">
        <v>111</v>
      </c>
      <c r="F65" s="107" t="s">
        <v>112</v>
      </c>
      <c r="G65" s="63">
        <v>834</v>
      </c>
      <c r="H65" s="107" t="s">
        <v>113</v>
      </c>
      <c r="I65" s="63">
        <v>5419</v>
      </c>
      <c r="J65" s="107" t="s">
        <v>122</v>
      </c>
      <c r="K65" s="119" t="s">
        <v>134</v>
      </c>
      <c r="L65" s="107" t="s">
        <v>135</v>
      </c>
      <c r="M65" s="63">
        <v>2019</v>
      </c>
      <c r="N65" s="63">
        <v>2019</v>
      </c>
      <c r="O65" s="107" t="s">
        <v>123</v>
      </c>
      <c r="P65" s="8">
        <v>10548</v>
      </c>
      <c r="Q65" s="107" t="s">
        <v>118</v>
      </c>
      <c r="R65" s="107" t="s">
        <v>119</v>
      </c>
      <c r="S65" s="2"/>
      <c r="T65" s="115"/>
    </row>
    <row x14ac:dyDescent="0.25" r="66" customHeight="1" ht="13.5">
      <c r="A66" s="2"/>
      <c r="B66" s="2"/>
      <c r="C66" s="2"/>
      <c r="D66" s="2"/>
      <c r="E66" s="107" t="s">
        <v>111</v>
      </c>
      <c r="F66" s="107" t="s">
        <v>112</v>
      </c>
      <c r="G66" s="63">
        <v>834</v>
      </c>
      <c r="H66" s="107" t="s">
        <v>113</v>
      </c>
      <c r="I66" s="63">
        <v>5419</v>
      </c>
      <c r="J66" s="107" t="s">
        <v>122</v>
      </c>
      <c r="K66" s="119" t="s">
        <v>134</v>
      </c>
      <c r="L66" s="107" t="s">
        <v>135</v>
      </c>
      <c r="M66" s="63">
        <v>2020</v>
      </c>
      <c r="N66" s="63">
        <v>2020</v>
      </c>
      <c r="O66" s="107" t="s">
        <v>123</v>
      </c>
      <c r="P66" s="8">
        <v>10683</v>
      </c>
      <c r="Q66" s="107" t="s">
        <v>118</v>
      </c>
      <c r="R66" s="107" t="s">
        <v>119</v>
      </c>
      <c r="S66" s="2"/>
      <c r="T66" s="115"/>
    </row>
    <row x14ac:dyDescent="0.25" r="67" customHeight="1" ht="13.5">
      <c r="A67" s="2"/>
      <c r="B67" s="2"/>
      <c r="C67" s="2"/>
      <c r="D67" s="2"/>
      <c r="E67" s="107" t="s">
        <v>111</v>
      </c>
      <c r="F67" s="107" t="s">
        <v>112</v>
      </c>
      <c r="G67" s="63">
        <v>834</v>
      </c>
      <c r="H67" s="107" t="s">
        <v>113</v>
      </c>
      <c r="I67" s="63">
        <v>5419</v>
      </c>
      <c r="J67" s="107" t="s">
        <v>122</v>
      </c>
      <c r="K67" s="119" t="s">
        <v>134</v>
      </c>
      <c r="L67" s="107" t="s">
        <v>135</v>
      </c>
      <c r="M67" s="63">
        <v>2021</v>
      </c>
      <c r="N67" s="63">
        <v>2021</v>
      </c>
      <c r="O67" s="107" t="s">
        <v>123</v>
      </c>
      <c r="P67" s="8">
        <v>10818</v>
      </c>
      <c r="Q67" s="107" t="s">
        <v>118</v>
      </c>
      <c r="R67" s="107" t="s">
        <v>119</v>
      </c>
      <c r="S67" s="2"/>
      <c r="T67" s="115"/>
    </row>
    <row x14ac:dyDescent="0.25" r="68" customHeight="1" ht="13.5">
      <c r="A68" s="2"/>
      <c r="B68" s="2"/>
      <c r="C68" s="2"/>
      <c r="D68" s="2"/>
      <c r="E68" s="107" t="s">
        <v>111</v>
      </c>
      <c r="F68" s="107" t="s">
        <v>112</v>
      </c>
      <c r="G68" s="63">
        <v>834</v>
      </c>
      <c r="H68" s="107" t="s">
        <v>113</v>
      </c>
      <c r="I68" s="63">
        <v>5312</v>
      </c>
      <c r="J68" s="107" t="s">
        <v>114</v>
      </c>
      <c r="K68" s="119" t="s">
        <v>136</v>
      </c>
      <c r="L68" s="107" t="s">
        <v>137</v>
      </c>
      <c r="M68" s="63">
        <v>2017</v>
      </c>
      <c r="N68" s="63">
        <v>2017</v>
      </c>
      <c r="O68" s="107" t="s">
        <v>117</v>
      </c>
      <c r="P68" s="8">
        <v>7197</v>
      </c>
      <c r="Q68" s="107" t="s">
        <v>120</v>
      </c>
      <c r="R68" s="107" t="s">
        <v>121</v>
      </c>
      <c r="S68" s="2"/>
      <c r="T68" s="115"/>
    </row>
    <row x14ac:dyDescent="0.25" r="69" customHeight="1" ht="13.5">
      <c r="A69" s="2"/>
      <c r="B69" s="2"/>
      <c r="C69" s="2"/>
      <c r="D69" s="2"/>
      <c r="E69" s="107" t="s">
        <v>111</v>
      </c>
      <c r="F69" s="107" t="s">
        <v>112</v>
      </c>
      <c r="G69" s="63">
        <v>834</v>
      </c>
      <c r="H69" s="107" t="s">
        <v>113</v>
      </c>
      <c r="I69" s="63">
        <v>5312</v>
      </c>
      <c r="J69" s="107" t="s">
        <v>114</v>
      </c>
      <c r="K69" s="119" t="s">
        <v>136</v>
      </c>
      <c r="L69" s="107" t="s">
        <v>137</v>
      </c>
      <c r="M69" s="63">
        <v>2018</v>
      </c>
      <c r="N69" s="63">
        <v>2018</v>
      </c>
      <c r="O69" s="107" t="s">
        <v>117</v>
      </c>
      <c r="P69" s="8">
        <v>7694</v>
      </c>
      <c r="Q69" s="107" t="s">
        <v>120</v>
      </c>
      <c r="R69" s="107" t="s">
        <v>121</v>
      </c>
      <c r="S69" s="2"/>
      <c r="T69" s="115"/>
    </row>
    <row x14ac:dyDescent="0.25" r="70" customHeight="1" ht="13.5">
      <c r="A70" s="2"/>
      <c r="B70" s="2"/>
      <c r="C70" s="2"/>
      <c r="D70" s="2"/>
      <c r="E70" s="107" t="s">
        <v>111</v>
      </c>
      <c r="F70" s="107" t="s">
        <v>112</v>
      </c>
      <c r="G70" s="63">
        <v>834</v>
      </c>
      <c r="H70" s="107" t="s">
        <v>113</v>
      </c>
      <c r="I70" s="63">
        <v>5312</v>
      </c>
      <c r="J70" s="107" t="s">
        <v>114</v>
      </c>
      <c r="K70" s="119" t="s">
        <v>136</v>
      </c>
      <c r="L70" s="107" t="s">
        <v>137</v>
      </c>
      <c r="M70" s="63">
        <v>2019</v>
      </c>
      <c r="N70" s="63">
        <v>2019</v>
      </c>
      <c r="O70" s="107" t="s">
        <v>117</v>
      </c>
      <c r="P70" s="8">
        <v>7382</v>
      </c>
      <c r="Q70" s="107" t="s">
        <v>118</v>
      </c>
      <c r="R70" s="107" t="s">
        <v>119</v>
      </c>
      <c r="S70" s="2"/>
      <c r="T70" s="115"/>
    </row>
    <row x14ac:dyDescent="0.25" r="71" customHeight="1" ht="13.5">
      <c r="A71" s="2"/>
      <c r="B71" s="2"/>
      <c r="C71" s="2"/>
      <c r="D71" s="2"/>
      <c r="E71" s="107" t="s">
        <v>111</v>
      </c>
      <c r="F71" s="107" t="s">
        <v>112</v>
      </c>
      <c r="G71" s="63">
        <v>834</v>
      </c>
      <c r="H71" s="107" t="s">
        <v>113</v>
      </c>
      <c r="I71" s="63">
        <v>5312</v>
      </c>
      <c r="J71" s="107" t="s">
        <v>114</v>
      </c>
      <c r="K71" s="119" t="s">
        <v>136</v>
      </c>
      <c r="L71" s="107" t="s">
        <v>137</v>
      </c>
      <c r="M71" s="63">
        <v>2020</v>
      </c>
      <c r="N71" s="63">
        <v>2020</v>
      </c>
      <c r="O71" s="107" t="s">
        <v>117</v>
      </c>
      <c r="P71" s="8">
        <v>7424</v>
      </c>
      <c r="Q71" s="107" t="s">
        <v>118</v>
      </c>
      <c r="R71" s="107" t="s">
        <v>119</v>
      </c>
      <c r="S71" s="2"/>
      <c r="T71" s="115"/>
    </row>
    <row x14ac:dyDescent="0.25" r="72" customHeight="1" ht="13.5">
      <c r="A72" s="2"/>
      <c r="B72" s="2"/>
      <c r="C72" s="2"/>
      <c r="D72" s="2"/>
      <c r="E72" s="107" t="s">
        <v>111</v>
      </c>
      <c r="F72" s="107" t="s">
        <v>112</v>
      </c>
      <c r="G72" s="63">
        <v>834</v>
      </c>
      <c r="H72" s="107" t="s">
        <v>113</v>
      </c>
      <c r="I72" s="63">
        <v>5312</v>
      </c>
      <c r="J72" s="107" t="s">
        <v>114</v>
      </c>
      <c r="K72" s="119" t="s">
        <v>136</v>
      </c>
      <c r="L72" s="107" t="s">
        <v>137</v>
      </c>
      <c r="M72" s="63">
        <v>2021</v>
      </c>
      <c r="N72" s="63">
        <v>2021</v>
      </c>
      <c r="O72" s="107" t="s">
        <v>117</v>
      </c>
      <c r="P72" s="8">
        <v>7500</v>
      </c>
      <c r="Q72" s="107" t="s">
        <v>118</v>
      </c>
      <c r="R72" s="107" t="s">
        <v>119</v>
      </c>
      <c r="S72" s="2"/>
      <c r="T72" s="115"/>
    </row>
    <row x14ac:dyDescent="0.25" r="73" customHeight="1" ht="13.5">
      <c r="A73" s="2"/>
      <c r="B73" s="2"/>
      <c r="C73" s="2"/>
      <c r="D73" s="2"/>
      <c r="E73" s="107" t="s">
        <v>111</v>
      </c>
      <c r="F73" s="107" t="s">
        <v>112</v>
      </c>
      <c r="G73" s="63">
        <v>834</v>
      </c>
      <c r="H73" s="107" t="s">
        <v>113</v>
      </c>
      <c r="I73" s="63">
        <v>5419</v>
      </c>
      <c r="J73" s="107" t="s">
        <v>122</v>
      </c>
      <c r="K73" s="119" t="s">
        <v>136</v>
      </c>
      <c r="L73" s="107" t="s">
        <v>137</v>
      </c>
      <c r="M73" s="63">
        <v>2017</v>
      </c>
      <c r="N73" s="63">
        <v>2017</v>
      </c>
      <c r="O73" s="107" t="s">
        <v>123</v>
      </c>
      <c r="P73" s="8">
        <v>116220</v>
      </c>
      <c r="Q73" s="107" t="s">
        <v>118</v>
      </c>
      <c r="R73" s="107" t="s">
        <v>119</v>
      </c>
      <c r="S73" s="2"/>
      <c r="T73" s="115"/>
    </row>
    <row x14ac:dyDescent="0.25" r="74" customHeight="1" ht="13.5">
      <c r="A74" s="2"/>
      <c r="B74" s="2"/>
      <c r="C74" s="2"/>
      <c r="D74" s="2"/>
      <c r="E74" s="107" t="s">
        <v>111</v>
      </c>
      <c r="F74" s="107" t="s">
        <v>112</v>
      </c>
      <c r="G74" s="63">
        <v>834</v>
      </c>
      <c r="H74" s="107" t="s">
        <v>113</v>
      </c>
      <c r="I74" s="63">
        <v>5419</v>
      </c>
      <c r="J74" s="107" t="s">
        <v>122</v>
      </c>
      <c r="K74" s="119" t="s">
        <v>136</v>
      </c>
      <c r="L74" s="107" t="s">
        <v>137</v>
      </c>
      <c r="M74" s="63">
        <v>2018</v>
      </c>
      <c r="N74" s="63">
        <v>2018</v>
      </c>
      <c r="O74" s="107" t="s">
        <v>123</v>
      </c>
      <c r="P74" s="8">
        <v>106578</v>
      </c>
      <c r="Q74" s="107" t="s">
        <v>118</v>
      </c>
      <c r="R74" s="107" t="s">
        <v>119</v>
      </c>
      <c r="S74" s="2"/>
      <c r="T74" s="115"/>
    </row>
    <row x14ac:dyDescent="0.25" r="75" customHeight="1" ht="13.5">
      <c r="A75" s="2"/>
      <c r="B75" s="2"/>
      <c r="C75" s="2"/>
      <c r="D75" s="2"/>
      <c r="E75" s="107" t="s">
        <v>111</v>
      </c>
      <c r="F75" s="107" t="s">
        <v>112</v>
      </c>
      <c r="G75" s="63">
        <v>834</v>
      </c>
      <c r="H75" s="107" t="s">
        <v>113</v>
      </c>
      <c r="I75" s="63">
        <v>5419</v>
      </c>
      <c r="J75" s="107" t="s">
        <v>122</v>
      </c>
      <c r="K75" s="119" t="s">
        <v>136</v>
      </c>
      <c r="L75" s="107" t="s">
        <v>137</v>
      </c>
      <c r="M75" s="63">
        <v>2019</v>
      </c>
      <c r="N75" s="63">
        <v>2019</v>
      </c>
      <c r="O75" s="107" t="s">
        <v>123</v>
      </c>
      <c r="P75" s="8">
        <v>112596</v>
      </c>
      <c r="Q75" s="107" t="s">
        <v>118</v>
      </c>
      <c r="R75" s="107" t="s">
        <v>119</v>
      </c>
      <c r="S75" s="2"/>
      <c r="T75" s="115"/>
    </row>
    <row x14ac:dyDescent="0.25" r="76" customHeight="1" ht="13.5">
      <c r="A76" s="2"/>
      <c r="B76" s="2"/>
      <c r="C76" s="2"/>
      <c r="D76" s="2"/>
      <c r="E76" s="107" t="s">
        <v>111</v>
      </c>
      <c r="F76" s="107" t="s">
        <v>112</v>
      </c>
      <c r="G76" s="63">
        <v>834</v>
      </c>
      <c r="H76" s="107" t="s">
        <v>113</v>
      </c>
      <c r="I76" s="63">
        <v>5419</v>
      </c>
      <c r="J76" s="107" t="s">
        <v>122</v>
      </c>
      <c r="K76" s="119" t="s">
        <v>136</v>
      </c>
      <c r="L76" s="107" t="s">
        <v>137</v>
      </c>
      <c r="M76" s="63">
        <v>2020</v>
      </c>
      <c r="N76" s="63">
        <v>2020</v>
      </c>
      <c r="O76" s="107" t="s">
        <v>123</v>
      </c>
      <c r="P76" s="8">
        <v>111688</v>
      </c>
      <c r="Q76" s="107" t="s">
        <v>118</v>
      </c>
      <c r="R76" s="107" t="s">
        <v>119</v>
      </c>
      <c r="S76" s="2"/>
      <c r="T76" s="115"/>
    </row>
    <row x14ac:dyDescent="0.25" r="77" customHeight="1" ht="13.5">
      <c r="A77" s="2"/>
      <c r="B77" s="2"/>
      <c r="C77" s="2"/>
      <c r="D77" s="2"/>
      <c r="E77" s="107" t="s">
        <v>111</v>
      </c>
      <c r="F77" s="107" t="s">
        <v>112</v>
      </c>
      <c r="G77" s="63">
        <v>834</v>
      </c>
      <c r="H77" s="107" t="s">
        <v>113</v>
      </c>
      <c r="I77" s="63">
        <v>5419</v>
      </c>
      <c r="J77" s="107" t="s">
        <v>122</v>
      </c>
      <c r="K77" s="119" t="s">
        <v>136</v>
      </c>
      <c r="L77" s="107" t="s">
        <v>137</v>
      </c>
      <c r="M77" s="63">
        <v>2021</v>
      </c>
      <c r="N77" s="63">
        <v>2021</v>
      </c>
      <c r="O77" s="107" t="s">
        <v>123</v>
      </c>
      <c r="P77" s="8">
        <v>110238</v>
      </c>
      <c r="Q77" s="107" t="s">
        <v>118</v>
      </c>
      <c r="R77" s="107" t="s">
        <v>119</v>
      </c>
      <c r="S77" s="2"/>
      <c r="T77" s="115"/>
    </row>
    <row x14ac:dyDescent="0.25" r="78" customHeight="1" ht="13.5">
      <c r="A78" s="2"/>
      <c r="B78" s="2"/>
      <c r="C78" s="2"/>
      <c r="D78" s="2"/>
      <c r="E78" s="107" t="s">
        <v>111</v>
      </c>
      <c r="F78" s="107" t="s">
        <v>112</v>
      </c>
      <c r="G78" s="63">
        <v>834</v>
      </c>
      <c r="H78" s="107" t="s">
        <v>113</v>
      </c>
      <c r="I78" s="63">
        <v>5312</v>
      </c>
      <c r="J78" s="107" t="s">
        <v>114</v>
      </c>
      <c r="K78" s="119" t="s">
        <v>138</v>
      </c>
      <c r="L78" s="107" t="s">
        <v>139</v>
      </c>
      <c r="M78" s="63">
        <v>2017</v>
      </c>
      <c r="N78" s="63">
        <v>2017</v>
      </c>
      <c r="O78" s="107" t="s">
        <v>117</v>
      </c>
      <c r="P78" s="8">
        <v>510500</v>
      </c>
      <c r="Q78" s="107" t="s">
        <v>126</v>
      </c>
      <c r="R78" s="107" t="s">
        <v>127</v>
      </c>
      <c r="S78" s="2"/>
      <c r="T78" s="2"/>
    </row>
    <row x14ac:dyDescent="0.25" r="79" customHeight="1" ht="13.5">
      <c r="A79" s="2"/>
      <c r="B79" s="2"/>
      <c r="C79" s="2"/>
      <c r="D79" s="2"/>
      <c r="E79" s="107" t="s">
        <v>111</v>
      </c>
      <c r="F79" s="107" t="s">
        <v>112</v>
      </c>
      <c r="G79" s="63">
        <v>834</v>
      </c>
      <c r="H79" s="107" t="s">
        <v>113</v>
      </c>
      <c r="I79" s="63">
        <v>5312</v>
      </c>
      <c r="J79" s="107" t="s">
        <v>114</v>
      </c>
      <c r="K79" s="119" t="s">
        <v>138</v>
      </c>
      <c r="L79" s="107" t="s">
        <v>139</v>
      </c>
      <c r="M79" s="63">
        <v>2018</v>
      </c>
      <c r="N79" s="63">
        <v>2018</v>
      </c>
      <c r="O79" s="107" t="s">
        <v>117</v>
      </c>
      <c r="P79" s="8">
        <v>1222134</v>
      </c>
      <c r="Q79" s="107" t="s">
        <v>126</v>
      </c>
      <c r="R79" s="107" t="s">
        <v>127</v>
      </c>
      <c r="S79" s="2"/>
      <c r="T79" s="2"/>
    </row>
    <row x14ac:dyDescent="0.25" r="80" customHeight="1" ht="13.5">
      <c r="A80" s="2"/>
      <c r="B80" s="2"/>
      <c r="C80" s="2"/>
      <c r="D80" s="2"/>
      <c r="E80" s="107" t="s">
        <v>111</v>
      </c>
      <c r="F80" s="107" t="s">
        <v>112</v>
      </c>
      <c r="G80" s="63">
        <v>834</v>
      </c>
      <c r="H80" s="107" t="s">
        <v>113</v>
      </c>
      <c r="I80" s="63">
        <v>5312</v>
      </c>
      <c r="J80" s="107" t="s">
        <v>114</v>
      </c>
      <c r="K80" s="119" t="s">
        <v>138</v>
      </c>
      <c r="L80" s="107" t="s">
        <v>139</v>
      </c>
      <c r="M80" s="63">
        <v>2019</v>
      </c>
      <c r="N80" s="63">
        <v>2019</v>
      </c>
      <c r="O80" s="107" t="s">
        <v>117</v>
      </c>
      <c r="P80" s="8">
        <v>1056429</v>
      </c>
      <c r="Q80" s="107" t="s">
        <v>120</v>
      </c>
      <c r="R80" s="107" t="s">
        <v>121</v>
      </c>
      <c r="S80" s="2"/>
      <c r="T80" s="2"/>
    </row>
    <row x14ac:dyDescent="0.25" r="81" customHeight="1" ht="13.5">
      <c r="A81" s="2"/>
      <c r="B81" s="2"/>
      <c r="C81" s="2"/>
      <c r="D81" s="2"/>
      <c r="E81" s="107" t="s">
        <v>111</v>
      </c>
      <c r="F81" s="107" t="s">
        <v>112</v>
      </c>
      <c r="G81" s="63">
        <v>834</v>
      </c>
      <c r="H81" s="107" t="s">
        <v>113</v>
      </c>
      <c r="I81" s="63">
        <v>5312</v>
      </c>
      <c r="J81" s="107" t="s">
        <v>114</v>
      </c>
      <c r="K81" s="119" t="s">
        <v>138</v>
      </c>
      <c r="L81" s="107" t="s">
        <v>139</v>
      </c>
      <c r="M81" s="63">
        <v>2020</v>
      </c>
      <c r="N81" s="63">
        <v>2020</v>
      </c>
      <c r="O81" s="107" t="s">
        <v>117</v>
      </c>
      <c r="P81" s="8">
        <v>795572</v>
      </c>
      <c r="Q81" s="107" t="s">
        <v>120</v>
      </c>
      <c r="R81" s="107" t="s">
        <v>121</v>
      </c>
      <c r="S81" s="2"/>
      <c r="T81" s="2"/>
    </row>
    <row x14ac:dyDescent="0.25" r="82" customHeight="1" ht="13.5">
      <c r="A82" s="2"/>
      <c r="B82" s="2"/>
      <c r="C82" s="2"/>
      <c r="D82" s="2"/>
      <c r="E82" s="107" t="s">
        <v>111</v>
      </c>
      <c r="F82" s="107" t="s">
        <v>112</v>
      </c>
      <c r="G82" s="63">
        <v>834</v>
      </c>
      <c r="H82" s="107" t="s">
        <v>113</v>
      </c>
      <c r="I82" s="63">
        <v>5312</v>
      </c>
      <c r="J82" s="107" t="s">
        <v>114</v>
      </c>
      <c r="K82" s="119" t="s">
        <v>138</v>
      </c>
      <c r="L82" s="107" t="s">
        <v>139</v>
      </c>
      <c r="M82" s="63">
        <v>2021</v>
      </c>
      <c r="N82" s="63">
        <v>2021</v>
      </c>
      <c r="O82" s="107" t="s">
        <v>117</v>
      </c>
      <c r="P82" s="8">
        <v>712624</v>
      </c>
      <c r="Q82" s="107" t="s">
        <v>120</v>
      </c>
      <c r="R82" s="107" t="s">
        <v>121</v>
      </c>
      <c r="S82" s="2"/>
      <c r="T82" s="2"/>
    </row>
    <row x14ac:dyDescent="0.25" r="83" customHeight="1" ht="13.5">
      <c r="A83" s="2"/>
      <c r="B83" s="2"/>
      <c r="C83" s="2"/>
      <c r="D83" s="2"/>
      <c r="E83" s="107" t="s">
        <v>111</v>
      </c>
      <c r="F83" s="107" t="s">
        <v>112</v>
      </c>
      <c r="G83" s="63">
        <v>834</v>
      </c>
      <c r="H83" s="107" t="s">
        <v>113</v>
      </c>
      <c r="I83" s="63">
        <v>5419</v>
      </c>
      <c r="J83" s="107" t="s">
        <v>122</v>
      </c>
      <c r="K83" s="119" t="s">
        <v>138</v>
      </c>
      <c r="L83" s="107" t="s">
        <v>139</v>
      </c>
      <c r="M83" s="63">
        <v>2017</v>
      </c>
      <c r="N83" s="63">
        <v>2017</v>
      </c>
      <c r="O83" s="107" t="s">
        <v>123</v>
      </c>
      <c r="P83" s="8">
        <v>5196</v>
      </c>
      <c r="Q83" s="107" t="s">
        <v>126</v>
      </c>
      <c r="R83" s="107" t="s">
        <v>127</v>
      </c>
      <c r="S83" s="2"/>
      <c r="T83" s="2"/>
    </row>
    <row x14ac:dyDescent="0.25" r="84" customHeight="1" ht="13.5">
      <c r="A84" s="2"/>
      <c r="B84" s="2"/>
      <c r="C84" s="2"/>
      <c r="D84" s="2"/>
      <c r="E84" s="107" t="s">
        <v>111</v>
      </c>
      <c r="F84" s="107" t="s">
        <v>112</v>
      </c>
      <c r="G84" s="63">
        <v>834</v>
      </c>
      <c r="H84" s="107" t="s">
        <v>113</v>
      </c>
      <c r="I84" s="63">
        <v>5419</v>
      </c>
      <c r="J84" s="107" t="s">
        <v>122</v>
      </c>
      <c r="K84" s="119" t="s">
        <v>138</v>
      </c>
      <c r="L84" s="107" t="s">
        <v>139</v>
      </c>
      <c r="M84" s="63">
        <v>2018</v>
      </c>
      <c r="N84" s="63">
        <v>2018</v>
      </c>
      <c r="O84" s="107" t="s">
        <v>123</v>
      </c>
      <c r="P84" s="8">
        <v>2568</v>
      </c>
      <c r="Q84" s="107" t="s">
        <v>126</v>
      </c>
      <c r="R84" s="107" t="s">
        <v>127</v>
      </c>
      <c r="S84" s="2"/>
      <c r="T84" s="2"/>
    </row>
    <row x14ac:dyDescent="0.25" r="85" customHeight="1" ht="13.5">
      <c r="A85" s="2"/>
      <c r="B85" s="2"/>
      <c r="C85" s="2"/>
      <c r="D85" s="2"/>
      <c r="E85" s="107" t="s">
        <v>111</v>
      </c>
      <c r="F85" s="107" t="s">
        <v>112</v>
      </c>
      <c r="G85" s="63">
        <v>834</v>
      </c>
      <c r="H85" s="107" t="s">
        <v>113</v>
      </c>
      <c r="I85" s="63">
        <v>5419</v>
      </c>
      <c r="J85" s="107" t="s">
        <v>122</v>
      </c>
      <c r="K85" s="119" t="s">
        <v>138</v>
      </c>
      <c r="L85" s="107" t="s">
        <v>139</v>
      </c>
      <c r="M85" s="63">
        <v>2019</v>
      </c>
      <c r="N85" s="63">
        <v>2019</v>
      </c>
      <c r="O85" s="107" t="s">
        <v>123</v>
      </c>
      <c r="P85" s="8">
        <v>2131</v>
      </c>
      <c r="Q85" s="107" t="s">
        <v>118</v>
      </c>
      <c r="R85" s="107" t="s">
        <v>119</v>
      </c>
      <c r="S85" s="2"/>
      <c r="T85" s="2"/>
    </row>
    <row x14ac:dyDescent="0.25" r="86" customHeight="1" ht="13.5">
      <c r="A86" s="2"/>
      <c r="B86" s="2"/>
      <c r="C86" s="2"/>
      <c r="D86" s="2"/>
      <c r="E86" s="107" t="s">
        <v>111</v>
      </c>
      <c r="F86" s="107" t="s">
        <v>112</v>
      </c>
      <c r="G86" s="63">
        <v>834</v>
      </c>
      <c r="H86" s="107" t="s">
        <v>113</v>
      </c>
      <c r="I86" s="63">
        <v>5419</v>
      </c>
      <c r="J86" s="107" t="s">
        <v>122</v>
      </c>
      <c r="K86" s="119" t="s">
        <v>138</v>
      </c>
      <c r="L86" s="107" t="s">
        <v>139</v>
      </c>
      <c r="M86" s="63">
        <v>2020</v>
      </c>
      <c r="N86" s="63">
        <v>2020</v>
      </c>
      <c r="O86" s="107" t="s">
        <v>123</v>
      </c>
      <c r="P86" s="8">
        <v>2925</v>
      </c>
      <c r="Q86" s="107" t="s">
        <v>118</v>
      </c>
      <c r="R86" s="107" t="s">
        <v>119</v>
      </c>
      <c r="S86" s="2"/>
      <c r="T86" s="2"/>
    </row>
    <row x14ac:dyDescent="0.25" r="87" customHeight="1" ht="13.5">
      <c r="A87" s="2"/>
      <c r="B87" s="2"/>
      <c r="C87" s="2"/>
      <c r="D87" s="2"/>
      <c r="E87" s="107" t="s">
        <v>111</v>
      </c>
      <c r="F87" s="107" t="s">
        <v>112</v>
      </c>
      <c r="G87" s="63">
        <v>834</v>
      </c>
      <c r="H87" s="107" t="s">
        <v>113</v>
      </c>
      <c r="I87" s="63">
        <v>5419</v>
      </c>
      <c r="J87" s="107" t="s">
        <v>122</v>
      </c>
      <c r="K87" s="119" t="s">
        <v>138</v>
      </c>
      <c r="L87" s="107" t="s">
        <v>139</v>
      </c>
      <c r="M87" s="63">
        <v>2021</v>
      </c>
      <c r="N87" s="63">
        <v>2021</v>
      </c>
      <c r="O87" s="107" t="s">
        <v>123</v>
      </c>
      <c r="P87" s="8">
        <v>2958</v>
      </c>
      <c r="Q87" s="107" t="s">
        <v>118</v>
      </c>
      <c r="R87" s="107" t="s">
        <v>119</v>
      </c>
      <c r="S87" s="2"/>
      <c r="T87" s="2"/>
    </row>
    <row x14ac:dyDescent="0.25" r="88" customHeight="1" ht="13.5">
      <c r="A88" s="2"/>
      <c r="B88" s="2"/>
      <c r="C88" s="2"/>
      <c r="D88" s="2"/>
      <c r="E88" s="107" t="s">
        <v>111</v>
      </c>
      <c r="F88" s="107" t="s">
        <v>112</v>
      </c>
      <c r="G88" s="63">
        <v>834</v>
      </c>
      <c r="H88" s="107" t="s">
        <v>113</v>
      </c>
      <c r="I88" s="63">
        <v>5312</v>
      </c>
      <c r="J88" s="107" t="s">
        <v>114</v>
      </c>
      <c r="K88" s="119" t="s">
        <v>140</v>
      </c>
      <c r="L88" s="107" t="s">
        <v>141</v>
      </c>
      <c r="M88" s="63">
        <v>2017</v>
      </c>
      <c r="N88" s="63">
        <v>2017</v>
      </c>
      <c r="O88" s="107" t="s">
        <v>117</v>
      </c>
      <c r="P88" s="8">
        <v>1202216</v>
      </c>
      <c r="Q88" s="107" t="s">
        <v>126</v>
      </c>
      <c r="R88" s="107" t="s">
        <v>127</v>
      </c>
      <c r="S88" s="2"/>
      <c r="T88" s="2"/>
    </row>
    <row x14ac:dyDescent="0.25" r="89" customHeight="1" ht="13.5">
      <c r="A89" s="2"/>
      <c r="B89" s="2"/>
      <c r="C89" s="2"/>
      <c r="D89" s="2"/>
      <c r="E89" s="107" t="s">
        <v>111</v>
      </c>
      <c r="F89" s="107" t="s">
        <v>112</v>
      </c>
      <c r="G89" s="63">
        <v>834</v>
      </c>
      <c r="H89" s="107" t="s">
        <v>113</v>
      </c>
      <c r="I89" s="63">
        <v>5312</v>
      </c>
      <c r="J89" s="107" t="s">
        <v>114</v>
      </c>
      <c r="K89" s="119" t="s">
        <v>140</v>
      </c>
      <c r="L89" s="107" t="s">
        <v>141</v>
      </c>
      <c r="M89" s="63">
        <v>2018</v>
      </c>
      <c r="N89" s="63">
        <v>2018</v>
      </c>
      <c r="O89" s="107" t="s">
        <v>117</v>
      </c>
      <c r="P89" s="8">
        <v>983505</v>
      </c>
      <c r="Q89" s="107" t="s">
        <v>126</v>
      </c>
      <c r="R89" s="107" t="s">
        <v>127</v>
      </c>
      <c r="S89" s="2"/>
      <c r="T89" s="2"/>
    </row>
    <row x14ac:dyDescent="0.25" r="90" customHeight="1" ht="13.5">
      <c r="A90" s="2"/>
      <c r="B90" s="2"/>
      <c r="C90" s="2"/>
      <c r="D90" s="2"/>
      <c r="E90" s="107" t="s">
        <v>111</v>
      </c>
      <c r="F90" s="107" t="s">
        <v>112</v>
      </c>
      <c r="G90" s="63">
        <v>834</v>
      </c>
      <c r="H90" s="107" t="s">
        <v>113</v>
      </c>
      <c r="I90" s="63">
        <v>5312</v>
      </c>
      <c r="J90" s="107" t="s">
        <v>114</v>
      </c>
      <c r="K90" s="119" t="s">
        <v>140</v>
      </c>
      <c r="L90" s="107" t="s">
        <v>141</v>
      </c>
      <c r="M90" s="63">
        <v>2019</v>
      </c>
      <c r="N90" s="63">
        <v>2019</v>
      </c>
      <c r="O90" s="107" t="s">
        <v>117</v>
      </c>
      <c r="P90" s="8">
        <v>990835</v>
      </c>
      <c r="Q90" s="107" t="s">
        <v>126</v>
      </c>
      <c r="R90" s="107" t="s">
        <v>127</v>
      </c>
      <c r="S90" s="2"/>
      <c r="T90" s="2"/>
    </row>
    <row x14ac:dyDescent="0.25" r="91" customHeight="1" ht="13.5">
      <c r="A91" s="2"/>
      <c r="B91" s="2"/>
      <c r="C91" s="2"/>
      <c r="D91" s="2"/>
      <c r="E91" s="107" t="s">
        <v>111</v>
      </c>
      <c r="F91" s="107" t="s">
        <v>112</v>
      </c>
      <c r="G91" s="63">
        <v>834</v>
      </c>
      <c r="H91" s="107" t="s">
        <v>113</v>
      </c>
      <c r="I91" s="63">
        <v>5312</v>
      </c>
      <c r="J91" s="107" t="s">
        <v>114</v>
      </c>
      <c r="K91" s="119" t="s">
        <v>140</v>
      </c>
      <c r="L91" s="107" t="s">
        <v>141</v>
      </c>
      <c r="M91" s="63">
        <v>2020</v>
      </c>
      <c r="N91" s="63">
        <v>2020</v>
      </c>
      <c r="O91" s="107" t="s">
        <v>117</v>
      </c>
      <c r="P91" s="8">
        <v>992976</v>
      </c>
      <c r="Q91" s="107" t="s">
        <v>120</v>
      </c>
      <c r="R91" s="107" t="s">
        <v>121</v>
      </c>
      <c r="S91" s="2"/>
      <c r="T91" s="2"/>
    </row>
    <row x14ac:dyDescent="0.25" r="92" customHeight="1" ht="13.5">
      <c r="A92" s="2"/>
      <c r="B92" s="2"/>
      <c r="C92" s="2"/>
      <c r="D92" s="2"/>
      <c r="E92" s="107" t="s">
        <v>111</v>
      </c>
      <c r="F92" s="107" t="s">
        <v>112</v>
      </c>
      <c r="G92" s="63">
        <v>834</v>
      </c>
      <c r="H92" s="107" t="s">
        <v>113</v>
      </c>
      <c r="I92" s="63">
        <v>5312</v>
      </c>
      <c r="J92" s="107" t="s">
        <v>114</v>
      </c>
      <c r="K92" s="119" t="s">
        <v>140</v>
      </c>
      <c r="L92" s="107" t="s">
        <v>141</v>
      </c>
      <c r="M92" s="63">
        <v>2021</v>
      </c>
      <c r="N92" s="63">
        <v>2021</v>
      </c>
      <c r="O92" s="107" t="s">
        <v>117</v>
      </c>
      <c r="P92" s="8">
        <v>986721</v>
      </c>
      <c r="Q92" s="107" t="s">
        <v>120</v>
      </c>
      <c r="R92" s="107" t="s">
        <v>121</v>
      </c>
      <c r="S92" s="2"/>
      <c r="T92" s="2"/>
    </row>
    <row x14ac:dyDescent="0.25" r="93" customHeight="1" ht="13.5">
      <c r="A93" s="2"/>
      <c r="B93" s="2"/>
      <c r="C93" s="2"/>
      <c r="D93" s="2"/>
      <c r="E93" s="107" t="s">
        <v>111</v>
      </c>
      <c r="F93" s="107" t="s">
        <v>112</v>
      </c>
      <c r="G93" s="63">
        <v>834</v>
      </c>
      <c r="H93" s="107" t="s">
        <v>113</v>
      </c>
      <c r="I93" s="63">
        <v>5419</v>
      </c>
      <c r="J93" s="107" t="s">
        <v>122</v>
      </c>
      <c r="K93" s="119" t="s">
        <v>140</v>
      </c>
      <c r="L93" s="107" t="s">
        <v>141</v>
      </c>
      <c r="M93" s="63">
        <v>2017</v>
      </c>
      <c r="N93" s="63">
        <v>2017</v>
      </c>
      <c r="O93" s="107" t="s">
        <v>123</v>
      </c>
      <c r="P93" s="8">
        <v>33482</v>
      </c>
      <c r="Q93" s="107" t="s">
        <v>126</v>
      </c>
      <c r="R93" s="107" t="s">
        <v>127</v>
      </c>
      <c r="S93" s="2"/>
      <c r="T93" s="2"/>
    </row>
    <row x14ac:dyDescent="0.25" r="94" customHeight="1" ht="13.5">
      <c r="A94" s="2"/>
      <c r="B94" s="2"/>
      <c r="C94" s="2"/>
      <c r="D94" s="2"/>
      <c r="E94" s="107" t="s">
        <v>111</v>
      </c>
      <c r="F94" s="107" t="s">
        <v>112</v>
      </c>
      <c r="G94" s="63">
        <v>834</v>
      </c>
      <c r="H94" s="107" t="s">
        <v>113</v>
      </c>
      <c r="I94" s="63">
        <v>5419</v>
      </c>
      <c r="J94" s="107" t="s">
        <v>122</v>
      </c>
      <c r="K94" s="119" t="s">
        <v>140</v>
      </c>
      <c r="L94" s="107" t="s">
        <v>141</v>
      </c>
      <c r="M94" s="63">
        <v>2018</v>
      </c>
      <c r="N94" s="63">
        <v>2018</v>
      </c>
      <c r="O94" s="107" t="s">
        <v>123</v>
      </c>
      <c r="P94" s="8">
        <v>85126</v>
      </c>
      <c r="Q94" s="107" t="s">
        <v>126</v>
      </c>
      <c r="R94" s="107" t="s">
        <v>127</v>
      </c>
      <c r="S94" s="2"/>
      <c r="T94" s="2"/>
    </row>
    <row x14ac:dyDescent="0.25" r="95" customHeight="1" ht="13.5">
      <c r="A95" s="2"/>
      <c r="B95" s="2"/>
      <c r="C95" s="2"/>
      <c r="D95" s="2"/>
      <c r="E95" s="107" t="s">
        <v>111</v>
      </c>
      <c r="F95" s="107" t="s">
        <v>112</v>
      </c>
      <c r="G95" s="63">
        <v>834</v>
      </c>
      <c r="H95" s="107" t="s">
        <v>113</v>
      </c>
      <c r="I95" s="63">
        <v>5419</v>
      </c>
      <c r="J95" s="107" t="s">
        <v>122</v>
      </c>
      <c r="K95" s="119" t="s">
        <v>140</v>
      </c>
      <c r="L95" s="107" t="s">
        <v>141</v>
      </c>
      <c r="M95" s="63">
        <v>2019</v>
      </c>
      <c r="N95" s="63">
        <v>2019</v>
      </c>
      <c r="O95" s="107" t="s">
        <v>123</v>
      </c>
      <c r="P95" s="8">
        <v>82598</v>
      </c>
      <c r="Q95" s="107" t="s">
        <v>126</v>
      </c>
      <c r="R95" s="107" t="s">
        <v>127</v>
      </c>
      <c r="S95" s="2"/>
      <c r="T95" s="2"/>
    </row>
    <row x14ac:dyDescent="0.25" r="96" customHeight="1" ht="13.5">
      <c r="A96" s="2"/>
      <c r="B96" s="2"/>
      <c r="C96" s="2"/>
      <c r="D96" s="2"/>
      <c r="E96" s="107" t="s">
        <v>111</v>
      </c>
      <c r="F96" s="107" t="s">
        <v>112</v>
      </c>
      <c r="G96" s="63">
        <v>834</v>
      </c>
      <c r="H96" s="107" t="s">
        <v>113</v>
      </c>
      <c r="I96" s="63">
        <v>5419</v>
      </c>
      <c r="J96" s="107" t="s">
        <v>122</v>
      </c>
      <c r="K96" s="119" t="s">
        <v>140</v>
      </c>
      <c r="L96" s="107" t="s">
        <v>141</v>
      </c>
      <c r="M96" s="63">
        <v>2020</v>
      </c>
      <c r="N96" s="63">
        <v>2020</v>
      </c>
      <c r="O96" s="107" t="s">
        <v>123</v>
      </c>
      <c r="P96" s="8">
        <v>69684</v>
      </c>
      <c r="Q96" s="107" t="s">
        <v>118</v>
      </c>
      <c r="R96" s="107" t="s">
        <v>119</v>
      </c>
      <c r="S96" s="2"/>
      <c r="T96" s="2"/>
    </row>
    <row x14ac:dyDescent="0.25" r="97" customHeight="1" ht="13.5">
      <c r="A97" s="2"/>
      <c r="B97" s="2"/>
      <c r="C97" s="2"/>
      <c r="D97" s="2"/>
      <c r="E97" s="107" t="s">
        <v>111</v>
      </c>
      <c r="F97" s="107" t="s">
        <v>112</v>
      </c>
      <c r="G97" s="63">
        <v>834</v>
      </c>
      <c r="H97" s="107" t="s">
        <v>113</v>
      </c>
      <c r="I97" s="63">
        <v>5419</v>
      </c>
      <c r="J97" s="107" t="s">
        <v>122</v>
      </c>
      <c r="K97" s="119" t="s">
        <v>140</v>
      </c>
      <c r="L97" s="107" t="s">
        <v>141</v>
      </c>
      <c r="M97" s="63">
        <v>2021</v>
      </c>
      <c r="N97" s="63">
        <v>2021</v>
      </c>
      <c r="O97" s="107" t="s">
        <v>123</v>
      </c>
      <c r="P97" s="8">
        <v>62084</v>
      </c>
      <c r="Q97" s="107" t="s">
        <v>118</v>
      </c>
      <c r="R97" s="107" t="s">
        <v>119</v>
      </c>
      <c r="S97" s="2"/>
      <c r="T97" s="2"/>
    </row>
    <row x14ac:dyDescent="0.25" r="98" customHeight="1" ht="13.5">
      <c r="A98" s="2"/>
      <c r="B98" s="2"/>
      <c r="C98" s="2"/>
      <c r="D98" s="2"/>
      <c r="E98" s="107" t="s">
        <v>111</v>
      </c>
      <c r="F98" s="107" t="s">
        <v>112</v>
      </c>
      <c r="G98" s="63">
        <v>834</v>
      </c>
      <c r="H98" s="107" t="s">
        <v>113</v>
      </c>
      <c r="I98" s="63">
        <v>5312</v>
      </c>
      <c r="J98" s="107" t="s">
        <v>114</v>
      </c>
      <c r="K98" s="119" t="s">
        <v>142</v>
      </c>
      <c r="L98" s="107" t="s">
        <v>143</v>
      </c>
      <c r="M98" s="63">
        <v>2017</v>
      </c>
      <c r="N98" s="63">
        <v>2017</v>
      </c>
      <c r="O98" s="107" t="s">
        <v>117</v>
      </c>
      <c r="P98" s="8">
        <v>6000</v>
      </c>
      <c r="Q98" s="107" t="s">
        <v>144</v>
      </c>
      <c r="R98" s="107" t="s">
        <v>145</v>
      </c>
      <c r="S98" s="2"/>
      <c r="T98" s="2"/>
    </row>
    <row x14ac:dyDescent="0.25" r="99" customHeight="1" ht="13.5">
      <c r="A99" s="2"/>
      <c r="B99" s="2"/>
      <c r="C99" s="2"/>
      <c r="D99" s="2"/>
      <c r="E99" s="107" t="s">
        <v>111</v>
      </c>
      <c r="F99" s="107" t="s">
        <v>112</v>
      </c>
      <c r="G99" s="63">
        <v>834</v>
      </c>
      <c r="H99" s="107" t="s">
        <v>113</v>
      </c>
      <c r="I99" s="63">
        <v>5312</v>
      </c>
      <c r="J99" s="107" t="s">
        <v>114</v>
      </c>
      <c r="K99" s="119" t="s">
        <v>142</v>
      </c>
      <c r="L99" s="107" t="s">
        <v>143</v>
      </c>
      <c r="M99" s="63">
        <v>2018</v>
      </c>
      <c r="N99" s="63">
        <v>2018</v>
      </c>
      <c r="O99" s="107" t="s">
        <v>117</v>
      </c>
      <c r="P99" s="8">
        <v>6000</v>
      </c>
      <c r="Q99" s="107" t="s">
        <v>144</v>
      </c>
      <c r="R99" s="107" t="s">
        <v>145</v>
      </c>
      <c r="S99" s="2"/>
      <c r="T99" s="2"/>
    </row>
    <row x14ac:dyDescent="0.25" r="100" customHeight="1" ht="13.5">
      <c r="A100" s="2"/>
      <c r="B100" s="2"/>
      <c r="C100" s="2"/>
      <c r="D100" s="2"/>
      <c r="E100" s="107" t="s">
        <v>111</v>
      </c>
      <c r="F100" s="107" t="s">
        <v>112</v>
      </c>
      <c r="G100" s="63">
        <v>834</v>
      </c>
      <c r="H100" s="107" t="s">
        <v>113</v>
      </c>
      <c r="I100" s="63">
        <v>5312</v>
      </c>
      <c r="J100" s="107" t="s">
        <v>114</v>
      </c>
      <c r="K100" s="119" t="s">
        <v>142</v>
      </c>
      <c r="L100" s="107" t="s">
        <v>143</v>
      </c>
      <c r="M100" s="63">
        <v>2019</v>
      </c>
      <c r="N100" s="63">
        <v>2019</v>
      </c>
      <c r="O100" s="107" t="s">
        <v>117</v>
      </c>
      <c r="P100" s="8">
        <v>7000</v>
      </c>
      <c r="Q100" s="107" t="s">
        <v>144</v>
      </c>
      <c r="R100" s="107" t="s">
        <v>145</v>
      </c>
      <c r="S100" s="2"/>
      <c r="T100" s="2"/>
    </row>
    <row x14ac:dyDescent="0.25" r="101" customHeight="1" ht="13.5">
      <c r="A101" s="2"/>
      <c r="B101" s="2"/>
      <c r="C101" s="2"/>
      <c r="D101" s="2"/>
      <c r="E101" s="107" t="s">
        <v>111</v>
      </c>
      <c r="F101" s="107" t="s">
        <v>112</v>
      </c>
      <c r="G101" s="63">
        <v>834</v>
      </c>
      <c r="H101" s="107" t="s">
        <v>113</v>
      </c>
      <c r="I101" s="63">
        <v>5312</v>
      </c>
      <c r="J101" s="107" t="s">
        <v>114</v>
      </c>
      <c r="K101" s="119" t="s">
        <v>142</v>
      </c>
      <c r="L101" s="107" t="s">
        <v>143</v>
      </c>
      <c r="M101" s="63">
        <v>2020</v>
      </c>
      <c r="N101" s="63">
        <v>2020</v>
      </c>
      <c r="O101" s="107" t="s">
        <v>117</v>
      </c>
      <c r="P101" s="8">
        <v>7000</v>
      </c>
      <c r="Q101" s="107" t="s">
        <v>144</v>
      </c>
      <c r="R101" s="107" t="s">
        <v>145</v>
      </c>
      <c r="S101" s="2"/>
      <c r="T101" s="2"/>
    </row>
    <row x14ac:dyDescent="0.25" r="102" customHeight="1" ht="13.5">
      <c r="A102" s="2"/>
      <c r="B102" s="2"/>
      <c r="C102" s="2"/>
      <c r="D102" s="2"/>
      <c r="E102" s="107" t="s">
        <v>111</v>
      </c>
      <c r="F102" s="107" t="s">
        <v>112</v>
      </c>
      <c r="G102" s="63">
        <v>834</v>
      </c>
      <c r="H102" s="107" t="s">
        <v>113</v>
      </c>
      <c r="I102" s="63">
        <v>5312</v>
      </c>
      <c r="J102" s="107" t="s">
        <v>114</v>
      </c>
      <c r="K102" s="119" t="s">
        <v>142</v>
      </c>
      <c r="L102" s="107" t="s">
        <v>143</v>
      </c>
      <c r="M102" s="63">
        <v>2021</v>
      </c>
      <c r="N102" s="63">
        <v>2021</v>
      </c>
      <c r="O102" s="107" t="s">
        <v>117</v>
      </c>
      <c r="P102" s="8">
        <v>7000</v>
      </c>
      <c r="Q102" s="107" t="s">
        <v>144</v>
      </c>
      <c r="R102" s="107" t="s">
        <v>145</v>
      </c>
      <c r="S102" s="2"/>
      <c r="T102" s="2"/>
    </row>
    <row x14ac:dyDescent="0.25" r="103" customHeight="1" ht="13.5">
      <c r="A103" s="2"/>
      <c r="B103" s="2"/>
      <c r="C103" s="2"/>
      <c r="D103" s="2"/>
      <c r="E103" s="107" t="s">
        <v>111</v>
      </c>
      <c r="F103" s="107" t="s">
        <v>112</v>
      </c>
      <c r="G103" s="63">
        <v>834</v>
      </c>
      <c r="H103" s="107" t="s">
        <v>113</v>
      </c>
      <c r="I103" s="63">
        <v>5419</v>
      </c>
      <c r="J103" s="107" t="s">
        <v>122</v>
      </c>
      <c r="K103" s="119" t="s">
        <v>142</v>
      </c>
      <c r="L103" s="107" t="s">
        <v>143</v>
      </c>
      <c r="M103" s="63">
        <v>2017</v>
      </c>
      <c r="N103" s="63">
        <v>2017</v>
      </c>
      <c r="O103" s="107" t="s">
        <v>123</v>
      </c>
      <c r="P103" s="8">
        <v>5000</v>
      </c>
      <c r="Q103" s="107" t="s">
        <v>118</v>
      </c>
      <c r="R103" s="107" t="s">
        <v>119</v>
      </c>
      <c r="S103" s="2"/>
      <c r="T103" s="2"/>
    </row>
    <row x14ac:dyDescent="0.25" r="104" customHeight="1" ht="13.5">
      <c r="A104" s="2"/>
      <c r="B104" s="2"/>
      <c r="C104" s="2"/>
      <c r="D104" s="2"/>
      <c r="E104" s="107" t="s">
        <v>111</v>
      </c>
      <c r="F104" s="107" t="s">
        <v>112</v>
      </c>
      <c r="G104" s="63">
        <v>834</v>
      </c>
      <c r="H104" s="107" t="s">
        <v>113</v>
      </c>
      <c r="I104" s="63">
        <v>5419</v>
      </c>
      <c r="J104" s="107" t="s">
        <v>122</v>
      </c>
      <c r="K104" s="119" t="s">
        <v>142</v>
      </c>
      <c r="L104" s="107" t="s">
        <v>143</v>
      </c>
      <c r="M104" s="63">
        <v>2018</v>
      </c>
      <c r="N104" s="63">
        <v>2018</v>
      </c>
      <c r="O104" s="107" t="s">
        <v>123</v>
      </c>
      <c r="P104" s="8">
        <v>5000</v>
      </c>
      <c r="Q104" s="107" t="s">
        <v>118</v>
      </c>
      <c r="R104" s="107" t="s">
        <v>119</v>
      </c>
      <c r="S104" s="2"/>
      <c r="T104" s="2"/>
    </row>
    <row x14ac:dyDescent="0.25" r="105" customHeight="1" ht="13.5">
      <c r="A105" s="2"/>
      <c r="B105" s="2"/>
      <c r="C105" s="2"/>
      <c r="D105" s="2"/>
      <c r="E105" s="107" t="s">
        <v>111</v>
      </c>
      <c r="F105" s="107" t="s">
        <v>112</v>
      </c>
      <c r="G105" s="63">
        <v>834</v>
      </c>
      <c r="H105" s="107" t="s">
        <v>113</v>
      </c>
      <c r="I105" s="63">
        <v>5419</v>
      </c>
      <c r="J105" s="107" t="s">
        <v>122</v>
      </c>
      <c r="K105" s="119" t="s">
        <v>142</v>
      </c>
      <c r="L105" s="107" t="s">
        <v>143</v>
      </c>
      <c r="M105" s="63">
        <v>2019</v>
      </c>
      <c r="N105" s="63">
        <v>2019</v>
      </c>
      <c r="O105" s="107" t="s">
        <v>123</v>
      </c>
      <c r="P105" s="8">
        <v>4286</v>
      </c>
      <c r="Q105" s="107" t="s">
        <v>118</v>
      </c>
      <c r="R105" s="107" t="s">
        <v>119</v>
      </c>
      <c r="S105" s="2"/>
      <c r="T105" s="2"/>
    </row>
    <row x14ac:dyDescent="0.25" r="106" customHeight="1" ht="13.5">
      <c r="A106" s="2"/>
      <c r="B106" s="2"/>
      <c r="C106" s="2"/>
      <c r="D106" s="2"/>
      <c r="E106" s="107" t="s">
        <v>111</v>
      </c>
      <c r="F106" s="107" t="s">
        <v>112</v>
      </c>
      <c r="G106" s="63">
        <v>834</v>
      </c>
      <c r="H106" s="107" t="s">
        <v>113</v>
      </c>
      <c r="I106" s="63">
        <v>5419</v>
      </c>
      <c r="J106" s="107" t="s">
        <v>122</v>
      </c>
      <c r="K106" s="119" t="s">
        <v>142</v>
      </c>
      <c r="L106" s="107" t="s">
        <v>143</v>
      </c>
      <c r="M106" s="63">
        <v>2020</v>
      </c>
      <c r="N106" s="63">
        <v>2020</v>
      </c>
      <c r="O106" s="107" t="s">
        <v>123</v>
      </c>
      <c r="P106" s="8">
        <v>4286</v>
      </c>
      <c r="Q106" s="107" t="s">
        <v>118</v>
      </c>
      <c r="R106" s="107" t="s">
        <v>119</v>
      </c>
      <c r="S106" s="2"/>
      <c r="T106" s="2"/>
    </row>
    <row x14ac:dyDescent="0.25" r="107" customHeight="1" ht="13.5">
      <c r="A107" s="2"/>
      <c r="B107" s="2"/>
      <c r="C107" s="2"/>
      <c r="D107" s="2"/>
      <c r="E107" s="107" t="s">
        <v>111</v>
      </c>
      <c r="F107" s="107" t="s">
        <v>112</v>
      </c>
      <c r="G107" s="63">
        <v>834</v>
      </c>
      <c r="H107" s="107" t="s">
        <v>113</v>
      </c>
      <c r="I107" s="63">
        <v>5419</v>
      </c>
      <c r="J107" s="107" t="s">
        <v>122</v>
      </c>
      <c r="K107" s="119" t="s">
        <v>142</v>
      </c>
      <c r="L107" s="107" t="s">
        <v>143</v>
      </c>
      <c r="M107" s="63">
        <v>2021</v>
      </c>
      <c r="N107" s="63">
        <v>2021</v>
      </c>
      <c r="O107" s="107" t="s">
        <v>123</v>
      </c>
      <c r="P107" s="8">
        <v>4286</v>
      </c>
      <c r="Q107" s="107" t="s">
        <v>118</v>
      </c>
      <c r="R107" s="107" t="s">
        <v>119</v>
      </c>
      <c r="S107" s="2"/>
      <c r="T107" s="2"/>
    </row>
    <row x14ac:dyDescent="0.25" r="108" customHeight="1" ht="13.5">
      <c r="A108" s="2"/>
      <c r="B108" s="2"/>
      <c r="C108" s="2"/>
      <c r="D108" s="2"/>
      <c r="E108" s="107" t="s">
        <v>111</v>
      </c>
      <c r="F108" s="107" t="s">
        <v>112</v>
      </c>
      <c r="G108" s="63">
        <v>834</v>
      </c>
      <c r="H108" s="107" t="s">
        <v>113</v>
      </c>
      <c r="I108" s="63">
        <v>5312</v>
      </c>
      <c r="J108" s="107" t="s">
        <v>114</v>
      </c>
      <c r="K108" s="119" t="s">
        <v>146</v>
      </c>
      <c r="L108" s="107" t="s">
        <v>147</v>
      </c>
      <c r="M108" s="63">
        <v>2017</v>
      </c>
      <c r="N108" s="63">
        <v>2017</v>
      </c>
      <c r="O108" s="107" t="s">
        <v>117</v>
      </c>
      <c r="P108" s="8">
        <v>56661</v>
      </c>
      <c r="Q108" s="107" t="s">
        <v>118</v>
      </c>
      <c r="R108" s="107" t="s">
        <v>119</v>
      </c>
      <c r="S108" s="2"/>
      <c r="T108" s="2"/>
    </row>
    <row x14ac:dyDescent="0.25" r="109" customHeight="1" ht="13.5">
      <c r="A109" s="2"/>
      <c r="B109" s="2"/>
      <c r="C109" s="2"/>
      <c r="D109" s="2"/>
      <c r="E109" s="107" t="s">
        <v>111</v>
      </c>
      <c r="F109" s="107" t="s">
        <v>112</v>
      </c>
      <c r="G109" s="63">
        <v>834</v>
      </c>
      <c r="H109" s="107" t="s">
        <v>113</v>
      </c>
      <c r="I109" s="63">
        <v>5312</v>
      </c>
      <c r="J109" s="107" t="s">
        <v>114</v>
      </c>
      <c r="K109" s="119" t="s">
        <v>146</v>
      </c>
      <c r="L109" s="107" t="s">
        <v>147</v>
      </c>
      <c r="M109" s="63">
        <v>2018</v>
      </c>
      <c r="N109" s="63">
        <v>2018</v>
      </c>
      <c r="O109" s="107" t="s">
        <v>117</v>
      </c>
      <c r="P109" s="8">
        <v>53030</v>
      </c>
      <c r="Q109" s="107" t="s">
        <v>118</v>
      </c>
      <c r="R109" s="107" t="s">
        <v>119</v>
      </c>
      <c r="S109" s="2"/>
      <c r="T109" s="2"/>
    </row>
    <row x14ac:dyDescent="0.25" r="110" customHeight="1" ht="13.5">
      <c r="A110" s="2"/>
      <c r="B110" s="2"/>
      <c r="C110" s="2"/>
      <c r="D110" s="2"/>
      <c r="E110" s="107" t="s">
        <v>111</v>
      </c>
      <c r="F110" s="107" t="s">
        <v>112</v>
      </c>
      <c r="G110" s="63">
        <v>834</v>
      </c>
      <c r="H110" s="107" t="s">
        <v>113</v>
      </c>
      <c r="I110" s="63">
        <v>5312</v>
      </c>
      <c r="J110" s="107" t="s">
        <v>114</v>
      </c>
      <c r="K110" s="119" t="s">
        <v>146</v>
      </c>
      <c r="L110" s="107" t="s">
        <v>147</v>
      </c>
      <c r="M110" s="63">
        <v>2019</v>
      </c>
      <c r="N110" s="63">
        <v>2019</v>
      </c>
      <c r="O110" s="107" t="s">
        <v>117</v>
      </c>
      <c r="P110" s="8">
        <v>54943</v>
      </c>
      <c r="Q110" s="107" t="s">
        <v>120</v>
      </c>
      <c r="R110" s="107" t="s">
        <v>121</v>
      </c>
      <c r="S110" s="2"/>
      <c r="T110" s="2"/>
    </row>
    <row x14ac:dyDescent="0.25" r="111" customHeight="1" ht="13.5">
      <c r="A111" s="2"/>
      <c r="B111" s="2"/>
      <c r="C111" s="2"/>
      <c r="D111" s="2"/>
      <c r="E111" s="107" t="s">
        <v>111</v>
      </c>
      <c r="F111" s="107" t="s">
        <v>112</v>
      </c>
      <c r="G111" s="63">
        <v>834</v>
      </c>
      <c r="H111" s="107" t="s">
        <v>113</v>
      </c>
      <c r="I111" s="63">
        <v>5312</v>
      </c>
      <c r="J111" s="107" t="s">
        <v>114</v>
      </c>
      <c r="K111" s="119" t="s">
        <v>146</v>
      </c>
      <c r="L111" s="107" t="s">
        <v>147</v>
      </c>
      <c r="M111" s="63">
        <v>2020</v>
      </c>
      <c r="N111" s="63">
        <v>2020</v>
      </c>
      <c r="O111" s="107" t="s">
        <v>117</v>
      </c>
      <c r="P111" s="8">
        <v>56954</v>
      </c>
      <c r="Q111" s="107" t="s">
        <v>120</v>
      </c>
      <c r="R111" s="107" t="s">
        <v>121</v>
      </c>
      <c r="S111" s="2"/>
      <c r="T111" s="2"/>
    </row>
    <row x14ac:dyDescent="0.25" r="112" customHeight="1" ht="13.5">
      <c r="A112" s="2"/>
      <c r="B112" s="2"/>
      <c r="C112" s="2"/>
      <c r="D112" s="2"/>
      <c r="E112" s="107" t="s">
        <v>111</v>
      </c>
      <c r="F112" s="107" t="s">
        <v>112</v>
      </c>
      <c r="G112" s="63">
        <v>834</v>
      </c>
      <c r="H112" s="107" t="s">
        <v>113</v>
      </c>
      <c r="I112" s="63">
        <v>5312</v>
      </c>
      <c r="J112" s="107" t="s">
        <v>114</v>
      </c>
      <c r="K112" s="119" t="s">
        <v>146</v>
      </c>
      <c r="L112" s="107" t="s">
        <v>147</v>
      </c>
      <c r="M112" s="63">
        <v>2021</v>
      </c>
      <c r="N112" s="63">
        <v>2021</v>
      </c>
      <c r="O112" s="107" t="s">
        <v>117</v>
      </c>
      <c r="P112" s="8">
        <v>58956</v>
      </c>
      <c r="Q112" s="107" t="s">
        <v>120</v>
      </c>
      <c r="R112" s="107" t="s">
        <v>121</v>
      </c>
      <c r="S112" s="2"/>
      <c r="T112" s="2"/>
    </row>
    <row x14ac:dyDescent="0.25" r="113" customHeight="1" ht="13.5">
      <c r="A113" s="2"/>
      <c r="B113" s="2"/>
      <c r="C113" s="2"/>
      <c r="D113" s="2"/>
      <c r="E113" s="107" t="s">
        <v>111</v>
      </c>
      <c r="F113" s="107" t="s">
        <v>112</v>
      </c>
      <c r="G113" s="63">
        <v>834</v>
      </c>
      <c r="H113" s="107" t="s">
        <v>113</v>
      </c>
      <c r="I113" s="63">
        <v>5419</v>
      </c>
      <c r="J113" s="107" t="s">
        <v>122</v>
      </c>
      <c r="K113" s="119" t="s">
        <v>146</v>
      </c>
      <c r="L113" s="107" t="s">
        <v>147</v>
      </c>
      <c r="M113" s="63">
        <v>2017</v>
      </c>
      <c r="N113" s="63">
        <v>2017</v>
      </c>
      <c r="O113" s="107" t="s">
        <v>123</v>
      </c>
      <c r="P113" s="8">
        <v>10659</v>
      </c>
      <c r="Q113" s="107" t="s">
        <v>118</v>
      </c>
      <c r="R113" s="107" t="s">
        <v>119</v>
      </c>
      <c r="S113" s="2"/>
      <c r="T113" s="2"/>
    </row>
    <row x14ac:dyDescent="0.25" r="114" customHeight="1" ht="13.5">
      <c r="A114" s="2"/>
      <c r="B114" s="2"/>
      <c r="C114" s="2"/>
      <c r="D114" s="2"/>
      <c r="E114" s="107" t="s">
        <v>111</v>
      </c>
      <c r="F114" s="107" t="s">
        <v>112</v>
      </c>
      <c r="G114" s="63">
        <v>834</v>
      </c>
      <c r="H114" s="107" t="s">
        <v>113</v>
      </c>
      <c r="I114" s="63">
        <v>5419</v>
      </c>
      <c r="J114" s="107" t="s">
        <v>122</v>
      </c>
      <c r="K114" s="119" t="s">
        <v>146</v>
      </c>
      <c r="L114" s="107" t="s">
        <v>147</v>
      </c>
      <c r="M114" s="63">
        <v>2018</v>
      </c>
      <c r="N114" s="63">
        <v>2018</v>
      </c>
      <c r="O114" s="107" t="s">
        <v>123</v>
      </c>
      <c r="P114" s="8">
        <v>10659</v>
      </c>
      <c r="Q114" s="107" t="s">
        <v>118</v>
      </c>
      <c r="R114" s="107" t="s">
        <v>119</v>
      </c>
      <c r="S114" s="2"/>
      <c r="T114" s="2"/>
    </row>
    <row x14ac:dyDescent="0.25" r="115" customHeight="1" ht="13.5">
      <c r="A115" s="2"/>
      <c r="B115" s="2"/>
      <c r="C115" s="2"/>
      <c r="D115" s="2"/>
      <c r="E115" s="107" t="s">
        <v>111</v>
      </c>
      <c r="F115" s="107" t="s">
        <v>112</v>
      </c>
      <c r="G115" s="63">
        <v>834</v>
      </c>
      <c r="H115" s="107" t="s">
        <v>113</v>
      </c>
      <c r="I115" s="63">
        <v>5419</v>
      </c>
      <c r="J115" s="107" t="s">
        <v>122</v>
      </c>
      <c r="K115" s="119" t="s">
        <v>146</v>
      </c>
      <c r="L115" s="107" t="s">
        <v>147</v>
      </c>
      <c r="M115" s="63">
        <v>2019</v>
      </c>
      <c r="N115" s="63">
        <v>2019</v>
      </c>
      <c r="O115" s="107" t="s">
        <v>123</v>
      </c>
      <c r="P115" s="8">
        <v>10601</v>
      </c>
      <c r="Q115" s="107" t="s">
        <v>118</v>
      </c>
      <c r="R115" s="107" t="s">
        <v>119</v>
      </c>
      <c r="S115" s="2"/>
      <c r="T115" s="2"/>
    </row>
    <row x14ac:dyDescent="0.25" r="116" customHeight="1" ht="13.5">
      <c r="A116" s="2"/>
      <c r="B116" s="2"/>
      <c r="C116" s="2"/>
      <c r="D116" s="2"/>
      <c r="E116" s="107" t="s">
        <v>111</v>
      </c>
      <c r="F116" s="107" t="s">
        <v>112</v>
      </c>
      <c r="G116" s="63">
        <v>834</v>
      </c>
      <c r="H116" s="107" t="s">
        <v>113</v>
      </c>
      <c r="I116" s="63">
        <v>5419</v>
      </c>
      <c r="J116" s="107" t="s">
        <v>122</v>
      </c>
      <c r="K116" s="119" t="s">
        <v>146</v>
      </c>
      <c r="L116" s="107" t="s">
        <v>147</v>
      </c>
      <c r="M116" s="63">
        <v>2020</v>
      </c>
      <c r="N116" s="63">
        <v>2020</v>
      </c>
      <c r="O116" s="107" t="s">
        <v>123</v>
      </c>
      <c r="P116" s="8">
        <v>10627</v>
      </c>
      <c r="Q116" s="107" t="s">
        <v>118</v>
      </c>
      <c r="R116" s="107" t="s">
        <v>119</v>
      </c>
      <c r="S116" s="2"/>
      <c r="T116" s="2"/>
    </row>
    <row x14ac:dyDescent="0.25" r="117" customHeight="1" ht="13.5">
      <c r="A117" s="2"/>
      <c r="B117" s="2"/>
      <c r="C117" s="2"/>
      <c r="D117" s="2"/>
      <c r="E117" s="107" t="s">
        <v>111</v>
      </c>
      <c r="F117" s="107" t="s">
        <v>112</v>
      </c>
      <c r="G117" s="63">
        <v>834</v>
      </c>
      <c r="H117" s="107" t="s">
        <v>113</v>
      </c>
      <c r="I117" s="63">
        <v>5419</v>
      </c>
      <c r="J117" s="107" t="s">
        <v>122</v>
      </c>
      <c r="K117" s="119" t="s">
        <v>146</v>
      </c>
      <c r="L117" s="107" t="s">
        <v>147</v>
      </c>
      <c r="M117" s="63">
        <v>2021</v>
      </c>
      <c r="N117" s="63">
        <v>2021</v>
      </c>
      <c r="O117" s="107" t="s">
        <v>123</v>
      </c>
      <c r="P117" s="8">
        <v>10652</v>
      </c>
      <c r="Q117" s="107" t="s">
        <v>118</v>
      </c>
      <c r="R117" s="107" t="s">
        <v>119</v>
      </c>
      <c r="S117" s="2"/>
      <c r="T117" s="2"/>
    </row>
    <row x14ac:dyDescent="0.25" r="118" customHeight="1" ht="13.5">
      <c r="A118" s="2"/>
      <c r="B118" s="2"/>
      <c r="C118" s="2"/>
      <c r="D118" s="2"/>
      <c r="E118" s="107" t="s">
        <v>111</v>
      </c>
      <c r="F118" s="107" t="s">
        <v>112</v>
      </c>
      <c r="G118" s="63">
        <v>834</v>
      </c>
      <c r="H118" s="107" t="s">
        <v>113</v>
      </c>
      <c r="I118" s="63">
        <v>5312</v>
      </c>
      <c r="J118" s="107" t="s">
        <v>114</v>
      </c>
      <c r="K118" s="119" t="s">
        <v>148</v>
      </c>
      <c r="L118" s="107" t="s">
        <v>149</v>
      </c>
      <c r="M118" s="63">
        <v>2017</v>
      </c>
      <c r="N118" s="63">
        <v>2017</v>
      </c>
      <c r="O118" s="107" t="s">
        <v>117</v>
      </c>
      <c r="P118" s="8">
        <v>40134</v>
      </c>
      <c r="Q118" s="107" t="s">
        <v>126</v>
      </c>
      <c r="R118" s="107" t="s">
        <v>127</v>
      </c>
      <c r="S118" s="2"/>
      <c r="T118" s="2"/>
    </row>
    <row x14ac:dyDescent="0.25" r="119" customHeight="1" ht="13.5">
      <c r="A119" s="2"/>
      <c r="B119" s="2"/>
      <c r="C119" s="2"/>
      <c r="D119" s="2"/>
      <c r="E119" s="107" t="s">
        <v>111</v>
      </c>
      <c r="F119" s="107" t="s">
        <v>112</v>
      </c>
      <c r="G119" s="63">
        <v>834</v>
      </c>
      <c r="H119" s="107" t="s">
        <v>113</v>
      </c>
      <c r="I119" s="63">
        <v>5312</v>
      </c>
      <c r="J119" s="107" t="s">
        <v>114</v>
      </c>
      <c r="K119" s="119" t="s">
        <v>148</v>
      </c>
      <c r="L119" s="107" t="s">
        <v>149</v>
      </c>
      <c r="M119" s="63">
        <v>2018</v>
      </c>
      <c r="N119" s="63">
        <v>2018</v>
      </c>
      <c r="O119" s="107" t="s">
        <v>117</v>
      </c>
      <c r="P119" s="8">
        <v>73441</v>
      </c>
      <c r="Q119" s="107" t="s">
        <v>126</v>
      </c>
      <c r="R119" s="107" t="s">
        <v>127</v>
      </c>
      <c r="S119" s="2"/>
      <c r="T119" s="2"/>
    </row>
    <row x14ac:dyDescent="0.25" r="120" customHeight="1" ht="13.5">
      <c r="A120" s="2"/>
      <c r="B120" s="2"/>
      <c r="C120" s="2"/>
      <c r="D120" s="2"/>
      <c r="E120" s="107" t="s">
        <v>111</v>
      </c>
      <c r="F120" s="107" t="s">
        <v>112</v>
      </c>
      <c r="G120" s="63">
        <v>834</v>
      </c>
      <c r="H120" s="107" t="s">
        <v>113</v>
      </c>
      <c r="I120" s="63">
        <v>5312</v>
      </c>
      <c r="J120" s="107" t="s">
        <v>114</v>
      </c>
      <c r="K120" s="119" t="s">
        <v>148</v>
      </c>
      <c r="L120" s="107" t="s">
        <v>149</v>
      </c>
      <c r="M120" s="63">
        <v>2019</v>
      </c>
      <c r="N120" s="63">
        <v>2019</v>
      </c>
      <c r="O120" s="107" t="s">
        <v>117</v>
      </c>
      <c r="P120" s="8">
        <v>46326</v>
      </c>
      <c r="Q120" s="107" t="s">
        <v>126</v>
      </c>
      <c r="R120" s="107" t="s">
        <v>127</v>
      </c>
      <c r="S120" s="2"/>
      <c r="T120" s="2"/>
    </row>
    <row x14ac:dyDescent="0.25" r="121" customHeight="1" ht="13.5">
      <c r="A121" s="2"/>
      <c r="B121" s="2"/>
      <c r="C121" s="2"/>
      <c r="D121" s="2"/>
      <c r="E121" s="107" t="s">
        <v>111</v>
      </c>
      <c r="F121" s="107" t="s">
        <v>112</v>
      </c>
      <c r="G121" s="63">
        <v>834</v>
      </c>
      <c r="H121" s="107" t="s">
        <v>113</v>
      </c>
      <c r="I121" s="63">
        <v>5312</v>
      </c>
      <c r="J121" s="107" t="s">
        <v>114</v>
      </c>
      <c r="K121" s="119" t="s">
        <v>148</v>
      </c>
      <c r="L121" s="107" t="s">
        <v>149</v>
      </c>
      <c r="M121" s="63">
        <v>2020</v>
      </c>
      <c r="N121" s="63">
        <v>2020</v>
      </c>
      <c r="O121" s="107" t="s">
        <v>117</v>
      </c>
      <c r="P121" s="8">
        <v>95523</v>
      </c>
      <c r="Q121" s="107" t="s">
        <v>120</v>
      </c>
      <c r="R121" s="107" t="s">
        <v>121</v>
      </c>
      <c r="S121" s="2"/>
      <c r="T121" s="2"/>
    </row>
    <row x14ac:dyDescent="0.25" r="122" customHeight="1" ht="13.5">
      <c r="A122" s="2"/>
      <c r="B122" s="2"/>
      <c r="C122" s="2"/>
      <c r="D122" s="2"/>
      <c r="E122" s="107" t="s">
        <v>111</v>
      </c>
      <c r="F122" s="107" t="s">
        <v>112</v>
      </c>
      <c r="G122" s="63">
        <v>834</v>
      </c>
      <c r="H122" s="107" t="s">
        <v>113</v>
      </c>
      <c r="I122" s="63">
        <v>5312</v>
      </c>
      <c r="J122" s="107" t="s">
        <v>114</v>
      </c>
      <c r="K122" s="119" t="s">
        <v>148</v>
      </c>
      <c r="L122" s="107" t="s">
        <v>149</v>
      </c>
      <c r="M122" s="63">
        <v>2021</v>
      </c>
      <c r="N122" s="63">
        <v>2021</v>
      </c>
      <c r="O122" s="107" t="s">
        <v>117</v>
      </c>
      <c r="P122" s="8">
        <v>91369</v>
      </c>
      <c r="Q122" s="107" t="s">
        <v>120</v>
      </c>
      <c r="R122" s="107" t="s">
        <v>121</v>
      </c>
      <c r="S122" s="2"/>
      <c r="T122" s="2"/>
    </row>
    <row x14ac:dyDescent="0.25" r="123" customHeight="1" ht="13.5">
      <c r="A123" s="2"/>
      <c r="B123" s="2"/>
      <c r="C123" s="2"/>
      <c r="D123" s="2"/>
      <c r="E123" s="107" t="s">
        <v>111</v>
      </c>
      <c r="F123" s="107" t="s">
        <v>112</v>
      </c>
      <c r="G123" s="63">
        <v>834</v>
      </c>
      <c r="H123" s="107" t="s">
        <v>113</v>
      </c>
      <c r="I123" s="63">
        <v>5419</v>
      </c>
      <c r="J123" s="107" t="s">
        <v>122</v>
      </c>
      <c r="K123" s="119" t="s">
        <v>148</v>
      </c>
      <c r="L123" s="107" t="s">
        <v>149</v>
      </c>
      <c r="M123" s="63">
        <v>2017</v>
      </c>
      <c r="N123" s="63">
        <v>2017</v>
      </c>
      <c r="O123" s="107" t="s">
        <v>123</v>
      </c>
      <c r="P123" s="8">
        <v>9100</v>
      </c>
      <c r="Q123" s="107" t="s">
        <v>126</v>
      </c>
      <c r="R123" s="107" t="s">
        <v>127</v>
      </c>
      <c r="S123" s="2"/>
      <c r="T123" s="2"/>
    </row>
    <row x14ac:dyDescent="0.25" r="124" customHeight="1" ht="13.5">
      <c r="A124" s="2"/>
      <c r="B124" s="2"/>
      <c r="C124" s="2"/>
      <c r="D124" s="2"/>
      <c r="E124" s="107" t="s">
        <v>111</v>
      </c>
      <c r="F124" s="107" t="s">
        <v>112</v>
      </c>
      <c r="G124" s="63">
        <v>834</v>
      </c>
      <c r="H124" s="107" t="s">
        <v>113</v>
      </c>
      <c r="I124" s="63">
        <v>5419</v>
      </c>
      <c r="J124" s="107" t="s">
        <v>122</v>
      </c>
      <c r="K124" s="119" t="s">
        <v>148</v>
      </c>
      <c r="L124" s="107" t="s">
        <v>149</v>
      </c>
      <c r="M124" s="63">
        <v>2018</v>
      </c>
      <c r="N124" s="63">
        <v>2018</v>
      </c>
      <c r="O124" s="107" t="s">
        <v>123</v>
      </c>
      <c r="P124" s="8">
        <v>9100</v>
      </c>
      <c r="Q124" s="107" t="s">
        <v>126</v>
      </c>
      <c r="R124" s="107" t="s">
        <v>127</v>
      </c>
      <c r="S124" s="2"/>
      <c r="T124" s="2"/>
    </row>
    <row x14ac:dyDescent="0.25" r="125" customHeight="1" ht="13.5">
      <c r="A125" s="2"/>
      <c r="B125" s="2"/>
      <c r="C125" s="2"/>
      <c r="D125" s="2"/>
      <c r="E125" s="107" t="s">
        <v>111</v>
      </c>
      <c r="F125" s="107" t="s">
        <v>112</v>
      </c>
      <c r="G125" s="63">
        <v>834</v>
      </c>
      <c r="H125" s="107" t="s">
        <v>113</v>
      </c>
      <c r="I125" s="63">
        <v>5419</v>
      </c>
      <c r="J125" s="107" t="s">
        <v>122</v>
      </c>
      <c r="K125" s="119" t="s">
        <v>148</v>
      </c>
      <c r="L125" s="107" t="s">
        <v>149</v>
      </c>
      <c r="M125" s="63">
        <v>2019</v>
      </c>
      <c r="N125" s="63">
        <v>2019</v>
      </c>
      <c r="O125" s="107" t="s">
        <v>123</v>
      </c>
      <c r="P125" s="8">
        <v>9100</v>
      </c>
      <c r="Q125" s="107" t="s">
        <v>126</v>
      </c>
      <c r="R125" s="107" t="s">
        <v>127</v>
      </c>
      <c r="S125" s="2"/>
      <c r="T125" s="2"/>
    </row>
    <row x14ac:dyDescent="0.25" r="126" customHeight="1" ht="13.5">
      <c r="A126" s="2"/>
      <c r="B126" s="2"/>
      <c r="C126" s="2"/>
      <c r="D126" s="2"/>
      <c r="E126" s="107" t="s">
        <v>111</v>
      </c>
      <c r="F126" s="107" t="s">
        <v>112</v>
      </c>
      <c r="G126" s="63">
        <v>834</v>
      </c>
      <c r="H126" s="107" t="s">
        <v>113</v>
      </c>
      <c r="I126" s="63">
        <v>5419</v>
      </c>
      <c r="J126" s="107" t="s">
        <v>122</v>
      </c>
      <c r="K126" s="119" t="s">
        <v>148</v>
      </c>
      <c r="L126" s="107" t="s">
        <v>149</v>
      </c>
      <c r="M126" s="63">
        <v>2020</v>
      </c>
      <c r="N126" s="63">
        <v>2020</v>
      </c>
      <c r="O126" s="107" t="s">
        <v>123</v>
      </c>
      <c r="P126" s="8">
        <v>9422</v>
      </c>
      <c r="Q126" s="107" t="s">
        <v>118</v>
      </c>
      <c r="R126" s="107" t="s">
        <v>119</v>
      </c>
      <c r="S126" s="2"/>
      <c r="T126" s="2"/>
    </row>
    <row x14ac:dyDescent="0.25" r="127" customHeight="1" ht="13.5">
      <c r="A127" s="2"/>
      <c r="B127" s="2"/>
      <c r="C127" s="2"/>
      <c r="D127" s="2"/>
      <c r="E127" s="107" t="s">
        <v>111</v>
      </c>
      <c r="F127" s="107" t="s">
        <v>112</v>
      </c>
      <c r="G127" s="63">
        <v>834</v>
      </c>
      <c r="H127" s="107" t="s">
        <v>113</v>
      </c>
      <c r="I127" s="63">
        <v>5419</v>
      </c>
      <c r="J127" s="107" t="s">
        <v>122</v>
      </c>
      <c r="K127" s="119" t="s">
        <v>148</v>
      </c>
      <c r="L127" s="107" t="s">
        <v>149</v>
      </c>
      <c r="M127" s="63">
        <v>2021</v>
      </c>
      <c r="N127" s="63">
        <v>2021</v>
      </c>
      <c r="O127" s="107" t="s">
        <v>123</v>
      </c>
      <c r="P127" s="8">
        <v>9677</v>
      </c>
      <c r="Q127" s="107" t="s">
        <v>118</v>
      </c>
      <c r="R127" s="107" t="s">
        <v>119</v>
      </c>
      <c r="S127" s="2"/>
      <c r="T127" s="2"/>
    </row>
    <row x14ac:dyDescent="0.25" r="128" customHeight="1" ht="13.5">
      <c r="A128" s="2"/>
      <c r="B128" s="2"/>
      <c r="C128" s="2"/>
      <c r="D128" s="2"/>
      <c r="E128" s="107" t="s">
        <v>111</v>
      </c>
      <c r="F128" s="107" t="s">
        <v>112</v>
      </c>
      <c r="G128" s="63">
        <v>834</v>
      </c>
      <c r="H128" s="107" t="s">
        <v>113</v>
      </c>
      <c r="I128" s="63">
        <v>5312</v>
      </c>
      <c r="J128" s="107" t="s">
        <v>114</v>
      </c>
      <c r="K128" s="119" t="s">
        <v>150</v>
      </c>
      <c r="L128" s="107" t="s">
        <v>151</v>
      </c>
      <c r="M128" s="63">
        <v>2017</v>
      </c>
      <c r="N128" s="63">
        <v>2017</v>
      </c>
      <c r="O128" s="107" t="s">
        <v>117</v>
      </c>
      <c r="P128" s="8">
        <v>3042</v>
      </c>
      <c r="Q128" s="107" t="s">
        <v>120</v>
      </c>
      <c r="R128" s="107" t="s">
        <v>121</v>
      </c>
      <c r="S128" s="2"/>
      <c r="T128" s="2"/>
    </row>
    <row x14ac:dyDescent="0.25" r="129" customHeight="1" ht="13.5">
      <c r="A129" s="2"/>
      <c r="B129" s="2"/>
      <c r="C129" s="2"/>
      <c r="D129" s="2"/>
      <c r="E129" s="107" t="s">
        <v>111</v>
      </c>
      <c r="F129" s="107" t="s">
        <v>112</v>
      </c>
      <c r="G129" s="63">
        <v>834</v>
      </c>
      <c r="H129" s="107" t="s">
        <v>113</v>
      </c>
      <c r="I129" s="63">
        <v>5312</v>
      </c>
      <c r="J129" s="107" t="s">
        <v>114</v>
      </c>
      <c r="K129" s="119" t="s">
        <v>150</v>
      </c>
      <c r="L129" s="107" t="s">
        <v>151</v>
      </c>
      <c r="M129" s="63">
        <v>2018</v>
      </c>
      <c r="N129" s="63">
        <v>2018</v>
      </c>
      <c r="O129" s="107" t="s">
        <v>117</v>
      </c>
      <c r="P129" s="8">
        <v>3107</v>
      </c>
      <c r="Q129" s="107" t="s">
        <v>118</v>
      </c>
      <c r="R129" s="107" t="s">
        <v>119</v>
      </c>
      <c r="S129" s="2"/>
      <c r="T129" s="2"/>
    </row>
    <row x14ac:dyDescent="0.25" r="130" customHeight="1" ht="13.5">
      <c r="A130" s="2"/>
      <c r="B130" s="2"/>
      <c r="C130" s="2"/>
      <c r="D130" s="2"/>
      <c r="E130" s="107" t="s">
        <v>111</v>
      </c>
      <c r="F130" s="107" t="s">
        <v>112</v>
      </c>
      <c r="G130" s="63">
        <v>834</v>
      </c>
      <c r="H130" s="107" t="s">
        <v>113</v>
      </c>
      <c r="I130" s="63">
        <v>5312</v>
      </c>
      <c r="J130" s="107" t="s">
        <v>114</v>
      </c>
      <c r="K130" s="119" t="s">
        <v>150</v>
      </c>
      <c r="L130" s="107" t="s">
        <v>151</v>
      </c>
      <c r="M130" s="63">
        <v>2019</v>
      </c>
      <c r="N130" s="63">
        <v>2019</v>
      </c>
      <c r="O130" s="107" t="s">
        <v>117</v>
      </c>
      <c r="P130" s="8">
        <v>3131</v>
      </c>
      <c r="Q130" s="107" t="s">
        <v>118</v>
      </c>
      <c r="R130" s="107" t="s">
        <v>119</v>
      </c>
      <c r="S130" s="2"/>
      <c r="T130" s="2"/>
    </row>
    <row x14ac:dyDescent="0.25" r="131" customHeight="1" ht="13.5">
      <c r="A131" s="2"/>
      <c r="B131" s="2"/>
      <c r="C131" s="2"/>
      <c r="D131" s="2"/>
      <c r="E131" s="107" t="s">
        <v>111</v>
      </c>
      <c r="F131" s="107" t="s">
        <v>112</v>
      </c>
      <c r="G131" s="63">
        <v>834</v>
      </c>
      <c r="H131" s="107" t="s">
        <v>113</v>
      </c>
      <c r="I131" s="63">
        <v>5312</v>
      </c>
      <c r="J131" s="107" t="s">
        <v>114</v>
      </c>
      <c r="K131" s="119" t="s">
        <v>150</v>
      </c>
      <c r="L131" s="107" t="s">
        <v>151</v>
      </c>
      <c r="M131" s="63">
        <v>2020</v>
      </c>
      <c r="N131" s="63">
        <v>2020</v>
      </c>
      <c r="O131" s="107" t="s">
        <v>117</v>
      </c>
      <c r="P131" s="8">
        <v>3093</v>
      </c>
      <c r="Q131" s="107" t="s">
        <v>118</v>
      </c>
      <c r="R131" s="107" t="s">
        <v>119</v>
      </c>
      <c r="S131" s="2"/>
      <c r="T131" s="2"/>
    </row>
    <row x14ac:dyDescent="0.25" r="132" customHeight="1" ht="13.5">
      <c r="A132" s="2"/>
      <c r="B132" s="2"/>
      <c r="C132" s="2"/>
      <c r="D132" s="2"/>
      <c r="E132" s="107" t="s">
        <v>111</v>
      </c>
      <c r="F132" s="107" t="s">
        <v>112</v>
      </c>
      <c r="G132" s="63">
        <v>834</v>
      </c>
      <c r="H132" s="107" t="s">
        <v>113</v>
      </c>
      <c r="I132" s="63">
        <v>5312</v>
      </c>
      <c r="J132" s="107" t="s">
        <v>114</v>
      </c>
      <c r="K132" s="119" t="s">
        <v>150</v>
      </c>
      <c r="L132" s="107" t="s">
        <v>151</v>
      </c>
      <c r="M132" s="63">
        <v>2021</v>
      </c>
      <c r="N132" s="63">
        <v>2021</v>
      </c>
      <c r="O132" s="107" t="s">
        <v>117</v>
      </c>
      <c r="P132" s="8">
        <v>3110</v>
      </c>
      <c r="Q132" s="107" t="s">
        <v>118</v>
      </c>
      <c r="R132" s="107" t="s">
        <v>119</v>
      </c>
      <c r="S132" s="2"/>
      <c r="T132" s="2"/>
    </row>
    <row x14ac:dyDescent="0.25" r="133" customHeight="1" ht="13.5">
      <c r="A133" s="2"/>
      <c r="B133" s="2"/>
      <c r="C133" s="2"/>
      <c r="D133" s="2"/>
      <c r="E133" s="107" t="s">
        <v>111</v>
      </c>
      <c r="F133" s="107" t="s">
        <v>112</v>
      </c>
      <c r="G133" s="63">
        <v>834</v>
      </c>
      <c r="H133" s="107" t="s">
        <v>113</v>
      </c>
      <c r="I133" s="63">
        <v>5419</v>
      </c>
      <c r="J133" s="107" t="s">
        <v>122</v>
      </c>
      <c r="K133" s="119" t="s">
        <v>150</v>
      </c>
      <c r="L133" s="107" t="s">
        <v>151</v>
      </c>
      <c r="M133" s="63">
        <v>2017</v>
      </c>
      <c r="N133" s="63">
        <v>2017</v>
      </c>
      <c r="O133" s="107" t="s">
        <v>123</v>
      </c>
      <c r="P133" s="8">
        <v>23158</v>
      </c>
      <c r="Q133" s="107" t="s">
        <v>118</v>
      </c>
      <c r="R133" s="107" t="s">
        <v>119</v>
      </c>
      <c r="S133" s="2"/>
      <c r="T133" s="2"/>
    </row>
    <row x14ac:dyDescent="0.25" r="134" customHeight="1" ht="13.5">
      <c r="A134" s="2"/>
      <c r="B134" s="2"/>
      <c r="C134" s="2"/>
      <c r="D134" s="2"/>
      <c r="E134" s="107" t="s">
        <v>111</v>
      </c>
      <c r="F134" s="107" t="s">
        <v>112</v>
      </c>
      <c r="G134" s="63">
        <v>834</v>
      </c>
      <c r="H134" s="107" t="s">
        <v>113</v>
      </c>
      <c r="I134" s="63">
        <v>5419</v>
      </c>
      <c r="J134" s="107" t="s">
        <v>122</v>
      </c>
      <c r="K134" s="119" t="s">
        <v>150</v>
      </c>
      <c r="L134" s="107" t="s">
        <v>151</v>
      </c>
      <c r="M134" s="63">
        <v>2018</v>
      </c>
      <c r="N134" s="63">
        <v>2018</v>
      </c>
      <c r="O134" s="107" t="s">
        <v>123</v>
      </c>
      <c r="P134" s="8">
        <v>23177</v>
      </c>
      <c r="Q134" s="107" t="s">
        <v>118</v>
      </c>
      <c r="R134" s="107" t="s">
        <v>119</v>
      </c>
      <c r="S134" s="2"/>
      <c r="T134" s="2"/>
    </row>
    <row x14ac:dyDescent="0.25" r="135" customHeight="1" ht="13.5">
      <c r="A135" s="2"/>
      <c r="B135" s="2"/>
      <c r="C135" s="2"/>
      <c r="D135" s="2"/>
      <c r="E135" s="107" t="s">
        <v>111</v>
      </c>
      <c r="F135" s="107" t="s">
        <v>112</v>
      </c>
      <c r="G135" s="63">
        <v>834</v>
      </c>
      <c r="H135" s="107" t="s">
        <v>113</v>
      </c>
      <c r="I135" s="63">
        <v>5419</v>
      </c>
      <c r="J135" s="107" t="s">
        <v>122</v>
      </c>
      <c r="K135" s="119" t="s">
        <v>150</v>
      </c>
      <c r="L135" s="107" t="s">
        <v>151</v>
      </c>
      <c r="M135" s="63">
        <v>2019</v>
      </c>
      <c r="N135" s="63">
        <v>2019</v>
      </c>
      <c r="O135" s="107" t="s">
        <v>123</v>
      </c>
      <c r="P135" s="8">
        <v>22827</v>
      </c>
      <c r="Q135" s="107" t="s">
        <v>118</v>
      </c>
      <c r="R135" s="107" t="s">
        <v>119</v>
      </c>
      <c r="S135" s="2"/>
      <c r="T135" s="2"/>
    </row>
    <row x14ac:dyDescent="0.25" r="136" customHeight="1" ht="13.5">
      <c r="A136" s="2"/>
      <c r="B136" s="2"/>
      <c r="C136" s="2"/>
      <c r="D136" s="2"/>
      <c r="E136" s="107" t="s">
        <v>111</v>
      </c>
      <c r="F136" s="107" t="s">
        <v>112</v>
      </c>
      <c r="G136" s="63">
        <v>834</v>
      </c>
      <c r="H136" s="107" t="s">
        <v>113</v>
      </c>
      <c r="I136" s="63">
        <v>5419</v>
      </c>
      <c r="J136" s="107" t="s">
        <v>122</v>
      </c>
      <c r="K136" s="119" t="s">
        <v>150</v>
      </c>
      <c r="L136" s="107" t="s">
        <v>151</v>
      </c>
      <c r="M136" s="63">
        <v>2020</v>
      </c>
      <c r="N136" s="63">
        <v>2020</v>
      </c>
      <c r="O136" s="107" t="s">
        <v>123</v>
      </c>
      <c r="P136" s="8">
        <v>23053</v>
      </c>
      <c r="Q136" s="107" t="s">
        <v>118</v>
      </c>
      <c r="R136" s="107" t="s">
        <v>119</v>
      </c>
      <c r="S136" s="2"/>
      <c r="T136" s="2"/>
    </row>
    <row x14ac:dyDescent="0.25" r="137" customHeight="1" ht="13.5">
      <c r="A137" s="2"/>
      <c r="B137" s="2"/>
      <c r="C137" s="2"/>
      <c r="D137" s="2"/>
      <c r="E137" s="107" t="s">
        <v>111</v>
      </c>
      <c r="F137" s="107" t="s">
        <v>112</v>
      </c>
      <c r="G137" s="63">
        <v>834</v>
      </c>
      <c r="H137" s="107" t="s">
        <v>113</v>
      </c>
      <c r="I137" s="63">
        <v>5419</v>
      </c>
      <c r="J137" s="107" t="s">
        <v>122</v>
      </c>
      <c r="K137" s="119" t="s">
        <v>150</v>
      </c>
      <c r="L137" s="107" t="s">
        <v>151</v>
      </c>
      <c r="M137" s="63">
        <v>2021</v>
      </c>
      <c r="N137" s="63">
        <v>2021</v>
      </c>
      <c r="O137" s="107" t="s">
        <v>123</v>
      </c>
      <c r="P137" s="8">
        <v>23019</v>
      </c>
      <c r="Q137" s="107" t="s">
        <v>118</v>
      </c>
      <c r="R137" s="107" t="s">
        <v>119</v>
      </c>
      <c r="S137" s="2"/>
      <c r="T137" s="2"/>
    </row>
    <row x14ac:dyDescent="0.25" r="138" customHeight="1" ht="13.5">
      <c r="A138" s="2"/>
      <c r="B138" s="2"/>
      <c r="C138" s="2"/>
      <c r="D138" s="2"/>
      <c r="E138" s="107" t="s">
        <v>111</v>
      </c>
      <c r="F138" s="107" t="s">
        <v>112</v>
      </c>
      <c r="G138" s="63">
        <v>834</v>
      </c>
      <c r="H138" s="107" t="s">
        <v>113</v>
      </c>
      <c r="I138" s="63">
        <v>5312</v>
      </c>
      <c r="J138" s="107" t="s">
        <v>114</v>
      </c>
      <c r="K138" s="119" t="s">
        <v>152</v>
      </c>
      <c r="L138" s="107" t="s">
        <v>153</v>
      </c>
      <c r="M138" s="63">
        <v>2017</v>
      </c>
      <c r="N138" s="63">
        <v>2017</v>
      </c>
      <c r="O138" s="107" t="s">
        <v>117</v>
      </c>
      <c r="P138" s="8">
        <v>573</v>
      </c>
      <c r="Q138" s="107" t="s">
        <v>120</v>
      </c>
      <c r="R138" s="107" t="s">
        <v>121</v>
      </c>
      <c r="S138" s="2"/>
      <c r="T138" s="2"/>
    </row>
    <row x14ac:dyDescent="0.25" r="139" customHeight="1" ht="13.5">
      <c r="A139" s="2"/>
      <c r="B139" s="2"/>
      <c r="C139" s="2"/>
      <c r="D139" s="2"/>
      <c r="E139" s="107" t="s">
        <v>111</v>
      </c>
      <c r="F139" s="107" t="s">
        <v>112</v>
      </c>
      <c r="G139" s="63">
        <v>834</v>
      </c>
      <c r="H139" s="107" t="s">
        <v>113</v>
      </c>
      <c r="I139" s="63">
        <v>5312</v>
      </c>
      <c r="J139" s="107" t="s">
        <v>114</v>
      </c>
      <c r="K139" s="119" t="s">
        <v>152</v>
      </c>
      <c r="L139" s="107" t="s">
        <v>153</v>
      </c>
      <c r="M139" s="63">
        <v>2018</v>
      </c>
      <c r="N139" s="63">
        <v>2018</v>
      </c>
      <c r="O139" s="107" t="s">
        <v>117</v>
      </c>
      <c r="P139" s="8">
        <v>580</v>
      </c>
      <c r="Q139" s="107" t="s">
        <v>118</v>
      </c>
      <c r="R139" s="107" t="s">
        <v>119</v>
      </c>
      <c r="S139" s="2"/>
      <c r="T139" s="2"/>
    </row>
    <row x14ac:dyDescent="0.25" r="140" customHeight="1" ht="13.5">
      <c r="A140" s="2"/>
      <c r="B140" s="2"/>
      <c r="C140" s="2"/>
      <c r="D140" s="2"/>
      <c r="E140" s="107" t="s">
        <v>111</v>
      </c>
      <c r="F140" s="107" t="s">
        <v>112</v>
      </c>
      <c r="G140" s="63">
        <v>834</v>
      </c>
      <c r="H140" s="107" t="s">
        <v>113</v>
      </c>
      <c r="I140" s="63">
        <v>5312</v>
      </c>
      <c r="J140" s="107" t="s">
        <v>114</v>
      </c>
      <c r="K140" s="119" t="s">
        <v>152</v>
      </c>
      <c r="L140" s="107" t="s">
        <v>153</v>
      </c>
      <c r="M140" s="63">
        <v>2019</v>
      </c>
      <c r="N140" s="63">
        <v>2019</v>
      </c>
      <c r="O140" s="107" t="s">
        <v>117</v>
      </c>
      <c r="P140" s="8">
        <v>568</v>
      </c>
      <c r="Q140" s="107" t="s">
        <v>118</v>
      </c>
      <c r="R140" s="107" t="s">
        <v>119</v>
      </c>
      <c r="S140" s="2"/>
      <c r="T140" s="2"/>
    </row>
    <row x14ac:dyDescent="0.25" r="141" customHeight="1" ht="13.5">
      <c r="A141" s="2"/>
      <c r="B141" s="2"/>
      <c r="C141" s="2"/>
      <c r="D141" s="2"/>
      <c r="E141" s="107" t="s">
        <v>111</v>
      </c>
      <c r="F141" s="107" t="s">
        <v>112</v>
      </c>
      <c r="G141" s="63">
        <v>834</v>
      </c>
      <c r="H141" s="107" t="s">
        <v>113</v>
      </c>
      <c r="I141" s="63">
        <v>5312</v>
      </c>
      <c r="J141" s="107" t="s">
        <v>114</v>
      </c>
      <c r="K141" s="119" t="s">
        <v>152</v>
      </c>
      <c r="L141" s="107" t="s">
        <v>153</v>
      </c>
      <c r="M141" s="63">
        <v>2020</v>
      </c>
      <c r="N141" s="63">
        <v>2020</v>
      </c>
      <c r="O141" s="107" t="s">
        <v>117</v>
      </c>
      <c r="P141" s="8">
        <v>574</v>
      </c>
      <c r="Q141" s="107" t="s">
        <v>118</v>
      </c>
      <c r="R141" s="107" t="s">
        <v>119</v>
      </c>
      <c r="S141" s="2"/>
      <c r="T141" s="2"/>
    </row>
    <row x14ac:dyDescent="0.25" r="142" customHeight="1" ht="13.5">
      <c r="A142" s="2"/>
      <c r="B142" s="2"/>
      <c r="C142" s="2"/>
      <c r="D142" s="2"/>
      <c r="E142" s="107" t="s">
        <v>111</v>
      </c>
      <c r="F142" s="107" t="s">
        <v>112</v>
      </c>
      <c r="G142" s="63">
        <v>834</v>
      </c>
      <c r="H142" s="107" t="s">
        <v>113</v>
      </c>
      <c r="I142" s="63">
        <v>5312</v>
      </c>
      <c r="J142" s="107" t="s">
        <v>114</v>
      </c>
      <c r="K142" s="119" t="s">
        <v>152</v>
      </c>
      <c r="L142" s="107" t="s">
        <v>153</v>
      </c>
      <c r="M142" s="63">
        <v>2021</v>
      </c>
      <c r="N142" s="63">
        <v>2021</v>
      </c>
      <c r="O142" s="107" t="s">
        <v>117</v>
      </c>
      <c r="P142" s="8">
        <v>574</v>
      </c>
      <c r="Q142" s="107" t="s">
        <v>118</v>
      </c>
      <c r="R142" s="107" t="s">
        <v>119</v>
      </c>
      <c r="S142" s="2"/>
      <c r="T142" s="2"/>
    </row>
    <row x14ac:dyDescent="0.25" r="143" customHeight="1" ht="13.5">
      <c r="A143" s="2"/>
      <c r="B143" s="2"/>
      <c r="C143" s="2"/>
      <c r="D143" s="2"/>
      <c r="E143" s="107" t="s">
        <v>111</v>
      </c>
      <c r="F143" s="107" t="s">
        <v>112</v>
      </c>
      <c r="G143" s="63">
        <v>834</v>
      </c>
      <c r="H143" s="107" t="s">
        <v>113</v>
      </c>
      <c r="I143" s="63">
        <v>5419</v>
      </c>
      <c r="J143" s="107" t="s">
        <v>122</v>
      </c>
      <c r="K143" s="119" t="s">
        <v>152</v>
      </c>
      <c r="L143" s="107" t="s">
        <v>153</v>
      </c>
      <c r="M143" s="63">
        <v>2017</v>
      </c>
      <c r="N143" s="63">
        <v>2017</v>
      </c>
      <c r="O143" s="107" t="s">
        <v>123</v>
      </c>
      <c r="P143" s="8">
        <v>274351</v>
      </c>
      <c r="Q143" s="107" t="s">
        <v>118</v>
      </c>
      <c r="R143" s="107" t="s">
        <v>119</v>
      </c>
      <c r="S143" s="2"/>
      <c r="T143" s="2"/>
    </row>
    <row x14ac:dyDescent="0.25" r="144" customHeight="1" ht="13.5">
      <c r="A144" s="2"/>
      <c r="B144" s="2"/>
      <c r="C144" s="2"/>
      <c r="D144" s="2"/>
      <c r="E144" s="107" t="s">
        <v>111</v>
      </c>
      <c r="F144" s="107" t="s">
        <v>112</v>
      </c>
      <c r="G144" s="63">
        <v>834</v>
      </c>
      <c r="H144" s="107" t="s">
        <v>113</v>
      </c>
      <c r="I144" s="63">
        <v>5419</v>
      </c>
      <c r="J144" s="107" t="s">
        <v>122</v>
      </c>
      <c r="K144" s="119" t="s">
        <v>152</v>
      </c>
      <c r="L144" s="107" t="s">
        <v>153</v>
      </c>
      <c r="M144" s="63">
        <v>2018</v>
      </c>
      <c r="N144" s="63">
        <v>2018</v>
      </c>
      <c r="O144" s="107" t="s">
        <v>123</v>
      </c>
      <c r="P144" s="8">
        <v>268401</v>
      </c>
      <c r="Q144" s="107" t="s">
        <v>118</v>
      </c>
      <c r="R144" s="107" t="s">
        <v>119</v>
      </c>
      <c r="S144" s="2"/>
      <c r="T144" s="2"/>
    </row>
    <row x14ac:dyDescent="0.25" r="145" customHeight="1" ht="13.5">
      <c r="A145" s="2"/>
      <c r="B145" s="2"/>
      <c r="C145" s="2"/>
      <c r="D145" s="2"/>
      <c r="E145" s="107" t="s">
        <v>111</v>
      </c>
      <c r="F145" s="107" t="s">
        <v>112</v>
      </c>
      <c r="G145" s="63">
        <v>834</v>
      </c>
      <c r="H145" s="107" t="s">
        <v>113</v>
      </c>
      <c r="I145" s="63">
        <v>5419</v>
      </c>
      <c r="J145" s="107" t="s">
        <v>122</v>
      </c>
      <c r="K145" s="119" t="s">
        <v>152</v>
      </c>
      <c r="L145" s="107" t="s">
        <v>153</v>
      </c>
      <c r="M145" s="63">
        <v>2019</v>
      </c>
      <c r="N145" s="63">
        <v>2019</v>
      </c>
      <c r="O145" s="107" t="s">
        <v>123</v>
      </c>
      <c r="P145" s="8">
        <v>271153</v>
      </c>
      <c r="Q145" s="107" t="s">
        <v>118</v>
      </c>
      <c r="R145" s="107" t="s">
        <v>119</v>
      </c>
      <c r="S145" s="2"/>
      <c r="T145" s="2"/>
    </row>
    <row x14ac:dyDescent="0.25" r="146" customHeight="1" ht="13.5">
      <c r="A146" s="2"/>
      <c r="B146" s="2"/>
      <c r="C146" s="2"/>
      <c r="D146" s="2"/>
      <c r="E146" s="107" t="s">
        <v>111</v>
      </c>
      <c r="F146" s="107" t="s">
        <v>112</v>
      </c>
      <c r="G146" s="63">
        <v>834</v>
      </c>
      <c r="H146" s="107" t="s">
        <v>113</v>
      </c>
      <c r="I146" s="63">
        <v>5419</v>
      </c>
      <c r="J146" s="107" t="s">
        <v>122</v>
      </c>
      <c r="K146" s="119" t="s">
        <v>152</v>
      </c>
      <c r="L146" s="107" t="s">
        <v>153</v>
      </c>
      <c r="M146" s="63">
        <v>2020</v>
      </c>
      <c r="N146" s="63">
        <v>2020</v>
      </c>
      <c r="O146" s="107" t="s">
        <v>123</v>
      </c>
      <c r="P146" s="8">
        <v>271290</v>
      </c>
      <c r="Q146" s="107" t="s">
        <v>118</v>
      </c>
      <c r="R146" s="107" t="s">
        <v>119</v>
      </c>
      <c r="S146" s="2"/>
      <c r="T146" s="2"/>
    </row>
    <row x14ac:dyDescent="0.25" r="147" customHeight="1" ht="13.5">
      <c r="A147" s="2"/>
      <c r="B147" s="2"/>
      <c r="C147" s="2"/>
      <c r="D147" s="2"/>
      <c r="E147" s="107" t="s">
        <v>111</v>
      </c>
      <c r="F147" s="107" t="s">
        <v>112</v>
      </c>
      <c r="G147" s="63">
        <v>834</v>
      </c>
      <c r="H147" s="107" t="s">
        <v>113</v>
      </c>
      <c r="I147" s="63">
        <v>5419</v>
      </c>
      <c r="J147" s="107" t="s">
        <v>122</v>
      </c>
      <c r="K147" s="119" t="s">
        <v>152</v>
      </c>
      <c r="L147" s="107" t="s">
        <v>153</v>
      </c>
      <c r="M147" s="63">
        <v>2021</v>
      </c>
      <c r="N147" s="63">
        <v>2021</v>
      </c>
      <c r="O147" s="107" t="s">
        <v>123</v>
      </c>
      <c r="P147" s="8">
        <v>270272</v>
      </c>
      <c r="Q147" s="107" t="s">
        <v>118</v>
      </c>
      <c r="R147" s="107" t="s">
        <v>119</v>
      </c>
      <c r="S147" s="2"/>
      <c r="T147" s="2"/>
    </row>
    <row x14ac:dyDescent="0.25" r="148" customHeight="1" ht="13.5">
      <c r="A148" s="2"/>
      <c r="B148" s="2"/>
      <c r="C148" s="2"/>
      <c r="D148" s="2"/>
      <c r="E148" s="107" t="s">
        <v>111</v>
      </c>
      <c r="F148" s="107" t="s">
        <v>112</v>
      </c>
      <c r="G148" s="63">
        <v>834</v>
      </c>
      <c r="H148" s="107" t="s">
        <v>113</v>
      </c>
      <c r="I148" s="63">
        <v>5312</v>
      </c>
      <c r="J148" s="107" t="s">
        <v>114</v>
      </c>
      <c r="K148" s="119" t="s">
        <v>154</v>
      </c>
      <c r="L148" s="107" t="s">
        <v>155</v>
      </c>
      <c r="M148" s="63">
        <v>2017</v>
      </c>
      <c r="N148" s="63">
        <v>2017</v>
      </c>
      <c r="O148" s="107" t="s">
        <v>117</v>
      </c>
      <c r="P148" s="8">
        <v>7283</v>
      </c>
      <c r="Q148" s="107" t="s">
        <v>120</v>
      </c>
      <c r="R148" s="107" t="s">
        <v>121</v>
      </c>
      <c r="S148" s="2"/>
      <c r="T148" s="2"/>
    </row>
    <row x14ac:dyDescent="0.25" r="149" customHeight="1" ht="13.5">
      <c r="A149" s="2"/>
      <c r="B149" s="2"/>
      <c r="C149" s="2"/>
      <c r="D149" s="2"/>
      <c r="E149" s="107" t="s">
        <v>111</v>
      </c>
      <c r="F149" s="107" t="s">
        <v>112</v>
      </c>
      <c r="G149" s="63">
        <v>834</v>
      </c>
      <c r="H149" s="107" t="s">
        <v>113</v>
      </c>
      <c r="I149" s="63">
        <v>5312</v>
      </c>
      <c r="J149" s="107" t="s">
        <v>114</v>
      </c>
      <c r="K149" s="119" t="s">
        <v>154</v>
      </c>
      <c r="L149" s="107" t="s">
        <v>155</v>
      </c>
      <c r="M149" s="63">
        <v>2018</v>
      </c>
      <c r="N149" s="63">
        <v>2018</v>
      </c>
      <c r="O149" s="107" t="s">
        <v>117</v>
      </c>
      <c r="P149" s="8">
        <v>7242</v>
      </c>
      <c r="Q149" s="107" t="s">
        <v>120</v>
      </c>
      <c r="R149" s="107" t="s">
        <v>121</v>
      </c>
      <c r="S149" s="2"/>
      <c r="T149" s="2"/>
    </row>
    <row x14ac:dyDescent="0.25" r="150" customHeight="1" ht="13.5">
      <c r="A150" s="2"/>
      <c r="B150" s="2"/>
      <c r="C150" s="2"/>
      <c r="D150" s="2"/>
      <c r="E150" s="107" t="s">
        <v>111</v>
      </c>
      <c r="F150" s="107" t="s">
        <v>112</v>
      </c>
      <c r="G150" s="63">
        <v>834</v>
      </c>
      <c r="H150" s="107" t="s">
        <v>113</v>
      </c>
      <c r="I150" s="63">
        <v>5312</v>
      </c>
      <c r="J150" s="107" t="s">
        <v>114</v>
      </c>
      <c r="K150" s="119" t="s">
        <v>154</v>
      </c>
      <c r="L150" s="107" t="s">
        <v>155</v>
      </c>
      <c r="M150" s="63">
        <v>2019</v>
      </c>
      <c r="N150" s="63">
        <v>2019</v>
      </c>
      <c r="O150" s="107" t="s">
        <v>117</v>
      </c>
      <c r="P150" s="8">
        <v>7182</v>
      </c>
      <c r="Q150" s="107" t="s">
        <v>118</v>
      </c>
      <c r="R150" s="107" t="s">
        <v>119</v>
      </c>
      <c r="S150" s="2"/>
      <c r="T150" s="2"/>
    </row>
    <row x14ac:dyDescent="0.25" r="151" customHeight="1" ht="13.5">
      <c r="A151" s="2"/>
      <c r="B151" s="2"/>
      <c r="C151" s="2"/>
      <c r="D151" s="2"/>
      <c r="E151" s="107" t="s">
        <v>111</v>
      </c>
      <c r="F151" s="107" t="s">
        <v>112</v>
      </c>
      <c r="G151" s="63">
        <v>834</v>
      </c>
      <c r="H151" s="107" t="s">
        <v>113</v>
      </c>
      <c r="I151" s="63">
        <v>5312</v>
      </c>
      <c r="J151" s="107" t="s">
        <v>114</v>
      </c>
      <c r="K151" s="119" t="s">
        <v>154</v>
      </c>
      <c r="L151" s="107" t="s">
        <v>155</v>
      </c>
      <c r="M151" s="63">
        <v>2020</v>
      </c>
      <c r="N151" s="63">
        <v>2020</v>
      </c>
      <c r="O151" s="107" t="s">
        <v>117</v>
      </c>
      <c r="P151" s="8">
        <v>7235</v>
      </c>
      <c r="Q151" s="107" t="s">
        <v>118</v>
      </c>
      <c r="R151" s="107" t="s">
        <v>119</v>
      </c>
      <c r="S151" s="2"/>
      <c r="T151" s="2"/>
    </row>
    <row x14ac:dyDescent="0.25" r="152" customHeight="1" ht="13.5">
      <c r="A152" s="2"/>
      <c r="B152" s="2"/>
      <c r="C152" s="2"/>
      <c r="D152" s="2"/>
      <c r="E152" s="107" t="s">
        <v>111</v>
      </c>
      <c r="F152" s="107" t="s">
        <v>112</v>
      </c>
      <c r="G152" s="63">
        <v>834</v>
      </c>
      <c r="H152" s="107" t="s">
        <v>113</v>
      </c>
      <c r="I152" s="63">
        <v>5312</v>
      </c>
      <c r="J152" s="107" t="s">
        <v>114</v>
      </c>
      <c r="K152" s="119" t="s">
        <v>154</v>
      </c>
      <c r="L152" s="107" t="s">
        <v>155</v>
      </c>
      <c r="M152" s="63">
        <v>2021</v>
      </c>
      <c r="N152" s="63">
        <v>2021</v>
      </c>
      <c r="O152" s="107" t="s">
        <v>117</v>
      </c>
      <c r="P152" s="8">
        <v>7220</v>
      </c>
      <c r="Q152" s="107" t="s">
        <v>118</v>
      </c>
      <c r="R152" s="107" t="s">
        <v>119</v>
      </c>
      <c r="S152" s="2"/>
      <c r="T152" s="2"/>
    </row>
    <row x14ac:dyDescent="0.25" r="153" customHeight="1" ht="13.5">
      <c r="A153" s="2"/>
      <c r="B153" s="2"/>
      <c r="C153" s="2"/>
      <c r="D153" s="2"/>
      <c r="E153" s="107" t="s">
        <v>111</v>
      </c>
      <c r="F153" s="107" t="s">
        <v>112</v>
      </c>
      <c r="G153" s="63">
        <v>834</v>
      </c>
      <c r="H153" s="107" t="s">
        <v>113</v>
      </c>
      <c r="I153" s="63">
        <v>5419</v>
      </c>
      <c r="J153" s="107" t="s">
        <v>122</v>
      </c>
      <c r="K153" s="119" t="s">
        <v>154</v>
      </c>
      <c r="L153" s="107" t="s">
        <v>155</v>
      </c>
      <c r="M153" s="63">
        <v>2017</v>
      </c>
      <c r="N153" s="63">
        <v>2017</v>
      </c>
      <c r="O153" s="107" t="s">
        <v>123</v>
      </c>
      <c r="P153" s="8">
        <v>11895</v>
      </c>
      <c r="Q153" s="107" t="s">
        <v>118</v>
      </c>
      <c r="R153" s="107" t="s">
        <v>119</v>
      </c>
      <c r="S153" s="2"/>
      <c r="T153" s="2"/>
    </row>
    <row x14ac:dyDescent="0.25" r="154" customHeight="1" ht="13.5">
      <c r="A154" s="2"/>
      <c r="B154" s="2"/>
      <c r="C154" s="2"/>
      <c r="D154" s="2"/>
      <c r="E154" s="107" t="s">
        <v>111</v>
      </c>
      <c r="F154" s="107" t="s">
        <v>112</v>
      </c>
      <c r="G154" s="63">
        <v>834</v>
      </c>
      <c r="H154" s="107" t="s">
        <v>113</v>
      </c>
      <c r="I154" s="63">
        <v>5419</v>
      </c>
      <c r="J154" s="107" t="s">
        <v>122</v>
      </c>
      <c r="K154" s="119" t="s">
        <v>154</v>
      </c>
      <c r="L154" s="107" t="s">
        <v>155</v>
      </c>
      <c r="M154" s="63">
        <v>2018</v>
      </c>
      <c r="N154" s="63">
        <v>2018</v>
      </c>
      <c r="O154" s="107" t="s">
        <v>123</v>
      </c>
      <c r="P154" s="8">
        <v>11929</v>
      </c>
      <c r="Q154" s="107" t="s">
        <v>118</v>
      </c>
      <c r="R154" s="107" t="s">
        <v>119</v>
      </c>
      <c r="S154" s="2"/>
      <c r="T154" s="2"/>
    </row>
    <row x14ac:dyDescent="0.25" r="155" customHeight="1" ht="13.5">
      <c r="A155" s="2"/>
      <c r="B155" s="2"/>
      <c r="C155" s="2"/>
      <c r="D155" s="2"/>
      <c r="E155" s="107" t="s">
        <v>111</v>
      </c>
      <c r="F155" s="107" t="s">
        <v>112</v>
      </c>
      <c r="G155" s="63">
        <v>834</v>
      </c>
      <c r="H155" s="107" t="s">
        <v>113</v>
      </c>
      <c r="I155" s="63">
        <v>5419</v>
      </c>
      <c r="J155" s="107" t="s">
        <v>122</v>
      </c>
      <c r="K155" s="119" t="s">
        <v>154</v>
      </c>
      <c r="L155" s="107" t="s">
        <v>155</v>
      </c>
      <c r="M155" s="63">
        <v>2019</v>
      </c>
      <c r="N155" s="63">
        <v>2019</v>
      </c>
      <c r="O155" s="107" t="s">
        <v>123</v>
      </c>
      <c r="P155" s="8">
        <v>11841</v>
      </c>
      <c r="Q155" s="107" t="s">
        <v>118</v>
      </c>
      <c r="R155" s="107" t="s">
        <v>119</v>
      </c>
      <c r="S155" s="2"/>
      <c r="T155" s="2"/>
    </row>
    <row x14ac:dyDescent="0.25" r="156" customHeight="1" ht="13.5">
      <c r="A156" s="2"/>
      <c r="B156" s="2"/>
      <c r="C156" s="2"/>
      <c r="D156" s="2"/>
      <c r="E156" s="107" t="s">
        <v>111</v>
      </c>
      <c r="F156" s="107" t="s">
        <v>112</v>
      </c>
      <c r="G156" s="63">
        <v>834</v>
      </c>
      <c r="H156" s="107" t="s">
        <v>113</v>
      </c>
      <c r="I156" s="63">
        <v>5419</v>
      </c>
      <c r="J156" s="107" t="s">
        <v>122</v>
      </c>
      <c r="K156" s="119" t="s">
        <v>154</v>
      </c>
      <c r="L156" s="107" t="s">
        <v>155</v>
      </c>
      <c r="M156" s="63">
        <v>2020</v>
      </c>
      <c r="N156" s="63">
        <v>2020</v>
      </c>
      <c r="O156" s="107" t="s">
        <v>123</v>
      </c>
      <c r="P156" s="8">
        <v>11888</v>
      </c>
      <c r="Q156" s="107" t="s">
        <v>118</v>
      </c>
      <c r="R156" s="107" t="s">
        <v>119</v>
      </c>
      <c r="S156" s="2"/>
      <c r="T156" s="2"/>
    </row>
    <row x14ac:dyDescent="0.25" r="157" customHeight="1" ht="13.5">
      <c r="A157" s="2"/>
      <c r="B157" s="2"/>
      <c r="C157" s="2"/>
      <c r="D157" s="2"/>
      <c r="E157" s="107" t="s">
        <v>111</v>
      </c>
      <c r="F157" s="107" t="s">
        <v>112</v>
      </c>
      <c r="G157" s="63">
        <v>834</v>
      </c>
      <c r="H157" s="107" t="s">
        <v>113</v>
      </c>
      <c r="I157" s="63">
        <v>5419</v>
      </c>
      <c r="J157" s="107" t="s">
        <v>122</v>
      </c>
      <c r="K157" s="119" t="s">
        <v>154</v>
      </c>
      <c r="L157" s="107" t="s">
        <v>155</v>
      </c>
      <c r="M157" s="63">
        <v>2021</v>
      </c>
      <c r="N157" s="63">
        <v>2021</v>
      </c>
      <c r="O157" s="107" t="s">
        <v>123</v>
      </c>
      <c r="P157" s="8">
        <v>11886</v>
      </c>
      <c r="Q157" s="107" t="s">
        <v>118</v>
      </c>
      <c r="R157" s="107" t="s">
        <v>119</v>
      </c>
      <c r="S157" s="2"/>
      <c r="T157" s="2"/>
    </row>
    <row x14ac:dyDescent="0.25" r="158" customHeight="1" ht="13.5">
      <c r="A158" s="2"/>
      <c r="B158" s="2"/>
      <c r="C158" s="2"/>
      <c r="D158" s="2"/>
      <c r="E158" s="107" t="s">
        <v>111</v>
      </c>
      <c r="F158" s="107" t="s">
        <v>112</v>
      </c>
      <c r="G158" s="63">
        <v>834</v>
      </c>
      <c r="H158" s="107" t="s">
        <v>113</v>
      </c>
      <c r="I158" s="63">
        <v>5312</v>
      </c>
      <c r="J158" s="107" t="s">
        <v>114</v>
      </c>
      <c r="K158" s="119" t="s">
        <v>156</v>
      </c>
      <c r="L158" s="107" t="s">
        <v>157</v>
      </c>
      <c r="M158" s="63">
        <v>2017</v>
      </c>
      <c r="N158" s="63">
        <v>2017</v>
      </c>
      <c r="O158" s="107" t="s">
        <v>117</v>
      </c>
      <c r="P158" s="8">
        <v>18150</v>
      </c>
      <c r="Q158" s="107" t="s">
        <v>120</v>
      </c>
      <c r="R158" s="107" t="s">
        <v>121</v>
      </c>
      <c r="S158" s="2"/>
      <c r="T158" s="2"/>
    </row>
    <row x14ac:dyDescent="0.25" r="159" customHeight="1" ht="13.5">
      <c r="A159" s="2"/>
      <c r="B159" s="2"/>
      <c r="C159" s="2"/>
      <c r="D159" s="2"/>
      <c r="E159" s="107" t="s">
        <v>111</v>
      </c>
      <c r="F159" s="107" t="s">
        <v>112</v>
      </c>
      <c r="G159" s="63">
        <v>834</v>
      </c>
      <c r="H159" s="107" t="s">
        <v>113</v>
      </c>
      <c r="I159" s="63">
        <v>5312</v>
      </c>
      <c r="J159" s="107" t="s">
        <v>114</v>
      </c>
      <c r="K159" s="119" t="s">
        <v>156</v>
      </c>
      <c r="L159" s="107" t="s">
        <v>157</v>
      </c>
      <c r="M159" s="63">
        <v>2018</v>
      </c>
      <c r="N159" s="63">
        <v>2018</v>
      </c>
      <c r="O159" s="107" t="s">
        <v>117</v>
      </c>
      <c r="P159" s="8">
        <v>20901</v>
      </c>
      <c r="Q159" s="107" t="s">
        <v>120</v>
      </c>
      <c r="R159" s="107" t="s">
        <v>121</v>
      </c>
      <c r="S159" s="2"/>
      <c r="T159" s="2"/>
    </row>
    <row x14ac:dyDescent="0.25" r="160" customHeight="1" ht="13.5">
      <c r="A160" s="2"/>
      <c r="B160" s="2"/>
      <c r="C160" s="2"/>
      <c r="D160" s="2"/>
      <c r="E160" s="107" t="s">
        <v>111</v>
      </c>
      <c r="F160" s="107" t="s">
        <v>112</v>
      </c>
      <c r="G160" s="63">
        <v>834</v>
      </c>
      <c r="H160" s="107" t="s">
        <v>113</v>
      </c>
      <c r="I160" s="63">
        <v>5312</v>
      </c>
      <c r="J160" s="107" t="s">
        <v>114</v>
      </c>
      <c r="K160" s="119" t="s">
        <v>156</v>
      </c>
      <c r="L160" s="107" t="s">
        <v>157</v>
      </c>
      <c r="M160" s="63">
        <v>2019</v>
      </c>
      <c r="N160" s="63">
        <v>2019</v>
      </c>
      <c r="O160" s="107" t="s">
        <v>117</v>
      </c>
      <c r="P160" s="8">
        <v>9831</v>
      </c>
      <c r="Q160" s="107" t="s">
        <v>120</v>
      </c>
      <c r="R160" s="107" t="s">
        <v>121</v>
      </c>
      <c r="S160" s="2"/>
      <c r="T160" s="2"/>
    </row>
    <row x14ac:dyDescent="0.25" r="161" customHeight="1" ht="13.5">
      <c r="A161" s="2"/>
      <c r="B161" s="2"/>
      <c r="C161" s="2"/>
      <c r="D161" s="2"/>
      <c r="E161" s="107" t="s">
        <v>111</v>
      </c>
      <c r="F161" s="107" t="s">
        <v>112</v>
      </c>
      <c r="G161" s="63">
        <v>834</v>
      </c>
      <c r="H161" s="107" t="s">
        <v>113</v>
      </c>
      <c r="I161" s="63">
        <v>5312</v>
      </c>
      <c r="J161" s="107" t="s">
        <v>114</v>
      </c>
      <c r="K161" s="119" t="s">
        <v>156</v>
      </c>
      <c r="L161" s="107" t="s">
        <v>157</v>
      </c>
      <c r="M161" s="63">
        <v>2020</v>
      </c>
      <c r="N161" s="63">
        <v>2020</v>
      </c>
      <c r="O161" s="107" t="s">
        <v>117</v>
      </c>
      <c r="P161" s="8">
        <v>19646</v>
      </c>
      <c r="Q161" s="107" t="s">
        <v>120</v>
      </c>
      <c r="R161" s="107" t="s">
        <v>121</v>
      </c>
      <c r="S161" s="2"/>
      <c r="T161" s="2"/>
    </row>
    <row x14ac:dyDescent="0.25" r="162" customHeight="1" ht="13.5">
      <c r="A162" s="2"/>
      <c r="B162" s="2"/>
      <c r="C162" s="2"/>
      <c r="D162" s="2"/>
      <c r="E162" s="107" t="s">
        <v>111</v>
      </c>
      <c r="F162" s="107" t="s">
        <v>112</v>
      </c>
      <c r="G162" s="63">
        <v>834</v>
      </c>
      <c r="H162" s="107" t="s">
        <v>113</v>
      </c>
      <c r="I162" s="63">
        <v>5312</v>
      </c>
      <c r="J162" s="107" t="s">
        <v>114</v>
      </c>
      <c r="K162" s="119" t="s">
        <v>156</v>
      </c>
      <c r="L162" s="107" t="s">
        <v>157</v>
      </c>
      <c r="M162" s="63">
        <v>2021</v>
      </c>
      <c r="N162" s="63">
        <v>2021</v>
      </c>
      <c r="O162" s="107" t="s">
        <v>117</v>
      </c>
      <c r="P162" s="8">
        <v>19629</v>
      </c>
      <c r="Q162" s="107" t="s">
        <v>120</v>
      </c>
      <c r="R162" s="107" t="s">
        <v>121</v>
      </c>
      <c r="S162" s="2"/>
      <c r="T162" s="2"/>
    </row>
    <row x14ac:dyDescent="0.25" r="163" customHeight="1" ht="13.5">
      <c r="A163" s="2"/>
      <c r="B163" s="2"/>
      <c r="C163" s="2"/>
      <c r="D163" s="2"/>
      <c r="E163" s="107" t="s">
        <v>111</v>
      </c>
      <c r="F163" s="107" t="s">
        <v>112</v>
      </c>
      <c r="G163" s="63">
        <v>834</v>
      </c>
      <c r="H163" s="107" t="s">
        <v>113</v>
      </c>
      <c r="I163" s="63">
        <v>5419</v>
      </c>
      <c r="J163" s="107" t="s">
        <v>122</v>
      </c>
      <c r="K163" s="119" t="s">
        <v>156</v>
      </c>
      <c r="L163" s="107" t="s">
        <v>157</v>
      </c>
      <c r="M163" s="63">
        <v>2017</v>
      </c>
      <c r="N163" s="63">
        <v>2017</v>
      </c>
      <c r="O163" s="107" t="s">
        <v>123</v>
      </c>
      <c r="P163" s="8">
        <v>7163</v>
      </c>
      <c r="Q163" s="107" t="s">
        <v>118</v>
      </c>
      <c r="R163" s="107" t="s">
        <v>119</v>
      </c>
      <c r="S163" s="2"/>
      <c r="T163" s="2"/>
    </row>
    <row x14ac:dyDescent="0.25" r="164" customHeight="1" ht="13.5">
      <c r="A164" s="2"/>
      <c r="B164" s="2"/>
      <c r="C164" s="2"/>
      <c r="D164" s="2"/>
      <c r="E164" s="107" t="s">
        <v>111</v>
      </c>
      <c r="F164" s="107" t="s">
        <v>112</v>
      </c>
      <c r="G164" s="63">
        <v>834</v>
      </c>
      <c r="H164" s="107" t="s">
        <v>113</v>
      </c>
      <c r="I164" s="63">
        <v>5419</v>
      </c>
      <c r="J164" s="107" t="s">
        <v>122</v>
      </c>
      <c r="K164" s="119" t="s">
        <v>156</v>
      </c>
      <c r="L164" s="107" t="s">
        <v>157</v>
      </c>
      <c r="M164" s="63">
        <v>2018</v>
      </c>
      <c r="N164" s="63">
        <v>2018</v>
      </c>
      <c r="O164" s="107" t="s">
        <v>123</v>
      </c>
      <c r="P164" s="8">
        <v>7177</v>
      </c>
      <c r="Q164" s="107" t="s">
        <v>118</v>
      </c>
      <c r="R164" s="107" t="s">
        <v>119</v>
      </c>
      <c r="S164" s="2"/>
      <c r="T164" s="2"/>
    </row>
    <row x14ac:dyDescent="0.25" r="165" customHeight="1" ht="13.5">
      <c r="A165" s="2"/>
      <c r="B165" s="2"/>
      <c r="C165" s="2"/>
      <c r="D165" s="2"/>
      <c r="E165" s="107" t="s">
        <v>111</v>
      </c>
      <c r="F165" s="107" t="s">
        <v>112</v>
      </c>
      <c r="G165" s="63">
        <v>834</v>
      </c>
      <c r="H165" s="107" t="s">
        <v>113</v>
      </c>
      <c r="I165" s="63">
        <v>5419</v>
      </c>
      <c r="J165" s="107" t="s">
        <v>122</v>
      </c>
      <c r="K165" s="119" t="s">
        <v>156</v>
      </c>
      <c r="L165" s="107" t="s">
        <v>157</v>
      </c>
      <c r="M165" s="63">
        <v>2019</v>
      </c>
      <c r="N165" s="63">
        <v>2019</v>
      </c>
      <c r="O165" s="107" t="s">
        <v>123</v>
      </c>
      <c r="P165" s="8">
        <v>7120</v>
      </c>
      <c r="Q165" s="107" t="s">
        <v>118</v>
      </c>
      <c r="R165" s="107" t="s">
        <v>119</v>
      </c>
      <c r="S165" s="2"/>
      <c r="T165" s="2"/>
    </row>
    <row x14ac:dyDescent="0.25" r="166" customHeight="1" ht="13.5">
      <c r="A166" s="2"/>
      <c r="B166" s="2"/>
      <c r="C166" s="2"/>
      <c r="D166" s="2"/>
      <c r="E166" s="107" t="s">
        <v>111</v>
      </c>
      <c r="F166" s="107" t="s">
        <v>112</v>
      </c>
      <c r="G166" s="63">
        <v>834</v>
      </c>
      <c r="H166" s="107" t="s">
        <v>113</v>
      </c>
      <c r="I166" s="63">
        <v>5419</v>
      </c>
      <c r="J166" s="107" t="s">
        <v>122</v>
      </c>
      <c r="K166" s="119" t="s">
        <v>156</v>
      </c>
      <c r="L166" s="107" t="s">
        <v>157</v>
      </c>
      <c r="M166" s="63">
        <v>2020</v>
      </c>
      <c r="N166" s="63">
        <v>2020</v>
      </c>
      <c r="O166" s="107" t="s">
        <v>123</v>
      </c>
      <c r="P166" s="8">
        <v>7126</v>
      </c>
      <c r="Q166" s="107" t="s">
        <v>118</v>
      </c>
      <c r="R166" s="107" t="s">
        <v>119</v>
      </c>
      <c r="S166" s="2"/>
      <c r="T166" s="2"/>
    </row>
    <row x14ac:dyDescent="0.25" r="167" customHeight="1" ht="13.5">
      <c r="A167" s="2"/>
      <c r="B167" s="2"/>
      <c r="C167" s="2"/>
      <c r="D167" s="2"/>
      <c r="E167" s="107" t="s">
        <v>111</v>
      </c>
      <c r="F167" s="107" t="s">
        <v>112</v>
      </c>
      <c r="G167" s="63">
        <v>834</v>
      </c>
      <c r="H167" s="107" t="s">
        <v>113</v>
      </c>
      <c r="I167" s="63">
        <v>5419</v>
      </c>
      <c r="J167" s="107" t="s">
        <v>122</v>
      </c>
      <c r="K167" s="119" t="s">
        <v>156</v>
      </c>
      <c r="L167" s="107" t="s">
        <v>157</v>
      </c>
      <c r="M167" s="63">
        <v>2021</v>
      </c>
      <c r="N167" s="63">
        <v>2021</v>
      </c>
      <c r="O167" s="107" t="s">
        <v>123</v>
      </c>
      <c r="P167" s="8">
        <v>7132</v>
      </c>
      <c r="Q167" s="107" t="s">
        <v>118</v>
      </c>
      <c r="R167" s="107" t="s">
        <v>119</v>
      </c>
      <c r="S167" s="2"/>
      <c r="T167" s="2"/>
    </row>
    <row x14ac:dyDescent="0.25" r="168" customHeight="1" ht="13.5">
      <c r="A168" s="2"/>
      <c r="B168" s="2"/>
      <c r="C168" s="2"/>
      <c r="D168" s="2"/>
      <c r="E168" s="107" t="s">
        <v>111</v>
      </c>
      <c r="F168" s="107" t="s">
        <v>112</v>
      </c>
      <c r="G168" s="63">
        <v>834</v>
      </c>
      <c r="H168" s="107" t="s">
        <v>113</v>
      </c>
      <c r="I168" s="63">
        <v>5312</v>
      </c>
      <c r="J168" s="107" t="s">
        <v>114</v>
      </c>
      <c r="K168" s="119" t="s">
        <v>158</v>
      </c>
      <c r="L168" s="107" t="s">
        <v>159</v>
      </c>
      <c r="M168" s="63">
        <v>2017</v>
      </c>
      <c r="N168" s="63">
        <v>2017</v>
      </c>
      <c r="O168" s="107" t="s">
        <v>117</v>
      </c>
      <c r="P168" s="8">
        <v>128000</v>
      </c>
      <c r="Q168" s="107" t="s">
        <v>144</v>
      </c>
      <c r="R168" s="107" t="s">
        <v>145</v>
      </c>
      <c r="S168" s="2"/>
      <c r="T168" s="2"/>
    </row>
    <row x14ac:dyDescent="0.25" r="169" customHeight="1" ht="13.5">
      <c r="A169" s="2"/>
      <c r="B169" s="2"/>
      <c r="C169" s="2"/>
      <c r="D169" s="2"/>
      <c r="E169" s="107" t="s">
        <v>111</v>
      </c>
      <c r="F169" s="107" t="s">
        <v>112</v>
      </c>
      <c r="G169" s="63">
        <v>834</v>
      </c>
      <c r="H169" s="107" t="s">
        <v>113</v>
      </c>
      <c r="I169" s="63">
        <v>5312</v>
      </c>
      <c r="J169" s="107" t="s">
        <v>114</v>
      </c>
      <c r="K169" s="119" t="s">
        <v>158</v>
      </c>
      <c r="L169" s="107" t="s">
        <v>159</v>
      </c>
      <c r="M169" s="63">
        <v>2018</v>
      </c>
      <c r="N169" s="63">
        <v>2018</v>
      </c>
      <c r="O169" s="107" t="s">
        <v>117</v>
      </c>
      <c r="P169" s="8">
        <v>128000</v>
      </c>
      <c r="Q169" s="107" t="s">
        <v>144</v>
      </c>
      <c r="R169" s="107" t="s">
        <v>145</v>
      </c>
      <c r="S169" s="2"/>
      <c r="T169" s="2"/>
    </row>
    <row x14ac:dyDescent="0.25" r="170" customHeight="1" ht="13.5">
      <c r="A170" s="2"/>
      <c r="B170" s="2"/>
      <c r="C170" s="2"/>
      <c r="D170" s="2"/>
      <c r="E170" s="107" t="s">
        <v>111</v>
      </c>
      <c r="F170" s="107" t="s">
        <v>112</v>
      </c>
      <c r="G170" s="63">
        <v>834</v>
      </c>
      <c r="H170" s="107" t="s">
        <v>113</v>
      </c>
      <c r="I170" s="63">
        <v>5312</v>
      </c>
      <c r="J170" s="107" t="s">
        <v>114</v>
      </c>
      <c r="K170" s="119" t="s">
        <v>158</v>
      </c>
      <c r="L170" s="107" t="s">
        <v>159</v>
      </c>
      <c r="M170" s="63">
        <v>2019</v>
      </c>
      <c r="N170" s="63">
        <v>2019</v>
      </c>
      <c r="O170" s="107" t="s">
        <v>117</v>
      </c>
      <c r="P170" s="8">
        <v>178739</v>
      </c>
      <c r="Q170" s="107" t="s">
        <v>120</v>
      </c>
      <c r="R170" s="107" t="s">
        <v>121</v>
      </c>
      <c r="S170" s="2"/>
      <c r="T170" s="2"/>
    </row>
    <row x14ac:dyDescent="0.25" r="171" customHeight="1" ht="13.5">
      <c r="A171" s="2"/>
      <c r="B171" s="2"/>
      <c r="C171" s="2"/>
      <c r="D171" s="2"/>
      <c r="E171" s="107" t="s">
        <v>111</v>
      </c>
      <c r="F171" s="107" t="s">
        <v>112</v>
      </c>
      <c r="G171" s="63">
        <v>834</v>
      </c>
      <c r="H171" s="107" t="s">
        <v>113</v>
      </c>
      <c r="I171" s="63">
        <v>5312</v>
      </c>
      <c r="J171" s="107" t="s">
        <v>114</v>
      </c>
      <c r="K171" s="119" t="s">
        <v>158</v>
      </c>
      <c r="L171" s="107" t="s">
        <v>159</v>
      </c>
      <c r="M171" s="63">
        <v>2020</v>
      </c>
      <c r="N171" s="63">
        <v>2020</v>
      </c>
      <c r="O171" s="107" t="s">
        <v>117</v>
      </c>
      <c r="P171" s="8">
        <v>176041</v>
      </c>
      <c r="Q171" s="107" t="s">
        <v>120</v>
      </c>
      <c r="R171" s="107" t="s">
        <v>121</v>
      </c>
      <c r="S171" s="2"/>
      <c r="T171" s="2"/>
    </row>
    <row x14ac:dyDescent="0.25" r="172" customHeight="1" ht="13.5">
      <c r="A172" s="2"/>
      <c r="B172" s="2"/>
      <c r="C172" s="2"/>
      <c r="D172" s="2"/>
      <c r="E172" s="107" t="s">
        <v>111</v>
      </c>
      <c r="F172" s="107" t="s">
        <v>112</v>
      </c>
      <c r="G172" s="63">
        <v>834</v>
      </c>
      <c r="H172" s="107" t="s">
        <v>113</v>
      </c>
      <c r="I172" s="63">
        <v>5312</v>
      </c>
      <c r="J172" s="107" t="s">
        <v>114</v>
      </c>
      <c r="K172" s="119" t="s">
        <v>158</v>
      </c>
      <c r="L172" s="107" t="s">
        <v>159</v>
      </c>
      <c r="M172" s="63">
        <v>2021</v>
      </c>
      <c r="N172" s="63">
        <v>2021</v>
      </c>
      <c r="O172" s="107" t="s">
        <v>117</v>
      </c>
      <c r="P172" s="8">
        <v>156414</v>
      </c>
      <c r="Q172" s="107" t="s">
        <v>120</v>
      </c>
      <c r="R172" s="107" t="s">
        <v>121</v>
      </c>
      <c r="S172" s="2"/>
      <c r="T172" s="2"/>
    </row>
    <row x14ac:dyDescent="0.25" r="173" customHeight="1" ht="13.5">
      <c r="A173" s="2"/>
      <c r="B173" s="2"/>
      <c r="C173" s="2"/>
      <c r="D173" s="2"/>
      <c r="E173" s="107" t="s">
        <v>111</v>
      </c>
      <c r="F173" s="107" t="s">
        <v>112</v>
      </c>
      <c r="G173" s="63">
        <v>834</v>
      </c>
      <c r="H173" s="107" t="s">
        <v>113</v>
      </c>
      <c r="I173" s="63">
        <v>5419</v>
      </c>
      <c r="J173" s="107" t="s">
        <v>122</v>
      </c>
      <c r="K173" s="119" t="s">
        <v>158</v>
      </c>
      <c r="L173" s="107" t="s">
        <v>159</v>
      </c>
      <c r="M173" s="63">
        <v>2017</v>
      </c>
      <c r="N173" s="63">
        <v>2017</v>
      </c>
      <c r="O173" s="107" t="s">
        <v>123</v>
      </c>
      <c r="P173" s="8">
        <v>50156</v>
      </c>
      <c r="Q173" s="107" t="s">
        <v>118</v>
      </c>
      <c r="R173" s="107" t="s">
        <v>119</v>
      </c>
      <c r="S173" s="2"/>
      <c r="T173" s="2"/>
    </row>
    <row x14ac:dyDescent="0.25" r="174" customHeight="1" ht="13.5">
      <c r="A174" s="2"/>
      <c r="B174" s="2"/>
      <c r="C174" s="2"/>
      <c r="D174" s="2"/>
      <c r="E174" s="107" t="s">
        <v>111</v>
      </c>
      <c r="F174" s="107" t="s">
        <v>112</v>
      </c>
      <c r="G174" s="63">
        <v>834</v>
      </c>
      <c r="H174" s="107" t="s">
        <v>113</v>
      </c>
      <c r="I174" s="63">
        <v>5419</v>
      </c>
      <c r="J174" s="107" t="s">
        <v>122</v>
      </c>
      <c r="K174" s="119" t="s">
        <v>158</v>
      </c>
      <c r="L174" s="107" t="s">
        <v>159</v>
      </c>
      <c r="M174" s="63">
        <v>2018</v>
      </c>
      <c r="N174" s="63">
        <v>2018</v>
      </c>
      <c r="O174" s="107" t="s">
        <v>123</v>
      </c>
      <c r="P174" s="8">
        <v>41016</v>
      </c>
      <c r="Q174" s="107" t="s">
        <v>118</v>
      </c>
      <c r="R174" s="107" t="s">
        <v>119</v>
      </c>
      <c r="S174" s="2"/>
      <c r="T174" s="2"/>
    </row>
    <row x14ac:dyDescent="0.25" r="175" customHeight="1" ht="13.5">
      <c r="A175" s="2"/>
      <c r="B175" s="2"/>
      <c r="C175" s="2"/>
      <c r="D175" s="2"/>
      <c r="E175" s="107" t="s">
        <v>111</v>
      </c>
      <c r="F175" s="107" t="s">
        <v>112</v>
      </c>
      <c r="G175" s="63">
        <v>834</v>
      </c>
      <c r="H175" s="107" t="s">
        <v>113</v>
      </c>
      <c r="I175" s="63">
        <v>5419</v>
      </c>
      <c r="J175" s="107" t="s">
        <v>122</v>
      </c>
      <c r="K175" s="119" t="s">
        <v>158</v>
      </c>
      <c r="L175" s="107" t="s">
        <v>159</v>
      </c>
      <c r="M175" s="63">
        <v>2019</v>
      </c>
      <c r="N175" s="63">
        <v>2019</v>
      </c>
      <c r="O175" s="107" t="s">
        <v>123</v>
      </c>
      <c r="P175" s="8">
        <v>28198</v>
      </c>
      <c r="Q175" s="107" t="s">
        <v>118</v>
      </c>
      <c r="R175" s="107" t="s">
        <v>119</v>
      </c>
      <c r="S175" s="2"/>
      <c r="T175" s="2"/>
    </row>
    <row x14ac:dyDescent="0.25" r="176" customHeight="1" ht="13.5">
      <c r="A176" s="2"/>
      <c r="B176" s="2"/>
      <c r="C176" s="2"/>
      <c r="D176" s="2"/>
      <c r="E176" s="107" t="s">
        <v>111</v>
      </c>
      <c r="F176" s="107" t="s">
        <v>112</v>
      </c>
      <c r="G176" s="63">
        <v>834</v>
      </c>
      <c r="H176" s="107" t="s">
        <v>113</v>
      </c>
      <c r="I176" s="63">
        <v>5419</v>
      </c>
      <c r="J176" s="107" t="s">
        <v>122</v>
      </c>
      <c r="K176" s="119" t="s">
        <v>158</v>
      </c>
      <c r="L176" s="107" t="s">
        <v>159</v>
      </c>
      <c r="M176" s="63">
        <v>2020</v>
      </c>
      <c r="N176" s="63">
        <v>2020</v>
      </c>
      <c r="O176" s="107" t="s">
        <v>123</v>
      </c>
      <c r="P176" s="8">
        <v>26073</v>
      </c>
      <c r="Q176" s="107" t="s">
        <v>118</v>
      </c>
      <c r="R176" s="107" t="s">
        <v>119</v>
      </c>
      <c r="S176" s="2"/>
      <c r="T176" s="2"/>
    </row>
    <row x14ac:dyDescent="0.25" r="177" customHeight="1" ht="13.5">
      <c r="A177" s="2"/>
      <c r="B177" s="2"/>
      <c r="C177" s="2"/>
      <c r="D177" s="2"/>
      <c r="E177" s="107" t="s">
        <v>111</v>
      </c>
      <c r="F177" s="107" t="s">
        <v>112</v>
      </c>
      <c r="G177" s="63">
        <v>834</v>
      </c>
      <c r="H177" s="107" t="s">
        <v>113</v>
      </c>
      <c r="I177" s="63">
        <v>5419</v>
      </c>
      <c r="J177" s="107" t="s">
        <v>122</v>
      </c>
      <c r="K177" s="119" t="s">
        <v>158</v>
      </c>
      <c r="L177" s="107" t="s">
        <v>159</v>
      </c>
      <c r="M177" s="63">
        <v>2021</v>
      </c>
      <c r="N177" s="63">
        <v>2021</v>
      </c>
      <c r="O177" s="107" t="s">
        <v>123</v>
      </c>
      <c r="P177" s="8">
        <v>29340</v>
      </c>
      <c r="Q177" s="107" t="s">
        <v>118</v>
      </c>
      <c r="R177" s="107" t="s">
        <v>119</v>
      </c>
      <c r="S177" s="2"/>
      <c r="T177" s="2"/>
    </row>
    <row x14ac:dyDescent="0.25" r="178" customHeight="1" ht="13.5">
      <c r="A178" s="2"/>
      <c r="B178" s="2"/>
      <c r="C178" s="2"/>
      <c r="D178" s="2"/>
      <c r="E178" s="107" t="s">
        <v>111</v>
      </c>
      <c r="F178" s="107" t="s">
        <v>112</v>
      </c>
      <c r="G178" s="63">
        <v>834</v>
      </c>
      <c r="H178" s="107" t="s">
        <v>113</v>
      </c>
      <c r="I178" s="63">
        <v>5312</v>
      </c>
      <c r="J178" s="107" t="s">
        <v>114</v>
      </c>
      <c r="K178" s="119" t="s">
        <v>160</v>
      </c>
      <c r="L178" s="107" t="s">
        <v>161</v>
      </c>
      <c r="M178" s="63">
        <v>2017</v>
      </c>
      <c r="N178" s="63">
        <v>2017</v>
      </c>
      <c r="O178" s="107" t="s">
        <v>117</v>
      </c>
      <c r="P178" s="8">
        <v>172617</v>
      </c>
      <c r="Q178" s="107" t="s">
        <v>120</v>
      </c>
      <c r="R178" s="107" t="s">
        <v>121</v>
      </c>
      <c r="S178" s="2"/>
      <c r="T178" s="2"/>
    </row>
    <row x14ac:dyDescent="0.25" r="179" customHeight="1" ht="13.5">
      <c r="A179" s="2"/>
      <c r="B179" s="2"/>
      <c r="C179" s="2"/>
      <c r="D179" s="2"/>
      <c r="E179" s="107" t="s">
        <v>111</v>
      </c>
      <c r="F179" s="107" t="s">
        <v>112</v>
      </c>
      <c r="G179" s="63">
        <v>834</v>
      </c>
      <c r="H179" s="107" t="s">
        <v>113</v>
      </c>
      <c r="I179" s="63">
        <v>5312</v>
      </c>
      <c r="J179" s="107" t="s">
        <v>114</v>
      </c>
      <c r="K179" s="119" t="s">
        <v>160</v>
      </c>
      <c r="L179" s="107" t="s">
        <v>161</v>
      </c>
      <c r="M179" s="63">
        <v>2018</v>
      </c>
      <c r="N179" s="63">
        <v>2018</v>
      </c>
      <c r="O179" s="107" t="s">
        <v>117</v>
      </c>
      <c r="P179" s="8">
        <v>162113</v>
      </c>
      <c r="Q179" s="107" t="s">
        <v>120</v>
      </c>
      <c r="R179" s="107" t="s">
        <v>121</v>
      </c>
      <c r="S179" s="2"/>
      <c r="T179" s="2"/>
    </row>
    <row x14ac:dyDescent="0.25" r="180" customHeight="1" ht="13.5">
      <c r="A180" s="2"/>
      <c r="B180" s="2"/>
      <c r="C180" s="2"/>
      <c r="D180" s="2"/>
      <c r="E180" s="107" t="s">
        <v>111</v>
      </c>
      <c r="F180" s="107" t="s">
        <v>112</v>
      </c>
      <c r="G180" s="63">
        <v>834</v>
      </c>
      <c r="H180" s="107" t="s">
        <v>113</v>
      </c>
      <c r="I180" s="63">
        <v>5312</v>
      </c>
      <c r="J180" s="107" t="s">
        <v>114</v>
      </c>
      <c r="K180" s="119" t="s">
        <v>160</v>
      </c>
      <c r="L180" s="107" t="s">
        <v>161</v>
      </c>
      <c r="M180" s="63">
        <v>2019</v>
      </c>
      <c r="N180" s="63">
        <v>2019</v>
      </c>
      <c r="O180" s="107" t="s">
        <v>117</v>
      </c>
      <c r="P180" s="8">
        <v>244438</v>
      </c>
      <c r="Q180" s="107" t="s">
        <v>120</v>
      </c>
      <c r="R180" s="107" t="s">
        <v>121</v>
      </c>
      <c r="S180" s="2"/>
      <c r="T180" s="2"/>
    </row>
    <row x14ac:dyDescent="0.25" r="181" customHeight="1" ht="13.5">
      <c r="A181" s="2"/>
      <c r="B181" s="2"/>
      <c r="C181" s="2"/>
      <c r="D181" s="2"/>
      <c r="E181" s="107" t="s">
        <v>111</v>
      </c>
      <c r="F181" s="107" t="s">
        <v>112</v>
      </c>
      <c r="G181" s="63">
        <v>834</v>
      </c>
      <c r="H181" s="107" t="s">
        <v>113</v>
      </c>
      <c r="I181" s="63">
        <v>5312</v>
      </c>
      <c r="J181" s="107" t="s">
        <v>114</v>
      </c>
      <c r="K181" s="119" t="s">
        <v>160</v>
      </c>
      <c r="L181" s="107" t="s">
        <v>161</v>
      </c>
      <c r="M181" s="63">
        <v>2020</v>
      </c>
      <c r="N181" s="63">
        <v>2020</v>
      </c>
      <c r="O181" s="107" t="s">
        <v>117</v>
      </c>
      <c r="P181" s="8">
        <v>219857</v>
      </c>
      <c r="Q181" s="107" t="s">
        <v>120</v>
      </c>
      <c r="R181" s="107" t="s">
        <v>121</v>
      </c>
      <c r="S181" s="2"/>
      <c r="T181" s="2"/>
    </row>
    <row x14ac:dyDescent="0.25" r="182" customHeight="1" ht="13.5">
      <c r="A182" s="2"/>
      <c r="B182" s="2"/>
      <c r="C182" s="2"/>
      <c r="D182" s="2"/>
      <c r="E182" s="107" t="s">
        <v>111</v>
      </c>
      <c r="F182" s="107" t="s">
        <v>112</v>
      </c>
      <c r="G182" s="63">
        <v>834</v>
      </c>
      <c r="H182" s="107" t="s">
        <v>113</v>
      </c>
      <c r="I182" s="63">
        <v>5312</v>
      </c>
      <c r="J182" s="107" t="s">
        <v>114</v>
      </c>
      <c r="K182" s="119" t="s">
        <v>160</v>
      </c>
      <c r="L182" s="107" t="s">
        <v>161</v>
      </c>
      <c r="M182" s="63">
        <v>2021</v>
      </c>
      <c r="N182" s="63">
        <v>2021</v>
      </c>
      <c r="O182" s="107" t="s">
        <v>117</v>
      </c>
      <c r="P182" s="8">
        <v>267556</v>
      </c>
      <c r="Q182" s="107" t="s">
        <v>120</v>
      </c>
      <c r="R182" s="107" t="s">
        <v>121</v>
      </c>
      <c r="S182" s="2"/>
      <c r="T182" s="2"/>
    </row>
    <row x14ac:dyDescent="0.25" r="183" customHeight="1" ht="13.5">
      <c r="A183" s="2"/>
      <c r="B183" s="2"/>
      <c r="C183" s="2"/>
      <c r="D183" s="2"/>
      <c r="E183" s="107" t="s">
        <v>111</v>
      </c>
      <c r="F183" s="107" t="s">
        <v>112</v>
      </c>
      <c r="G183" s="63">
        <v>834</v>
      </c>
      <c r="H183" s="107" t="s">
        <v>113</v>
      </c>
      <c r="I183" s="63">
        <v>5419</v>
      </c>
      <c r="J183" s="107" t="s">
        <v>122</v>
      </c>
      <c r="K183" s="119" t="s">
        <v>160</v>
      </c>
      <c r="L183" s="107" t="s">
        <v>161</v>
      </c>
      <c r="M183" s="63">
        <v>2017</v>
      </c>
      <c r="N183" s="63">
        <v>2017</v>
      </c>
      <c r="O183" s="107" t="s">
        <v>123</v>
      </c>
      <c r="P183" s="8">
        <v>2763</v>
      </c>
      <c r="Q183" s="107" t="s">
        <v>118</v>
      </c>
      <c r="R183" s="107" t="s">
        <v>119</v>
      </c>
      <c r="S183" s="2"/>
      <c r="T183" s="2"/>
    </row>
    <row x14ac:dyDescent="0.25" r="184" customHeight="1" ht="13.5">
      <c r="A184" s="2"/>
      <c r="B184" s="2"/>
      <c r="C184" s="2"/>
      <c r="D184" s="2"/>
      <c r="E184" s="107" t="s">
        <v>111</v>
      </c>
      <c r="F184" s="107" t="s">
        <v>112</v>
      </c>
      <c r="G184" s="63">
        <v>834</v>
      </c>
      <c r="H184" s="107" t="s">
        <v>113</v>
      </c>
      <c r="I184" s="63">
        <v>5419</v>
      </c>
      <c r="J184" s="107" t="s">
        <v>122</v>
      </c>
      <c r="K184" s="119" t="s">
        <v>160</v>
      </c>
      <c r="L184" s="107" t="s">
        <v>161</v>
      </c>
      <c r="M184" s="63">
        <v>2018</v>
      </c>
      <c r="N184" s="63">
        <v>2018</v>
      </c>
      <c r="O184" s="107" t="s">
        <v>123</v>
      </c>
      <c r="P184" s="8">
        <v>2792</v>
      </c>
      <c r="Q184" s="107" t="s">
        <v>118</v>
      </c>
      <c r="R184" s="107" t="s">
        <v>119</v>
      </c>
      <c r="S184" s="2"/>
      <c r="T184" s="2"/>
    </row>
    <row x14ac:dyDescent="0.25" r="185" customHeight="1" ht="13.5">
      <c r="A185" s="2"/>
      <c r="B185" s="2"/>
      <c r="C185" s="2"/>
      <c r="D185" s="2"/>
      <c r="E185" s="107" t="s">
        <v>111</v>
      </c>
      <c r="F185" s="107" t="s">
        <v>112</v>
      </c>
      <c r="G185" s="63">
        <v>834</v>
      </c>
      <c r="H185" s="107" t="s">
        <v>113</v>
      </c>
      <c r="I185" s="63">
        <v>5419</v>
      </c>
      <c r="J185" s="107" t="s">
        <v>122</v>
      </c>
      <c r="K185" s="119" t="s">
        <v>160</v>
      </c>
      <c r="L185" s="107" t="s">
        <v>161</v>
      </c>
      <c r="M185" s="63">
        <v>2019</v>
      </c>
      <c r="N185" s="63">
        <v>2019</v>
      </c>
      <c r="O185" s="107" t="s">
        <v>123</v>
      </c>
      <c r="P185" s="8">
        <v>2788</v>
      </c>
      <c r="Q185" s="107" t="s">
        <v>118</v>
      </c>
      <c r="R185" s="107" t="s">
        <v>119</v>
      </c>
      <c r="S185" s="2"/>
      <c r="T185" s="2"/>
    </row>
    <row x14ac:dyDescent="0.25" r="186" customHeight="1" ht="13.5">
      <c r="A186" s="2"/>
      <c r="B186" s="2"/>
      <c r="C186" s="2"/>
      <c r="D186" s="2"/>
      <c r="E186" s="107" t="s">
        <v>111</v>
      </c>
      <c r="F186" s="107" t="s">
        <v>112</v>
      </c>
      <c r="G186" s="63">
        <v>834</v>
      </c>
      <c r="H186" s="107" t="s">
        <v>113</v>
      </c>
      <c r="I186" s="63">
        <v>5419</v>
      </c>
      <c r="J186" s="107" t="s">
        <v>122</v>
      </c>
      <c r="K186" s="119" t="s">
        <v>160</v>
      </c>
      <c r="L186" s="107" t="s">
        <v>161</v>
      </c>
      <c r="M186" s="63">
        <v>2020</v>
      </c>
      <c r="N186" s="63">
        <v>2020</v>
      </c>
      <c r="O186" s="107" t="s">
        <v>123</v>
      </c>
      <c r="P186" s="8">
        <v>2759</v>
      </c>
      <c r="Q186" s="107" t="s">
        <v>118</v>
      </c>
      <c r="R186" s="107" t="s">
        <v>119</v>
      </c>
      <c r="S186" s="2"/>
      <c r="T186" s="2"/>
    </row>
    <row x14ac:dyDescent="0.25" r="187" customHeight="1" ht="13.5">
      <c r="A187" s="2"/>
      <c r="B187" s="2"/>
      <c r="C187" s="2"/>
      <c r="D187" s="2"/>
      <c r="E187" s="107" t="s">
        <v>111</v>
      </c>
      <c r="F187" s="107" t="s">
        <v>112</v>
      </c>
      <c r="G187" s="63">
        <v>834</v>
      </c>
      <c r="H187" s="107" t="s">
        <v>113</v>
      </c>
      <c r="I187" s="63">
        <v>5419</v>
      </c>
      <c r="J187" s="107" t="s">
        <v>122</v>
      </c>
      <c r="K187" s="119" t="s">
        <v>160</v>
      </c>
      <c r="L187" s="107" t="s">
        <v>161</v>
      </c>
      <c r="M187" s="63">
        <v>2021</v>
      </c>
      <c r="N187" s="63">
        <v>2021</v>
      </c>
      <c r="O187" s="107" t="s">
        <v>123</v>
      </c>
      <c r="P187" s="8">
        <v>2729</v>
      </c>
      <c r="Q187" s="107" t="s">
        <v>118</v>
      </c>
      <c r="R187" s="107" t="s">
        <v>119</v>
      </c>
      <c r="S187" s="2"/>
      <c r="T187" s="2"/>
    </row>
    <row x14ac:dyDescent="0.25" r="188" customHeight="1" ht="13.5">
      <c r="A188" s="2"/>
      <c r="B188" s="2"/>
      <c r="C188" s="2"/>
      <c r="D188" s="2"/>
      <c r="E188" s="107" t="s">
        <v>111</v>
      </c>
      <c r="F188" s="107" t="s">
        <v>112</v>
      </c>
      <c r="G188" s="63">
        <v>834</v>
      </c>
      <c r="H188" s="107" t="s">
        <v>113</v>
      </c>
      <c r="I188" s="63">
        <v>5312</v>
      </c>
      <c r="J188" s="107" t="s">
        <v>114</v>
      </c>
      <c r="K188" s="119" t="s">
        <v>162</v>
      </c>
      <c r="L188" s="107" t="s">
        <v>163</v>
      </c>
      <c r="M188" s="63">
        <v>2017</v>
      </c>
      <c r="N188" s="63">
        <v>2017</v>
      </c>
      <c r="O188" s="107" t="s">
        <v>117</v>
      </c>
      <c r="P188" s="8">
        <v>148483</v>
      </c>
      <c r="Q188" s="107" t="s">
        <v>126</v>
      </c>
      <c r="R188" s="107" t="s">
        <v>127</v>
      </c>
      <c r="S188" s="2"/>
      <c r="T188" s="2"/>
    </row>
    <row x14ac:dyDescent="0.25" r="189" customHeight="1" ht="13.5">
      <c r="A189" s="2"/>
      <c r="B189" s="2"/>
      <c r="C189" s="2"/>
      <c r="D189" s="2"/>
      <c r="E189" s="107" t="s">
        <v>111</v>
      </c>
      <c r="F189" s="107" t="s">
        <v>112</v>
      </c>
      <c r="G189" s="63">
        <v>834</v>
      </c>
      <c r="H189" s="107" t="s">
        <v>113</v>
      </c>
      <c r="I189" s="63">
        <v>5312</v>
      </c>
      <c r="J189" s="107" t="s">
        <v>114</v>
      </c>
      <c r="K189" s="119" t="s">
        <v>162</v>
      </c>
      <c r="L189" s="107" t="s">
        <v>163</v>
      </c>
      <c r="M189" s="63">
        <v>2018</v>
      </c>
      <c r="N189" s="63">
        <v>2018</v>
      </c>
      <c r="O189" s="107" t="s">
        <v>117</v>
      </c>
      <c r="P189" s="8">
        <v>108045</v>
      </c>
      <c r="Q189" s="107" t="s">
        <v>126</v>
      </c>
      <c r="R189" s="107" t="s">
        <v>127</v>
      </c>
      <c r="S189" s="2"/>
      <c r="T189" s="2"/>
    </row>
    <row x14ac:dyDescent="0.25" r="190" customHeight="1" ht="13.5">
      <c r="A190" s="2"/>
      <c r="B190" s="2"/>
      <c r="C190" s="2"/>
      <c r="D190" s="2"/>
      <c r="E190" s="107" t="s">
        <v>111</v>
      </c>
      <c r="F190" s="107" t="s">
        <v>112</v>
      </c>
      <c r="G190" s="63">
        <v>834</v>
      </c>
      <c r="H190" s="107" t="s">
        <v>113</v>
      </c>
      <c r="I190" s="63">
        <v>5312</v>
      </c>
      <c r="J190" s="107" t="s">
        <v>114</v>
      </c>
      <c r="K190" s="119" t="s">
        <v>162</v>
      </c>
      <c r="L190" s="107" t="s">
        <v>163</v>
      </c>
      <c r="M190" s="63">
        <v>2019</v>
      </c>
      <c r="N190" s="63">
        <v>2019</v>
      </c>
      <c r="O190" s="107" t="s">
        <v>117</v>
      </c>
      <c r="P190" s="8">
        <v>112657</v>
      </c>
      <c r="Q190" s="107" t="s">
        <v>126</v>
      </c>
      <c r="R190" s="107" t="s">
        <v>127</v>
      </c>
      <c r="S190" s="2"/>
      <c r="T190" s="2"/>
    </row>
    <row x14ac:dyDescent="0.25" r="191" customHeight="1" ht="13.5">
      <c r="A191" s="2"/>
      <c r="B191" s="2"/>
      <c r="C191" s="2"/>
      <c r="D191" s="2"/>
      <c r="E191" s="107" t="s">
        <v>111</v>
      </c>
      <c r="F191" s="107" t="s">
        <v>112</v>
      </c>
      <c r="G191" s="63">
        <v>834</v>
      </c>
      <c r="H191" s="107" t="s">
        <v>113</v>
      </c>
      <c r="I191" s="63">
        <v>5312</v>
      </c>
      <c r="J191" s="107" t="s">
        <v>114</v>
      </c>
      <c r="K191" s="119" t="s">
        <v>162</v>
      </c>
      <c r="L191" s="107" t="s">
        <v>163</v>
      </c>
      <c r="M191" s="63">
        <v>2020</v>
      </c>
      <c r="N191" s="63">
        <v>2020</v>
      </c>
      <c r="O191" s="107" t="s">
        <v>117</v>
      </c>
      <c r="P191" s="8">
        <v>127742</v>
      </c>
      <c r="Q191" s="107" t="s">
        <v>120</v>
      </c>
      <c r="R191" s="107" t="s">
        <v>121</v>
      </c>
      <c r="S191" s="2"/>
      <c r="T191" s="2"/>
    </row>
    <row x14ac:dyDescent="0.25" r="192" customHeight="1" ht="13.5">
      <c r="A192" s="2"/>
      <c r="B192" s="2"/>
      <c r="C192" s="2"/>
      <c r="D192" s="2"/>
      <c r="E192" s="107" t="s">
        <v>111</v>
      </c>
      <c r="F192" s="107" t="s">
        <v>112</v>
      </c>
      <c r="G192" s="63">
        <v>834</v>
      </c>
      <c r="H192" s="107" t="s">
        <v>113</v>
      </c>
      <c r="I192" s="63">
        <v>5312</v>
      </c>
      <c r="J192" s="107" t="s">
        <v>114</v>
      </c>
      <c r="K192" s="119" t="s">
        <v>162</v>
      </c>
      <c r="L192" s="107" t="s">
        <v>163</v>
      </c>
      <c r="M192" s="63">
        <v>2021</v>
      </c>
      <c r="N192" s="63">
        <v>2021</v>
      </c>
      <c r="O192" s="107" t="s">
        <v>117</v>
      </c>
      <c r="P192" s="8">
        <v>133173</v>
      </c>
      <c r="Q192" s="107" t="s">
        <v>120</v>
      </c>
      <c r="R192" s="107" t="s">
        <v>121</v>
      </c>
      <c r="S192" s="2"/>
      <c r="T192" s="2"/>
    </row>
    <row x14ac:dyDescent="0.25" r="193" customHeight="1" ht="13.5">
      <c r="A193" s="2"/>
      <c r="B193" s="2"/>
      <c r="C193" s="2"/>
      <c r="D193" s="2"/>
      <c r="E193" s="107" t="s">
        <v>111</v>
      </c>
      <c r="F193" s="107" t="s">
        <v>112</v>
      </c>
      <c r="G193" s="63">
        <v>834</v>
      </c>
      <c r="H193" s="107" t="s">
        <v>113</v>
      </c>
      <c r="I193" s="63">
        <v>5419</v>
      </c>
      <c r="J193" s="107" t="s">
        <v>122</v>
      </c>
      <c r="K193" s="119" t="s">
        <v>162</v>
      </c>
      <c r="L193" s="107" t="s">
        <v>163</v>
      </c>
      <c r="M193" s="63">
        <v>2017</v>
      </c>
      <c r="N193" s="63">
        <v>2017</v>
      </c>
      <c r="O193" s="107" t="s">
        <v>123</v>
      </c>
      <c r="P193" s="8">
        <v>11963</v>
      </c>
      <c r="Q193" s="107" t="s">
        <v>126</v>
      </c>
      <c r="R193" s="107" t="s">
        <v>127</v>
      </c>
      <c r="S193" s="2"/>
      <c r="T193" s="2"/>
    </row>
    <row x14ac:dyDescent="0.25" r="194" customHeight="1" ht="13.5">
      <c r="A194" s="2"/>
      <c r="B194" s="2"/>
      <c r="C194" s="2"/>
      <c r="D194" s="2"/>
      <c r="E194" s="107" t="s">
        <v>111</v>
      </c>
      <c r="F194" s="107" t="s">
        <v>112</v>
      </c>
      <c r="G194" s="63">
        <v>834</v>
      </c>
      <c r="H194" s="107" t="s">
        <v>113</v>
      </c>
      <c r="I194" s="63">
        <v>5419</v>
      </c>
      <c r="J194" s="107" t="s">
        <v>122</v>
      </c>
      <c r="K194" s="119" t="s">
        <v>162</v>
      </c>
      <c r="L194" s="107" t="s">
        <v>163</v>
      </c>
      <c r="M194" s="63">
        <v>2018</v>
      </c>
      <c r="N194" s="63">
        <v>2018</v>
      </c>
      <c r="O194" s="107" t="s">
        <v>123</v>
      </c>
      <c r="P194" s="8">
        <v>11270</v>
      </c>
      <c r="Q194" s="107" t="s">
        <v>126</v>
      </c>
      <c r="R194" s="107" t="s">
        <v>127</v>
      </c>
      <c r="S194" s="2"/>
      <c r="T194" s="2"/>
    </row>
    <row x14ac:dyDescent="0.25" r="195" customHeight="1" ht="13.5">
      <c r="A195" s="2"/>
      <c r="B195" s="2"/>
      <c r="C195" s="2"/>
      <c r="D195" s="2"/>
      <c r="E195" s="107" t="s">
        <v>111</v>
      </c>
      <c r="F195" s="107" t="s">
        <v>112</v>
      </c>
      <c r="G195" s="63">
        <v>834</v>
      </c>
      <c r="H195" s="107" t="s">
        <v>113</v>
      </c>
      <c r="I195" s="63">
        <v>5419</v>
      </c>
      <c r="J195" s="107" t="s">
        <v>122</v>
      </c>
      <c r="K195" s="119" t="s">
        <v>162</v>
      </c>
      <c r="L195" s="107" t="s">
        <v>163</v>
      </c>
      <c r="M195" s="63">
        <v>2019</v>
      </c>
      <c r="N195" s="63">
        <v>2019</v>
      </c>
      <c r="O195" s="107" t="s">
        <v>123</v>
      </c>
      <c r="P195" s="8">
        <v>11352</v>
      </c>
      <c r="Q195" s="107" t="s">
        <v>126</v>
      </c>
      <c r="R195" s="107" t="s">
        <v>127</v>
      </c>
      <c r="S195" s="2"/>
      <c r="T195" s="2"/>
    </row>
    <row x14ac:dyDescent="0.25" r="196" customHeight="1" ht="13.5">
      <c r="A196" s="2"/>
      <c r="B196" s="2"/>
      <c r="C196" s="2"/>
      <c r="D196" s="2"/>
      <c r="E196" s="107" t="s">
        <v>111</v>
      </c>
      <c r="F196" s="107" t="s">
        <v>112</v>
      </c>
      <c r="G196" s="63">
        <v>834</v>
      </c>
      <c r="H196" s="107" t="s">
        <v>113</v>
      </c>
      <c r="I196" s="63">
        <v>5419</v>
      </c>
      <c r="J196" s="107" t="s">
        <v>122</v>
      </c>
      <c r="K196" s="119" t="s">
        <v>162</v>
      </c>
      <c r="L196" s="107" t="s">
        <v>163</v>
      </c>
      <c r="M196" s="63">
        <v>2020</v>
      </c>
      <c r="N196" s="63">
        <v>2020</v>
      </c>
      <c r="O196" s="107" t="s">
        <v>123</v>
      </c>
      <c r="P196" s="8">
        <v>11193</v>
      </c>
      <c r="Q196" s="107" t="s">
        <v>118</v>
      </c>
      <c r="R196" s="107" t="s">
        <v>119</v>
      </c>
      <c r="S196" s="2"/>
      <c r="T196" s="2"/>
    </row>
    <row x14ac:dyDescent="0.25" r="197" customHeight="1" ht="13.5">
      <c r="A197" s="2"/>
      <c r="B197" s="2"/>
      <c r="C197" s="2"/>
      <c r="D197" s="2"/>
      <c r="E197" s="107" t="s">
        <v>111</v>
      </c>
      <c r="F197" s="107" t="s">
        <v>112</v>
      </c>
      <c r="G197" s="63">
        <v>834</v>
      </c>
      <c r="H197" s="107" t="s">
        <v>113</v>
      </c>
      <c r="I197" s="63">
        <v>5419</v>
      </c>
      <c r="J197" s="107" t="s">
        <v>122</v>
      </c>
      <c r="K197" s="119" t="s">
        <v>162</v>
      </c>
      <c r="L197" s="107" t="s">
        <v>163</v>
      </c>
      <c r="M197" s="63">
        <v>2021</v>
      </c>
      <c r="N197" s="63">
        <v>2021</v>
      </c>
      <c r="O197" s="107" t="s">
        <v>123</v>
      </c>
      <c r="P197" s="8">
        <v>11346</v>
      </c>
      <c r="Q197" s="107" t="s">
        <v>118</v>
      </c>
      <c r="R197" s="107" t="s">
        <v>119</v>
      </c>
      <c r="S197" s="2"/>
      <c r="T197" s="2"/>
    </row>
    <row x14ac:dyDescent="0.25" r="198" customHeight="1" ht="13.5">
      <c r="A198" s="2"/>
      <c r="B198" s="2"/>
      <c r="C198" s="2"/>
      <c r="D198" s="2"/>
      <c r="E198" s="107" t="s">
        <v>111</v>
      </c>
      <c r="F198" s="107" t="s">
        <v>112</v>
      </c>
      <c r="G198" s="63">
        <v>834</v>
      </c>
      <c r="H198" s="107" t="s">
        <v>113</v>
      </c>
      <c r="I198" s="63">
        <v>5312</v>
      </c>
      <c r="J198" s="107" t="s">
        <v>114</v>
      </c>
      <c r="K198" s="119" t="s">
        <v>164</v>
      </c>
      <c r="L198" s="107" t="s">
        <v>165</v>
      </c>
      <c r="M198" s="63">
        <v>2017</v>
      </c>
      <c r="N198" s="63">
        <v>2017</v>
      </c>
      <c r="O198" s="107" t="s">
        <v>117</v>
      </c>
      <c r="P198" s="8">
        <v>985</v>
      </c>
      <c r="Q198" s="107" t="s">
        <v>120</v>
      </c>
      <c r="R198" s="107" t="s">
        <v>121</v>
      </c>
      <c r="S198" s="2"/>
      <c r="T198" s="2"/>
    </row>
    <row x14ac:dyDescent="0.25" r="199" customHeight="1" ht="13.5">
      <c r="A199" s="2"/>
      <c r="B199" s="2"/>
      <c r="C199" s="2"/>
      <c r="D199" s="2"/>
      <c r="E199" s="107" t="s">
        <v>111</v>
      </c>
      <c r="F199" s="107" t="s">
        <v>112</v>
      </c>
      <c r="G199" s="63">
        <v>834</v>
      </c>
      <c r="H199" s="107" t="s">
        <v>113</v>
      </c>
      <c r="I199" s="63">
        <v>5312</v>
      </c>
      <c r="J199" s="107" t="s">
        <v>114</v>
      </c>
      <c r="K199" s="119" t="s">
        <v>164</v>
      </c>
      <c r="L199" s="107" t="s">
        <v>165</v>
      </c>
      <c r="M199" s="63">
        <v>2018</v>
      </c>
      <c r="N199" s="63">
        <v>2018</v>
      </c>
      <c r="O199" s="107" t="s">
        <v>117</v>
      </c>
      <c r="P199" s="8">
        <v>1018</v>
      </c>
      <c r="Q199" s="107" t="s">
        <v>118</v>
      </c>
      <c r="R199" s="107" t="s">
        <v>119</v>
      </c>
      <c r="S199" s="2"/>
      <c r="T199" s="2"/>
    </row>
    <row x14ac:dyDescent="0.25" r="200" customHeight="1" ht="13.5">
      <c r="A200" s="2"/>
      <c r="B200" s="2"/>
      <c r="C200" s="2"/>
      <c r="D200" s="2"/>
      <c r="E200" s="107" t="s">
        <v>111</v>
      </c>
      <c r="F200" s="107" t="s">
        <v>112</v>
      </c>
      <c r="G200" s="63">
        <v>834</v>
      </c>
      <c r="H200" s="107" t="s">
        <v>113</v>
      </c>
      <c r="I200" s="63">
        <v>5312</v>
      </c>
      <c r="J200" s="107" t="s">
        <v>114</v>
      </c>
      <c r="K200" s="119" t="s">
        <v>164</v>
      </c>
      <c r="L200" s="107" t="s">
        <v>165</v>
      </c>
      <c r="M200" s="63">
        <v>2019</v>
      </c>
      <c r="N200" s="63">
        <v>2019</v>
      </c>
      <c r="O200" s="107" t="s">
        <v>117</v>
      </c>
      <c r="P200" s="8">
        <v>974</v>
      </c>
      <c r="Q200" s="107" t="s">
        <v>118</v>
      </c>
      <c r="R200" s="107" t="s">
        <v>119</v>
      </c>
      <c r="S200" s="2"/>
      <c r="T200" s="2"/>
    </row>
    <row x14ac:dyDescent="0.25" r="201" customHeight="1" ht="13.5">
      <c r="A201" s="2"/>
      <c r="B201" s="2"/>
      <c r="C201" s="2"/>
      <c r="D201" s="2"/>
      <c r="E201" s="107" t="s">
        <v>111</v>
      </c>
      <c r="F201" s="107" t="s">
        <v>112</v>
      </c>
      <c r="G201" s="63">
        <v>834</v>
      </c>
      <c r="H201" s="107" t="s">
        <v>113</v>
      </c>
      <c r="I201" s="63">
        <v>5312</v>
      </c>
      <c r="J201" s="107" t="s">
        <v>114</v>
      </c>
      <c r="K201" s="119" t="s">
        <v>164</v>
      </c>
      <c r="L201" s="107" t="s">
        <v>165</v>
      </c>
      <c r="M201" s="63">
        <v>2020</v>
      </c>
      <c r="N201" s="63">
        <v>2020</v>
      </c>
      <c r="O201" s="107" t="s">
        <v>117</v>
      </c>
      <c r="P201" s="8">
        <v>992</v>
      </c>
      <c r="Q201" s="107" t="s">
        <v>118</v>
      </c>
      <c r="R201" s="107" t="s">
        <v>119</v>
      </c>
      <c r="S201" s="2"/>
      <c r="T201" s="2"/>
    </row>
    <row x14ac:dyDescent="0.25" r="202" customHeight="1" ht="13.5">
      <c r="A202" s="2"/>
      <c r="B202" s="2"/>
      <c r="C202" s="2"/>
      <c r="D202" s="2"/>
      <c r="E202" s="107" t="s">
        <v>111</v>
      </c>
      <c r="F202" s="107" t="s">
        <v>112</v>
      </c>
      <c r="G202" s="63">
        <v>834</v>
      </c>
      <c r="H202" s="107" t="s">
        <v>113</v>
      </c>
      <c r="I202" s="63">
        <v>5312</v>
      </c>
      <c r="J202" s="107" t="s">
        <v>114</v>
      </c>
      <c r="K202" s="119" t="s">
        <v>164</v>
      </c>
      <c r="L202" s="107" t="s">
        <v>165</v>
      </c>
      <c r="M202" s="63">
        <v>2021</v>
      </c>
      <c r="N202" s="63">
        <v>2021</v>
      </c>
      <c r="O202" s="107" t="s">
        <v>117</v>
      </c>
      <c r="P202" s="8">
        <v>995</v>
      </c>
      <c r="Q202" s="107" t="s">
        <v>118</v>
      </c>
      <c r="R202" s="107" t="s">
        <v>119</v>
      </c>
      <c r="S202" s="2"/>
      <c r="T202" s="2"/>
    </row>
    <row x14ac:dyDescent="0.25" r="203" customHeight="1" ht="13.5">
      <c r="A203" s="2"/>
      <c r="B203" s="2"/>
      <c r="C203" s="2"/>
      <c r="D203" s="2"/>
      <c r="E203" s="107" t="s">
        <v>111</v>
      </c>
      <c r="F203" s="107" t="s">
        <v>112</v>
      </c>
      <c r="G203" s="63">
        <v>834</v>
      </c>
      <c r="H203" s="107" t="s">
        <v>113</v>
      </c>
      <c r="I203" s="63">
        <v>5419</v>
      </c>
      <c r="J203" s="107" t="s">
        <v>122</v>
      </c>
      <c r="K203" s="119" t="s">
        <v>164</v>
      </c>
      <c r="L203" s="107" t="s">
        <v>165</v>
      </c>
      <c r="M203" s="63">
        <v>2017</v>
      </c>
      <c r="N203" s="63">
        <v>2017</v>
      </c>
      <c r="O203" s="107" t="s">
        <v>123</v>
      </c>
      <c r="P203" s="8">
        <v>22292</v>
      </c>
      <c r="Q203" s="107" t="s">
        <v>118</v>
      </c>
      <c r="R203" s="107" t="s">
        <v>119</v>
      </c>
      <c r="S203" s="2"/>
      <c r="T203" s="2"/>
    </row>
    <row x14ac:dyDescent="0.25" r="204" customHeight="1" ht="13.5">
      <c r="A204" s="2"/>
      <c r="B204" s="2"/>
      <c r="C204" s="2"/>
      <c r="D204" s="2"/>
      <c r="E204" s="107" t="s">
        <v>111</v>
      </c>
      <c r="F204" s="107" t="s">
        <v>112</v>
      </c>
      <c r="G204" s="63">
        <v>834</v>
      </c>
      <c r="H204" s="107" t="s">
        <v>113</v>
      </c>
      <c r="I204" s="63">
        <v>5419</v>
      </c>
      <c r="J204" s="107" t="s">
        <v>122</v>
      </c>
      <c r="K204" s="119" t="s">
        <v>164</v>
      </c>
      <c r="L204" s="107" t="s">
        <v>165</v>
      </c>
      <c r="M204" s="63">
        <v>2018</v>
      </c>
      <c r="N204" s="63">
        <v>2018</v>
      </c>
      <c r="O204" s="107" t="s">
        <v>123</v>
      </c>
      <c r="P204" s="8">
        <v>22160</v>
      </c>
      <c r="Q204" s="107" t="s">
        <v>118</v>
      </c>
      <c r="R204" s="107" t="s">
        <v>119</v>
      </c>
      <c r="S204" s="2"/>
      <c r="T204" s="2"/>
    </row>
    <row x14ac:dyDescent="0.25" r="205" customHeight="1" ht="13.5">
      <c r="A205" s="2"/>
      <c r="B205" s="2"/>
      <c r="C205" s="2"/>
      <c r="D205" s="2"/>
      <c r="E205" s="107" t="s">
        <v>111</v>
      </c>
      <c r="F205" s="107" t="s">
        <v>112</v>
      </c>
      <c r="G205" s="63">
        <v>834</v>
      </c>
      <c r="H205" s="107" t="s">
        <v>113</v>
      </c>
      <c r="I205" s="63">
        <v>5419</v>
      </c>
      <c r="J205" s="107" t="s">
        <v>122</v>
      </c>
      <c r="K205" s="119" t="s">
        <v>164</v>
      </c>
      <c r="L205" s="107" t="s">
        <v>165</v>
      </c>
      <c r="M205" s="63">
        <v>2019</v>
      </c>
      <c r="N205" s="63">
        <v>2019</v>
      </c>
      <c r="O205" s="107" t="s">
        <v>123</v>
      </c>
      <c r="P205" s="8">
        <v>22211</v>
      </c>
      <c r="Q205" s="107" t="s">
        <v>118</v>
      </c>
      <c r="R205" s="107" t="s">
        <v>119</v>
      </c>
      <c r="S205" s="2"/>
      <c r="T205" s="2"/>
    </row>
    <row x14ac:dyDescent="0.25" r="206" customHeight="1" ht="13.5">
      <c r="A206" s="2"/>
      <c r="B206" s="2"/>
      <c r="C206" s="2"/>
      <c r="D206" s="2"/>
      <c r="E206" s="107" t="s">
        <v>111</v>
      </c>
      <c r="F206" s="107" t="s">
        <v>112</v>
      </c>
      <c r="G206" s="63">
        <v>834</v>
      </c>
      <c r="H206" s="107" t="s">
        <v>113</v>
      </c>
      <c r="I206" s="63">
        <v>5419</v>
      </c>
      <c r="J206" s="107" t="s">
        <v>122</v>
      </c>
      <c r="K206" s="119" t="s">
        <v>164</v>
      </c>
      <c r="L206" s="107" t="s">
        <v>165</v>
      </c>
      <c r="M206" s="63">
        <v>2020</v>
      </c>
      <c r="N206" s="63">
        <v>2020</v>
      </c>
      <c r="O206" s="107" t="s">
        <v>123</v>
      </c>
      <c r="P206" s="8">
        <v>22220</v>
      </c>
      <c r="Q206" s="107" t="s">
        <v>118</v>
      </c>
      <c r="R206" s="107" t="s">
        <v>119</v>
      </c>
      <c r="S206" s="2"/>
      <c r="T206" s="2"/>
    </row>
    <row x14ac:dyDescent="0.25" r="207" customHeight="1" ht="13.5">
      <c r="A207" s="2"/>
      <c r="B207" s="2"/>
      <c r="C207" s="2"/>
      <c r="D207" s="2"/>
      <c r="E207" s="107" t="s">
        <v>111</v>
      </c>
      <c r="F207" s="107" t="s">
        <v>112</v>
      </c>
      <c r="G207" s="63">
        <v>834</v>
      </c>
      <c r="H207" s="107" t="s">
        <v>113</v>
      </c>
      <c r="I207" s="63">
        <v>5419</v>
      </c>
      <c r="J207" s="107" t="s">
        <v>122</v>
      </c>
      <c r="K207" s="119" t="s">
        <v>164</v>
      </c>
      <c r="L207" s="107" t="s">
        <v>165</v>
      </c>
      <c r="M207" s="63">
        <v>2021</v>
      </c>
      <c r="N207" s="63">
        <v>2021</v>
      </c>
      <c r="O207" s="107" t="s">
        <v>123</v>
      </c>
      <c r="P207" s="8">
        <v>22197</v>
      </c>
      <c r="Q207" s="107" t="s">
        <v>118</v>
      </c>
      <c r="R207" s="107" t="s">
        <v>119</v>
      </c>
      <c r="S207" s="2"/>
      <c r="T207" s="2"/>
    </row>
    <row x14ac:dyDescent="0.25" r="208" customHeight="1" ht="13.5">
      <c r="A208" s="2"/>
      <c r="B208" s="2"/>
      <c r="C208" s="2"/>
      <c r="D208" s="2"/>
      <c r="E208" s="107" t="s">
        <v>111</v>
      </c>
      <c r="F208" s="107" t="s">
        <v>112</v>
      </c>
      <c r="G208" s="63">
        <v>834</v>
      </c>
      <c r="H208" s="107" t="s">
        <v>113</v>
      </c>
      <c r="I208" s="63">
        <v>5312</v>
      </c>
      <c r="J208" s="107" t="s">
        <v>114</v>
      </c>
      <c r="K208" s="119" t="s">
        <v>166</v>
      </c>
      <c r="L208" s="107" t="s">
        <v>167</v>
      </c>
      <c r="M208" s="63">
        <v>2017</v>
      </c>
      <c r="N208" s="63">
        <v>2017</v>
      </c>
      <c r="O208" s="107" t="s">
        <v>117</v>
      </c>
      <c r="P208" s="8">
        <v>191</v>
      </c>
      <c r="Q208" s="107" t="s">
        <v>118</v>
      </c>
      <c r="R208" s="107" t="s">
        <v>119</v>
      </c>
      <c r="S208" s="2"/>
      <c r="T208" s="2"/>
    </row>
    <row x14ac:dyDescent="0.25" r="209" customHeight="1" ht="13.5">
      <c r="A209" s="2"/>
      <c r="B209" s="2"/>
      <c r="C209" s="2"/>
      <c r="D209" s="2"/>
      <c r="E209" s="107" t="s">
        <v>111</v>
      </c>
      <c r="F209" s="107" t="s">
        <v>112</v>
      </c>
      <c r="G209" s="63">
        <v>834</v>
      </c>
      <c r="H209" s="107" t="s">
        <v>113</v>
      </c>
      <c r="I209" s="63">
        <v>5312</v>
      </c>
      <c r="J209" s="107" t="s">
        <v>114</v>
      </c>
      <c r="K209" s="119" t="s">
        <v>166</v>
      </c>
      <c r="L209" s="107" t="s">
        <v>167</v>
      </c>
      <c r="M209" s="63">
        <v>2018</v>
      </c>
      <c r="N209" s="63">
        <v>2018</v>
      </c>
      <c r="O209" s="107" t="s">
        <v>117</v>
      </c>
      <c r="P209" s="8">
        <v>206</v>
      </c>
      <c r="Q209" s="107" t="s">
        <v>118</v>
      </c>
      <c r="R209" s="107" t="s">
        <v>119</v>
      </c>
      <c r="S209" s="2"/>
      <c r="T209" s="2"/>
    </row>
    <row x14ac:dyDescent="0.25" r="210" customHeight="1" ht="13.5">
      <c r="A210" s="2"/>
      <c r="B210" s="2"/>
      <c r="C210" s="2"/>
      <c r="D210" s="2"/>
      <c r="E210" s="107" t="s">
        <v>111</v>
      </c>
      <c r="F210" s="107" t="s">
        <v>112</v>
      </c>
      <c r="G210" s="63">
        <v>834</v>
      </c>
      <c r="H210" s="107" t="s">
        <v>113</v>
      </c>
      <c r="I210" s="63">
        <v>5312</v>
      </c>
      <c r="J210" s="107" t="s">
        <v>114</v>
      </c>
      <c r="K210" s="119" t="s">
        <v>166</v>
      </c>
      <c r="L210" s="107" t="s">
        <v>167</v>
      </c>
      <c r="M210" s="63">
        <v>2019</v>
      </c>
      <c r="N210" s="63">
        <v>2019</v>
      </c>
      <c r="O210" s="107" t="s">
        <v>117</v>
      </c>
      <c r="P210" s="8">
        <v>214</v>
      </c>
      <c r="Q210" s="107" t="s">
        <v>118</v>
      </c>
      <c r="R210" s="107" t="s">
        <v>119</v>
      </c>
      <c r="S210" s="2"/>
      <c r="T210" s="2"/>
    </row>
    <row x14ac:dyDescent="0.25" r="211" customHeight="1" ht="13.5">
      <c r="A211" s="2"/>
      <c r="B211" s="2"/>
      <c r="C211" s="2"/>
      <c r="D211" s="2"/>
      <c r="E211" s="107" t="s">
        <v>111</v>
      </c>
      <c r="F211" s="107" t="s">
        <v>112</v>
      </c>
      <c r="G211" s="63">
        <v>834</v>
      </c>
      <c r="H211" s="107" t="s">
        <v>113</v>
      </c>
      <c r="I211" s="63">
        <v>5312</v>
      </c>
      <c r="J211" s="107" t="s">
        <v>114</v>
      </c>
      <c r="K211" s="119" t="s">
        <v>166</v>
      </c>
      <c r="L211" s="107" t="s">
        <v>167</v>
      </c>
      <c r="M211" s="63">
        <v>2020</v>
      </c>
      <c r="N211" s="63">
        <v>2020</v>
      </c>
      <c r="O211" s="107" t="s">
        <v>117</v>
      </c>
      <c r="P211" s="8">
        <v>204</v>
      </c>
      <c r="Q211" s="107" t="s">
        <v>118</v>
      </c>
      <c r="R211" s="107" t="s">
        <v>119</v>
      </c>
      <c r="S211" s="2"/>
      <c r="T211" s="2"/>
    </row>
    <row x14ac:dyDescent="0.25" r="212" customHeight="1" ht="13.5">
      <c r="A212" s="2"/>
      <c r="B212" s="2"/>
      <c r="C212" s="2"/>
      <c r="D212" s="2"/>
      <c r="E212" s="107" t="s">
        <v>111</v>
      </c>
      <c r="F212" s="107" t="s">
        <v>112</v>
      </c>
      <c r="G212" s="63">
        <v>834</v>
      </c>
      <c r="H212" s="107" t="s">
        <v>113</v>
      </c>
      <c r="I212" s="63">
        <v>5312</v>
      </c>
      <c r="J212" s="107" t="s">
        <v>114</v>
      </c>
      <c r="K212" s="119" t="s">
        <v>166</v>
      </c>
      <c r="L212" s="107" t="s">
        <v>167</v>
      </c>
      <c r="M212" s="63">
        <v>2021</v>
      </c>
      <c r="N212" s="63">
        <v>2021</v>
      </c>
      <c r="O212" s="107" t="s">
        <v>117</v>
      </c>
      <c r="P212" s="8">
        <v>208</v>
      </c>
      <c r="Q212" s="107" t="s">
        <v>118</v>
      </c>
      <c r="R212" s="107" t="s">
        <v>119</v>
      </c>
      <c r="S212" s="2"/>
      <c r="T212" s="2"/>
    </row>
    <row x14ac:dyDescent="0.25" r="213" customHeight="1" ht="13.5">
      <c r="A213" s="2"/>
      <c r="B213" s="2"/>
      <c r="C213" s="2"/>
      <c r="D213" s="2"/>
      <c r="E213" s="107" t="s">
        <v>111</v>
      </c>
      <c r="F213" s="107" t="s">
        <v>112</v>
      </c>
      <c r="G213" s="63">
        <v>834</v>
      </c>
      <c r="H213" s="107" t="s">
        <v>113</v>
      </c>
      <c r="I213" s="63">
        <v>5419</v>
      </c>
      <c r="J213" s="107" t="s">
        <v>122</v>
      </c>
      <c r="K213" s="119" t="s">
        <v>166</v>
      </c>
      <c r="L213" s="107" t="s">
        <v>167</v>
      </c>
      <c r="M213" s="63">
        <v>2017</v>
      </c>
      <c r="N213" s="63">
        <v>2017</v>
      </c>
      <c r="O213" s="107" t="s">
        <v>123</v>
      </c>
      <c r="P213" s="8">
        <v>20708</v>
      </c>
      <c r="Q213" s="107" t="s">
        <v>118</v>
      </c>
      <c r="R213" s="107" t="s">
        <v>119</v>
      </c>
      <c r="S213" s="2"/>
      <c r="T213" s="2"/>
    </row>
    <row x14ac:dyDescent="0.25" r="214" customHeight="1" ht="13.5">
      <c r="A214" s="2"/>
      <c r="B214" s="2"/>
      <c r="C214" s="2"/>
      <c r="D214" s="2"/>
      <c r="E214" s="107" t="s">
        <v>111</v>
      </c>
      <c r="F214" s="107" t="s">
        <v>112</v>
      </c>
      <c r="G214" s="63">
        <v>834</v>
      </c>
      <c r="H214" s="107" t="s">
        <v>113</v>
      </c>
      <c r="I214" s="63">
        <v>5419</v>
      </c>
      <c r="J214" s="107" t="s">
        <v>122</v>
      </c>
      <c r="K214" s="119" t="s">
        <v>166</v>
      </c>
      <c r="L214" s="107" t="s">
        <v>167</v>
      </c>
      <c r="M214" s="63">
        <v>2018</v>
      </c>
      <c r="N214" s="63">
        <v>2018</v>
      </c>
      <c r="O214" s="107" t="s">
        <v>123</v>
      </c>
      <c r="P214" s="8">
        <v>20649</v>
      </c>
      <c r="Q214" s="107" t="s">
        <v>118</v>
      </c>
      <c r="R214" s="107" t="s">
        <v>119</v>
      </c>
      <c r="S214" s="2"/>
      <c r="T214" s="2"/>
    </row>
    <row x14ac:dyDescent="0.25" r="215" customHeight="1" ht="13.5">
      <c r="A215" s="2"/>
      <c r="B215" s="2"/>
      <c r="C215" s="2"/>
      <c r="D215" s="2"/>
      <c r="E215" s="107" t="s">
        <v>111</v>
      </c>
      <c r="F215" s="107" t="s">
        <v>112</v>
      </c>
      <c r="G215" s="63">
        <v>834</v>
      </c>
      <c r="H215" s="107" t="s">
        <v>113</v>
      </c>
      <c r="I215" s="63">
        <v>5419</v>
      </c>
      <c r="J215" s="107" t="s">
        <v>122</v>
      </c>
      <c r="K215" s="119" t="s">
        <v>166</v>
      </c>
      <c r="L215" s="107" t="s">
        <v>167</v>
      </c>
      <c r="M215" s="63">
        <v>2019</v>
      </c>
      <c r="N215" s="63">
        <v>2019</v>
      </c>
      <c r="O215" s="107" t="s">
        <v>123</v>
      </c>
      <c r="P215" s="8">
        <v>20614</v>
      </c>
      <c r="Q215" s="107" t="s">
        <v>118</v>
      </c>
      <c r="R215" s="107" t="s">
        <v>119</v>
      </c>
      <c r="S215" s="2"/>
      <c r="T215" s="2"/>
    </row>
    <row x14ac:dyDescent="0.25" r="216" customHeight="1" ht="13.5">
      <c r="A216" s="2"/>
      <c r="B216" s="2"/>
      <c r="C216" s="2"/>
      <c r="D216" s="2"/>
      <c r="E216" s="107" t="s">
        <v>111</v>
      </c>
      <c r="F216" s="107" t="s">
        <v>112</v>
      </c>
      <c r="G216" s="63">
        <v>834</v>
      </c>
      <c r="H216" s="107" t="s">
        <v>113</v>
      </c>
      <c r="I216" s="63">
        <v>5419</v>
      </c>
      <c r="J216" s="107" t="s">
        <v>122</v>
      </c>
      <c r="K216" s="119" t="s">
        <v>166</v>
      </c>
      <c r="L216" s="107" t="s">
        <v>167</v>
      </c>
      <c r="M216" s="63">
        <v>2020</v>
      </c>
      <c r="N216" s="63">
        <v>2020</v>
      </c>
      <c r="O216" s="107" t="s">
        <v>123</v>
      </c>
      <c r="P216" s="8">
        <v>20655</v>
      </c>
      <c r="Q216" s="107" t="s">
        <v>118</v>
      </c>
      <c r="R216" s="107" t="s">
        <v>119</v>
      </c>
      <c r="S216" s="2"/>
      <c r="T216" s="2"/>
    </row>
    <row x14ac:dyDescent="0.25" r="217" customHeight="1" ht="13.5">
      <c r="A217" s="2"/>
      <c r="B217" s="2"/>
      <c r="C217" s="2"/>
      <c r="D217" s="2"/>
      <c r="E217" s="107" t="s">
        <v>111</v>
      </c>
      <c r="F217" s="107" t="s">
        <v>112</v>
      </c>
      <c r="G217" s="63">
        <v>834</v>
      </c>
      <c r="H217" s="107" t="s">
        <v>113</v>
      </c>
      <c r="I217" s="63">
        <v>5419</v>
      </c>
      <c r="J217" s="107" t="s">
        <v>122</v>
      </c>
      <c r="K217" s="119" t="s">
        <v>166</v>
      </c>
      <c r="L217" s="107" t="s">
        <v>167</v>
      </c>
      <c r="M217" s="63">
        <v>2021</v>
      </c>
      <c r="N217" s="63">
        <v>2021</v>
      </c>
      <c r="O217" s="107" t="s">
        <v>123</v>
      </c>
      <c r="P217" s="8">
        <v>20639</v>
      </c>
      <c r="Q217" s="107" t="s">
        <v>118</v>
      </c>
      <c r="R217" s="107" t="s">
        <v>119</v>
      </c>
      <c r="S217" s="2"/>
      <c r="T217" s="2"/>
    </row>
    <row x14ac:dyDescent="0.25" r="218" customHeight="1" ht="13.5">
      <c r="A218" s="2"/>
      <c r="B218" s="2"/>
      <c r="C218" s="2"/>
      <c r="D218" s="2"/>
      <c r="E218" s="107" t="s">
        <v>111</v>
      </c>
      <c r="F218" s="107" t="s">
        <v>112</v>
      </c>
      <c r="G218" s="63">
        <v>834</v>
      </c>
      <c r="H218" s="107" t="s">
        <v>113</v>
      </c>
      <c r="I218" s="63">
        <v>5312</v>
      </c>
      <c r="J218" s="107" t="s">
        <v>114</v>
      </c>
      <c r="K218" s="119" t="s">
        <v>168</v>
      </c>
      <c r="L218" s="107" t="s">
        <v>169</v>
      </c>
      <c r="M218" s="63">
        <v>2017</v>
      </c>
      <c r="N218" s="63">
        <v>2017</v>
      </c>
      <c r="O218" s="107" t="s">
        <v>117</v>
      </c>
      <c r="P218" s="8">
        <v>1036</v>
      </c>
      <c r="Q218" s="107" t="s">
        <v>120</v>
      </c>
      <c r="R218" s="107" t="s">
        <v>121</v>
      </c>
      <c r="S218" s="2"/>
      <c r="T218" s="2"/>
    </row>
    <row x14ac:dyDescent="0.25" r="219" customHeight="1" ht="13.5">
      <c r="A219" s="2"/>
      <c r="B219" s="2"/>
      <c r="C219" s="2"/>
      <c r="D219" s="2"/>
      <c r="E219" s="107" t="s">
        <v>111</v>
      </c>
      <c r="F219" s="107" t="s">
        <v>112</v>
      </c>
      <c r="G219" s="63">
        <v>834</v>
      </c>
      <c r="H219" s="107" t="s">
        <v>113</v>
      </c>
      <c r="I219" s="63">
        <v>5312</v>
      </c>
      <c r="J219" s="107" t="s">
        <v>114</v>
      </c>
      <c r="K219" s="119" t="s">
        <v>168</v>
      </c>
      <c r="L219" s="107" t="s">
        <v>169</v>
      </c>
      <c r="M219" s="63">
        <v>2018</v>
      </c>
      <c r="N219" s="63">
        <v>2018</v>
      </c>
      <c r="O219" s="107" t="s">
        <v>117</v>
      </c>
      <c r="P219" s="8">
        <v>1033</v>
      </c>
      <c r="Q219" s="107" t="s">
        <v>118</v>
      </c>
      <c r="R219" s="107" t="s">
        <v>119</v>
      </c>
      <c r="S219" s="2"/>
      <c r="T219" s="2"/>
    </row>
    <row x14ac:dyDescent="0.25" r="220" customHeight="1" ht="13.5">
      <c r="A220" s="2"/>
      <c r="B220" s="2"/>
      <c r="C220" s="2"/>
      <c r="D220" s="2"/>
      <c r="E220" s="107" t="s">
        <v>111</v>
      </c>
      <c r="F220" s="107" t="s">
        <v>112</v>
      </c>
      <c r="G220" s="63">
        <v>834</v>
      </c>
      <c r="H220" s="107" t="s">
        <v>113</v>
      </c>
      <c r="I220" s="63">
        <v>5312</v>
      </c>
      <c r="J220" s="107" t="s">
        <v>114</v>
      </c>
      <c r="K220" s="119" t="s">
        <v>168</v>
      </c>
      <c r="L220" s="107" t="s">
        <v>169</v>
      </c>
      <c r="M220" s="63">
        <v>2019</v>
      </c>
      <c r="N220" s="63">
        <v>2019</v>
      </c>
      <c r="O220" s="107" t="s">
        <v>117</v>
      </c>
      <c r="P220" s="8">
        <v>1041</v>
      </c>
      <c r="Q220" s="107" t="s">
        <v>118</v>
      </c>
      <c r="R220" s="107" t="s">
        <v>119</v>
      </c>
      <c r="S220" s="2"/>
      <c r="T220" s="2"/>
    </row>
    <row x14ac:dyDescent="0.25" r="221" customHeight="1" ht="13.5">
      <c r="A221" s="2"/>
      <c r="B221" s="2"/>
      <c r="C221" s="2"/>
      <c r="D221" s="2"/>
      <c r="E221" s="107" t="s">
        <v>111</v>
      </c>
      <c r="F221" s="107" t="s">
        <v>112</v>
      </c>
      <c r="G221" s="63">
        <v>834</v>
      </c>
      <c r="H221" s="107" t="s">
        <v>113</v>
      </c>
      <c r="I221" s="63">
        <v>5312</v>
      </c>
      <c r="J221" s="107" t="s">
        <v>114</v>
      </c>
      <c r="K221" s="119" t="s">
        <v>168</v>
      </c>
      <c r="L221" s="107" t="s">
        <v>169</v>
      </c>
      <c r="M221" s="63">
        <v>2020</v>
      </c>
      <c r="N221" s="63">
        <v>2020</v>
      </c>
      <c r="O221" s="107" t="s">
        <v>117</v>
      </c>
      <c r="P221" s="8">
        <v>1037</v>
      </c>
      <c r="Q221" s="107" t="s">
        <v>118</v>
      </c>
      <c r="R221" s="107" t="s">
        <v>119</v>
      </c>
      <c r="S221" s="2"/>
      <c r="T221" s="2"/>
    </row>
    <row x14ac:dyDescent="0.25" r="222" customHeight="1" ht="13.5">
      <c r="A222" s="2"/>
      <c r="B222" s="2"/>
      <c r="C222" s="2"/>
      <c r="D222" s="2"/>
      <c r="E222" s="107" t="s">
        <v>111</v>
      </c>
      <c r="F222" s="107" t="s">
        <v>112</v>
      </c>
      <c r="G222" s="63">
        <v>834</v>
      </c>
      <c r="H222" s="107" t="s">
        <v>113</v>
      </c>
      <c r="I222" s="63">
        <v>5312</v>
      </c>
      <c r="J222" s="107" t="s">
        <v>114</v>
      </c>
      <c r="K222" s="119" t="s">
        <v>168</v>
      </c>
      <c r="L222" s="107" t="s">
        <v>169</v>
      </c>
      <c r="M222" s="63">
        <v>2021</v>
      </c>
      <c r="N222" s="63">
        <v>2021</v>
      </c>
      <c r="O222" s="107" t="s">
        <v>117</v>
      </c>
      <c r="P222" s="8">
        <v>1037</v>
      </c>
      <c r="Q222" s="107" t="s">
        <v>118</v>
      </c>
      <c r="R222" s="107" t="s">
        <v>119</v>
      </c>
      <c r="S222" s="2"/>
      <c r="T222" s="2"/>
    </row>
    <row x14ac:dyDescent="0.25" r="223" customHeight="1" ht="13.5">
      <c r="A223" s="2"/>
      <c r="B223" s="2"/>
      <c r="C223" s="2"/>
      <c r="D223" s="2"/>
      <c r="E223" s="107" t="s">
        <v>111</v>
      </c>
      <c r="F223" s="107" t="s">
        <v>112</v>
      </c>
      <c r="G223" s="63">
        <v>834</v>
      </c>
      <c r="H223" s="107" t="s">
        <v>113</v>
      </c>
      <c r="I223" s="63">
        <v>5419</v>
      </c>
      <c r="J223" s="107" t="s">
        <v>122</v>
      </c>
      <c r="K223" s="119" t="s">
        <v>168</v>
      </c>
      <c r="L223" s="107" t="s">
        <v>169</v>
      </c>
      <c r="M223" s="63">
        <v>2017</v>
      </c>
      <c r="N223" s="63">
        <v>2017</v>
      </c>
      <c r="O223" s="107" t="s">
        <v>123</v>
      </c>
      <c r="P223" s="8">
        <v>49615</v>
      </c>
      <c r="Q223" s="107" t="s">
        <v>118</v>
      </c>
      <c r="R223" s="107" t="s">
        <v>119</v>
      </c>
      <c r="S223" s="2"/>
      <c r="T223" s="2"/>
    </row>
    <row x14ac:dyDescent="0.25" r="224" customHeight="1" ht="13.5">
      <c r="A224" s="2"/>
      <c r="B224" s="2"/>
      <c r="C224" s="2"/>
      <c r="D224" s="2"/>
      <c r="E224" s="107" t="s">
        <v>111</v>
      </c>
      <c r="F224" s="107" t="s">
        <v>112</v>
      </c>
      <c r="G224" s="63">
        <v>834</v>
      </c>
      <c r="H224" s="107" t="s">
        <v>113</v>
      </c>
      <c r="I224" s="63">
        <v>5419</v>
      </c>
      <c r="J224" s="107" t="s">
        <v>122</v>
      </c>
      <c r="K224" s="119" t="s">
        <v>168</v>
      </c>
      <c r="L224" s="107" t="s">
        <v>169</v>
      </c>
      <c r="M224" s="63">
        <v>2018</v>
      </c>
      <c r="N224" s="63">
        <v>2018</v>
      </c>
      <c r="O224" s="107" t="s">
        <v>123</v>
      </c>
      <c r="P224" s="8">
        <v>47561</v>
      </c>
      <c r="Q224" s="107" t="s">
        <v>118</v>
      </c>
      <c r="R224" s="107" t="s">
        <v>119</v>
      </c>
      <c r="S224" s="2"/>
      <c r="T224" s="2"/>
    </row>
    <row x14ac:dyDescent="0.25" r="225" customHeight="1" ht="13.5">
      <c r="A225" s="2"/>
      <c r="B225" s="2"/>
      <c r="C225" s="2"/>
      <c r="D225" s="2"/>
      <c r="E225" s="107" t="s">
        <v>111</v>
      </c>
      <c r="F225" s="107" t="s">
        <v>112</v>
      </c>
      <c r="G225" s="63">
        <v>834</v>
      </c>
      <c r="H225" s="107" t="s">
        <v>113</v>
      </c>
      <c r="I225" s="63">
        <v>5419</v>
      </c>
      <c r="J225" s="107" t="s">
        <v>122</v>
      </c>
      <c r="K225" s="119" t="s">
        <v>168</v>
      </c>
      <c r="L225" s="107" t="s">
        <v>169</v>
      </c>
      <c r="M225" s="63">
        <v>2019</v>
      </c>
      <c r="N225" s="63">
        <v>2019</v>
      </c>
      <c r="O225" s="107" t="s">
        <v>123</v>
      </c>
      <c r="P225" s="8">
        <v>49308</v>
      </c>
      <c r="Q225" s="107" t="s">
        <v>118</v>
      </c>
      <c r="R225" s="107" t="s">
        <v>119</v>
      </c>
      <c r="S225" s="2"/>
      <c r="T225" s="2"/>
    </row>
    <row x14ac:dyDescent="0.25" r="226" customHeight="1" ht="13.5">
      <c r="A226" s="2"/>
      <c r="B226" s="2"/>
      <c r="C226" s="2"/>
      <c r="D226" s="2"/>
      <c r="E226" s="107" t="s">
        <v>111</v>
      </c>
      <c r="F226" s="107" t="s">
        <v>112</v>
      </c>
      <c r="G226" s="63">
        <v>834</v>
      </c>
      <c r="H226" s="107" t="s">
        <v>113</v>
      </c>
      <c r="I226" s="63">
        <v>5419</v>
      </c>
      <c r="J226" s="107" t="s">
        <v>122</v>
      </c>
      <c r="K226" s="119" t="s">
        <v>168</v>
      </c>
      <c r="L226" s="107" t="s">
        <v>169</v>
      </c>
      <c r="M226" s="63">
        <v>2020</v>
      </c>
      <c r="N226" s="63">
        <v>2020</v>
      </c>
      <c r="O226" s="107" t="s">
        <v>123</v>
      </c>
      <c r="P226" s="8">
        <v>48830</v>
      </c>
      <c r="Q226" s="107" t="s">
        <v>118</v>
      </c>
      <c r="R226" s="107" t="s">
        <v>119</v>
      </c>
      <c r="S226" s="2"/>
      <c r="T226" s="2"/>
    </row>
    <row x14ac:dyDescent="0.25" r="227" customHeight="1" ht="13.5">
      <c r="A227" s="2"/>
      <c r="B227" s="2"/>
      <c r="C227" s="2"/>
      <c r="D227" s="2"/>
      <c r="E227" s="107" t="s">
        <v>111</v>
      </c>
      <c r="F227" s="107" t="s">
        <v>112</v>
      </c>
      <c r="G227" s="63">
        <v>834</v>
      </c>
      <c r="H227" s="107" t="s">
        <v>113</v>
      </c>
      <c r="I227" s="63">
        <v>5419</v>
      </c>
      <c r="J227" s="107" t="s">
        <v>122</v>
      </c>
      <c r="K227" s="119" t="s">
        <v>168</v>
      </c>
      <c r="L227" s="107" t="s">
        <v>169</v>
      </c>
      <c r="M227" s="63">
        <v>2021</v>
      </c>
      <c r="N227" s="63">
        <v>2021</v>
      </c>
      <c r="O227" s="107" t="s">
        <v>123</v>
      </c>
      <c r="P227" s="8">
        <v>48568</v>
      </c>
      <c r="Q227" s="107" t="s">
        <v>118</v>
      </c>
      <c r="R227" s="107" t="s">
        <v>119</v>
      </c>
      <c r="S227" s="2"/>
      <c r="T227" s="2"/>
    </row>
    <row x14ac:dyDescent="0.25" r="228" customHeight="1" ht="13.5">
      <c r="A228" s="2"/>
      <c r="B228" s="2"/>
      <c r="C228" s="2"/>
      <c r="D228" s="2"/>
      <c r="E228" s="107" t="s">
        <v>111</v>
      </c>
      <c r="F228" s="107" t="s">
        <v>112</v>
      </c>
      <c r="G228" s="63">
        <v>834</v>
      </c>
      <c r="H228" s="107" t="s">
        <v>113</v>
      </c>
      <c r="I228" s="63">
        <v>5312</v>
      </c>
      <c r="J228" s="107" t="s">
        <v>114</v>
      </c>
      <c r="K228" s="119" t="s">
        <v>170</v>
      </c>
      <c r="L228" s="107" t="s">
        <v>171</v>
      </c>
      <c r="M228" s="63">
        <v>2017</v>
      </c>
      <c r="N228" s="63">
        <v>2017</v>
      </c>
      <c r="O228" s="107" t="s">
        <v>117</v>
      </c>
      <c r="P228" s="8">
        <v>13954</v>
      </c>
      <c r="Q228" s="107" t="s">
        <v>120</v>
      </c>
      <c r="R228" s="107" t="s">
        <v>121</v>
      </c>
      <c r="S228" s="2"/>
      <c r="T228" s="2"/>
    </row>
    <row x14ac:dyDescent="0.25" r="229" customHeight="1" ht="13.5">
      <c r="A229" s="2"/>
      <c r="B229" s="2"/>
      <c r="C229" s="2"/>
      <c r="D229" s="2"/>
      <c r="E229" s="107" t="s">
        <v>111</v>
      </c>
      <c r="F229" s="107" t="s">
        <v>112</v>
      </c>
      <c r="G229" s="63">
        <v>834</v>
      </c>
      <c r="H229" s="107" t="s">
        <v>113</v>
      </c>
      <c r="I229" s="63">
        <v>5312</v>
      </c>
      <c r="J229" s="107" t="s">
        <v>114</v>
      </c>
      <c r="K229" s="119" t="s">
        <v>170</v>
      </c>
      <c r="L229" s="107" t="s">
        <v>171</v>
      </c>
      <c r="M229" s="63">
        <v>2018</v>
      </c>
      <c r="N229" s="63">
        <v>2018</v>
      </c>
      <c r="O229" s="107" t="s">
        <v>117</v>
      </c>
      <c r="P229" s="8">
        <v>14229</v>
      </c>
      <c r="Q229" s="107" t="s">
        <v>118</v>
      </c>
      <c r="R229" s="107" t="s">
        <v>119</v>
      </c>
      <c r="S229" s="2"/>
      <c r="T229" s="2"/>
    </row>
    <row x14ac:dyDescent="0.25" r="230" customHeight="1" ht="13.5">
      <c r="A230" s="2"/>
      <c r="B230" s="2"/>
      <c r="C230" s="2"/>
      <c r="D230" s="2"/>
      <c r="E230" s="107" t="s">
        <v>111</v>
      </c>
      <c r="F230" s="107" t="s">
        <v>112</v>
      </c>
      <c r="G230" s="63">
        <v>834</v>
      </c>
      <c r="H230" s="107" t="s">
        <v>113</v>
      </c>
      <c r="I230" s="63">
        <v>5312</v>
      </c>
      <c r="J230" s="107" t="s">
        <v>114</v>
      </c>
      <c r="K230" s="119" t="s">
        <v>170</v>
      </c>
      <c r="L230" s="107" t="s">
        <v>171</v>
      </c>
      <c r="M230" s="63">
        <v>2019</v>
      </c>
      <c r="N230" s="63">
        <v>2019</v>
      </c>
      <c r="O230" s="107" t="s">
        <v>117</v>
      </c>
      <c r="P230" s="8">
        <v>13978</v>
      </c>
      <c r="Q230" s="107" t="s">
        <v>118</v>
      </c>
      <c r="R230" s="107" t="s">
        <v>119</v>
      </c>
      <c r="S230" s="2"/>
      <c r="T230" s="2"/>
    </row>
    <row x14ac:dyDescent="0.25" r="231" customHeight="1" ht="13.5">
      <c r="A231" s="2"/>
      <c r="B231" s="2"/>
      <c r="C231" s="2"/>
      <c r="D231" s="2"/>
      <c r="E231" s="107" t="s">
        <v>111</v>
      </c>
      <c r="F231" s="107" t="s">
        <v>112</v>
      </c>
      <c r="G231" s="63">
        <v>834</v>
      </c>
      <c r="H231" s="107" t="s">
        <v>113</v>
      </c>
      <c r="I231" s="63">
        <v>5312</v>
      </c>
      <c r="J231" s="107" t="s">
        <v>114</v>
      </c>
      <c r="K231" s="119" t="s">
        <v>170</v>
      </c>
      <c r="L231" s="107" t="s">
        <v>171</v>
      </c>
      <c r="M231" s="63">
        <v>2020</v>
      </c>
      <c r="N231" s="63">
        <v>2020</v>
      </c>
      <c r="O231" s="107" t="s">
        <v>117</v>
      </c>
      <c r="P231" s="8">
        <v>14053</v>
      </c>
      <c r="Q231" s="107" t="s">
        <v>118</v>
      </c>
      <c r="R231" s="107" t="s">
        <v>119</v>
      </c>
      <c r="S231" s="2"/>
      <c r="T231" s="2"/>
    </row>
    <row x14ac:dyDescent="0.25" r="232" customHeight="1" ht="13.5">
      <c r="A232" s="2"/>
      <c r="B232" s="2"/>
      <c r="C232" s="2"/>
      <c r="D232" s="2"/>
      <c r="E232" s="107" t="s">
        <v>111</v>
      </c>
      <c r="F232" s="107" t="s">
        <v>112</v>
      </c>
      <c r="G232" s="63">
        <v>834</v>
      </c>
      <c r="H232" s="107" t="s">
        <v>113</v>
      </c>
      <c r="I232" s="63">
        <v>5312</v>
      </c>
      <c r="J232" s="107" t="s">
        <v>114</v>
      </c>
      <c r="K232" s="119" t="s">
        <v>170</v>
      </c>
      <c r="L232" s="107" t="s">
        <v>171</v>
      </c>
      <c r="M232" s="63">
        <v>2021</v>
      </c>
      <c r="N232" s="63">
        <v>2021</v>
      </c>
      <c r="O232" s="107" t="s">
        <v>117</v>
      </c>
      <c r="P232" s="8">
        <v>14087</v>
      </c>
      <c r="Q232" s="107" t="s">
        <v>118</v>
      </c>
      <c r="R232" s="107" t="s">
        <v>119</v>
      </c>
      <c r="S232" s="2"/>
      <c r="T232" s="2"/>
    </row>
    <row x14ac:dyDescent="0.25" r="233" customHeight="1" ht="13.5">
      <c r="A233" s="2"/>
      <c r="B233" s="2"/>
      <c r="C233" s="2"/>
      <c r="D233" s="2"/>
      <c r="E233" s="107" t="s">
        <v>111</v>
      </c>
      <c r="F233" s="107" t="s">
        <v>112</v>
      </c>
      <c r="G233" s="63">
        <v>834</v>
      </c>
      <c r="H233" s="107" t="s">
        <v>113</v>
      </c>
      <c r="I233" s="63">
        <v>5419</v>
      </c>
      <c r="J233" s="107" t="s">
        <v>122</v>
      </c>
      <c r="K233" s="119" t="s">
        <v>170</v>
      </c>
      <c r="L233" s="107" t="s">
        <v>171</v>
      </c>
      <c r="M233" s="63">
        <v>2017</v>
      </c>
      <c r="N233" s="63">
        <v>2017</v>
      </c>
      <c r="O233" s="107" t="s">
        <v>123</v>
      </c>
      <c r="P233" s="8">
        <v>36430</v>
      </c>
      <c r="Q233" s="107" t="s">
        <v>118</v>
      </c>
      <c r="R233" s="107" t="s">
        <v>119</v>
      </c>
      <c r="S233" s="2"/>
      <c r="T233" s="2"/>
    </row>
    <row x14ac:dyDescent="0.25" r="234" customHeight="1" ht="13.5">
      <c r="A234" s="2"/>
      <c r="B234" s="2"/>
      <c r="C234" s="2"/>
      <c r="D234" s="2"/>
      <c r="E234" s="107" t="s">
        <v>111</v>
      </c>
      <c r="F234" s="107" t="s">
        <v>112</v>
      </c>
      <c r="G234" s="63">
        <v>834</v>
      </c>
      <c r="H234" s="107" t="s">
        <v>113</v>
      </c>
      <c r="I234" s="63">
        <v>5419</v>
      </c>
      <c r="J234" s="107" t="s">
        <v>122</v>
      </c>
      <c r="K234" s="119" t="s">
        <v>170</v>
      </c>
      <c r="L234" s="107" t="s">
        <v>171</v>
      </c>
      <c r="M234" s="63">
        <v>2018</v>
      </c>
      <c r="N234" s="63">
        <v>2018</v>
      </c>
      <c r="O234" s="107" t="s">
        <v>123</v>
      </c>
      <c r="P234" s="8">
        <v>36337</v>
      </c>
      <c r="Q234" s="107" t="s">
        <v>118</v>
      </c>
      <c r="R234" s="107" t="s">
        <v>119</v>
      </c>
      <c r="S234" s="2"/>
      <c r="T234" s="2"/>
    </row>
    <row x14ac:dyDescent="0.25" r="235" customHeight="1" ht="13.5">
      <c r="A235" s="2"/>
      <c r="B235" s="2"/>
      <c r="C235" s="2"/>
      <c r="D235" s="2"/>
      <c r="E235" s="107" t="s">
        <v>111</v>
      </c>
      <c r="F235" s="107" t="s">
        <v>112</v>
      </c>
      <c r="G235" s="63">
        <v>834</v>
      </c>
      <c r="H235" s="107" t="s">
        <v>113</v>
      </c>
      <c r="I235" s="63">
        <v>5419</v>
      </c>
      <c r="J235" s="107" t="s">
        <v>122</v>
      </c>
      <c r="K235" s="119" t="s">
        <v>170</v>
      </c>
      <c r="L235" s="107" t="s">
        <v>171</v>
      </c>
      <c r="M235" s="63">
        <v>2019</v>
      </c>
      <c r="N235" s="63">
        <v>2019</v>
      </c>
      <c r="O235" s="107" t="s">
        <v>123</v>
      </c>
      <c r="P235" s="8">
        <v>36426</v>
      </c>
      <c r="Q235" s="107" t="s">
        <v>118</v>
      </c>
      <c r="R235" s="107" t="s">
        <v>119</v>
      </c>
      <c r="S235" s="2"/>
      <c r="T235" s="2"/>
    </row>
    <row x14ac:dyDescent="0.25" r="236" customHeight="1" ht="13.5">
      <c r="A236" s="2"/>
      <c r="B236" s="2"/>
      <c r="C236" s="2"/>
      <c r="D236" s="2"/>
      <c r="E236" s="107" t="s">
        <v>111</v>
      </c>
      <c r="F236" s="107" t="s">
        <v>112</v>
      </c>
      <c r="G236" s="63">
        <v>834</v>
      </c>
      <c r="H236" s="107" t="s">
        <v>113</v>
      </c>
      <c r="I236" s="63">
        <v>5419</v>
      </c>
      <c r="J236" s="107" t="s">
        <v>122</v>
      </c>
      <c r="K236" s="119" t="s">
        <v>170</v>
      </c>
      <c r="L236" s="107" t="s">
        <v>171</v>
      </c>
      <c r="M236" s="63">
        <v>2020</v>
      </c>
      <c r="N236" s="63">
        <v>2020</v>
      </c>
      <c r="O236" s="107" t="s">
        <v>123</v>
      </c>
      <c r="P236" s="8">
        <v>36397</v>
      </c>
      <c r="Q236" s="107" t="s">
        <v>118</v>
      </c>
      <c r="R236" s="107" t="s">
        <v>119</v>
      </c>
      <c r="S236" s="2"/>
      <c r="T236" s="2"/>
    </row>
    <row x14ac:dyDescent="0.25" r="237" customHeight="1" ht="13.5">
      <c r="A237" s="2"/>
      <c r="B237" s="2"/>
      <c r="C237" s="2"/>
      <c r="D237" s="2"/>
      <c r="E237" s="107" t="s">
        <v>111</v>
      </c>
      <c r="F237" s="107" t="s">
        <v>112</v>
      </c>
      <c r="G237" s="63">
        <v>834</v>
      </c>
      <c r="H237" s="107" t="s">
        <v>113</v>
      </c>
      <c r="I237" s="63">
        <v>5419</v>
      </c>
      <c r="J237" s="107" t="s">
        <v>122</v>
      </c>
      <c r="K237" s="119" t="s">
        <v>170</v>
      </c>
      <c r="L237" s="107" t="s">
        <v>171</v>
      </c>
      <c r="M237" s="63">
        <v>2021</v>
      </c>
      <c r="N237" s="63">
        <v>2021</v>
      </c>
      <c r="O237" s="107" t="s">
        <v>123</v>
      </c>
      <c r="P237" s="8">
        <v>36386</v>
      </c>
      <c r="Q237" s="107" t="s">
        <v>118</v>
      </c>
      <c r="R237" s="107" t="s">
        <v>119</v>
      </c>
      <c r="S237" s="2"/>
      <c r="T237" s="2"/>
    </row>
    <row x14ac:dyDescent="0.25" r="238" customHeight="1" ht="13.5">
      <c r="A238" s="2"/>
      <c r="B238" s="2"/>
      <c r="C238" s="2"/>
      <c r="D238" s="2"/>
      <c r="E238" s="107" t="s">
        <v>111</v>
      </c>
      <c r="F238" s="107" t="s">
        <v>112</v>
      </c>
      <c r="G238" s="63">
        <v>834</v>
      </c>
      <c r="H238" s="107" t="s">
        <v>113</v>
      </c>
      <c r="I238" s="63">
        <v>5312</v>
      </c>
      <c r="J238" s="107" t="s">
        <v>114</v>
      </c>
      <c r="K238" s="119" t="s">
        <v>172</v>
      </c>
      <c r="L238" s="107" t="s">
        <v>173</v>
      </c>
      <c r="M238" s="63">
        <v>2017</v>
      </c>
      <c r="N238" s="63">
        <v>2017</v>
      </c>
      <c r="O238" s="107" t="s">
        <v>117</v>
      </c>
      <c r="P238" s="8">
        <v>1795</v>
      </c>
      <c r="Q238" s="107" t="s">
        <v>120</v>
      </c>
      <c r="R238" s="107" t="s">
        <v>121</v>
      </c>
      <c r="S238" s="2"/>
      <c r="T238" s="2"/>
    </row>
    <row x14ac:dyDescent="0.25" r="239" customHeight="1" ht="13.5">
      <c r="A239" s="2"/>
      <c r="B239" s="2"/>
      <c r="C239" s="2"/>
      <c r="D239" s="2"/>
      <c r="E239" s="107" t="s">
        <v>111</v>
      </c>
      <c r="F239" s="107" t="s">
        <v>112</v>
      </c>
      <c r="G239" s="63">
        <v>834</v>
      </c>
      <c r="H239" s="107" t="s">
        <v>113</v>
      </c>
      <c r="I239" s="63">
        <v>5312</v>
      </c>
      <c r="J239" s="107" t="s">
        <v>114</v>
      </c>
      <c r="K239" s="119" t="s">
        <v>172</v>
      </c>
      <c r="L239" s="107" t="s">
        <v>173</v>
      </c>
      <c r="M239" s="63">
        <v>2018</v>
      </c>
      <c r="N239" s="63">
        <v>2018</v>
      </c>
      <c r="O239" s="107" t="s">
        <v>117</v>
      </c>
      <c r="P239" s="8">
        <v>1687</v>
      </c>
      <c r="Q239" s="107" t="s">
        <v>118</v>
      </c>
      <c r="R239" s="107" t="s">
        <v>119</v>
      </c>
      <c r="S239" s="2"/>
      <c r="T239" s="2"/>
    </row>
    <row x14ac:dyDescent="0.25" r="240" customHeight="1" ht="13.5">
      <c r="A240" s="2"/>
      <c r="B240" s="2"/>
      <c r="C240" s="2"/>
      <c r="D240" s="2"/>
      <c r="E240" s="107" t="s">
        <v>111</v>
      </c>
      <c r="F240" s="107" t="s">
        <v>112</v>
      </c>
      <c r="G240" s="63">
        <v>834</v>
      </c>
      <c r="H240" s="107" t="s">
        <v>113</v>
      </c>
      <c r="I240" s="63">
        <v>5312</v>
      </c>
      <c r="J240" s="107" t="s">
        <v>114</v>
      </c>
      <c r="K240" s="119" t="s">
        <v>172</v>
      </c>
      <c r="L240" s="107" t="s">
        <v>173</v>
      </c>
      <c r="M240" s="63">
        <v>2019</v>
      </c>
      <c r="N240" s="63">
        <v>2019</v>
      </c>
      <c r="O240" s="107" t="s">
        <v>117</v>
      </c>
      <c r="P240" s="8">
        <v>1720</v>
      </c>
      <c r="Q240" s="107" t="s">
        <v>118</v>
      </c>
      <c r="R240" s="107" t="s">
        <v>119</v>
      </c>
      <c r="S240" s="2"/>
      <c r="T240" s="2"/>
    </row>
    <row x14ac:dyDescent="0.25" r="241" customHeight="1" ht="13.5">
      <c r="A241" s="2"/>
      <c r="B241" s="2"/>
      <c r="C241" s="2"/>
      <c r="D241" s="2"/>
      <c r="E241" s="107" t="s">
        <v>111</v>
      </c>
      <c r="F241" s="107" t="s">
        <v>112</v>
      </c>
      <c r="G241" s="63">
        <v>834</v>
      </c>
      <c r="H241" s="107" t="s">
        <v>113</v>
      </c>
      <c r="I241" s="63">
        <v>5312</v>
      </c>
      <c r="J241" s="107" t="s">
        <v>114</v>
      </c>
      <c r="K241" s="119" t="s">
        <v>172</v>
      </c>
      <c r="L241" s="107" t="s">
        <v>173</v>
      </c>
      <c r="M241" s="63">
        <v>2020</v>
      </c>
      <c r="N241" s="63">
        <v>2020</v>
      </c>
      <c r="O241" s="107" t="s">
        <v>117</v>
      </c>
      <c r="P241" s="8">
        <v>1734</v>
      </c>
      <c r="Q241" s="107" t="s">
        <v>118</v>
      </c>
      <c r="R241" s="107" t="s">
        <v>119</v>
      </c>
      <c r="S241" s="2"/>
      <c r="T241" s="2"/>
    </row>
    <row x14ac:dyDescent="0.25" r="242" customHeight="1" ht="13.5">
      <c r="A242" s="2"/>
      <c r="B242" s="2"/>
      <c r="C242" s="2"/>
      <c r="D242" s="2"/>
      <c r="E242" s="107" t="s">
        <v>111</v>
      </c>
      <c r="F242" s="107" t="s">
        <v>112</v>
      </c>
      <c r="G242" s="63">
        <v>834</v>
      </c>
      <c r="H242" s="107" t="s">
        <v>113</v>
      </c>
      <c r="I242" s="63">
        <v>5312</v>
      </c>
      <c r="J242" s="107" t="s">
        <v>114</v>
      </c>
      <c r="K242" s="119" t="s">
        <v>172</v>
      </c>
      <c r="L242" s="107" t="s">
        <v>173</v>
      </c>
      <c r="M242" s="63">
        <v>2021</v>
      </c>
      <c r="N242" s="63">
        <v>2021</v>
      </c>
      <c r="O242" s="107" t="s">
        <v>117</v>
      </c>
      <c r="P242" s="8">
        <v>1714</v>
      </c>
      <c r="Q242" s="107" t="s">
        <v>118</v>
      </c>
      <c r="R242" s="107" t="s">
        <v>119</v>
      </c>
      <c r="S242" s="2"/>
      <c r="T242" s="2"/>
    </row>
    <row x14ac:dyDescent="0.25" r="243" customHeight="1" ht="13.5">
      <c r="A243" s="2"/>
      <c r="B243" s="2"/>
      <c r="C243" s="2"/>
      <c r="D243" s="2"/>
      <c r="E243" s="123" t="s">
        <v>111</v>
      </c>
      <c r="F243" s="123" t="s">
        <v>112</v>
      </c>
      <c r="G243" s="124">
        <v>834</v>
      </c>
      <c r="H243" s="123" t="s">
        <v>113</v>
      </c>
      <c r="I243" s="124">
        <v>5419</v>
      </c>
      <c r="J243" s="123" t="s">
        <v>122</v>
      </c>
      <c r="K243" s="125" t="s">
        <v>172</v>
      </c>
      <c r="L243" s="123" t="s">
        <v>173</v>
      </c>
      <c r="M243" s="124">
        <v>2017</v>
      </c>
      <c r="N243" s="124">
        <v>2017</v>
      </c>
      <c r="O243" s="123" t="s">
        <v>123</v>
      </c>
      <c r="P243" s="124">
        <v>35635</v>
      </c>
      <c r="Q243" s="123" t="s">
        <v>118</v>
      </c>
      <c r="R243" s="123" t="s">
        <v>119</v>
      </c>
      <c r="S243" s="2"/>
      <c r="T243" s="2"/>
    </row>
    <row x14ac:dyDescent="0.25" r="244" customHeight="1" ht="13.5">
      <c r="A244" s="2"/>
      <c r="B244" s="2"/>
      <c r="C244" s="2"/>
      <c r="D244" s="2"/>
      <c r="E244" s="123" t="s">
        <v>111</v>
      </c>
      <c r="F244" s="123" t="s">
        <v>112</v>
      </c>
      <c r="G244" s="124">
        <v>834</v>
      </c>
      <c r="H244" s="123" t="s">
        <v>113</v>
      </c>
      <c r="I244" s="124">
        <v>5419</v>
      </c>
      <c r="J244" s="123" t="s">
        <v>122</v>
      </c>
      <c r="K244" s="125" t="s">
        <v>172</v>
      </c>
      <c r="L244" s="123" t="s">
        <v>173</v>
      </c>
      <c r="M244" s="124">
        <v>2018</v>
      </c>
      <c r="N244" s="124">
        <v>2018</v>
      </c>
      <c r="O244" s="123" t="s">
        <v>123</v>
      </c>
      <c r="P244" s="124">
        <v>35711</v>
      </c>
      <c r="Q244" s="123" t="s">
        <v>118</v>
      </c>
      <c r="R244" s="123" t="s">
        <v>119</v>
      </c>
      <c r="S244" s="2"/>
      <c r="T244" s="2"/>
    </row>
    <row x14ac:dyDescent="0.25" r="245" customHeight="1" ht="13.5">
      <c r="A245" s="2"/>
      <c r="B245" s="2"/>
      <c r="C245" s="2"/>
      <c r="D245" s="2"/>
      <c r="E245" s="123" t="s">
        <v>111</v>
      </c>
      <c r="F245" s="123" t="s">
        <v>112</v>
      </c>
      <c r="G245" s="124">
        <v>834</v>
      </c>
      <c r="H245" s="123" t="s">
        <v>113</v>
      </c>
      <c r="I245" s="124">
        <v>5419</v>
      </c>
      <c r="J245" s="123" t="s">
        <v>122</v>
      </c>
      <c r="K245" s="125" t="s">
        <v>172</v>
      </c>
      <c r="L245" s="123" t="s">
        <v>173</v>
      </c>
      <c r="M245" s="124">
        <v>2019</v>
      </c>
      <c r="N245" s="124">
        <v>2019</v>
      </c>
      <c r="O245" s="123" t="s">
        <v>123</v>
      </c>
      <c r="P245" s="124">
        <v>36068</v>
      </c>
      <c r="Q245" s="123" t="s">
        <v>118</v>
      </c>
      <c r="R245" s="123" t="s">
        <v>119</v>
      </c>
      <c r="S245" s="2"/>
      <c r="T245" s="2"/>
    </row>
    <row x14ac:dyDescent="0.25" r="246" customHeight="1" ht="13.5">
      <c r="A246" s="2"/>
      <c r="B246" s="2"/>
      <c r="C246" s="2"/>
      <c r="D246" s="2"/>
      <c r="E246" s="123" t="s">
        <v>111</v>
      </c>
      <c r="F246" s="123" t="s">
        <v>112</v>
      </c>
      <c r="G246" s="124">
        <v>834</v>
      </c>
      <c r="H246" s="123" t="s">
        <v>113</v>
      </c>
      <c r="I246" s="124">
        <v>5419</v>
      </c>
      <c r="J246" s="123" t="s">
        <v>122</v>
      </c>
      <c r="K246" s="125" t="s">
        <v>172</v>
      </c>
      <c r="L246" s="123" t="s">
        <v>173</v>
      </c>
      <c r="M246" s="124">
        <v>2020</v>
      </c>
      <c r="N246" s="124">
        <v>2020</v>
      </c>
      <c r="O246" s="123" t="s">
        <v>123</v>
      </c>
      <c r="P246" s="124">
        <v>35803</v>
      </c>
      <c r="Q246" s="123" t="s">
        <v>118</v>
      </c>
      <c r="R246" s="123" t="s">
        <v>119</v>
      </c>
      <c r="S246" s="2"/>
      <c r="T246" s="2"/>
    </row>
    <row x14ac:dyDescent="0.25" r="247" customHeight="1" ht="13.5">
      <c r="A247" s="2"/>
      <c r="B247" s="2"/>
      <c r="C247" s="2"/>
      <c r="D247" s="2"/>
      <c r="E247" s="123" t="s">
        <v>111</v>
      </c>
      <c r="F247" s="123" t="s">
        <v>112</v>
      </c>
      <c r="G247" s="124">
        <v>834</v>
      </c>
      <c r="H247" s="123" t="s">
        <v>113</v>
      </c>
      <c r="I247" s="124">
        <v>5419</v>
      </c>
      <c r="J247" s="123" t="s">
        <v>122</v>
      </c>
      <c r="K247" s="125" t="s">
        <v>172</v>
      </c>
      <c r="L247" s="123" t="s">
        <v>173</v>
      </c>
      <c r="M247" s="124">
        <v>2021</v>
      </c>
      <c r="N247" s="124">
        <v>2021</v>
      </c>
      <c r="O247" s="123" t="s">
        <v>123</v>
      </c>
      <c r="P247" s="124">
        <v>35862</v>
      </c>
      <c r="Q247" s="123" t="s">
        <v>118</v>
      </c>
      <c r="R247" s="123" t="s">
        <v>119</v>
      </c>
      <c r="S247" s="2"/>
      <c r="T247" s="2"/>
    </row>
    <row x14ac:dyDescent="0.25" r="248" customHeight="1" ht="13.5">
      <c r="A248" s="2"/>
      <c r="B248" s="2"/>
      <c r="C248" s="2"/>
      <c r="D248" s="2"/>
      <c r="E248" s="123" t="s">
        <v>111</v>
      </c>
      <c r="F248" s="123" t="s">
        <v>112</v>
      </c>
      <c r="G248" s="124">
        <v>834</v>
      </c>
      <c r="H248" s="123" t="s">
        <v>113</v>
      </c>
      <c r="I248" s="124">
        <v>5312</v>
      </c>
      <c r="J248" s="123" t="s">
        <v>114</v>
      </c>
      <c r="K248" s="125" t="s">
        <v>174</v>
      </c>
      <c r="L248" s="123" t="s">
        <v>175</v>
      </c>
      <c r="M248" s="124">
        <v>2017</v>
      </c>
      <c r="N248" s="124">
        <v>2017</v>
      </c>
      <c r="O248" s="123" t="s">
        <v>117</v>
      </c>
      <c r="P248" s="124">
        <v>960000</v>
      </c>
      <c r="Q248" s="123" t="s">
        <v>144</v>
      </c>
      <c r="R248" s="123" t="s">
        <v>145</v>
      </c>
      <c r="S248" s="2"/>
      <c r="T248" s="2"/>
    </row>
    <row x14ac:dyDescent="0.25" r="249" customHeight="1" ht="13.5">
      <c r="A249" s="2"/>
      <c r="B249" s="2"/>
      <c r="C249" s="2"/>
      <c r="D249" s="2"/>
      <c r="E249" s="123" t="s">
        <v>111</v>
      </c>
      <c r="F249" s="123" t="s">
        <v>112</v>
      </c>
      <c r="G249" s="124">
        <v>834</v>
      </c>
      <c r="H249" s="123" t="s">
        <v>113</v>
      </c>
      <c r="I249" s="124">
        <v>5312</v>
      </c>
      <c r="J249" s="123" t="s">
        <v>114</v>
      </c>
      <c r="K249" s="125" t="s">
        <v>174</v>
      </c>
      <c r="L249" s="123" t="s">
        <v>175</v>
      </c>
      <c r="M249" s="124">
        <v>2018</v>
      </c>
      <c r="N249" s="124">
        <v>2018</v>
      </c>
      <c r="O249" s="123" t="s">
        <v>117</v>
      </c>
      <c r="P249" s="124">
        <v>980000</v>
      </c>
      <c r="Q249" s="123" t="s">
        <v>144</v>
      </c>
      <c r="R249" s="123" t="s">
        <v>145</v>
      </c>
      <c r="S249" s="2"/>
      <c r="T249" s="2"/>
    </row>
    <row x14ac:dyDescent="0.25" r="250" customHeight="1" ht="13.5">
      <c r="A250" s="2"/>
      <c r="B250" s="2"/>
      <c r="C250" s="2"/>
      <c r="D250" s="2"/>
      <c r="E250" s="123" t="s">
        <v>111</v>
      </c>
      <c r="F250" s="123" t="s">
        <v>112</v>
      </c>
      <c r="G250" s="124">
        <v>834</v>
      </c>
      <c r="H250" s="123" t="s">
        <v>113</v>
      </c>
      <c r="I250" s="124">
        <v>5312</v>
      </c>
      <c r="J250" s="123" t="s">
        <v>114</v>
      </c>
      <c r="K250" s="125" t="s">
        <v>174</v>
      </c>
      <c r="L250" s="123" t="s">
        <v>175</v>
      </c>
      <c r="M250" s="124">
        <v>2019</v>
      </c>
      <c r="N250" s="124">
        <v>2019</v>
      </c>
      <c r="O250" s="123" t="s">
        <v>117</v>
      </c>
      <c r="P250" s="124">
        <v>990000</v>
      </c>
      <c r="Q250" s="123" t="s">
        <v>144</v>
      </c>
      <c r="R250" s="123" t="s">
        <v>145</v>
      </c>
      <c r="S250" s="2"/>
      <c r="T250" s="2"/>
    </row>
    <row x14ac:dyDescent="0.25" r="251" customHeight="1" ht="13.5">
      <c r="A251" s="2"/>
      <c r="B251" s="2"/>
      <c r="C251" s="2"/>
      <c r="D251" s="2"/>
      <c r="E251" s="123" t="s">
        <v>111</v>
      </c>
      <c r="F251" s="123" t="s">
        <v>112</v>
      </c>
      <c r="G251" s="124">
        <v>834</v>
      </c>
      <c r="H251" s="123" t="s">
        <v>113</v>
      </c>
      <c r="I251" s="124">
        <v>5312</v>
      </c>
      <c r="J251" s="123" t="s">
        <v>114</v>
      </c>
      <c r="K251" s="125" t="s">
        <v>174</v>
      </c>
      <c r="L251" s="123" t="s">
        <v>175</v>
      </c>
      <c r="M251" s="124">
        <v>2020</v>
      </c>
      <c r="N251" s="124">
        <v>2020</v>
      </c>
      <c r="O251" s="123" t="s">
        <v>117</v>
      </c>
      <c r="P251" s="124">
        <v>1000000</v>
      </c>
      <c r="Q251" s="123" t="s">
        <v>144</v>
      </c>
      <c r="R251" s="123" t="s">
        <v>145</v>
      </c>
      <c r="S251" s="2"/>
      <c r="T251" s="2"/>
    </row>
    <row x14ac:dyDescent="0.25" r="252" customHeight="1" ht="13.5">
      <c r="A252" s="2"/>
      <c r="B252" s="2"/>
      <c r="C252" s="2"/>
      <c r="D252" s="2"/>
      <c r="E252" s="123" t="s">
        <v>111</v>
      </c>
      <c r="F252" s="123" t="s">
        <v>112</v>
      </c>
      <c r="G252" s="124">
        <v>834</v>
      </c>
      <c r="H252" s="123" t="s">
        <v>113</v>
      </c>
      <c r="I252" s="124">
        <v>5312</v>
      </c>
      <c r="J252" s="123" t="s">
        <v>114</v>
      </c>
      <c r="K252" s="125" t="s">
        <v>174</v>
      </c>
      <c r="L252" s="123" t="s">
        <v>175</v>
      </c>
      <c r="M252" s="124">
        <v>2021</v>
      </c>
      <c r="N252" s="124">
        <v>2021</v>
      </c>
      <c r="O252" s="123" t="s">
        <v>117</v>
      </c>
      <c r="P252" s="124">
        <v>1020000</v>
      </c>
      <c r="Q252" s="123" t="s">
        <v>144</v>
      </c>
      <c r="R252" s="123" t="s">
        <v>145</v>
      </c>
      <c r="S252" s="2"/>
      <c r="T252" s="2"/>
    </row>
    <row x14ac:dyDescent="0.25" r="253" customHeight="1" ht="13.5">
      <c r="A253" s="2"/>
      <c r="B253" s="2"/>
      <c r="C253" s="2"/>
      <c r="D253" s="2"/>
      <c r="E253" s="123" t="s">
        <v>111</v>
      </c>
      <c r="F253" s="123" t="s">
        <v>112</v>
      </c>
      <c r="G253" s="124">
        <v>834</v>
      </c>
      <c r="H253" s="123" t="s">
        <v>113</v>
      </c>
      <c r="I253" s="124">
        <v>5419</v>
      </c>
      <c r="J253" s="123" t="s">
        <v>122</v>
      </c>
      <c r="K253" s="125" t="s">
        <v>174</v>
      </c>
      <c r="L253" s="123" t="s">
        <v>175</v>
      </c>
      <c r="M253" s="124">
        <v>2017</v>
      </c>
      <c r="N253" s="124">
        <v>2017</v>
      </c>
      <c r="O253" s="123" t="s">
        <v>123</v>
      </c>
      <c r="P253" s="124">
        <v>6771</v>
      </c>
      <c r="Q253" s="123" t="s">
        <v>118</v>
      </c>
      <c r="R253" s="123" t="s">
        <v>119</v>
      </c>
      <c r="S253" s="2"/>
      <c r="T253" s="2"/>
    </row>
    <row x14ac:dyDescent="0.25" r="254" customHeight="1" ht="13.5">
      <c r="A254" s="2"/>
      <c r="B254" s="2"/>
      <c r="C254" s="2"/>
      <c r="D254" s="2"/>
      <c r="E254" s="123" t="s">
        <v>111</v>
      </c>
      <c r="F254" s="123" t="s">
        <v>112</v>
      </c>
      <c r="G254" s="124">
        <v>834</v>
      </c>
      <c r="H254" s="123" t="s">
        <v>113</v>
      </c>
      <c r="I254" s="124">
        <v>5419</v>
      </c>
      <c r="J254" s="123" t="s">
        <v>122</v>
      </c>
      <c r="K254" s="125" t="s">
        <v>174</v>
      </c>
      <c r="L254" s="123" t="s">
        <v>175</v>
      </c>
      <c r="M254" s="124">
        <v>2018</v>
      </c>
      <c r="N254" s="124">
        <v>2018</v>
      </c>
      <c r="O254" s="123" t="s">
        <v>123</v>
      </c>
      <c r="P254" s="124">
        <v>6837</v>
      </c>
      <c r="Q254" s="123" t="s">
        <v>118</v>
      </c>
      <c r="R254" s="123" t="s">
        <v>119</v>
      </c>
      <c r="S254" s="2"/>
      <c r="T254" s="2"/>
    </row>
    <row x14ac:dyDescent="0.25" r="255" customHeight="1" ht="13.5">
      <c r="A255" s="2"/>
      <c r="B255" s="2"/>
      <c r="C255" s="2"/>
      <c r="D255" s="2"/>
      <c r="E255" s="123" t="s">
        <v>111</v>
      </c>
      <c r="F255" s="123" t="s">
        <v>112</v>
      </c>
      <c r="G255" s="124">
        <v>834</v>
      </c>
      <c r="H255" s="123" t="s">
        <v>113</v>
      </c>
      <c r="I255" s="124">
        <v>5419</v>
      </c>
      <c r="J255" s="123" t="s">
        <v>122</v>
      </c>
      <c r="K255" s="125" t="s">
        <v>174</v>
      </c>
      <c r="L255" s="123" t="s">
        <v>175</v>
      </c>
      <c r="M255" s="124">
        <v>2019</v>
      </c>
      <c r="N255" s="124">
        <v>2019</v>
      </c>
      <c r="O255" s="123" t="s">
        <v>123</v>
      </c>
      <c r="P255" s="124">
        <v>6869</v>
      </c>
      <c r="Q255" s="123" t="s">
        <v>118</v>
      </c>
      <c r="R255" s="123" t="s">
        <v>119</v>
      </c>
      <c r="S255" s="2"/>
      <c r="T255" s="2"/>
    </row>
    <row x14ac:dyDescent="0.25" r="256" customHeight="1" ht="13.5">
      <c r="A256" s="2"/>
      <c r="B256" s="2"/>
      <c r="C256" s="2"/>
      <c r="D256" s="2"/>
      <c r="E256" s="123" t="s">
        <v>111</v>
      </c>
      <c r="F256" s="123" t="s">
        <v>112</v>
      </c>
      <c r="G256" s="124">
        <v>834</v>
      </c>
      <c r="H256" s="123" t="s">
        <v>113</v>
      </c>
      <c r="I256" s="124">
        <v>5419</v>
      </c>
      <c r="J256" s="123" t="s">
        <v>122</v>
      </c>
      <c r="K256" s="125" t="s">
        <v>174</v>
      </c>
      <c r="L256" s="123" t="s">
        <v>175</v>
      </c>
      <c r="M256" s="124">
        <v>2020</v>
      </c>
      <c r="N256" s="124">
        <v>2020</v>
      </c>
      <c r="O256" s="123" t="s">
        <v>123</v>
      </c>
      <c r="P256" s="124">
        <v>6900</v>
      </c>
      <c r="Q256" s="123" t="s">
        <v>118</v>
      </c>
      <c r="R256" s="123" t="s">
        <v>119</v>
      </c>
      <c r="S256" s="2"/>
      <c r="T256" s="2"/>
    </row>
    <row x14ac:dyDescent="0.25" r="257" customHeight="1" ht="13.5">
      <c r="A257" s="2"/>
      <c r="B257" s="2"/>
      <c r="C257" s="2"/>
      <c r="D257" s="2"/>
      <c r="E257" s="123" t="s">
        <v>111</v>
      </c>
      <c r="F257" s="123" t="s">
        <v>112</v>
      </c>
      <c r="G257" s="124">
        <v>834</v>
      </c>
      <c r="H257" s="123" t="s">
        <v>113</v>
      </c>
      <c r="I257" s="124">
        <v>5419</v>
      </c>
      <c r="J257" s="123" t="s">
        <v>122</v>
      </c>
      <c r="K257" s="125" t="s">
        <v>174</v>
      </c>
      <c r="L257" s="123" t="s">
        <v>175</v>
      </c>
      <c r="M257" s="124">
        <v>2021</v>
      </c>
      <c r="N257" s="124">
        <v>2021</v>
      </c>
      <c r="O257" s="123" t="s">
        <v>123</v>
      </c>
      <c r="P257" s="124">
        <v>6961</v>
      </c>
      <c r="Q257" s="123" t="s">
        <v>118</v>
      </c>
      <c r="R257" s="123" t="s">
        <v>119</v>
      </c>
      <c r="S257" s="2"/>
      <c r="T257" s="2"/>
    </row>
    <row x14ac:dyDescent="0.25" r="258" customHeight="1" ht="13.5">
      <c r="A258" s="2"/>
      <c r="B258" s="2"/>
      <c r="C258" s="2"/>
      <c r="D258" s="2"/>
      <c r="E258" s="123" t="s">
        <v>111</v>
      </c>
      <c r="F258" s="123" t="s">
        <v>112</v>
      </c>
      <c r="G258" s="124">
        <v>834</v>
      </c>
      <c r="H258" s="123" t="s">
        <v>113</v>
      </c>
      <c r="I258" s="124">
        <v>5312</v>
      </c>
      <c r="J258" s="123" t="s">
        <v>114</v>
      </c>
      <c r="K258" s="125" t="s">
        <v>176</v>
      </c>
      <c r="L258" s="123" t="s">
        <v>177</v>
      </c>
      <c r="M258" s="124">
        <v>2017</v>
      </c>
      <c r="N258" s="124">
        <v>2017</v>
      </c>
      <c r="O258" s="123" t="s">
        <v>117</v>
      </c>
      <c r="P258" s="124">
        <v>1990</v>
      </c>
      <c r="Q258" s="123" t="s">
        <v>120</v>
      </c>
      <c r="R258" s="123" t="s">
        <v>121</v>
      </c>
      <c r="S258" s="2"/>
      <c r="T258" s="2"/>
    </row>
    <row x14ac:dyDescent="0.25" r="259" customHeight="1" ht="13.5">
      <c r="A259" s="2"/>
      <c r="B259" s="2"/>
      <c r="C259" s="2"/>
      <c r="D259" s="2"/>
      <c r="E259" s="123" t="s">
        <v>111</v>
      </c>
      <c r="F259" s="123" t="s">
        <v>112</v>
      </c>
      <c r="G259" s="124">
        <v>834</v>
      </c>
      <c r="H259" s="123" t="s">
        <v>113</v>
      </c>
      <c r="I259" s="124">
        <v>5312</v>
      </c>
      <c r="J259" s="123" t="s">
        <v>114</v>
      </c>
      <c r="K259" s="125" t="s">
        <v>176</v>
      </c>
      <c r="L259" s="123" t="s">
        <v>177</v>
      </c>
      <c r="M259" s="124">
        <v>2018</v>
      </c>
      <c r="N259" s="124">
        <v>2018</v>
      </c>
      <c r="O259" s="123" t="s">
        <v>117</v>
      </c>
      <c r="P259" s="124">
        <v>1866</v>
      </c>
      <c r="Q259" s="123" t="s">
        <v>120</v>
      </c>
      <c r="R259" s="123" t="s">
        <v>121</v>
      </c>
      <c r="S259" s="2"/>
      <c r="T259" s="2"/>
    </row>
    <row x14ac:dyDescent="0.25" r="260" customHeight="1" ht="13.5">
      <c r="A260" s="2"/>
      <c r="B260" s="2"/>
      <c r="C260" s="2"/>
      <c r="D260" s="2"/>
      <c r="E260" s="123" t="s">
        <v>111</v>
      </c>
      <c r="F260" s="123" t="s">
        <v>112</v>
      </c>
      <c r="G260" s="124">
        <v>834</v>
      </c>
      <c r="H260" s="123" t="s">
        <v>113</v>
      </c>
      <c r="I260" s="124">
        <v>5312</v>
      </c>
      <c r="J260" s="123" t="s">
        <v>114</v>
      </c>
      <c r="K260" s="125" t="s">
        <v>176</v>
      </c>
      <c r="L260" s="123" t="s">
        <v>177</v>
      </c>
      <c r="M260" s="124">
        <v>2019</v>
      </c>
      <c r="N260" s="124">
        <v>2019</v>
      </c>
      <c r="O260" s="123" t="s">
        <v>117</v>
      </c>
      <c r="P260" s="124">
        <v>1700</v>
      </c>
      <c r="Q260" s="123" t="s">
        <v>118</v>
      </c>
      <c r="R260" s="123" t="s">
        <v>119</v>
      </c>
      <c r="S260" s="2"/>
      <c r="T260" s="2"/>
    </row>
    <row x14ac:dyDescent="0.25" r="261" customHeight="1" ht="13.5">
      <c r="A261" s="2"/>
      <c r="B261" s="2"/>
      <c r="C261" s="2"/>
      <c r="D261" s="2"/>
      <c r="E261" s="123" t="s">
        <v>111</v>
      </c>
      <c r="F261" s="123" t="s">
        <v>112</v>
      </c>
      <c r="G261" s="124">
        <v>834</v>
      </c>
      <c r="H261" s="123" t="s">
        <v>113</v>
      </c>
      <c r="I261" s="124">
        <v>5312</v>
      </c>
      <c r="J261" s="123" t="s">
        <v>114</v>
      </c>
      <c r="K261" s="125" t="s">
        <v>176</v>
      </c>
      <c r="L261" s="123" t="s">
        <v>177</v>
      </c>
      <c r="M261" s="124">
        <v>2020</v>
      </c>
      <c r="N261" s="124">
        <v>2020</v>
      </c>
      <c r="O261" s="123" t="s">
        <v>117</v>
      </c>
      <c r="P261" s="124">
        <v>1795</v>
      </c>
      <c r="Q261" s="123" t="s">
        <v>120</v>
      </c>
      <c r="R261" s="123" t="s">
        <v>121</v>
      </c>
      <c r="S261" s="2"/>
      <c r="T261" s="2"/>
    </row>
    <row x14ac:dyDescent="0.25" r="262" customHeight="1" ht="13.5">
      <c r="A262" s="2"/>
      <c r="B262" s="2"/>
      <c r="C262" s="2"/>
      <c r="D262" s="2"/>
      <c r="E262" s="123" t="s">
        <v>111</v>
      </c>
      <c r="F262" s="123" t="s">
        <v>112</v>
      </c>
      <c r="G262" s="124">
        <v>834</v>
      </c>
      <c r="H262" s="123" t="s">
        <v>113</v>
      </c>
      <c r="I262" s="124">
        <v>5312</v>
      </c>
      <c r="J262" s="123" t="s">
        <v>114</v>
      </c>
      <c r="K262" s="125" t="s">
        <v>176</v>
      </c>
      <c r="L262" s="123" t="s">
        <v>177</v>
      </c>
      <c r="M262" s="124">
        <v>2021</v>
      </c>
      <c r="N262" s="124">
        <v>2021</v>
      </c>
      <c r="O262" s="123" t="s">
        <v>117</v>
      </c>
      <c r="P262" s="124">
        <v>1852</v>
      </c>
      <c r="Q262" s="123" t="s">
        <v>120</v>
      </c>
      <c r="R262" s="123" t="s">
        <v>121</v>
      </c>
      <c r="S262" s="2"/>
      <c r="T262" s="2"/>
    </row>
    <row x14ac:dyDescent="0.25" r="263" customHeight="1" ht="13.5">
      <c r="A263" s="2"/>
      <c r="B263" s="2"/>
      <c r="C263" s="2"/>
      <c r="D263" s="2"/>
      <c r="E263" s="123" t="s">
        <v>111</v>
      </c>
      <c r="F263" s="123" t="s">
        <v>112</v>
      </c>
      <c r="G263" s="124">
        <v>834</v>
      </c>
      <c r="H263" s="123" t="s">
        <v>113</v>
      </c>
      <c r="I263" s="124">
        <v>5419</v>
      </c>
      <c r="J263" s="123" t="s">
        <v>122</v>
      </c>
      <c r="K263" s="125" t="s">
        <v>176</v>
      </c>
      <c r="L263" s="123" t="s">
        <v>177</v>
      </c>
      <c r="M263" s="124">
        <v>2017</v>
      </c>
      <c r="N263" s="124">
        <v>2017</v>
      </c>
      <c r="O263" s="123" t="s">
        <v>123</v>
      </c>
      <c r="P263" s="124">
        <v>52089</v>
      </c>
      <c r="Q263" s="123" t="s">
        <v>118</v>
      </c>
      <c r="R263" s="123" t="s">
        <v>119</v>
      </c>
      <c r="S263" s="2"/>
      <c r="T263" s="2"/>
    </row>
    <row x14ac:dyDescent="0.25" r="264" customHeight="1" ht="13.5">
      <c r="A264" s="2"/>
      <c r="B264" s="2"/>
      <c r="C264" s="2"/>
      <c r="D264" s="2"/>
      <c r="E264" s="123" t="s">
        <v>111</v>
      </c>
      <c r="F264" s="123" t="s">
        <v>112</v>
      </c>
      <c r="G264" s="124">
        <v>834</v>
      </c>
      <c r="H264" s="123" t="s">
        <v>113</v>
      </c>
      <c r="I264" s="124">
        <v>5419</v>
      </c>
      <c r="J264" s="123" t="s">
        <v>122</v>
      </c>
      <c r="K264" s="125" t="s">
        <v>176</v>
      </c>
      <c r="L264" s="123" t="s">
        <v>177</v>
      </c>
      <c r="M264" s="124">
        <v>2018</v>
      </c>
      <c r="N264" s="124">
        <v>2018</v>
      </c>
      <c r="O264" s="123" t="s">
        <v>123</v>
      </c>
      <c r="P264" s="124">
        <v>54999</v>
      </c>
      <c r="Q264" s="123" t="s">
        <v>118</v>
      </c>
      <c r="R264" s="123" t="s">
        <v>119</v>
      </c>
      <c r="S264" s="2"/>
      <c r="T264" s="2"/>
    </row>
    <row x14ac:dyDescent="0.25" r="265" customHeight="1" ht="13.5">
      <c r="A265" s="2"/>
      <c r="B265" s="2"/>
      <c r="C265" s="2"/>
      <c r="D265" s="2"/>
      <c r="E265" s="123" t="s">
        <v>111</v>
      </c>
      <c r="F265" s="123" t="s">
        <v>112</v>
      </c>
      <c r="G265" s="124">
        <v>834</v>
      </c>
      <c r="H265" s="123" t="s">
        <v>113</v>
      </c>
      <c r="I265" s="124">
        <v>5419</v>
      </c>
      <c r="J265" s="123" t="s">
        <v>122</v>
      </c>
      <c r="K265" s="125" t="s">
        <v>176</v>
      </c>
      <c r="L265" s="123" t="s">
        <v>177</v>
      </c>
      <c r="M265" s="124">
        <v>2019</v>
      </c>
      <c r="N265" s="124">
        <v>2019</v>
      </c>
      <c r="O265" s="123" t="s">
        <v>123</v>
      </c>
      <c r="P265" s="124">
        <v>58824</v>
      </c>
      <c r="Q265" s="123" t="s">
        <v>118</v>
      </c>
      <c r="R265" s="123" t="s">
        <v>119</v>
      </c>
      <c r="S265" s="2"/>
      <c r="T265" s="2"/>
    </row>
    <row x14ac:dyDescent="0.25" r="266" customHeight="1" ht="13.5">
      <c r="A266" s="2"/>
      <c r="B266" s="2"/>
      <c r="C266" s="2"/>
      <c r="D266" s="2"/>
      <c r="E266" s="123" t="s">
        <v>111</v>
      </c>
      <c r="F266" s="123" t="s">
        <v>112</v>
      </c>
      <c r="G266" s="124">
        <v>834</v>
      </c>
      <c r="H266" s="123" t="s">
        <v>113</v>
      </c>
      <c r="I266" s="124">
        <v>5419</v>
      </c>
      <c r="J266" s="123" t="s">
        <v>122</v>
      </c>
      <c r="K266" s="125" t="s">
        <v>176</v>
      </c>
      <c r="L266" s="123" t="s">
        <v>177</v>
      </c>
      <c r="M266" s="124">
        <v>2020</v>
      </c>
      <c r="N266" s="124">
        <v>2020</v>
      </c>
      <c r="O266" s="123" t="s">
        <v>123</v>
      </c>
      <c r="P266" s="124">
        <v>57461</v>
      </c>
      <c r="Q266" s="123" t="s">
        <v>118</v>
      </c>
      <c r="R266" s="123" t="s">
        <v>119</v>
      </c>
      <c r="S266" s="2"/>
      <c r="T266" s="2"/>
    </row>
    <row x14ac:dyDescent="0.25" r="267" customHeight="1" ht="13.5">
      <c r="A267" s="2"/>
      <c r="B267" s="2"/>
      <c r="C267" s="2"/>
      <c r="D267" s="2"/>
      <c r="E267" s="123" t="s">
        <v>111</v>
      </c>
      <c r="F267" s="123" t="s">
        <v>112</v>
      </c>
      <c r="G267" s="124">
        <v>834</v>
      </c>
      <c r="H267" s="123" t="s">
        <v>113</v>
      </c>
      <c r="I267" s="124">
        <v>5419</v>
      </c>
      <c r="J267" s="123" t="s">
        <v>122</v>
      </c>
      <c r="K267" s="125" t="s">
        <v>176</v>
      </c>
      <c r="L267" s="123" t="s">
        <v>177</v>
      </c>
      <c r="M267" s="124">
        <v>2021</v>
      </c>
      <c r="N267" s="124">
        <v>2021</v>
      </c>
      <c r="O267" s="123" t="s">
        <v>123</v>
      </c>
      <c r="P267" s="124">
        <v>57046</v>
      </c>
      <c r="Q267" s="123" t="s">
        <v>118</v>
      </c>
      <c r="R267" s="123" t="s">
        <v>119</v>
      </c>
      <c r="S267" s="2"/>
      <c r="T267" s="2"/>
    </row>
    <row x14ac:dyDescent="0.25" r="268" customHeight="1" ht="13.5">
      <c r="A268" s="2"/>
      <c r="B268" s="2"/>
      <c r="C268" s="2"/>
      <c r="D268" s="2"/>
      <c r="E268" s="123" t="s">
        <v>111</v>
      </c>
      <c r="F268" s="123" t="s">
        <v>112</v>
      </c>
      <c r="G268" s="124">
        <v>834</v>
      </c>
      <c r="H268" s="123" t="s">
        <v>113</v>
      </c>
      <c r="I268" s="124">
        <v>5312</v>
      </c>
      <c r="J268" s="123" t="s">
        <v>114</v>
      </c>
      <c r="K268" s="125" t="s">
        <v>178</v>
      </c>
      <c r="L268" s="123" t="s">
        <v>179</v>
      </c>
      <c r="M268" s="124">
        <v>2017</v>
      </c>
      <c r="N268" s="124">
        <v>2017</v>
      </c>
      <c r="O268" s="123" t="s">
        <v>117</v>
      </c>
      <c r="P268" s="124">
        <v>3817879</v>
      </c>
      <c r="Q268" s="123" t="s">
        <v>126</v>
      </c>
      <c r="R268" s="123" t="s">
        <v>127</v>
      </c>
      <c r="S268" s="2"/>
      <c r="T268" s="2"/>
    </row>
    <row x14ac:dyDescent="0.25" r="269" customHeight="1" ht="13.5">
      <c r="A269" s="2"/>
      <c r="B269" s="2"/>
      <c r="C269" s="2"/>
      <c r="D269" s="2"/>
      <c r="E269" s="123" t="s">
        <v>111</v>
      </c>
      <c r="F269" s="123" t="s">
        <v>112</v>
      </c>
      <c r="G269" s="124">
        <v>834</v>
      </c>
      <c r="H269" s="123" t="s">
        <v>113</v>
      </c>
      <c r="I269" s="124">
        <v>5312</v>
      </c>
      <c r="J269" s="123" t="s">
        <v>114</v>
      </c>
      <c r="K269" s="125" t="s">
        <v>178</v>
      </c>
      <c r="L269" s="123" t="s">
        <v>179</v>
      </c>
      <c r="M269" s="124">
        <v>2018</v>
      </c>
      <c r="N269" s="124">
        <v>2018</v>
      </c>
      <c r="O269" s="123" t="s">
        <v>117</v>
      </c>
      <c r="P269" s="124">
        <v>3546448</v>
      </c>
      <c r="Q269" s="123" t="s">
        <v>126</v>
      </c>
      <c r="R269" s="123" t="s">
        <v>127</v>
      </c>
      <c r="S269" s="2"/>
      <c r="T269" s="2"/>
    </row>
    <row x14ac:dyDescent="0.25" r="270" customHeight="1" ht="13.5">
      <c r="A270" s="2"/>
      <c r="B270" s="2"/>
      <c r="C270" s="2"/>
      <c r="D270" s="2"/>
      <c r="E270" s="123" t="s">
        <v>111</v>
      </c>
      <c r="F270" s="123" t="s">
        <v>112</v>
      </c>
      <c r="G270" s="124">
        <v>834</v>
      </c>
      <c r="H270" s="123" t="s">
        <v>113</v>
      </c>
      <c r="I270" s="124">
        <v>5312</v>
      </c>
      <c r="J270" s="123" t="s">
        <v>114</v>
      </c>
      <c r="K270" s="125" t="s">
        <v>178</v>
      </c>
      <c r="L270" s="123" t="s">
        <v>179</v>
      </c>
      <c r="M270" s="124">
        <v>2019</v>
      </c>
      <c r="N270" s="124">
        <v>2019</v>
      </c>
      <c r="O270" s="123" t="s">
        <v>117</v>
      </c>
      <c r="P270" s="124">
        <v>3428630</v>
      </c>
      <c r="Q270" s="123" t="s">
        <v>126</v>
      </c>
      <c r="R270" s="123" t="s">
        <v>127</v>
      </c>
      <c r="S270" s="2"/>
      <c r="T270" s="2"/>
    </row>
    <row x14ac:dyDescent="0.25" r="271" customHeight="1" ht="13.5">
      <c r="A271" s="2"/>
      <c r="B271" s="2"/>
      <c r="C271" s="2"/>
      <c r="D271" s="2"/>
      <c r="E271" s="123" t="s">
        <v>111</v>
      </c>
      <c r="F271" s="123" t="s">
        <v>112</v>
      </c>
      <c r="G271" s="124">
        <v>834</v>
      </c>
      <c r="H271" s="123" t="s">
        <v>113</v>
      </c>
      <c r="I271" s="124">
        <v>5312</v>
      </c>
      <c r="J271" s="123" t="s">
        <v>114</v>
      </c>
      <c r="K271" s="125" t="s">
        <v>178</v>
      </c>
      <c r="L271" s="123" t="s">
        <v>179</v>
      </c>
      <c r="M271" s="124">
        <v>2020</v>
      </c>
      <c r="N271" s="124">
        <v>2020</v>
      </c>
      <c r="O271" s="123" t="s">
        <v>117</v>
      </c>
      <c r="P271" s="124">
        <v>4200000</v>
      </c>
      <c r="Q271" s="123" t="s">
        <v>144</v>
      </c>
      <c r="R271" s="123" t="s">
        <v>145</v>
      </c>
      <c r="S271" s="2"/>
      <c r="T271" s="2"/>
    </row>
    <row x14ac:dyDescent="0.25" r="272" customHeight="1" ht="13.5">
      <c r="A272" s="2"/>
      <c r="B272" s="2"/>
      <c r="C272" s="2"/>
      <c r="D272" s="2"/>
      <c r="E272" s="123" t="s">
        <v>111</v>
      </c>
      <c r="F272" s="123" t="s">
        <v>112</v>
      </c>
      <c r="G272" s="124">
        <v>834</v>
      </c>
      <c r="H272" s="123" t="s">
        <v>113</v>
      </c>
      <c r="I272" s="124">
        <v>5312</v>
      </c>
      <c r="J272" s="123" t="s">
        <v>114</v>
      </c>
      <c r="K272" s="125" t="s">
        <v>178</v>
      </c>
      <c r="L272" s="123" t="s">
        <v>179</v>
      </c>
      <c r="M272" s="124">
        <v>2021</v>
      </c>
      <c r="N272" s="124">
        <v>2021</v>
      </c>
      <c r="O272" s="123" t="s">
        <v>117</v>
      </c>
      <c r="P272" s="124">
        <v>4400000</v>
      </c>
      <c r="Q272" s="123" t="s">
        <v>144</v>
      </c>
      <c r="R272" s="123" t="s">
        <v>145</v>
      </c>
      <c r="S272" s="2"/>
      <c r="T272" s="2"/>
    </row>
    <row x14ac:dyDescent="0.25" r="273" customHeight="1" ht="13.5">
      <c r="A273" s="2"/>
      <c r="B273" s="2"/>
      <c r="C273" s="2"/>
      <c r="D273" s="2"/>
      <c r="E273" s="123" t="s">
        <v>111</v>
      </c>
      <c r="F273" s="123" t="s">
        <v>112</v>
      </c>
      <c r="G273" s="124">
        <v>834</v>
      </c>
      <c r="H273" s="123" t="s">
        <v>113</v>
      </c>
      <c r="I273" s="124">
        <v>5419</v>
      </c>
      <c r="J273" s="123" t="s">
        <v>122</v>
      </c>
      <c r="K273" s="125" t="s">
        <v>178</v>
      </c>
      <c r="L273" s="123" t="s">
        <v>179</v>
      </c>
      <c r="M273" s="124">
        <v>2017</v>
      </c>
      <c r="N273" s="124">
        <v>2017</v>
      </c>
      <c r="O273" s="123" t="s">
        <v>123</v>
      </c>
      <c r="P273" s="124">
        <v>17499</v>
      </c>
      <c r="Q273" s="123" t="s">
        <v>126</v>
      </c>
      <c r="R273" s="123" t="s">
        <v>127</v>
      </c>
      <c r="S273" s="2"/>
      <c r="T273" s="2"/>
    </row>
    <row x14ac:dyDescent="0.25" r="274" customHeight="1" ht="13.5">
      <c r="A274" s="2"/>
      <c r="B274" s="2"/>
      <c r="C274" s="2"/>
      <c r="D274" s="2"/>
      <c r="E274" s="123" t="s">
        <v>111</v>
      </c>
      <c r="F274" s="123" t="s">
        <v>112</v>
      </c>
      <c r="G274" s="124">
        <v>834</v>
      </c>
      <c r="H274" s="123" t="s">
        <v>113</v>
      </c>
      <c r="I274" s="124">
        <v>5419</v>
      </c>
      <c r="J274" s="123" t="s">
        <v>122</v>
      </c>
      <c r="K274" s="125" t="s">
        <v>178</v>
      </c>
      <c r="L274" s="123" t="s">
        <v>179</v>
      </c>
      <c r="M274" s="124">
        <v>2018</v>
      </c>
      <c r="N274" s="124">
        <v>2018</v>
      </c>
      <c r="O274" s="123" t="s">
        <v>123</v>
      </c>
      <c r="P274" s="124">
        <v>17689</v>
      </c>
      <c r="Q274" s="123" t="s">
        <v>126</v>
      </c>
      <c r="R274" s="123" t="s">
        <v>127</v>
      </c>
      <c r="S274" s="2"/>
      <c r="T274" s="2"/>
    </row>
    <row x14ac:dyDescent="0.25" r="275" customHeight="1" ht="13.5">
      <c r="A275" s="2"/>
      <c r="B275" s="2"/>
      <c r="C275" s="2"/>
      <c r="D275" s="2"/>
      <c r="E275" s="123" t="s">
        <v>111</v>
      </c>
      <c r="F275" s="123" t="s">
        <v>112</v>
      </c>
      <c r="G275" s="124">
        <v>834</v>
      </c>
      <c r="H275" s="123" t="s">
        <v>113</v>
      </c>
      <c r="I275" s="124">
        <v>5419</v>
      </c>
      <c r="J275" s="123" t="s">
        <v>122</v>
      </c>
      <c r="K275" s="125" t="s">
        <v>178</v>
      </c>
      <c r="L275" s="123" t="s">
        <v>179</v>
      </c>
      <c r="M275" s="124">
        <v>2019</v>
      </c>
      <c r="N275" s="124">
        <v>2019</v>
      </c>
      <c r="O275" s="123" t="s">
        <v>123</v>
      </c>
      <c r="P275" s="124">
        <v>16485</v>
      </c>
      <c r="Q275" s="123" t="s">
        <v>126</v>
      </c>
      <c r="R275" s="123" t="s">
        <v>127</v>
      </c>
      <c r="S275" s="2"/>
      <c r="T275" s="2"/>
    </row>
    <row x14ac:dyDescent="0.25" r="276" customHeight="1" ht="13.5">
      <c r="A276" s="2"/>
      <c r="B276" s="2"/>
      <c r="C276" s="2"/>
      <c r="D276" s="2"/>
      <c r="E276" s="123" t="s">
        <v>111</v>
      </c>
      <c r="F276" s="123" t="s">
        <v>112</v>
      </c>
      <c r="G276" s="124">
        <v>834</v>
      </c>
      <c r="H276" s="123" t="s">
        <v>113</v>
      </c>
      <c r="I276" s="124">
        <v>5419</v>
      </c>
      <c r="J276" s="123" t="s">
        <v>122</v>
      </c>
      <c r="K276" s="125" t="s">
        <v>178</v>
      </c>
      <c r="L276" s="123" t="s">
        <v>179</v>
      </c>
      <c r="M276" s="124">
        <v>2020</v>
      </c>
      <c r="N276" s="124">
        <v>2020</v>
      </c>
      <c r="O276" s="123" t="s">
        <v>123</v>
      </c>
      <c r="P276" s="124">
        <v>15979</v>
      </c>
      <c r="Q276" s="123" t="s">
        <v>118</v>
      </c>
      <c r="R276" s="123" t="s">
        <v>119</v>
      </c>
      <c r="S276" s="2"/>
      <c r="T276" s="2"/>
    </row>
    <row x14ac:dyDescent="0.25" r="277" customHeight="1" ht="13.5">
      <c r="A277" s="2"/>
      <c r="B277" s="2"/>
      <c r="C277" s="2"/>
      <c r="D277" s="2"/>
      <c r="E277" s="123" t="s">
        <v>111</v>
      </c>
      <c r="F277" s="123" t="s">
        <v>112</v>
      </c>
      <c r="G277" s="124">
        <v>834</v>
      </c>
      <c r="H277" s="123" t="s">
        <v>113</v>
      </c>
      <c r="I277" s="124">
        <v>5419</v>
      </c>
      <c r="J277" s="123" t="s">
        <v>122</v>
      </c>
      <c r="K277" s="125" t="s">
        <v>178</v>
      </c>
      <c r="L277" s="123" t="s">
        <v>179</v>
      </c>
      <c r="M277" s="124">
        <v>2021</v>
      </c>
      <c r="N277" s="124">
        <v>2021</v>
      </c>
      <c r="O277" s="123" t="s">
        <v>123</v>
      </c>
      <c r="P277" s="124">
        <v>15998</v>
      </c>
      <c r="Q277" s="123" t="s">
        <v>118</v>
      </c>
      <c r="R277" s="123" t="s">
        <v>119</v>
      </c>
      <c r="S277" s="2"/>
      <c r="T277" s="2"/>
    </row>
    <row x14ac:dyDescent="0.25" r="278" customHeight="1" ht="13.5">
      <c r="A278" s="2"/>
      <c r="B278" s="2"/>
      <c r="C278" s="2"/>
      <c r="D278" s="2"/>
      <c r="E278" s="123" t="s">
        <v>111</v>
      </c>
      <c r="F278" s="123" t="s">
        <v>112</v>
      </c>
      <c r="G278" s="124">
        <v>834</v>
      </c>
      <c r="H278" s="123" t="s">
        <v>113</v>
      </c>
      <c r="I278" s="124">
        <v>5312</v>
      </c>
      <c r="J278" s="123" t="s">
        <v>114</v>
      </c>
      <c r="K278" s="125" t="s">
        <v>180</v>
      </c>
      <c r="L278" s="123" t="s">
        <v>181</v>
      </c>
      <c r="M278" s="124">
        <v>2017</v>
      </c>
      <c r="N278" s="124">
        <v>2017</v>
      </c>
      <c r="O278" s="123" t="s">
        <v>117</v>
      </c>
      <c r="P278" s="124">
        <v>35397</v>
      </c>
      <c r="Q278" s="123" t="s">
        <v>120</v>
      </c>
      <c r="R278" s="123" t="s">
        <v>121</v>
      </c>
      <c r="S278" s="2"/>
      <c r="T278" s="2"/>
    </row>
    <row x14ac:dyDescent="0.25" r="279" customHeight="1" ht="13.5">
      <c r="A279" s="2"/>
      <c r="B279" s="2"/>
      <c r="C279" s="2"/>
      <c r="D279" s="2"/>
      <c r="E279" s="123" t="s">
        <v>111</v>
      </c>
      <c r="F279" s="123" t="s">
        <v>112</v>
      </c>
      <c r="G279" s="124">
        <v>834</v>
      </c>
      <c r="H279" s="123" t="s">
        <v>113</v>
      </c>
      <c r="I279" s="124">
        <v>5312</v>
      </c>
      <c r="J279" s="123" t="s">
        <v>114</v>
      </c>
      <c r="K279" s="125" t="s">
        <v>180</v>
      </c>
      <c r="L279" s="123" t="s">
        <v>181</v>
      </c>
      <c r="M279" s="124">
        <v>2018</v>
      </c>
      <c r="N279" s="124">
        <v>2018</v>
      </c>
      <c r="O279" s="123" t="s">
        <v>117</v>
      </c>
      <c r="P279" s="124">
        <v>36275</v>
      </c>
      <c r="Q279" s="123" t="s">
        <v>120</v>
      </c>
      <c r="R279" s="123" t="s">
        <v>121</v>
      </c>
      <c r="S279" s="2"/>
      <c r="T279" s="2"/>
    </row>
    <row x14ac:dyDescent="0.25" r="280" customHeight="1" ht="13.5">
      <c r="A280" s="2"/>
      <c r="B280" s="2"/>
      <c r="C280" s="2"/>
      <c r="D280" s="2"/>
      <c r="E280" s="123" t="s">
        <v>111</v>
      </c>
      <c r="F280" s="123" t="s">
        <v>112</v>
      </c>
      <c r="G280" s="124">
        <v>834</v>
      </c>
      <c r="H280" s="123" t="s">
        <v>113</v>
      </c>
      <c r="I280" s="124">
        <v>5312</v>
      </c>
      <c r="J280" s="123" t="s">
        <v>114</v>
      </c>
      <c r="K280" s="125" t="s">
        <v>180</v>
      </c>
      <c r="L280" s="123" t="s">
        <v>181</v>
      </c>
      <c r="M280" s="124">
        <v>2019</v>
      </c>
      <c r="N280" s="124">
        <v>2019</v>
      </c>
      <c r="O280" s="123" t="s">
        <v>117</v>
      </c>
      <c r="P280" s="124">
        <v>35832</v>
      </c>
      <c r="Q280" s="123" t="s">
        <v>120</v>
      </c>
      <c r="R280" s="123" t="s">
        <v>121</v>
      </c>
      <c r="S280" s="2"/>
      <c r="T280" s="2"/>
    </row>
    <row x14ac:dyDescent="0.25" r="281" customHeight="1" ht="13.5">
      <c r="A281" s="2"/>
      <c r="B281" s="2"/>
      <c r="C281" s="2"/>
      <c r="D281" s="2"/>
      <c r="E281" s="123" t="s">
        <v>111</v>
      </c>
      <c r="F281" s="123" t="s">
        <v>112</v>
      </c>
      <c r="G281" s="124">
        <v>834</v>
      </c>
      <c r="H281" s="123" t="s">
        <v>113</v>
      </c>
      <c r="I281" s="124">
        <v>5312</v>
      </c>
      <c r="J281" s="123" t="s">
        <v>114</v>
      </c>
      <c r="K281" s="125" t="s">
        <v>180</v>
      </c>
      <c r="L281" s="123" t="s">
        <v>181</v>
      </c>
      <c r="M281" s="124">
        <v>2020</v>
      </c>
      <c r="N281" s="124">
        <v>2020</v>
      </c>
      <c r="O281" s="123" t="s">
        <v>117</v>
      </c>
      <c r="P281" s="124">
        <v>36134</v>
      </c>
      <c r="Q281" s="123" t="s">
        <v>120</v>
      </c>
      <c r="R281" s="123" t="s">
        <v>121</v>
      </c>
      <c r="S281" s="2"/>
      <c r="T281" s="2"/>
    </row>
    <row x14ac:dyDescent="0.25" r="282" customHeight="1" ht="13.5">
      <c r="A282" s="2"/>
      <c r="B282" s="2"/>
      <c r="C282" s="2"/>
      <c r="D282" s="2"/>
      <c r="E282" s="123" t="s">
        <v>111</v>
      </c>
      <c r="F282" s="123" t="s">
        <v>112</v>
      </c>
      <c r="G282" s="124">
        <v>834</v>
      </c>
      <c r="H282" s="123" t="s">
        <v>113</v>
      </c>
      <c r="I282" s="124">
        <v>5312</v>
      </c>
      <c r="J282" s="123" t="s">
        <v>114</v>
      </c>
      <c r="K282" s="125" t="s">
        <v>180</v>
      </c>
      <c r="L282" s="123" t="s">
        <v>181</v>
      </c>
      <c r="M282" s="124">
        <v>2021</v>
      </c>
      <c r="N282" s="124">
        <v>2021</v>
      </c>
      <c r="O282" s="123" t="s">
        <v>117</v>
      </c>
      <c r="P282" s="124">
        <v>36080</v>
      </c>
      <c r="Q282" s="123" t="s">
        <v>118</v>
      </c>
      <c r="R282" s="123" t="s">
        <v>119</v>
      </c>
      <c r="S282" s="2"/>
      <c r="T282" s="2"/>
    </row>
    <row x14ac:dyDescent="0.25" r="283" customHeight="1" ht="13.5">
      <c r="A283" s="2"/>
      <c r="B283" s="2"/>
      <c r="C283" s="2"/>
      <c r="D283" s="2"/>
      <c r="E283" s="123" t="s">
        <v>111</v>
      </c>
      <c r="F283" s="123" t="s">
        <v>112</v>
      </c>
      <c r="G283" s="124">
        <v>834</v>
      </c>
      <c r="H283" s="123" t="s">
        <v>113</v>
      </c>
      <c r="I283" s="124">
        <v>5419</v>
      </c>
      <c r="J283" s="123" t="s">
        <v>122</v>
      </c>
      <c r="K283" s="125" t="s">
        <v>180</v>
      </c>
      <c r="L283" s="123" t="s">
        <v>181</v>
      </c>
      <c r="M283" s="124">
        <v>2017</v>
      </c>
      <c r="N283" s="124">
        <v>2017</v>
      </c>
      <c r="O283" s="123" t="s">
        <v>123</v>
      </c>
      <c r="P283" s="124">
        <v>129399</v>
      </c>
      <c r="Q283" s="123" t="s">
        <v>118</v>
      </c>
      <c r="R283" s="123" t="s">
        <v>119</v>
      </c>
      <c r="S283" s="2"/>
      <c r="T283" s="2"/>
    </row>
    <row x14ac:dyDescent="0.25" r="284" customHeight="1" ht="13.5">
      <c r="A284" s="2"/>
      <c r="B284" s="2"/>
      <c r="C284" s="2"/>
      <c r="D284" s="2"/>
      <c r="E284" s="123" t="s">
        <v>111</v>
      </c>
      <c r="F284" s="123" t="s">
        <v>112</v>
      </c>
      <c r="G284" s="124">
        <v>834</v>
      </c>
      <c r="H284" s="123" t="s">
        <v>113</v>
      </c>
      <c r="I284" s="124">
        <v>5419</v>
      </c>
      <c r="J284" s="123" t="s">
        <v>122</v>
      </c>
      <c r="K284" s="125" t="s">
        <v>180</v>
      </c>
      <c r="L284" s="123" t="s">
        <v>181</v>
      </c>
      <c r="M284" s="124">
        <v>2018</v>
      </c>
      <c r="N284" s="124">
        <v>2018</v>
      </c>
      <c r="O284" s="123" t="s">
        <v>123</v>
      </c>
      <c r="P284" s="124">
        <v>122205</v>
      </c>
      <c r="Q284" s="123" t="s">
        <v>118</v>
      </c>
      <c r="R284" s="123" t="s">
        <v>119</v>
      </c>
      <c r="S284" s="2"/>
      <c r="T284" s="2"/>
    </row>
    <row x14ac:dyDescent="0.25" r="285" customHeight="1" ht="13.5">
      <c r="A285" s="2"/>
      <c r="B285" s="2"/>
      <c r="C285" s="2"/>
      <c r="D285" s="2"/>
      <c r="E285" s="123" t="s">
        <v>111</v>
      </c>
      <c r="F285" s="123" t="s">
        <v>112</v>
      </c>
      <c r="G285" s="124">
        <v>834</v>
      </c>
      <c r="H285" s="123" t="s">
        <v>113</v>
      </c>
      <c r="I285" s="124">
        <v>5419</v>
      </c>
      <c r="J285" s="123" t="s">
        <v>122</v>
      </c>
      <c r="K285" s="125" t="s">
        <v>180</v>
      </c>
      <c r="L285" s="123" t="s">
        <v>181</v>
      </c>
      <c r="M285" s="124">
        <v>2019</v>
      </c>
      <c r="N285" s="124">
        <v>2019</v>
      </c>
      <c r="O285" s="123" t="s">
        <v>123</v>
      </c>
      <c r="P285" s="124">
        <v>125174</v>
      </c>
      <c r="Q285" s="123" t="s">
        <v>118</v>
      </c>
      <c r="R285" s="123" t="s">
        <v>119</v>
      </c>
      <c r="S285" s="2"/>
      <c r="T285" s="2"/>
    </row>
    <row x14ac:dyDescent="0.25" r="286" customHeight="1" ht="13.5">
      <c r="A286" s="2"/>
      <c r="B286" s="2"/>
      <c r="C286" s="2"/>
      <c r="D286" s="2"/>
      <c r="E286" s="123" t="s">
        <v>111</v>
      </c>
      <c r="F286" s="123" t="s">
        <v>112</v>
      </c>
      <c r="G286" s="124">
        <v>834</v>
      </c>
      <c r="H286" s="123" t="s">
        <v>113</v>
      </c>
      <c r="I286" s="124">
        <v>5419</v>
      </c>
      <c r="J286" s="123" t="s">
        <v>122</v>
      </c>
      <c r="K286" s="125" t="s">
        <v>180</v>
      </c>
      <c r="L286" s="123" t="s">
        <v>181</v>
      </c>
      <c r="M286" s="124">
        <v>2020</v>
      </c>
      <c r="N286" s="124">
        <v>2020</v>
      </c>
      <c r="O286" s="123" t="s">
        <v>123</v>
      </c>
      <c r="P286" s="124">
        <v>124525</v>
      </c>
      <c r="Q286" s="123" t="s">
        <v>118</v>
      </c>
      <c r="R286" s="123" t="s">
        <v>119</v>
      </c>
      <c r="S286" s="2"/>
      <c r="T286" s="2"/>
    </row>
    <row x14ac:dyDescent="0.25" r="287" customHeight="1" ht="13.5">
      <c r="A287" s="2"/>
      <c r="B287" s="2"/>
      <c r="C287" s="2"/>
      <c r="D287" s="2"/>
      <c r="E287" s="123" t="s">
        <v>111</v>
      </c>
      <c r="F287" s="123" t="s">
        <v>112</v>
      </c>
      <c r="G287" s="124">
        <v>834</v>
      </c>
      <c r="H287" s="123" t="s">
        <v>113</v>
      </c>
      <c r="I287" s="124">
        <v>5419</v>
      </c>
      <c r="J287" s="123" t="s">
        <v>122</v>
      </c>
      <c r="K287" s="125" t="s">
        <v>180</v>
      </c>
      <c r="L287" s="123" t="s">
        <v>181</v>
      </c>
      <c r="M287" s="124">
        <v>2021</v>
      </c>
      <c r="N287" s="124">
        <v>2021</v>
      </c>
      <c r="O287" s="123" t="s">
        <v>123</v>
      </c>
      <c r="P287" s="124">
        <v>123962</v>
      </c>
      <c r="Q287" s="123" t="s">
        <v>118</v>
      </c>
      <c r="R287" s="123" t="s">
        <v>119</v>
      </c>
      <c r="S287" s="2"/>
      <c r="T287" s="2"/>
    </row>
    <row x14ac:dyDescent="0.25" r="288" customHeight="1" ht="13.5">
      <c r="A288" s="2"/>
      <c r="B288" s="2"/>
      <c r="C288" s="2"/>
      <c r="D288" s="2"/>
      <c r="E288" s="123" t="s">
        <v>111</v>
      </c>
      <c r="F288" s="123" t="s">
        <v>112</v>
      </c>
      <c r="G288" s="124">
        <v>834</v>
      </c>
      <c r="H288" s="123" t="s">
        <v>113</v>
      </c>
      <c r="I288" s="124">
        <v>5312</v>
      </c>
      <c r="J288" s="123" t="s">
        <v>114</v>
      </c>
      <c r="K288" s="125" t="s">
        <v>182</v>
      </c>
      <c r="L288" s="123" t="s">
        <v>183</v>
      </c>
      <c r="M288" s="124">
        <v>2017</v>
      </c>
      <c r="N288" s="124">
        <v>2017</v>
      </c>
      <c r="O288" s="123" t="s">
        <v>117</v>
      </c>
      <c r="P288" s="124">
        <v>316767</v>
      </c>
      <c r="Q288" s="123" t="s">
        <v>126</v>
      </c>
      <c r="R288" s="123" t="s">
        <v>127</v>
      </c>
      <c r="S288" s="2"/>
      <c r="T288" s="2"/>
    </row>
    <row x14ac:dyDescent="0.25" r="289" customHeight="1" ht="13.5">
      <c r="A289" s="2"/>
      <c r="B289" s="2"/>
      <c r="C289" s="2"/>
      <c r="D289" s="2"/>
      <c r="E289" s="123" t="s">
        <v>111</v>
      </c>
      <c r="F289" s="123" t="s">
        <v>112</v>
      </c>
      <c r="G289" s="124">
        <v>834</v>
      </c>
      <c r="H289" s="123" t="s">
        <v>113</v>
      </c>
      <c r="I289" s="124">
        <v>5312</v>
      </c>
      <c r="J289" s="123" t="s">
        <v>114</v>
      </c>
      <c r="K289" s="125" t="s">
        <v>182</v>
      </c>
      <c r="L289" s="123" t="s">
        <v>183</v>
      </c>
      <c r="M289" s="124">
        <v>2018</v>
      </c>
      <c r="N289" s="124">
        <v>2018</v>
      </c>
      <c r="O289" s="123" t="s">
        <v>117</v>
      </c>
      <c r="P289" s="124">
        <v>260536</v>
      </c>
      <c r="Q289" s="123" t="s">
        <v>126</v>
      </c>
      <c r="R289" s="123" t="s">
        <v>127</v>
      </c>
      <c r="S289" s="2"/>
      <c r="T289" s="2"/>
    </row>
    <row x14ac:dyDescent="0.25" r="290" customHeight="1" ht="13.5">
      <c r="A290" s="2"/>
      <c r="B290" s="2"/>
      <c r="C290" s="2"/>
      <c r="D290" s="2"/>
      <c r="E290" s="123" t="s">
        <v>111</v>
      </c>
      <c r="F290" s="123" t="s">
        <v>112</v>
      </c>
      <c r="G290" s="124">
        <v>834</v>
      </c>
      <c r="H290" s="123" t="s">
        <v>113</v>
      </c>
      <c r="I290" s="124">
        <v>5312</v>
      </c>
      <c r="J290" s="123" t="s">
        <v>114</v>
      </c>
      <c r="K290" s="125" t="s">
        <v>182</v>
      </c>
      <c r="L290" s="123" t="s">
        <v>183</v>
      </c>
      <c r="M290" s="124">
        <v>2019</v>
      </c>
      <c r="N290" s="124">
        <v>2019</v>
      </c>
      <c r="O290" s="123" t="s">
        <v>117</v>
      </c>
      <c r="P290" s="124">
        <v>269970</v>
      </c>
      <c r="Q290" s="123" t="s">
        <v>126</v>
      </c>
      <c r="R290" s="123" t="s">
        <v>127</v>
      </c>
      <c r="S290" s="2"/>
      <c r="T290" s="2"/>
    </row>
    <row x14ac:dyDescent="0.25" r="291" customHeight="1" ht="13.5">
      <c r="A291" s="2"/>
      <c r="B291" s="2"/>
      <c r="C291" s="2"/>
      <c r="D291" s="2"/>
      <c r="E291" s="123" t="s">
        <v>111</v>
      </c>
      <c r="F291" s="123" t="s">
        <v>112</v>
      </c>
      <c r="G291" s="124">
        <v>834</v>
      </c>
      <c r="H291" s="123" t="s">
        <v>113</v>
      </c>
      <c r="I291" s="124">
        <v>5312</v>
      </c>
      <c r="J291" s="123" t="s">
        <v>114</v>
      </c>
      <c r="K291" s="125" t="s">
        <v>182</v>
      </c>
      <c r="L291" s="123" t="s">
        <v>183</v>
      </c>
      <c r="M291" s="124">
        <v>2020</v>
      </c>
      <c r="N291" s="124">
        <v>2020</v>
      </c>
      <c r="O291" s="123" t="s">
        <v>117</v>
      </c>
      <c r="P291" s="124">
        <v>270000</v>
      </c>
      <c r="Q291" s="123" t="s">
        <v>144</v>
      </c>
      <c r="R291" s="123" t="s">
        <v>145</v>
      </c>
      <c r="S291" s="2"/>
      <c r="T291" s="2"/>
    </row>
    <row x14ac:dyDescent="0.25" r="292" customHeight="1" ht="13.5">
      <c r="A292" s="2"/>
      <c r="B292" s="2"/>
      <c r="C292" s="2"/>
      <c r="D292" s="2"/>
      <c r="E292" s="123" t="s">
        <v>111</v>
      </c>
      <c r="F292" s="123" t="s">
        <v>112</v>
      </c>
      <c r="G292" s="124">
        <v>834</v>
      </c>
      <c r="H292" s="123" t="s">
        <v>113</v>
      </c>
      <c r="I292" s="124">
        <v>5312</v>
      </c>
      <c r="J292" s="123" t="s">
        <v>114</v>
      </c>
      <c r="K292" s="125" t="s">
        <v>182</v>
      </c>
      <c r="L292" s="123" t="s">
        <v>183</v>
      </c>
      <c r="M292" s="124">
        <v>2021</v>
      </c>
      <c r="N292" s="124">
        <v>2021</v>
      </c>
      <c r="O292" s="123" t="s">
        <v>117</v>
      </c>
      <c r="P292" s="124">
        <v>300000</v>
      </c>
      <c r="Q292" s="123" t="s">
        <v>144</v>
      </c>
      <c r="R292" s="123" t="s">
        <v>145</v>
      </c>
      <c r="S292" s="2"/>
      <c r="T292" s="2"/>
    </row>
    <row x14ac:dyDescent="0.25" r="293" customHeight="1" ht="13.5">
      <c r="A293" s="2"/>
      <c r="B293" s="2"/>
      <c r="C293" s="2"/>
      <c r="D293" s="2"/>
      <c r="E293" s="123" t="s">
        <v>111</v>
      </c>
      <c r="F293" s="123" t="s">
        <v>112</v>
      </c>
      <c r="G293" s="124">
        <v>834</v>
      </c>
      <c r="H293" s="123" t="s">
        <v>113</v>
      </c>
      <c r="I293" s="124">
        <v>5419</v>
      </c>
      <c r="J293" s="123" t="s">
        <v>122</v>
      </c>
      <c r="K293" s="125" t="s">
        <v>182</v>
      </c>
      <c r="L293" s="123" t="s">
        <v>183</v>
      </c>
      <c r="M293" s="124">
        <v>2017</v>
      </c>
      <c r="N293" s="124">
        <v>2017</v>
      </c>
      <c r="O293" s="123" t="s">
        <v>123</v>
      </c>
      <c r="P293" s="124">
        <v>9752</v>
      </c>
      <c r="Q293" s="123" t="s">
        <v>126</v>
      </c>
      <c r="R293" s="123" t="s">
        <v>127</v>
      </c>
      <c r="S293" s="2"/>
      <c r="T293" s="2"/>
    </row>
    <row x14ac:dyDescent="0.25" r="294" customHeight="1" ht="13.5">
      <c r="A294" s="2"/>
      <c r="B294" s="2"/>
      <c r="C294" s="2"/>
      <c r="D294" s="2"/>
      <c r="E294" s="123" t="s">
        <v>111</v>
      </c>
      <c r="F294" s="123" t="s">
        <v>112</v>
      </c>
      <c r="G294" s="124">
        <v>834</v>
      </c>
      <c r="H294" s="123" t="s">
        <v>113</v>
      </c>
      <c r="I294" s="124">
        <v>5419</v>
      </c>
      <c r="J294" s="123" t="s">
        <v>122</v>
      </c>
      <c r="K294" s="125" t="s">
        <v>182</v>
      </c>
      <c r="L294" s="123" t="s">
        <v>183</v>
      </c>
      <c r="M294" s="124">
        <v>2018</v>
      </c>
      <c r="N294" s="124">
        <v>2018</v>
      </c>
      <c r="O294" s="123" t="s">
        <v>123</v>
      </c>
      <c r="P294" s="124">
        <v>12136</v>
      </c>
      <c r="Q294" s="123" t="s">
        <v>126</v>
      </c>
      <c r="R294" s="123" t="s">
        <v>127</v>
      </c>
      <c r="S294" s="2"/>
      <c r="T294" s="2"/>
    </row>
    <row x14ac:dyDescent="0.25" r="295" customHeight="1" ht="13.5">
      <c r="A295" s="2"/>
      <c r="B295" s="2"/>
      <c r="C295" s="2"/>
      <c r="D295" s="2"/>
      <c r="E295" s="123" t="s">
        <v>111</v>
      </c>
      <c r="F295" s="123" t="s">
        <v>112</v>
      </c>
      <c r="G295" s="124">
        <v>834</v>
      </c>
      <c r="H295" s="123" t="s">
        <v>113</v>
      </c>
      <c r="I295" s="124">
        <v>5419</v>
      </c>
      <c r="J295" s="123" t="s">
        <v>122</v>
      </c>
      <c r="K295" s="125" t="s">
        <v>182</v>
      </c>
      <c r="L295" s="123" t="s">
        <v>183</v>
      </c>
      <c r="M295" s="124">
        <v>2019</v>
      </c>
      <c r="N295" s="124">
        <v>2019</v>
      </c>
      <c r="O295" s="123" t="s">
        <v>123</v>
      </c>
      <c r="P295" s="124">
        <v>14296</v>
      </c>
      <c r="Q295" s="123" t="s">
        <v>126</v>
      </c>
      <c r="R295" s="123" t="s">
        <v>127</v>
      </c>
      <c r="S295" s="2"/>
      <c r="T295" s="2"/>
    </row>
    <row x14ac:dyDescent="0.25" r="296" customHeight="1" ht="13.5">
      <c r="A296" s="2"/>
      <c r="B296" s="2"/>
      <c r="C296" s="2"/>
      <c r="D296" s="2"/>
      <c r="E296" s="123" t="s">
        <v>111</v>
      </c>
      <c r="F296" s="123" t="s">
        <v>112</v>
      </c>
      <c r="G296" s="124">
        <v>834</v>
      </c>
      <c r="H296" s="123" t="s">
        <v>113</v>
      </c>
      <c r="I296" s="124">
        <v>5419</v>
      </c>
      <c r="J296" s="123" t="s">
        <v>122</v>
      </c>
      <c r="K296" s="125" t="s">
        <v>182</v>
      </c>
      <c r="L296" s="123" t="s">
        <v>183</v>
      </c>
      <c r="M296" s="124">
        <v>2020</v>
      </c>
      <c r="N296" s="124">
        <v>2020</v>
      </c>
      <c r="O296" s="123" t="s">
        <v>123</v>
      </c>
      <c r="P296" s="124">
        <v>12037</v>
      </c>
      <c r="Q296" s="123" t="s">
        <v>118</v>
      </c>
      <c r="R296" s="123" t="s">
        <v>119</v>
      </c>
      <c r="S296" s="2"/>
      <c r="T296" s="2"/>
    </row>
    <row x14ac:dyDescent="0.25" r="297" customHeight="1" ht="13.5">
      <c r="A297" s="2"/>
      <c r="B297" s="2"/>
      <c r="C297" s="2"/>
      <c r="D297" s="2"/>
      <c r="E297" s="123" t="s">
        <v>111</v>
      </c>
      <c r="F297" s="123" t="s">
        <v>112</v>
      </c>
      <c r="G297" s="124">
        <v>834</v>
      </c>
      <c r="H297" s="123" t="s">
        <v>113</v>
      </c>
      <c r="I297" s="124">
        <v>5419</v>
      </c>
      <c r="J297" s="123" t="s">
        <v>122</v>
      </c>
      <c r="K297" s="125" t="s">
        <v>182</v>
      </c>
      <c r="L297" s="123" t="s">
        <v>183</v>
      </c>
      <c r="M297" s="124">
        <v>2021</v>
      </c>
      <c r="N297" s="124">
        <v>2021</v>
      </c>
      <c r="O297" s="123" t="s">
        <v>123</v>
      </c>
      <c r="P297" s="124">
        <v>11167</v>
      </c>
      <c r="Q297" s="123" t="s">
        <v>118</v>
      </c>
      <c r="R297" s="123" t="s">
        <v>119</v>
      </c>
      <c r="S297" s="2"/>
      <c r="T297" s="2"/>
    </row>
    <row x14ac:dyDescent="0.25" r="298" customHeight="1" ht="13.5">
      <c r="A298" s="2"/>
      <c r="B298" s="2"/>
      <c r="C298" s="2"/>
      <c r="D298" s="2"/>
      <c r="E298" s="123" t="s">
        <v>111</v>
      </c>
      <c r="F298" s="123" t="s">
        <v>112</v>
      </c>
      <c r="G298" s="124">
        <v>834</v>
      </c>
      <c r="H298" s="123" t="s">
        <v>113</v>
      </c>
      <c r="I298" s="124">
        <v>5312</v>
      </c>
      <c r="J298" s="123" t="s">
        <v>114</v>
      </c>
      <c r="K298" s="125" t="s">
        <v>184</v>
      </c>
      <c r="L298" s="123" t="s">
        <v>185</v>
      </c>
      <c r="M298" s="124">
        <v>2017</v>
      </c>
      <c r="N298" s="124">
        <v>2017</v>
      </c>
      <c r="O298" s="123" t="s">
        <v>117</v>
      </c>
      <c r="P298" s="124">
        <v>1718</v>
      </c>
      <c r="Q298" s="123" t="s">
        <v>120</v>
      </c>
      <c r="R298" s="123" t="s">
        <v>121</v>
      </c>
      <c r="S298" s="2"/>
      <c r="T298" s="2"/>
    </row>
    <row x14ac:dyDescent="0.25" r="299" customHeight="1" ht="13.5">
      <c r="A299" s="2"/>
      <c r="B299" s="2"/>
      <c r="C299" s="2"/>
      <c r="D299" s="2"/>
      <c r="E299" s="123" t="s">
        <v>111</v>
      </c>
      <c r="F299" s="123" t="s">
        <v>112</v>
      </c>
      <c r="G299" s="124">
        <v>834</v>
      </c>
      <c r="H299" s="123" t="s">
        <v>113</v>
      </c>
      <c r="I299" s="124">
        <v>5312</v>
      </c>
      <c r="J299" s="123" t="s">
        <v>114</v>
      </c>
      <c r="K299" s="125" t="s">
        <v>184</v>
      </c>
      <c r="L299" s="123" t="s">
        <v>185</v>
      </c>
      <c r="M299" s="124">
        <v>2018</v>
      </c>
      <c r="N299" s="124">
        <v>2018</v>
      </c>
      <c r="O299" s="123" t="s">
        <v>117</v>
      </c>
      <c r="P299" s="124">
        <v>1633</v>
      </c>
      <c r="Q299" s="123" t="s">
        <v>120</v>
      </c>
      <c r="R299" s="123" t="s">
        <v>121</v>
      </c>
      <c r="S299" s="2"/>
      <c r="T299" s="2"/>
    </row>
    <row x14ac:dyDescent="0.25" r="300" customHeight="1" ht="13.5">
      <c r="A300" s="2"/>
      <c r="B300" s="2"/>
      <c r="C300" s="2"/>
      <c r="D300" s="2"/>
      <c r="E300" s="123" t="s">
        <v>111</v>
      </c>
      <c r="F300" s="123" t="s">
        <v>112</v>
      </c>
      <c r="G300" s="124">
        <v>834</v>
      </c>
      <c r="H300" s="123" t="s">
        <v>113</v>
      </c>
      <c r="I300" s="124">
        <v>5312</v>
      </c>
      <c r="J300" s="123" t="s">
        <v>114</v>
      </c>
      <c r="K300" s="125" t="s">
        <v>184</v>
      </c>
      <c r="L300" s="123" t="s">
        <v>185</v>
      </c>
      <c r="M300" s="124">
        <v>2019</v>
      </c>
      <c r="N300" s="124">
        <v>2019</v>
      </c>
      <c r="O300" s="123" t="s">
        <v>117</v>
      </c>
      <c r="P300" s="124">
        <v>1614</v>
      </c>
      <c r="Q300" s="123" t="s">
        <v>120</v>
      </c>
      <c r="R300" s="123" t="s">
        <v>121</v>
      </c>
      <c r="S300" s="2"/>
      <c r="T300" s="2"/>
    </row>
    <row x14ac:dyDescent="0.25" r="301" customHeight="1" ht="13.5">
      <c r="A301" s="2"/>
      <c r="B301" s="2"/>
      <c r="C301" s="2"/>
      <c r="D301" s="2"/>
      <c r="E301" s="123" t="s">
        <v>111</v>
      </c>
      <c r="F301" s="123" t="s">
        <v>112</v>
      </c>
      <c r="G301" s="124">
        <v>834</v>
      </c>
      <c r="H301" s="123" t="s">
        <v>113</v>
      </c>
      <c r="I301" s="124">
        <v>5312</v>
      </c>
      <c r="J301" s="123" t="s">
        <v>114</v>
      </c>
      <c r="K301" s="125" t="s">
        <v>184</v>
      </c>
      <c r="L301" s="123" t="s">
        <v>185</v>
      </c>
      <c r="M301" s="124">
        <v>2020</v>
      </c>
      <c r="N301" s="124">
        <v>2020</v>
      </c>
      <c r="O301" s="123" t="s">
        <v>117</v>
      </c>
      <c r="P301" s="124">
        <v>1596</v>
      </c>
      <c r="Q301" s="123" t="s">
        <v>120</v>
      </c>
      <c r="R301" s="123" t="s">
        <v>121</v>
      </c>
      <c r="S301" s="2"/>
      <c r="T301" s="2"/>
    </row>
    <row x14ac:dyDescent="0.25" r="302" customHeight="1" ht="13.5">
      <c r="A302" s="2"/>
      <c r="B302" s="2"/>
      <c r="C302" s="2"/>
      <c r="D302" s="2"/>
      <c r="E302" s="123" t="s">
        <v>111</v>
      </c>
      <c r="F302" s="123" t="s">
        <v>112</v>
      </c>
      <c r="G302" s="124">
        <v>834</v>
      </c>
      <c r="H302" s="123" t="s">
        <v>113</v>
      </c>
      <c r="I302" s="124">
        <v>5312</v>
      </c>
      <c r="J302" s="123" t="s">
        <v>114</v>
      </c>
      <c r="K302" s="125" t="s">
        <v>184</v>
      </c>
      <c r="L302" s="123" t="s">
        <v>185</v>
      </c>
      <c r="M302" s="124">
        <v>2021</v>
      </c>
      <c r="N302" s="124">
        <v>2021</v>
      </c>
      <c r="O302" s="123" t="s">
        <v>117</v>
      </c>
      <c r="P302" s="124">
        <v>1578</v>
      </c>
      <c r="Q302" s="123" t="s">
        <v>120</v>
      </c>
      <c r="R302" s="123" t="s">
        <v>121</v>
      </c>
      <c r="S302" s="2"/>
      <c r="T302" s="2"/>
    </row>
    <row x14ac:dyDescent="0.25" r="303" customHeight="1" ht="13.5">
      <c r="A303" s="2"/>
      <c r="B303" s="2"/>
      <c r="C303" s="2"/>
      <c r="D303" s="2"/>
      <c r="E303" s="123" t="s">
        <v>111</v>
      </c>
      <c r="F303" s="123" t="s">
        <v>112</v>
      </c>
      <c r="G303" s="124">
        <v>834</v>
      </c>
      <c r="H303" s="123" t="s">
        <v>113</v>
      </c>
      <c r="I303" s="124">
        <v>5419</v>
      </c>
      <c r="J303" s="123" t="s">
        <v>122</v>
      </c>
      <c r="K303" s="125" t="s">
        <v>184</v>
      </c>
      <c r="L303" s="123" t="s">
        <v>185</v>
      </c>
      <c r="M303" s="124">
        <v>2017</v>
      </c>
      <c r="N303" s="124">
        <v>2017</v>
      </c>
      <c r="O303" s="123" t="s">
        <v>123</v>
      </c>
      <c r="P303" s="124">
        <v>4590</v>
      </c>
      <c r="Q303" s="123" t="s">
        <v>118</v>
      </c>
      <c r="R303" s="123" t="s">
        <v>119</v>
      </c>
      <c r="S303" s="2"/>
      <c r="T303" s="2"/>
    </row>
    <row x14ac:dyDescent="0.25" r="304" customHeight="1" ht="13.5">
      <c r="A304" s="2"/>
      <c r="B304" s="2"/>
      <c r="C304" s="2"/>
      <c r="D304" s="2"/>
      <c r="E304" s="123" t="s">
        <v>111</v>
      </c>
      <c r="F304" s="123" t="s">
        <v>112</v>
      </c>
      <c r="G304" s="124">
        <v>834</v>
      </c>
      <c r="H304" s="123" t="s">
        <v>113</v>
      </c>
      <c r="I304" s="124">
        <v>5419</v>
      </c>
      <c r="J304" s="123" t="s">
        <v>122</v>
      </c>
      <c r="K304" s="125" t="s">
        <v>184</v>
      </c>
      <c r="L304" s="123" t="s">
        <v>185</v>
      </c>
      <c r="M304" s="124">
        <v>2018</v>
      </c>
      <c r="N304" s="124">
        <v>2018</v>
      </c>
      <c r="O304" s="123" t="s">
        <v>123</v>
      </c>
      <c r="P304" s="124">
        <v>4597</v>
      </c>
      <c r="Q304" s="123" t="s">
        <v>118</v>
      </c>
      <c r="R304" s="123" t="s">
        <v>119</v>
      </c>
      <c r="S304" s="2"/>
      <c r="T304" s="2"/>
    </row>
    <row x14ac:dyDescent="0.25" r="305" customHeight="1" ht="13.5">
      <c r="A305" s="2"/>
      <c r="B305" s="2"/>
      <c r="C305" s="2"/>
      <c r="D305" s="2"/>
      <c r="E305" s="123" t="s">
        <v>111</v>
      </c>
      <c r="F305" s="123" t="s">
        <v>112</v>
      </c>
      <c r="G305" s="124">
        <v>834</v>
      </c>
      <c r="H305" s="123" t="s">
        <v>113</v>
      </c>
      <c r="I305" s="124">
        <v>5419</v>
      </c>
      <c r="J305" s="123" t="s">
        <v>122</v>
      </c>
      <c r="K305" s="125" t="s">
        <v>184</v>
      </c>
      <c r="L305" s="123" t="s">
        <v>185</v>
      </c>
      <c r="M305" s="124">
        <v>2019</v>
      </c>
      <c r="N305" s="124">
        <v>2019</v>
      </c>
      <c r="O305" s="123" t="s">
        <v>123</v>
      </c>
      <c r="P305" s="124">
        <v>4599</v>
      </c>
      <c r="Q305" s="123" t="s">
        <v>118</v>
      </c>
      <c r="R305" s="123" t="s">
        <v>119</v>
      </c>
      <c r="S305" s="2"/>
      <c r="T305" s="2"/>
    </row>
    <row x14ac:dyDescent="0.25" r="306" customHeight="1" ht="13.5">
      <c r="A306" s="2"/>
      <c r="B306" s="2"/>
      <c r="C306" s="2"/>
      <c r="D306" s="2"/>
      <c r="E306" s="123" t="s">
        <v>111</v>
      </c>
      <c r="F306" s="123" t="s">
        <v>112</v>
      </c>
      <c r="G306" s="124">
        <v>834</v>
      </c>
      <c r="H306" s="123" t="s">
        <v>113</v>
      </c>
      <c r="I306" s="124">
        <v>5419</v>
      </c>
      <c r="J306" s="123" t="s">
        <v>122</v>
      </c>
      <c r="K306" s="125" t="s">
        <v>184</v>
      </c>
      <c r="L306" s="123" t="s">
        <v>185</v>
      </c>
      <c r="M306" s="124">
        <v>2020</v>
      </c>
      <c r="N306" s="124">
        <v>2020</v>
      </c>
      <c r="O306" s="123" t="s">
        <v>123</v>
      </c>
      <c r="P306" s="124">
        <v>4615</v>
      </c>
      <c r="Q306" s="123" t="s">
        <v>118</v>
      </c>
      <c r="R306" s="123" t="s">
        <v>119</v>
      </c>
      <c r="S306" s="2"/>
      <c r="T306" s="2"/>
    </row>
    <row x14ac:dyDescent="0.25" r="307" customHeight="1" ht="13.5">
      <c r="A307" s="2"/>
      <c r="B307" s="2"/>
      <c r="C307" s="2"/>
      <c r="D307" s="2"/>
      <c r="E307" s="123" t="s">
        <v>111</v>
      </c>
      <c r="F307" s="123" t="s">
        <v>112</v>
      </c>
      <c r="G307" s="124">
        <v>834</v>
      </c>
      <c r="H307" s="123" t="s">
        <v>113</v>
      </c>
      <c r="I307" s="124">
        <v>5419</v>
      </c>
      <c r="J307" s="123" t="s">
        <v>122</v>
      </c>
      <c r="K307" s="125" t="s">
        <v>184</v>
      </c>
      <c r="L307" s="123" t="s">
        <v>185</v>
      </c>
      <c r="M307" s="124">
        <v>2021</v>
      </c>
      <c r="N307" s="124">
        <v>2021</v>
      </c>
      <c r="O307" s="123" t="s">
        <v>123</v>
      </c>
      <c r="P307" s="124">
        <v>4631</v>
      </c>
      <c r="Q307" s="123" t="s">
        <v>118</v>
      </c>
      <c r="R307" s="123" t="s">
        <v>119</v>
      </c>
      <c r="S307" s="2"/>
      <c r="T307" s="2"/>
    </row>
    <row x14ac:dyDescent="0.25" r="308" customHeight="1" ht="13.5">
      <c r="A308" s="2"/>
      <c r="B308" s="2"/>
      <c r="C308" s="2"/>
      <c r="D308" s="2"/>
      <c r="E308" s="123" t="s">
        <v>111</v>
      </c>
      <c r="F308" s="123" t="s">
        <v>112</v>
      </c>
      <c r="G308" s="124">
        <v>834</v>
      </c>
      <c r="H308" s="123" t="s">
        <v>113</v>
      </c>
      <c r="I308" s="124">
        <v>5312</v>
      </c>
      <c r="J308" s="123" t="s">
        <v>114</v>
      </c>
      <c r="K308" s="125" t="s">
        <v>186</v>
      </c>
      <c r="L308" s="123" t="s">
        <v>187</v>
      </c>
      <c r="M308" s="124">
        <v>2017</v>
      </c>
      <c r="N308" s="124">
        <v>2017</v>
      </c>
      <c r="O308" s="123" t="s">
        <v>117</v>
      </c>
      <c r="P308" s="124">
        <v>5432</v>
      </c>
      <c r="Q308" s="123" t="s">
        <v>120</v>
      </c>
      <c r="R308" s="123" t="s">
        <v>121</v>
      </c>
      <c r="S308" s="2"/>
      <c r="T308" s="2"/>
    </row>
    <row x14ac:dyDescent="0.25" r="309" customHeight="1" ht="13.5">
      <c r="A309" s="2"/>
      <c r="B309" s="2"/>
      <c r="C309" s="2"/>
      <c r="D309" s="2"/>
      <c r="E309" s="123" t="s">
        <v>111</v>
      </c>
      <c r="F309" s="123" t="s">
        <v>112</v>
      </c>
      <c r="G309" s="124">
        <v>834</v>
      </c>
      <c r="H309" s="123" t="s">
        <v>113</v>
      </c>
      <c r="I309" s="124">
        <v>5312</v>
      </c>
      <c r="J309" s="123" t="s">
        <v>114</v>
      </c>
      <c r="K309" s="125" t="s">
        <v>186</v>
      </c>
      <c r="L309" s="123" t="s">
        <v>187</v>
      </c>
      <c r="M309" s="124">
        <v>2018</v>
      </c>
      <c r="N309" s="124">
        <v>2018</v>
      </c>
      <c r="O309" s="123" t="s">
        <v>117</v>
      </c>
      <c r="P309" s="124">
        <v>5365</v>
      </c>
      <c r="Q309" s="123" t="s">
        <v>118</v>
      </c>
      <c r="R309" s="123" t="s">
        <v>119</v>
      </c>
      <c r="S309" s="2"/>
      <c r="T309" s="2"/>
    </row>
    <row x14ac:dyDescent="0.25" r="310" customHeight="1" ht="13.5">
      <c r="A310" s="2"/>
      <c r="B310" s="2"/>
      <c r="C310" s="2"/>
      <c r="D310" s="2"/>
      <c r="E310" s="123" t="s">
        <v>111</v>
      </c>
      <c r="F310" s="123" t="s">
        <v>112</v>
      </c>
      <c r="G310" s="124">
        <v>834</v>
      </c>
      <c r="H310" s="123" t="s">
        <v>113</v>
      </c>
      <c r="I310" s="124">
        <v>5312</v>
      </c>
      <c r="J310" s="123" t="s">
        <v>114</v>
      </c>
      <c r="K310" s="125" t="s">
        <v>186</v>
      </c>
      <c r="L310" s="123" t="s">
        <v>187</v>
      </c>
      <c r="M310" s="124">
        <v>2019</v>
      </c>
      <c r="N310" s="124">
        <v>2019</v>
      </c>
      <c r="O310" s="123" t="s">
        <v>117</v>
      </c>
      <c r="P310" s="124">
        <v>5388</v>
      </c>
      <c r="Q310" s="123" t="s">
        <v>118</v>
      </c>
      <c r="R310" s="123" t="s">
        <v>119</v>
      </c>
      <c r="S310" s="2"/>
      <c r="T310" s="2"/>
    </row>
    <row x14ac:dyDescent="0.25" r="311" customHeight="1" ht="13.5">
      <c r="A311" s="2"/>
      <c r="B311" s="2"/>
      <c r="C311" s="2"/>
      <c r="D311" s="2"/>
      <c r="E311" s="123" t="s">
        <v>111</v>
      </c>
      <c r="F311" s="123" t="s">
        <v>112</v>
      </c>
      <c r="G311" s="124">
        <v>834</v>
      </c>
      <c r="H311" s="123" t="s">
        <v>113</v>
      </c>
      <c r="I311" s="124">
        <v>5312</v>
      </c>
      <c r="J311" s="123" t="s">
        <v>114</v>
      </c>
      <c r="K311" s="125" t="s">
        <v>186</v>
      </c>
      <c r="L311" s="123" t="s">
        <v>187</v>
      </c>
      <c r="M311" s="124">
        <v>2020</v>
      </c>
      <c r="N311" s="124">
        <v>2020</v>
      </c>
      <c r="O311" s="123" t="s">
        <v>117</v>
      </c>
      <c r="P311" s="124">
        <v>5395</v>
      </c>
      <c r="Q311" s="123" t="s">
        <v>118</v>
      </c>
      <c r="R311" s="123" t="s">
        <v>119</v>
      </c>
      <c r="S311" s="2"/>
      <c r="T311" s="2"/>
    </row>
    <row x14ac:dyDescent="0.25" r="312" customHeight="1" ht="13.5">
      <c r="A312" s="2"/>
      <c r="B312" s="2"/>
      <c r="C312" s="2"/>
      <c r="D312" s="2"/>
      <c r="E312" s="123" t="s">
        <v>111</v>
      </c>
      <c r="F312" s="123" t="s">
        <v>112</v>
      </c>
      <c r="G312" s="124">
        <v>834</v>
      </c>
      <c r="H312" s="123" t="s">
        <v>113</v>
      </c>
      <c r="I312" s="124">
        <v>5312</v>
      </c>
      <c r="J312" s="123" t="s">
        <v>114</v>
      </c>
      <c r="K312" s="125" t="s">
        <v>186</v>
      </c>
      <c r="L312" s="123" t="s">
        <v>187</v>
      </c>
      <c r="M312" s="124">
        <v>2021</v>
      </c>
      <c r="N312" s="124">
        <v>2021</v>
      </c>
      <c r="O312" s="123" t="s">
        <v>117</v>
      </c>
      <c r="P312" s="124">
        <v>5382</v>
      </c>
      <c r="Q312" s="123" t="s">
        <v>118</v>
      </c>
      <c r="R312" s="123" t="s">
        <v>119</v>
      </c>
      <c r="S312" s="2"/>
      <c r="T312" s="2"/>
    </row>
    <row x14ac:dyDescent="0.25" r="313" customHeight="1" ht="13.5">
      <c r="A313" s="2"/>
      <c r="B313" s="2"/>
      <c r="C313" s="2"/>
      <c r="D313" s="2"/>
      <c r="E313" s="123" t="s">
        <v>111</v>
      </c>
      <c r="F313" s="123" t="s">
        <v>112</v>
      </c>
      <c r="G313" s="124">
        <v>834</v>
      </c>
      <c r="H313" s="123" t="s">
        <v>113</v>
      </c>
      <c r="I313" s="124">
        <v>5419</v>
      </c>
      <c r="J313" s="123" t="s">
        <v>122</v>
      </c>
      <c r="K313" s="125" t="s">
        <v>186</v>
      </c>
      <c r="L313" s="123" t="s">
        <v>187</v>
      </c>
      <c r="M313" s="124">
        <v>2017</v>
      </c>
      <c r="N313" s="124">
        <v>2017</v>
      </c>
      <c r="O313" s="123" t="s">
        <v>123</v>
      </c>
      <c r="P313" s="124">
        <v>139006</v>
      </c>
      <c r="Q313" s="123" t="s">
        <v>118</v>
      </c>
      <c r="R313" s="123" t="s">
        <v>119</v>
      </c>
      <c r="S313" s="2"/>
      <c r="T313" s="2"/>
    </row>
    <row x14ac:dyDescent="0.25" r="314" customHeight="1" ht="13.5">
      <c r="A314" s="2"/>
      <c r="B314" s="2"/>
      <c r="C314" s="2"/>
      <c r="D314" s="2"/>
      <c r="E314" s="123" t="s">
        <v>111</v>
      </c>
      <c r="F314" s="123" t="s">
        <v>112</v>
      </c>
      <c r="G314" s="124">
        <v>834</v>
      </c>
      <c r="H314" s="123" t="s">
        <v>113</v>
      </c>
      <c r="I314" s="124">
        <v>5419</v>
      </c>
      <c r="J314" s="123" t="s">
        <v>122</v>
      </c>
      <c r="K314" s="125" t="s">
        <v>186</v>
      </c>
      <c r="L314" s="123" t="s">
        <v>187</v>
      </c>
      <c r="M314" s="124">
        <v>2018</v>
      </c>
      <c r="N314" s="124">
        <v>2018</v>
      </c>
      <c r="O314" s="123" t="s">
        <v>123</v>
      </c>
      <c r="P314" s="124">
        <v>142766</v>
      </c>
      <c r="Q314" s="123" t="s">
        <v>118</v>
      </c>
      <c r="R314" s="123" t="s">
        <v>119</v>
      </c>
      <c r="S314" s="2"/>
      <c r="T314" s="2"/>
    </row>
    <row x14ac:dyDescent="0.25" r="315" customHeight="1" ht="13.5">
      <c r="A315" s="2"/>
      <c r="B315" s="2"/>
      <c r="C315" s="2"/>
      <c r="D315" s="2"/>
      <c r="E315" s="123" t="s">
        <v>111</v>
      </c>
      <c r="F315" s="123" t="s">
        <v>112</v>
      </c>
      <c r="G315" s="124">
        <v>834</v>
      </c>
      <c r="H315" s="123" t="s">
        <v>113</v>
      </c>
      <c r="I315" s="124">
        <v>5419</v>
      </c>
      <c r="J315" s="123" t="s">
        <v>122</v>
      </c>
      <c r="K315" s="125" t="s">
        <v>186</v>
      </c>
      <c r="L315" s="123" t="s">
        <v>187</v>
      </c>
      <c r="M315" s="124">
        <v>2019</v>
      </c>
      <c r="N315" s="124">
        <v>2019</v>
      </c>
      <c r="O315" s="123" t="s">
        <v>123</v>
      </c>
      <c r="P315" s="124">
        <v>143018</v>
      </c>
      <c r="Q315" s="123" t="s">
        <v>118</v>
      </c>
      <c r="R315" s="123" t="s">
        <v>119</v>
      </c>
      <c r="S315" s="2"/>
      <c r="T315" s="2"/>
    </row>
    <row x14ac:dyDescent="0.25" r="316" customHeight="1" ht="13.5">
      <c r="A316" s="2"/>
      <c r="B316" s="2"/>
      <c r="C316" s="2"/>
      <c r="D316" s="2"/>
      <c r="E316" s="123" t="s">
        <v>111</v>
      </c>
      <c r="F316" s="123" t="s">
        <v>112</v>
      </c>
      <c r="G316" s="124">
        <v>834</v>
      </c>
      <c r="H316" s="123" t="s">
        <v>113</v>
      </c>
      <c r="I316" s="124">
        <v>5419</v>
      </c>
      <c r="J316" s="123" t="s">
        <v>122</v>
      </c>
      <c r="K316" s="125" t="s">
        <v>186</v>
      </c>
      <c r="L316" s="123" t="s">
        <v>187</v>
      </c>
      <c r="M316" s="124">
        <v>2020</v>
      </c>
      <c r="N316" s="124">
        <v>2020</v>
      </c>
      <c r="O316" s="123" t="s">
        <v>123</v>
      </c>
      <c r="P316" s="124">
        <v>141588</v>
      </c>
      <c r="Q316" s="123" t="s">
        <v>118</v>
      </c>
      <c r="R316" s="123" t="s">
        <v>119</v>
      </c>
      <c r="S316" s="2"/>
      <c r="T316" s="2"/>
    </row>
    <row x14ac:dyDescent="0.25" r="317" customHeight="1" ht="13.5">
      <c r="A317" s="2"/>
      <c r="B317" s="2"/>
      <c r="C317" s="2"/>
      <c r="D317" s="2"/>
      <c r="E317" s="123" t="s">
        <v>111</v>
      </c>
      <c r="F317" s="123" t="s">
        <v>112</v>
      </c>
      <c r="G317" s="124">
        <v>834</v>
      </c>
      <c r="H317" s="123" t="s">
        <v>113</v>
      </c>
      <c r="I317" s="124">
        <v>5419</v>
      </c>
      <c r="J317" s="123" t="s">
        <v>122</v>
      </c>
      <c r="K317" s="125" t="s">
        <v>186</v>
      </c>
      <c r="L317" s="123" t="s">
        <v>187</v>
      </c>
      <c r="M317" s="124">
        <v>2021</v>
      </c>
      <c r="N317" s="124">
        <v>2021</v>
      </c>
      <c r="O317" s="123" t="s">
        <v>123</v>
      </c>
      <c r="P317" s="124">
        <v>142457</v>
      </c>
      <c r="Q317" s="123" t="s">
        <v>118</v>
      </c>
      <c r="R317" s="123" t="s">
        <v>119</v>
      </c>
      <c r="S317" s="2"/>
      <c r="T317" s="2"/>
    </row>
    <row x14ac:dyDescent="0.25" r="318" customHeight="1" ht="13.5">
      <c r="A318" s="2"/>
      <c r="B318" s="2"/>
      <c r="C318" s="2"/>
      <c r="D318" s="2"/>
      <c r="E318" s="123" t="s">
        <v>111</v>
      </c>
      <c r="F318" s="123" t="s">
        <v>112</v>
      </c>
      <c r="G318" s="124">
        <v>834</v>
      </c>
      <c r="H318" s="123" t="s">
        <v>113</v>
      </c>
      <c r="I318" s="124">
        <v>5312</v>
      </c>
      <c r="J318" s="123" t="s">
        <v>114</v>
      </c>
      <c r="K318" s="125" t="s">
        <v>188</v>
      </c>
      <c r="L318" s="123" t="s">
        <v>189</v>
      </c>
      <c r="M318" s="124">
        <v>2017</v>
      </c>
      <c r="N318" s="124">
        <v>2017</v>
      </c>
      <c r="O318" s="123" t="s">
        <v>117</v>
      </c>
      <c r="P318" s="124">
        <v>18743</v>
      </c>
      <c r="Q318" s="123" t="s">
        <v>118</v>
      </c>
      <c r="R318" s="123" t="s">
        <v>119</v>
      </c>
      <c r="S318" s="2"/>
      <c r="T318" s="2"/>
    </row>
    <row x14ac:dyDescent="0.25" r="319" customHeight="1" ht="13.5">
      <c r="A319" s="2"/>
      <c r="B319" s="2"/>
      <c r="C319" s="2"/>
      <c r="D319" s="2"/>
      <c r="E319" s="123" t="s">
        <v>111</v>
      </c>
      <c r="F319" s="123" t="s">
        <v>112</v>
      </c>
      <c r="G319" s="124">
        <v>834</v>
      </c>
      <c r="H319" s="123" t="s">
        <v>113</v>
      </c>
      <c r="I319" s="124">
        <v>5312</v>
      </c>
      <c r="J319" s="123" t="s">
        <v>114</v>
      </c>
      <c r="K319" s="125" t="s">
        <v>188</v>
      </c>
      <c r="L319" s="123" t="s">
        <v>189</v>
      </c>
      <c r="M319" s="124">
        <v>2018</v>
      </c>
      <c r="N319" s="124">
        <v>2018</v>
      </c>
      <c r="O319" s="123" t="s">
        <v>117</v>
      </c>
      <c r="P319" s="124">
        <v>19584</v>
      </c>
      <c r="Q319" s="123" t="s">
        <v>120</v>
      </c>
      <c r="R319" s="123" t="s">
        <v>121</v>
      </c>
      <c r="S319" s="2"/>
      <c r="T319" s="2"/>
    </row>
    <row x14ac:dyDescent="0.25" r="320" customHeight="1" ht="13.5">
      <c r="A320" s="2"/>
      <c r="B320" s="2"/>
      <c r="C320" s="2"/>
      <c r="D320" s="2"/>
      <c r="E320" s="123" t="s">
        <v>111</v>
      </c>
      <c r="F320" s="123" t="s">
        <v>112</v>
      </c>
      <c r="G320" s="124">
        <v>834</v>
      </c>
      <c r="H320" s="123" t="s">
        <v>113</v>
      </c>
      <c r="I320" s="124">
        <v>5312</v>
      </c>
      <c r="J320" s="123" t="s">
        <v>114</v>
      </c>
      <c r="K320" s="125" t="s">
        <v>188</v>
      </c>
      <c r="L320" s="123" t="s">
        <v>189</v>
      </c>
      <c r="M320" s="124">
        <v>2019</v>
      </c>
      <c r="N320" s="124">
        <v>2019</v>
      </c>
      <c r="O320" s="123" t="s">
        <v>117</v>
      </c>
      <c r="P320" s="124">
        <v>19031</v>
      </c>
      <c r="Q320" s="123" t="s">
        <v>118</v>
      </c>
      <c r="R320" s="123" t="s">
        <v>119</v>
      </c>
      <c r="S320" s="2"/>
      <c r="T320" s="2"/>
    </row>
    <row x14ac:dyDescent="0.25" r="321" customHeight="1" ht="13.5">
      <c r="A321" s="2"/>
      <c r="B321" s="2"/>
      <c r="C321" s="2"/>
      <c r="D321" s="2"/>
      <c r="E321" s="123" t="s">
        <v>111</v>
      </c>
      <c r="F321" s="123" t="s">
        <v>112</v>
      </c>
      <c r="G321" s="124">
        <v>834</v>
      </c>
      <c r="H321" s="123" t="s">
        <v>113</v>
      </c>
      <c r="I321" s="124">
        <v>5312</v>
      </c>
      <c r="J321" s="123" t="s">
        <v>114</v>
      </c>
      <c r="K321" s="125" t="s">
        <v>188</v>
      </c>
      <c r="L321" s="123" t="s">
        <v>189</v>
      </c>
      <c r="M321" s="124">
        <v>2020</v>
      </c>
      <c r="N321" s="124">
        <v>2020</v>
      </c>
      <c r="O321" s="123" t="s">
        <v>117</v>
      </c>
      <c r="P321" s="124">
        <v>19119</v>
      </c>
      <c r="Q321" s="123" t="s">
        <v>118</v>
      </c>
      <c r="R321" s="123" t="s">
        <v>119</v>
      </c>
      <c r="S321" s="2"/>
      <c r="T321" s="2"/>
    </row>
    <row x14ac:dyDescent="0.25" r="322" customHeight="1" ht="13.5">
      <c r="A322" s="2"/>
      <c r="B322" s="2"/>
      <c r="C322" s="2"/>
      <c r="D322" s="2"/>
      <c r="E322" s="123" t="s">
        <v>111</v>
      </c>
      <c r="F322" s="123" t="s">
        <v>112</v>
      </c>
      <c r="G322" s="124">
        <v>834</v>
      </c>
      <c r="H322" s="123" t="s">
        <v>113</v>
      </c>
      <c r="I322" s="124">
        <v>5312</v>
      </c>
      <c r="J322" s="123" t="s">
        <v>114</v>
      </c>
      <c r="K322" s="125" t="s">
        <v>188</v>
      </c>
      <c r="L322" s="123" t="s">
        <v>189</v>
      </c>
      <c r="M322" s="124">
        <v>2021</v>
      </c>
      <c r="N322" s="124">
        <v>2021</v>
      </c>
      <c r="O322" s="123" t="s">
        <v>117</v>
      </c>
      <c r="P322" s="124">
        <v>19245</v>
      </c>
      <c r="Q322" s="123" t="s">
        <v>118</v>
      </c>
      <c r="R322" s="123" t="s">
        <v>119</v>
      </c>
      <c r="S322" s="2"/>
      <c r="T322" s="2"/>
    </row>
    <row x14ac:dyDescent="0.25" r="323" customHeight="1" ht="13.5">
      <c r="A323" s="2"/>
      <c r="B323" s="2"/>
      <c r="C323" s="2"/>
      <c r="D323" s="2"/>
      <c r="E323" s="123" t="s">
        <v>111</v>
      </c>
      <c r="F323" s="123" t="s">
        <v>112</v>
      </c>
      <c r="G323" s="124">
        <v>834</v>
      </c>
      <c r="H323" s="123" t="s">
        <v>113</v>
      </c>
      <c r="I323" s="124">
        <v>5419</v>
      </c>
      <c r="J323" s="123" t="s">
        <v>122</v>
      </c>
      <c r="K323" s="125" t="s">
        <v>188</v>
      </c>
      <c r="L323" s="123" t="s">
        <v>189</v>
      </c>
      <c r="M323" s="124">
        <v>2017</v>
      </c>
      <c r="N323" s="124">
        <v>2017</v>
      </c>
      <c r="O323" s="123" t="s">
        <v>123</v>
      </c>
      <c r="P323" s="124">
        <v>108209</v>
      </c>
      <c r="Q323" s="123" t="s">
        <v>118</v>
      </c>
      <c r="R323" s="123" t="s">
        <v>119</v>
      </c>
      <c r="S323" s="2"/>
      <c r="T323" s="2"/>
    </row>
    <row x14ac:dyDescent="0.25" r="324" customHeight="1" ht="13.5">
      <c r="A324" s="2"/>
      <c r="B324" s="2"/>
      <c r="C324" s="2"/>
      <c r="D324" s="2"/>
      <c r="E324" s="123" t="s">
        <v>111</v>
      </c>
      <c r="F324" s="123" t="s">
        <v>112</v>
      </c>
      <c r="G324" s="124">
        <v>834</v>
      </c>
      <c r="H324" s="123" t="s">
        <v>113</v>
      </c>
      <c r="I324" s="124">
        <v>5419</v>
      </c>
      <c r="J324" s="123" t="s">
        <v>122</v>
      </c>
      <c r="K324" s="125" t="s">
        <v>188</v>
      </c>
      <c r="L324" s="123" t="s">
        <v>189</v>
      </c>
      <c r="M324" s="124">
        <v>2018</v>
      </c>
      <c r="N324" s="124">
        <v>2018</v>
      </c>
      <c r="O324" s="123" t="s">
        <v>123</v>
      </c>
      <c r="P324" s="124">
        <v>101523</v>
      </c>
      <c r="Q324" s="123" t="s">
        <v>118</v>
      </c>
      <c r="R324" s="123" t="s">
        <v>119</v>
      </c>
      <c r="S324" s="2"/>
      <c r="T324" s="2"/>
    </row>
    <row x14ac:dyDescent="0.25" r="325" customHeight="1" ht="13.5">
      <c r="A325" s="2"/>
      <c r="B325" s="2"/>
      <c r="C325" s="2"/>
      <c r="D325" s="2"/>
      <c r="E325" s="123" t="s">
        <v>111</v>
      </c>
      <c r="F325" s="123" t="s">
        <v>112</v>
      </c>
      <c r="G325" s="124">
        <v>834</v>
      </c>
      <c r="H325" s="123" t="s">
        <v>113</v>
      </c>
      <c r="I325" s="124">
        <v>5419</v>
      </c>
      <c r="J325" s="123" t="s">
        <v>122</v>
      </c>
      <c r="K325" s="125" t="s">
        <v>188</v>
      </c>
      <c r="L325" s="123" t="s">
        <v>189</v>
      </c>
      <c r="M325" s="124">
        <v>2019</v>
      </c>
      <c r="N325" s="124">
        <v>2019</v>
      </c>
      <c r="O325" s="123" t="s">
        <v>123</v>
      </c>
      <c r="P325" s="124">
        <v>104548</v>
      </c>
      <c r="Q325" s="123" t="s">
        <v>118</v>
      </c>
      <c r="R325" s="123" t="s">
        <v>119</v>
      </c>
      <c r="S325" s="2"/>
      <c r="T325" s="2"/>
    </row>
    <row x14ac:dyDescent="0.25" r="326" customHeight="1" ht="13.5">
      <c r="A326" s="2"/>
      <c r="B326" s="2"/>
      <c r="C326" s="2"/>
      <c r="D326" s="2"/>
      <c r="E326" s="123" t="s">
        <v>111</v>
      </c>
      <c r="F326" s="123" t="s">
        <v>112</v>
      </c>
      <c r="G326" s="124">
        <v>834</v>
      </c>
      <c r="H326" s="123" t="s">
        <v>113</v>
      </c>
      <c r="I326" s="124">
        <v>5419</v>
      </c>
      <c r="J326" s="123" t="s">
        <v>122</v>
      </c>
      <c r="K326" s="125" t="s">
        <v>188</v>
      </c>
      <c r="L326" s="123" t="s">
        <v>189</v>
      </c>
      <c r="M326" s="124">
        <v>2020</v>
      </c>
      <c r="N326" s="124">
        <v>2020</v>
      </c>
      <c r="O326" s="123" t="s">
        <v>123</v>
      </c>
      <c r="P326" s="124">
        <v>104712</v>
      </c>
      <c r="Q326" s="123" t="s">
        <v>118</v>
      </c>
      <c r="R326" s="123" t="s">
        <v>119</v>
      </c>
      <c r="S326" s="2"/>
      <c r="T326" s="2"/>
    </row>
    <row x14ac:dyDescent="0.25" r="327" customHeight="1" ht="13.5">
      <c r="A327" s="2"/>
      <c r="B327" s="2"/>
      <c r="C327" s="2"/>
      <c r="D327" s="2"/>
      <c r="E327" s="123" t="s">
        <v>111</v>
      </c>
      <c r="F327" s="123" t="s">
        <v>112</v>
      </c>
      <c r="G327" s="124">
        <v>834</v>
      </c>
      <c r="H327" s="123" t="s">
        <v>113</v>
      </c>
      <c r="I327" s="124">
        <v>5419</v>
      </c>
      <c r="J327" s="123" t="s">
        <v>122</v>
      </c>
      <c r="K327" s="125" t="s">
        <v>188</v>
      </c>
      <c r="L327" s="123" t="s">
        <v>189</v>
      </c>
      <c r="M327" s="124">
        <v>2021</v>
      </c>
      <c r="N327" s="124">
        <v>2021</v>
      </c>
      <c r="O327" s="123" t="s">
        <v>123</v>
      </c>
      <c r="P327" s="124">
        <v>103576</v>
      </c>
      <c r="Q327" s="123" t="s">
        <v>118</v>
      </c>
      <c r="R327" s="123" t="s">
        <v>119</v>
      </c>
      <c r="S327" s="2"/>
      <c r="T327" s="2"/>
    </row>
    <row x14ac:dyDescent="0.25" r="328" customHeight="1" ht="13.5">
      <c r="A328" s="2"/>
      <c r="B328" s="2"/>
      <c r="C328" s="2"/>
      <c r="D328" s="2"/>
      <c r="E328" s="123" t="s">
        <v>111</v>
      </c>
      <c r="F328" s="123" t="s">
        <v>112</v>
      </c>
      <c r="G328" s="124">
        <v>834</v>
      </c>
      <c r="H328" s="123" t="s">
        <v>113</v>
      </c>
      <c r="I328" s="124">
        <v>5312</v>
      </c>
      <c r="J328" s="123" t="s">
        <v>114</v>
      </c>
      <c r="K328" s="125" t="s">
        <v>190</v>
      </c>
      <c r="L328" s="123" t="s">
        <v>191</v>
      </c>
      <c r="M328" s="124">
        <v>2017</v>
      </c>
      <c r="N328" s="124">
        <v>2017</v>
      </c>
      <c r="O328" s="123" t="s">
        <v>117</v>
      </c>
      <c r="P328" s="124">
        <v>37500</v>
      </c>
      <c r="Q328" s="123" t="s">
        <v>118</v>
      </c>
      <c r="R328" s="123" t="s">
        <v>119</v>
      </c>
      <c r="S328" s="2"/>
      <c r="T328" s="2"/>
    </row>
    <row x14ac:dyDescent="0.25" r="329" customHeight="1" ht="13.5">
      <c r="A329" s="2"/>
      <c r="B329" s="2"/>
      <c r="C329" s="2"/>
      <c r="D329" s="2"/>
      <c r="E329" s="123" t="s">
        <v>111</v>
      </c>
      <c r="F329" s="123" t="s">
        <v>112</v>
      </c>
      <c r="G329" s="124">
        <v>834</v>
      </c>
      <c r="H329" s="123" t="s">
        <v>113</v>
      </c>
      <c r="I329" s="124">
        <v>5312</v>
      </c>
      <c r="J329" s="123" t="s">
        <v>114</v>
      </c>
      <c r="K329" s="125" t="s">
        <v>190</v>
      </c>
      <c r="L329" s="123" t="s">
        <v>191</v>
      </c>
      <c r="M329" s="124">
        <v>2018</v>
      </c>
      <c r="N329" s="124">
        <v>2018</v>
      </c>
      <c r="O329" s="123" t="s">
        <v>117</v>
      </c>
      <c r="P329" s="124">
        <v>37712</v>
      </c>
      <c r="Q329" s="123" t="s">
        <v>120</v>
      </c>
      <c r="R329" s="123" t="s">
        <v>121</v>
      </c>
      <c r="S329" s="2"/>
      <c r="T329" s="2"/>
    </row>
    <row x14ac:dyDescent="0.25" r="330" customHeight="1" ht="13.5">
      <c r="A330" s="2"/>
      <c r="B330" s="2"/>
      <c r="C330" s="2"/>
      <c r="D330" s="2"/>
      <c r="E330" s="123" t="s">
        <v>111</v>
      </c>
      <c r="F330" s="123" t="s">
        <v>112</v>
      </c>
      <c r="G330" s="124">
        <v>834</v>
      </c>
      <c r="H330" s="123" t="s">
        <v>113</v>
      </c>
      <c r="I330" s="124">
        <v>5312</v>
      </c>
      <c r="J330" s="123" t="s">
        <v>114</v>
      </c>
      <c r="K330" s="125" t="s">
        <v>190</v>
      </c>
      <c r="L330" s="123" t="s">
        <v>191</v>
      </c>
      <c r="M330" s="124">
        <v>2019</v>
      </c>
      <c r="N330" s="124">
        <v>2019</v>
      </c>
      <c r="O330" s="123" t="s">
        <v>117</v>
      </c>
      <c r="P330" s="124">
        <v>42378</v>
      </c>
      <c r="Q330" s="123" t="s">
        <v>120</v>
      </c>
      <c r="R330" s="123" t="s">
        <v>121</v>
      </c>
      <c r="S330" s="2"/>
      <c r="T330" s="2"/>
    </row>
    <row x14ac:dyDescent="0.25" r="331" customHeight="1" ht="13.5">
      <c r="A331" s="2"/>
      <c r="B331" s="2"/>
      <c r="C331" s="2"/>
      <c r="D331" s="2"/>
      <c r="E331" s="123" t="s">
        <v>111</v>
      </c>
      <c r="F331" s="123" t="s">
        <v>112</v>
      </c>
      <c r="G331" s="124">
        <v>834</v>
      </c>
      <c r="H331" s="123" t="s">
        <v>113</v>
      </c>
      <c r="I331" s="124">
        <v>5312</v>
      </c>
      <c r="J331" s="123" t="s">
        <v>114</v>
      </c>
      <c r="K331" s="125" t="s">
        <v>190</v>
      </c>
      <c r="L331" s="123" t="s">
        <v>191</v>
      </c>
      <c r="M331" s="124">
        <v>2020</v>
      </c>
      <c r="N331" s="124">
        <v>2020</v>
      </c>
      <c r="O331" s="123" t="s">
        <v>117</v>
      </c>
      <c r="P331" s="124">
        <v>43780</v>
      </c>
      <c r="Q331" s="123" t="s">
        <v>120</v>
      </c>
      <c r="R331" s="123" t="s">
        <v>121</v>
      </c>
      <c r="S331" s="2"/>
      <c r="T331" s="2"/>
    </row>
    <row x14ac:dyDescent="0.25" r="332" customHeight="1" ht="13.5">
      <c r="A332" s="2"/>
      <c r="B332" s="2"/>
      <c r="C332" s="2"/>
      <c r="D332" s="2"/>
      <c r="E332" s="123" t="s">
        <v>111</v>
      </c>
      <c r="F332" s="123" t="s">
        <v>112</v>
      </c>
      <c r="G332" s="124">
        <v>834</v>
      </c>
      <c r="H332" s="123" t="s">
        <v>113</v>
      </c>
      <c r="I332" s="124">
        <v>5312</v>
      </c>
      <c r="J332" s="123" t="s">
        <v>114</v>
      </c>
      <c r="K332" s="125" t="s">
        <v>190</v>
      </c>
      <c r="L332" s="123" t="s">
        <v>191</v>
      </c>
      <c r="M332" s="124">
        <v>2021</v>
      </c>
      <c r="N332" s="124">
        <v>2021</v>
      </c>
      <c r="O332" s="123" t="s">
        <v>117</v>
      </c>
      <c r="P332" s="124">
        <v>45102</v>
      </c>
      <c r="Q332" s="123" t="s">
        <v>120</v>
      </c>
      <c r="R332" s="123" t="s">
        <v>121</v>
      </c>
      <c r="S332" s="2"/>
      <c r="T332" s="2"/>
    </row>
    <row x14ac:dyDescent="0.25" r="333" customHeight="1" ht="13.5">
      <c r="A333" s="2"/>
      <c r="B333" s="2"/>
      <c r="C333" s="2"/>
      <c r="D333" s="2"/>
      <c r="E333" s="123" t="s">
        <v>111</v>
      </c>
      <c r="F333" s="123" t="s">
        <v>112</v>
      </c>
      <c r="G333" s="124">
        <v>834</v>
      </c>
      <c r="H333" s="123" t="s">
        <v>113</v>
      </c>
      <c r="I333" s="124">
        <v>5419</v>
      </c>
      <c r="J333" s="123" t="s">
        <v>122</v>
      </c>
      <c r="K333" s="125" t="s">
        <v>190</v>
      </c>
      <c r="L333" s="123" t="s">
        <v>191</v>
      </c>
      <c r="M333" s="124">
        <v>2017</v>
      </c>
      <c r="N333" s="124">
        <v>2017</v>
      </c>
      <c r="O333" s="123" t="s">
        <v>123</v>
      </c>
      <c r="P333" s="124">
        <v>120000</v>
      </c>
      <c r="Q333" s="123" t="s">
        <v>118</v>
      </c>
      <c r="R333" s="123" t="s">
        <v>119</v>
      </c>
      <c r="S333" s="2"/>
      <c r="T333" s="2"/>
    </row>
    <row x14ac:dyDescent="0.25" r="334" customHeight="1" ht="13.5">
      <c r="A334" s="2"/>
      <c r="B334" s="2"/>
      <c r="C334" s="2"/>
      <c r="D334" s="2"/>
      <c r="E334" s="123" t="s">
        <v>111</v>
      </c>
      <c r="F334" s="123" t="s">
        <v>112</v>
      </c>
      <c r="G334" s="124">
        <v>834</v>
      </c>
      <c r="H334" s="123" t="s">
        <v>113</v>
      </c>
      <c r="I334" s="124">
        <v>5419</v>
      </c>
      <c r="J334" s="123" t="s">
        <v>122</v>
      </c>
      <c r="K334" s="125" t="s">
        <v>190</v>
      </c>
      <c r="L334" s="123" t="s">
        <v>191</v>
      </c>
      <c r="M334" s="124">
        <v>2018</v>
      </c>
      <c r="N334" s="124">
        <v>2018</v>
      </c>
      <c r="O334" s="123" t="s">
        <v>123</v>
      </c>
      <c r="P334" s="124">
        <v>123055</v>
      </c>
      <c r="Q334" s="123" t="s">
        <v>118</v>
      </c>
      <c r="R334" s="123" t="s">
        <v>119</v>
      </c>
      <c r="S334" s="2"/>
      <c r="T334" s="2"/>
    </row>
    <row x14ac:dyDescent="0.25" r="335" customHeight="1" ht="13.5">
      <c r="A335" s="2"/>
      <c r="B335" s="2"/>
      <c r="C335" s="2"/>
      <c r="D335" s="2"/>
      <c r="E335" s="123" t="s">
        <v>111</v>
      </c>
      <c r="F335" s="123" t="s">
        <v>112</v>
      </c>
      <c r="G335" s="124">
        <v>834</v>
      </c>
      <c r="H335" s="123" t="s">
        <v>113</v>
      </c>
      <c r="I335" s="124">
        <v>5419</v>
      </c>
      <c r="J335" s="123" t="s">
        <v>122</v>
      </c>
      <c r="K335" s="125" t="s">
        <v>190</v>
      </c>
      <c r="L335" s="123" t="s">
        <v>191</v>
      </c>
      <c r="M335" s="124">
        <v>2019</v>
      </c>
      <c r="N335" s="124">
        <v>2019</v>
      </c>
      <c r="O335" s="123" t="s">
        <v>123</v>
      </c>
      <c r="P335" s="124">
        <v>127126</v>
      </c>
      <c r="Q335" s="123" t="s">
        <v>118</v>
      </c>
      <c r="R335" s="123" t="s">
        <v>119</v>
      </c>
      <c r="S335" s="2"/>
      <c r="T335" s="2"/>
    </row>
    <row x14ac:dyDescent="0.25" r="336" customHeight="1" ht="13.5">
      <c r="A336" s="2"/>
      <c r="B336" s="2"/>
      <c r="C336" s="2"/>
      <c r="D336" s="2"/>
      <c r="E336" s="123" t="s">
        <v>111</v>
      </c>
      <c r="F336" s="123" t="s">
        <v>112</v>
      </c>
      <c r="G336" s="124">
        <v>834</v>
      </c>
      <c r="H336" s="123" t="s">
        <v>113</v>
      </c>
      <c r="I336" s="124">
        <v>5419</v>
      </c>
      <c r="J336" s="123" t="s">
        <v>122</v>
      </c>
      <c r="K336" s="125" t="s">
        <v>190</v>
      </c>
      <c r="L336" s="123" t="s">
        <v>191</v>
      </c>
      <c r="M336" s="124">
        <v>2020</v>
      </c>
      <c r="N336" s="124">
        <v>2020</v>
      </c>
      <c r="O336" s="123" t="s">
        <v>123</v>
      </c>
      <c r="P336" s="124">
        <v>130554</v>
      </c>
      <c r="Q336" s="123" t="s">
        <v>118</v>
      </c>
      <c r="R336" s="123" t="s">
        <v>119</v>
      </c>
      <c r="S336" s="2"/>
      <c r="T336" s="2"/>
    </row>
    <row x14ac:dyDescent="0.25" r="337" customHeight="1" ht="13.5">
      <c r="A337" s="2"/>
      <c r="B337" s="2"/>
      <c r="C337" s="2"/>
      <c r="D337" s="2"/>
      <c r="E337" s="123" t="s">
        <v>111</v>
      </c>
      <c r="F337" s="123" t="s">
        <v>112</v>
      </c>
      <c r="G337" s="124">
        <v>834</v>
      </c>
      <c r="H337" s="123" t="s">
        <v>113</v>
      </c>
      <c r="I337" s="124">
        <v>5419</v>
      </c>
      <c r="J337" s="123" t="s">
        <v>122</v>
      </c>
      <c r="K337" s="125" t="s">
        <v>190</v>
      </c>
      <c r="L337" s="123" t="s">
        <v>191</v>
      </c>
      <c r="M337" s="124">
        <v>2021</v>
      </c>
      <c r="N337" s="124">
        <v>2021</v>
      </c>
      <c r="O337" s="123" t="s">
        <v>123</v>
      </c>
      <c r="P337" s="124">
        <v>116375</v>
      </c>
      <c r="Q337" s="123" t="s">
        <v>118</v>
      </c>
      <c r="R337" s="123" t="s">
        <v>119</v>
      </c>
      <c r="S337" s="2"/>
      <c r="T337" s="2"/>
    </row>
    <row x14ac:dyDescent="0.25" r="338" customHeight="1" ht="13.5">
      <c r="A338" s="2"/>
      <c r="B338" s="2"/>
      <c r="C338" s="2"/>
      <c r="D338" s="2"/>
      <c r="E338" s="123" t="s">
        <v>111</v>
      </c>
      <c r="F338" s="123" t="s">
        <v>112</v>
      </c>
      <c r="G338" s="124">
        <v>834</v>
      </c>
      <c r="H338" s="123" t="s">
        <v>113</v>
      </c>
      <c r="I338" s="124">
        <v>5312</v>
      </c>
      <c r="J338" s="123" t="s">
        <v>114</v>
      </c>
      <c r="K338" s="125" t="s">
        <v>192</v>
      </c>
      <c r="L338" s="123" t="s">
        <v>193</v>
      </c>
      <c r="M338" s="124">
        <v>2017</v>
      </c>
      <c r="N338" s="124">
        <v>2017</v>
      </c>
      <c r="O338" s="123" t="s">
        <v>117</v>
      </c>
      <c r="P338" s="124">
        <v>1078</v>
      </c>
      <c r="Q338" s="123" t="s">
        <v>120</v>
      </c>
      <c r="R338" s="123" t="s">
        <v>121</v>
      </c>
      <c r="S338" s="2"/>
      <c r="T338" s="2"/>
    </row>
    <row x14ac:dyDescent="0.25" r="339" customHeight="1" ht="13.5">
      <c r="A339" s="2"/>
      <c r="B339" s="2"/>
      <c r="C339" s="2"/>
      <c r="D339" s="2"/>
      <c r="E339" s="123" t="s">
        <v>111</v>
      </c>
      <c r="F339" s="123" t="s">
        <v>112</v>
      </c>
      <c r="G339" s="124">
        <v>834</v>
      </c>
      <c r="H339" s="123" t="s">
        <v>113</v>
      </c>
      <c r="I339" s="124">
        <v>5312</v>
      </c>
      <c r="J339" s="123" t="s">
        <v>114</v>
      </c>
      <c r="K339" s="125" t="s">
        <v>192</v>
      </c>
      <c r="L339" s="123" t="s">
        <v>193</v>
      </c>
      <c r="M339" s="124">
        <v>2018</v>
      </c>
      <c r="N339" s="124">
        <v>2018</v>
      </c>
      <c r="O339" s="123" t="s">
        <v>117</v>
      </c>
      <c r="P339" s="124">
        <v>1130</v>
      </c>
      <c r="Q339" s="123" t="s">
        <v>120</v>
      </c>
      <c r="R339" s="123" t="s">
        <v>121</v>
      </c>
      <c r="S339" s="2"/>
      <c r="T339" s="2"/>
    </row>
    <row x14ac:dyDescent="0.25" r="340" customHeight="1" ht="13.5">
      <c r="A340" s="2"/>
      <c r="B340" s="2"/>
      <c r="C340" s="2"/>
      <c r="D340" s="2"/>
      <c r="E340" s="123" t="s">
        <v>111</v>
      </c>
      <c r="F340" s="123" t="s">
        <v>112</v>
      </c>
      <c r="G340" s="124">
        <v>834</v>
      </c>
      <c r="H340" s="123" t="s">
        <v>113</v>
      </c>
      <c r="I340" s="124">
        <v>5312</v>
      </c>
      <c r="J340" s="123" t="s">
        <v>114</v>
      </c>
      <c r="K340" s="125" t="s">
        <v>192</v>
      </c>
      <c r="L340" s="123" t="s">
        <v>193</v>
      </c>
      <c r="M340" s="124">
        <v>2019</v>
      </c>
      <c r="N340" s="124">
        <v>2019</v>
      </c>
      <c r="O340" s="123" t="s">
        <v>117</v>
      </c>
      <c r="P340" s="124">
        <v>1136</v>
      </c>
      <c r="Q340" s="123" t="s">
        <v>120</v>
      </c>
      <c r="R340" s="123" t="s">
        <v>121</v>
      </c>
      <c r="S340" s="2"/>
      <c r="T340" s="2"/>
    </row>
    <row x14ac:dyDescent="0.25" r="341" customHeight="1" ht="13.5">
      <c r="A341" s="2"/>
      <c r="B341" s="2"/>
      <c r="C341" s="2"/>
      <c r="D341" s="2"/>
      <c r="E341" s="123" t="s">
        <v>111</v>
      </c>
      <c r="F341" s="123" t="s">
        <v>112</v>
      </c>
      <c r="G341" s="124">
        <v>834</v>
      </c>
      <c r="H341" s="123" t="s">
        <v>113</v>
      </c>
      <c r="I341" s="124">
        <v>5312</v>
      </c>
      <c r="J341" s="123" t="s">
        <v>114</v>
      </c>
      <c r="K341" s="125" t="s">
        <v>192</v>
      </c>
      <c r="L341" s="123" t="s">
        <v>193</v>
      </c>
      <c r="M341" s="124">
        <v>2020</v>
      </c>
      <c r="N341" s="124">
        <v>2020</v>
      </c>
      <c r="O341" s="123" t="s">
        <v>117</v>
      </c>
      <c r="P341" s="124">
        <v>1152</v>
      </c>
      <c r="Q341" s="123" t="s">
        <v>120</v>
      </c>
      <c r="R341" s="123" t="s">
        <v>121</v>
      </c>
      <c r="S341" s="2"/>
      <c r="T341" s="2"/>
    </row>
    <row x14ac:dyDescent="0.25" r="342" customHeight="1" ht="13.5">
      <c r="A342" s="2"/>
      <c r="B342" s="2"/>
      <c r="C342" s="2"/>
      <c r="D342" s="2"/>
      <c r="E342" s="123" t="s">
        <v>111</v>
      </c>
      <c r="F342" s="123" t="s">
        <v>112</v>
      </c>
      <c r="G342" s="124">
        <v>834</v>
      </c>
      <c r="H342" s="123" t="s">
        <v>113</v>
      </c>
      <c r="I342" s="124">
        <v>5312</v>
      </c>
      <c r="J342" s="123" t="s">
        <v>114</v>
      </c>
      <c r="K342" s="125" t="s">
        <v>192</v>
      </c>
      <c r="L342" s="123" t="s">
        <v>193</v>
      </c>
      <c r="M342" s="124">
        <v>2021</v>
      </c>
      <c r="N342" s="124">
        <v>2021</v>
      </c>
      <c r="O342" s="123" t="s">
        <v>117</v>
      </c>
      <c r="P342" s="124">
        <v>1140</v>
      </c>
      <c r="Q342" s="123" t="s">
        <v>118</v>
      </c>
      <c r="R342" s="123" t="s">
        <v>119</v>
      </c>
      <c r="S342" s="2"/>
      <c r="T342" s="2"/>
    </row>
    <row x14ac:dyDescent="0.25" r="343" customHeight="1" ht="13.5">
      <c r="A343" s="2"/>
      <c r="B343" s="2"/>
      <c r="C343" s="2"/>
      <c r="D343" s="2"/>
      <c r="E343" s="123" t="s">
        <v>111</v>
      </c>
      <c r="F343" s="123" t="s">
        <v>112</v>
      </c>
      <c r="G343" s="124">
        <v>834</v>
      </c>
      <c r="H343" s="123" t="s">
        <v>113</v>
      </c>
      <c r="I343" s="124">
        <v>5419</v>
      </c>
      <c r="J343" s="123" t="s">
        <v>122</v>
      </c>
      <c r="K343" s="125" t="s">
        <v>192</v>
      </c>
      <c r="L343" s="123" t="s">
        <v>193</v>
      </c>
      <c r="M343" s="124">
        <v>2017</v>
      </c>
      <c r="N343" s="124">
        <v>2017</v>
      </c>
      <c r="O343" s="123" t="s">
        <v>123</v>
      </c>
      <c r="P343" s="124">
        <v>50581</v>
      </c>
      <c r="Q343" s="123" t="s">
        <v>118</v>
      </c>
      <c r="R343" s="123" t="s">
        <v>119</v>
      </c>
      <c r="S343" s="2"/>
      <c r="T343" s="2"/>
    </row>
    <row x14ac:dyDescent="0.25" r="344" customHeight="1" ht="13.5">
      <c r="A344" s="2"/>
      <c r="B344" s="2"/>
      <c r="C344" s="2"/>
      <c r="D344" s="2"/>
      <c r="E344" s="123" t="s">
        <v>111</v>
      </c>
      <c r="F344" s="123" t="s">
        <v>112</v>
      </c>
      <c r="G344" s="124">
        <v>834</v>
      </c>
      <c r="H344" s="123" t="s">
        <v>113</v>
      </c>
      <c r="I344" s="124">
        <v>5419</v>
      </c>
      <c r="J344" s="123" t="s">
        <v>122</v>
      </c>
      <c r="K344" s="125" t="s">
        <v>192</v>
      </c>
      <c r="L344" s="123" t="s">
        <v>193</v>
      </c>
      <c r="M344" s="124">
        <v>2018</v>
      </c>
      <c r="N344" s="124">
        <v>2018</v>
      </c>
      <c r="O344" s="123" t="s">
        <v>123</v>
      </c>
      <c r="P344" s="124">
        <v>50222</v>
      </c>
      <c r="Q344" s="123" t="s">
        <v>118</v>
      </c>
      <c r="R344" s="123" t="s">
        <v>119</v>
      </c>
      <c r="S344" s="2"/>
      <c r="T344" s="2"/>
    </row>
    <row x14ac:dyDescent="0.25" r="345" customHeight="1" ht="13.5">
      <c r="A345" s="2"/>
      <c r="B345" s="2"/>
      <c r="C345" s="2"/>
      <c r="D345" s="2"/>
      <c r="E345" s="123" t="s">
        <v>111</v>
      </c>
      <c r="F345" s="123" t="s">
        <v>112</v>
      </c>
      <c r="G345" s="124">
        <v>834</v>
      </c>
      <c r="H345" s="123" t="s">
        <v>113</v>
      </c>
      <c r="I345" s="124">
        <v>5419</v>
      </c>
      <c r="J345" s="123" t="s">
        <v>122</v>
      </c>
      <c r="K345" s="125" t="s">
        <v>192</v>
      </c>
      <c r="L345" s="123" t="s">
        <v>193</v>
      </c>
      <c r="M345" s="124">
        <v>2019</v>
      </c>
      <c r="N345" s="124">
        <v>2019</v>
      </c>
      <c r="O345" s="123" t="s">
        <v>123</v>
      </c>
      <c r="P345" s="124">
        <v>47887</v>
      </c>
      <c r="Q345" s="123" t="s">
        <v>118</v>
      </c>
      <c r="R345" s="123" t="s">
        <v>119</v>
      </c>
      <c r="S345" s="2"/>
      <c r="T345" s="2"/>
    </row>
    <row x14ac:dyDescent="0.25" r="346" customHeight="1" ht="13.5">
      <c r="A346" s="2"/>
      <c r="B346" s="2"/>
      <c r="C346" s="2"/>
      <c r="D346" s="2"/>
      <c r="E346" s="123" t="s">
        <v>111</v>
      </c>
      <c r="F346" s="123" t="s">
        <v>112</v>
      </c>
      <c r="G346" s="124">
        <v>834</v>
      </c>
      <c r="H346" s="123" t="s">
        <v>113</v>
      </c>
      <c r="I346" s="124">
        <v>5419</v>
      </c>
      <c r="J346" s="123" t="s">
        <v>122</v>
      </c>
      <c r="K346" s="125" t="s">
        <v>192</v>
      </c>
      <c r="L346" s="123" t="s">
        <v>193</v>
      </c>
      <c r="M346" s="124">
        <v>2020</v>
      </c>
      <c r="N346" s="124">
        <v>2020</v>
      </c>
      <c r="O346" s="123" t="s">
        <v>123</v>
      </c>
      <c r="P346" s="124">
        <v>47959</v>
      </c>
      <c r="Q346" s="123" t="s">
        <v>118</v>
      </c>
      <c r="R346" s="123" t="s">
        <v>119</v>
      </c>
      <c r="S346" s="2"/>
      <c r="T346" s="2"/>
    </row>
    <row x14ac:dyDescent="0.25" r="347" customHeight="1" ht="13.5">
      <c r="A347" s="2"/>
      <c r="B347" s="2"/>
      <c r="C347" s="2"/>
      <c r="D347" s="2"/>
      <c r="E347" s="123" t="s">
        <v>111</v>
      </c>
      <c r="F347" s="123" t="s">
        <v>112</v>
      </c>
      <c r="G347" s="124">
        <v>834</v>
      </c>
      <c r="H347" s="123" t="s">
        <v>113</v>
      </c>
      <c r="I347" s="124">
        <v>5419</v>
      </c>
      <c r="J347" s="123" t="s">
        <v>122</v>
      </c>
      <c r="K347" s="125" t="s">
        <v>192</v>
      </c>
      <c r="L347" s="123" t="s">
        <v>193</v>
      </c>
      <c r="M347" s="124">
        <v>2021</v>
      </c>
      <c r="N347" s="124">
        <v>2021</v>
      </c>
      <c r="O347" s="123" t="s">
        <v>123</v>
      </c>
      <c r="P347" s="124">
        <v>48683</v>
      </c>
      <c r="Q347" s="123" t="s">
        <v>118</v>
      </c>
      <c r="R347" s="123" t="s">
        <v>119</v>
      </c>
      <c r="S347" s="2"/>
      <c r="T347" s="2"/>
    </row>
    <row x14ac:dyDescent="0.25" r="348" customHeight="1" ht="13.5">
      <c r="A348" s="2"/>
      <c r="B348" s="2"/>
      <c r="C348" s="2"/>
      <c r="D348" s="2"/>
      <c r="E348" s="123" t="s">
        <v>111</v>
      </c>
      <c r="F348" s="123" t="s">
        <v>112</v>
      </c>
      <c r="G348" s="124">
        <v>834</v>
      </c>
      <c r="H348" s="123" t="s">
        <v>113</v>
      </c>
      <c r="I348" s="124">
        <v>5312</v>
      </c>
      <c r="J348" s="123" t="s">
        <v>114</v>
      </c>
      <c r="K348" s="125" t="s">
        <v>194</v>
      </c>
      <c r="L348" s="123" t="s">
        <v>195</v>
      </c>
      <c r="M348" s="124">
        <v>2017</v>
      </c>
      <c r="N348" s="124">
        <v>2017</v>
      </c>
      <c r="O348" s="123" t="s">
        <v>117</v>
      </c>
      <c r="P348" s="124">
        <v>13961</v>
      </c>
      <c r="Q348" s="123" t="s">
        <v>118</v>
      </c>
      <c r="R348" s="123" t="s">
        <v>119</v>
      </c>
      <c r="S348" s="2"/>
      <c r="T348" s="2"/>
    </row>
    <row x14ac:dyDescent="0.25" r="349" customHeight="1" ht="13.5">
      <c r="A349" s="2"/>
      <c r="B349" s="2"/>
      <c r="C349" s="2"/>
      <c r="D349" s="2"/>
      <c r="E349" s="123" t="s">
        <v>111</v>
      </c>
      <c r="F349" s="123" t="s">
        <v>112</v>
      </c>
      <c r="G349" s="124">
        <v>834</v>
      </c>
      <c r="H349" s="123" t="s">
        <v>113</v>
      </c>
      <c r="I349" s="124">
        <v>5312</v>
      </c>
      <c r="J349" s="123" t="s">
        <v>114</v>
      </c>
      <c r="K349" s="125" t="s">
        <v>194</v>
      </c>
      <c r="L349" s="123" t="s">
        <v>195</v>
      </c>
      <c r="M349" s="124">
        <v>2018</v>
      </c>
      <c r="N349" s="124">
        <v>2018</v>
      </c>
      <c r="O349" s="123" t="s">
        <v>117</v>
      </c>
      <c r="P349" s="124">
        <v>14164</v>
      </c>
      <c r="Q349" s="123" t="s">
        <v>118</v>
      </c>
      <c r="R349" s="123" t="s">
        <v>119</v>
      </c>
      <c r="S349" s="2"/>
      <c r="T349" s="2"/>
    </row>
    <row x14ac:dyDescent="0.25" r="350" customHeight="1" ht="13.5">
      <c r="A350" s="2"/>
      <c r="B350" s="2"/>
      <c r="C350" s="2"/>
      <c r="D350" s="2"/>
      <c r="E350" s="123" t="s">
        <v>111</v>
      </c>
      <c r="F350" s="123" t="s">
        <v>112</v>
      </c>
      <c r="G350" s="124">
        <v>834</v>
      </c>
      <c r="H350" s="123" t="s">
        <v>113</v>
      </c>
      <c r="I350" s="124">
        <v>5312</v>
      </c>
      <c r="J350" s="123" t="s">
        <v>114</v>
      </c>
      <c r="K350" s="125" t="s">
        <v>194</v>
      </c>
      <c r="L350" s="123" t="s">
        <v>195</v>
      </c>
      <c r="M350" s="124">
        <v>2019</v>
      </c>
      <c r="N350" s="124">
        <v>2019</v>
      </c>
      <c r="O350" s="123" t="s">
        <v>117</v>
      </c>
      <c r="P350" s="124">
        <v>13949</v>
      </c>
      <c r="Q350" s="123" t="s">
        <v>118</v>
      </c>
      <c r="R350" s="123" t="s">
        <v>119</v>
      </c>
      <c r="S350" s="2"/>
      <c r="T350" s="2"/>
    </row>
    <row x14ac:dyDescent="0.25" r="351" customHeight="1" ht="13.5">
      <c r="A351" s="2"/>
      <c r="B351" s="2"/>
      <c r="C351" s="2"/>
      <c r="D351" s="2"/>
      <c r="E351" s="123" t="s">
        <v>111</v>
      </c>
      <c r="F351" s="123" t="s">
        <v>112</v>
      </c>
      <c r="G351" s="124">
        <v>834</v>
      </c>
      <c r="H351" s="123" t="s">
        <v>113</v>
      </c>
      <c r="I351" s="124">
        <v>5312</v>
      </c>
      <c r="J351" s="123" t="s">
        <v>114</v>
      </c>
      <c r="K351" s="125" t="s">
        <v>194</v>
      </c>
      <c r="L351" s="123" t="s">
        <v>195</v>
      </c>
      <c r="M351" s="124">
        <v>2020</v>
      </c>
      <c r="N351" s="124">
        <v>2020</v>
      </c>
      <c r="O351" s="123" t="s">
        <v>117</v>
      </c>
      <c r="P351" s="124">
        <v>14025</v>
      </c>
      <c r="Q351" s="123" t="s">
        <v>118</v>
      </c>
      <c r="R351" s="123" t="s">
        <v>119</v>
      </c>
      <c r="S351" s="2"/>
      <c r="T351" s="2"/>
    </row>
    <row x14ac:dyDescent="0.25" r="352" customHeight="1" ht="13.5">
      <c r="A352" s="2"/>
      <c r="B352" s="2"/>
      <c r="C352" s="2"/>
      <c r="D352" s="2"/>
      <c r="E352" s="123" t="s">
        <v>111</v>
      </c>
      <c r="F352" s="123" t="s">
        <v>112</v>
      </c>
      <c r="G352" s="124">
        <v>834</v>
      </c>
      <c r="H352" s="123" t="s">
        <v>113</v>
      </c>
      <c r="I352" s="124">
        <v>5312</v>
      </c>
      <c r="J352" s="123" t="s">
        <v>114</v>
      </c>
      <c r="K352" s="125" t="s">
        <v>194</v>
      </c>
      <c r="L352" s="123" t="s">
        <v>195</v>
      </c>
      <c r="M352" s="124">
        <v>2021</v>
      </c>
      <c r="N352" s="124">
        <v>2021</v>
      </c>
      <c r="O352" s="123" t="s">
        <v>117</v>
      </c>
      <c r="P352" s="124">
        <v>14046</v>
      </c>
      <c r="Q352" s="123" t="s">
        <v>118</v>
      </c>
      <c r="R352" s="123" t="s">
        <v>119</v>
      </c>
      <c r="S352" s="2"/>
      <c r="T352" s="2"/>
    </row>
    <row x14ac:dyDescent="0.25" r="353" customHeight="1" ht="13.5">
      <c r="A353" s="2"/>
      <c r="B353" s="2"/>
      <c r="C353" s="2"/>
      <c r="D353" s="2"/>
      <c r="E353" s="123" t="s">
        <v>111</v>
      </c>
      <c r="F353" s="123" t="s">
        <v>112</v>
      </c>
      <c r="G353" s="124">
        <v>834</v>
      </c>
      <c r="H353" s="123" t="s">
        <v>113</v>
      </c>
      <c r="I353" s="124">
        <v>5419</v>
      </c>
      <c r="J353" s="123" t="s">
        <v>122</v>
      </c>
      <c r="K353" s="125" t="s">
        <v>194</v>
      </c>
      <c r="L353" s="123" t="s">
        <v>195</v>
      </c>
      <c r="M353" s="124">
        <v>2017</v>
      </c>
      <c r="N353" s="124">
        <v>2017</v>
      </c>
      <c r="O353" s="123" t="s">
        <v>123</v>
      </c>
      <c r="P353" s="124">
        <v>33000</v>
      </c>
      <c r="Q353" s="123" t="s">
        <v>118</v>
      </c>
      <c r="R353" s="123" t="s">
        <v>119</v>
      </c>
      <c r="S353" s="2"/>
      <c r="T353" s="2"/>
    </row>
    <row x14ac:dyDescent="0.25" r="354" customHeight="1" ht="13.5">
      <c r="A354" s="2"/>
      <c r="B354" s="2"/>
      <c r="C354" s="2"/>
      <c r="D354" s="2"/>
      <c r="E354" s="123" t="s">
        <v>111</v>
      </c>
      <c r="F354" s="123" t="s">
        <v>112</v>
      </c>
      <c r="G354" s="124">
        <v>834</v>
      </c>
      <c r="H354" s="123" t="s">
        <v>113</v>
      </c>
      <c r="I354" s="124">
        <v>5419</v>
      </c>
      <c r="J354" s="123" t="s">
        <v>122</v>
      </c>
      <c r="K354" s="125" t="s">
        <v>194</v>
      </c>
      <c r="L354" s="123" t="s">
        <v>195</v>
      </c>
      <c r="M354" s="124">
        <v>2018</v>
      </c>
      <c r="N354" s="124">
        <v>2018</v>
      </c>
      <c r="O354" s="123" t="s">
        <v>123</v>
      </c>
      <c r="P354" s="124">
        <v>32879</v>
      </c>
      <c r="Q354" s="123" t="s">
        <v>118</v>
      </c>
      <c r="R354" s="123" t="s">
        <v>119</v>
      </c>
      <c r="S354" s="2"/>
      <c r="T354" s="2"/>
    </row>
    <row x14ac:dyDescent="0.25" r="355" customHeight="1" ht="13.5">
      <c r="A355" s="2"/>
      <c r="B355" s="2"/>
      <c r="C355" s="2"/>
      <c r="D355" s="2"/>
      <c r="E355" s="123" t="s">
        <v>111</v>
      </c>
      <c r="F355" s="123" t="s">
        <v>112</v>
      </c>
      <c r="G355" s="124">
        <v>834</v>
      </c>
      <c r="H355" s="123" t="s">
        <v>113</v>
      </c>
      <c r="I355" s="124">
        <v>5419</v>
      </c>
      <c r="J355" s="123" t="s">
        <v>122</v>
      </c>
      <c r="K355" s="125" t="s">
        <v>194</v>
      </c>
      <c r="L355" s="123" t="s">
        <v>195</v>
      </c>
      <c r="M355" s="124">
        <v>2019</v>
      </c>
      <c r="N355" s="124">
        <v>2019</v>
      </c>
      <c r="O355" s="123" t="s">
        <v>123</v>
      </c>
      <c r="P355" s="124">
        <v>33604</v>
      </c>
      <c r="Q355" s="123" t="s">
        <v>118</v>
      </c>
      <c r="R355" s="123" t="s">
        <v>119</v>
      </c>
      <c r="S355" s="2"/>
      <c r="T355" s="2"/>
    </row>
    <row x14ac:dyDescent="0.25" r="356" customHeight="1" ht="13.5">
      <c r="A356" s="2"/>
      <c r="B356" s="2"/>
      <c r="C356" s="2"/>
      <c r="D356" s="2"/>
      <c r="E356" s="123" t="s">
        <v>111</v>
      </c>
      <c r="F356" s="123" t="s">
        <v>112</v>
      </c>
      <c r="G356" s="124">
        <v>834</v>
      </c>
      <c r="H356" s="123" t="s">
        <v>113</v>
      </c>
      <c r="I356" s="124">
        <v>5419</v>
      </c>
      <c r="J356" s="123" t="s">
        <v>122</v>
      </c>
      <c r="K356" s="125" t="s">
        <v>194</v>
      </c>
      <c r="L356" s="123" t="s">
        <v>195</v>
      </c>
      <c r="M356" s="124">
        <v>2020</v>
      </c>
      <c r="N356" s="124">
        <v>2020</v>
      </c>
      <c r="O356" s="123" t="s">
        <v>123</v>
      </c>
      <c r="P356" s="124">
        <v>33719</v>
      </c>
      <c r="Q356" s="123" t="s">
        <v>118</v>
      </c>
      <c r="R356" s="123" t="s">
        <v>119</v>
      </c>
      <c r="S356" s="2"/>
      <c r="T356" s="2"/>
    </row>
    <row x14ac:dyDescent="0.25" r="357" customHeight="1" ht="13.5">
      <c r="A357" s="2"/>
      <c r="B357" s="2"/>
      <c r="C357" s="2"/>
      <c r="D357" s="2"/>
      <c r="E357" s="123" t="s">
        <v>111</v>
      </c>
      <c r="F357" s="123" t="s">
        <v>112</v>
      </c>
      <c r="G357" s="124">
        <v>834</v>
      </c>
      <c r="H357" s="123" t="s">
        <v>113</v>
      </c>
      <c r="I357" s="124">
        <v>5419</v>
      </c>
      <c r="J357" s="123" t="s">
        <v>122</v>
      </c>
      <c r="K357" s="125" t="s">
        <v>194</v>
      </c>
      <c r="L357" s="123" t="s">
        <v>195</v>
      </c>
      <c r="M357" s="124">
        <v>2021</v>
      </c>
      <c r="N357" s="124">
        <v>2021</v>
      </c>
      <c r="O357" s="123" t="s">
        <v>123</v>
      </c>
      <c r="P357" s="124">
        <v>33399</v>
      </c>
      <c r="Q357" s="123" t="s">
        <v>118</v>
      </c>
      <c r="R357" s="123" t="s">
        <v>119</v>
      </c>
      <c r="S357" s="2"/>
      <c r="T357" s="2"/>
    </row>
    <row x14ac:dyDescent="0.25" r="358" customHeight="1" ht="13.5">
      <c r="A358" s="2"/>
      <c r="B358" s="2"/>
      <c r="C358" s="2"/>
      <c r="D358" s="2"/>
      <c r="E358" s="123" t="s">
        <v>111</v>
      </c>
      <c r="F358" s="123" t="s">
        <v>112</v>
      </c>
      <c r="G358" s="124">
        <v>834</v>
      </c>
      <c r="H358" s="123" t="s">
        <v>113</v>
      </c>
      <c r="I358" s="124">
        <v>5312</v>
      </c>
      <c r="J358" s="123" t="s">
        <v>114</v>
      </c>
      <c r="K358" s="125" t="s">
        <v>196</v>
      </c>
      <c r="L358" s="123" t="s">
        <v>197</v>
      </c>
      <c r="M358" s="124">
        <v>2017</v>
      </c>
      <c r="N358" s="124">
        <v>2017</v>
      </c>
      <c r="O358" s="123" t="s">
        <v>117</v>
      </c>
      <c r="P358" s="124">
        <v>1700</v>
      </c>
      <c r="Q358" s="123" t="s">
        <v>118</v>
      </c>
      <c r="R358" s="123" t="s">
        <v>119</v>
      </c>
      <c r="S358" s="2"/>
      <c r="T358" s="2"/>
    </row>
    <row x14ac:dyDescent="0.25" r="359" customHeight="1" ht="13.5">
      <c r="A359" s="2"/>
      <c r="B359" s="2"/>
      <c r="C359" s="2"/>
      <c r="D359" s="2"/>
      <c r="E359" s="123" t="s">
        <v>111</v>
      </c>
      <c r="F359" s="123" t="s">
        <v>112</v>
      </c>
      <c r="G359" s="124">
        <v>834</v>
      </c>
      <c r="H359" s="123" t="s">
        <v>113</v>
      </c>
      <c r="I359" s="124">
        <v>5312</v>
      </c>
      <c r="J359" s="123" t="s">
        <v>114</v>
      </c>
      <c r="K359" s="125" t="s">
        <v>196</v>
      </c>
      <c r="L359" s="123" t="s">
        <v>197</v>
      </c>
      <c r="M359" s="124">
        <v>2018</v>
      </c>
      <c r="N359" s="124">
        <v>2018</v>
      </c>
      <c r="O359" s="123" t="s">
        <v>117</v>
      </c>
      <c r="P359" s="124">
        <v>1700</v>
      </c>
      <c r="Q359" s="123" t="s">
        <v>118</v>
      </c>
      <c r="R359" s="123" t="s">
        <v>119</v>
      </c>
      <c r="S359" s="2"/>
      <c r="T359" s="2"/>
    </row>
    <row x14ac:dyDescent="0.25" r="360" customHeight="1" ht="13.5">
      <c r="A360" s="2"/>
      <c r="B360" s="2"/>
      <c r="C360" s="2"/>
      <c r="D360" s="2"/>
      <c r="E360" s="123" t="s">
        <v>111</v>
      </c>
      <c r="F360" s="123" t="s">
        <v>112</v>
      </c>
      <c r="G360" s="124">
        <v>834</v>
      </c>
      <c r="H360" s="123" t="s">
        <v>113</v>
      </c>
      <c r="I360" s="124">
        <v>5312</v>
      </c>
      <c r="J360" s="123" t="s">
        <v>114</v>
      </c>
      <c r="K360" s="125" t="s">
        <v>196</v>
      </c>
      <c r="L360" s="123" t="s">
        <v>197</v>
      </c>
      <c r="M360" s="124">
        <v>2019</v>
      </c>
      <c r="N360" s="124">
        <v>2019</v>
      </c>
      <c r="O360" s="123" t="s">
        <v>117</v>
      </c>
      <c r="P360" s="124">
        <v>1700</v>
      </c>
      <c r="Q360" s="123" t="s">
        <v>118</v>
      </c>
      <c r="R360" s="123" t="s">
        <v>119</v>
      </c>
      <c r="S360" s="2"/>
      <c r="T360" s="2"/>
    </row>
    <row x14ac:dyDescent="0.25" r="361" customHeight="1" ht="13.5">
      <c r="A361" s="2"/>
      <c r="B361" s="2"/>
      <c r="C361" s="2"/>
      <c r="D361" s="2"/>
      <c r="E361" s="123" t="s">
        <v>111</v>
      </c>
      <c r="F361" s="123" t="s">
        <v>112</v>
      </c>
      <c r="G361" s="124">
        <v>834</v>
      </c>
      <c r="H361" s="123" t="s">
        <v>113</v>
      </c>
      <c r="I361" s="124">
        <v>5312</v>
      </c>
      <c r="J361" s="123" t="s">
        <v>114</v>
      </c>
      <c r="K361" s="125" t="s">
        <v>196</v>
      </c>
      <c r="L361" s="123" t="s">
        <v>197</v>
      </c>
      <c r="M361" s="124">
        <v>2020</v>
      </c>
      <c r="N361" s="124">
        <v>2020</v>
      </c>
      <c r="O361" s="123" t="s">
        <v>117</v>
      </c>
      <c r="P361" s="124">
        <v>1700</v>
      </c>
      <c r="Q361" s="123" t="s">
        <v>118</v>
      </c>
      <c r="R361" s="123" t="s">
        <v>119</v>
      </c>
      <c r="S361" s="2"/>
      <c r="T361" s="2"/>
    </row>
    <row x14ac:dyDescent="0.25" r="362" customHeight="1" ht="13.5">
      <c r="A362" s="2"/>
      <c r="B362" s="2"/>
      <c r="C362" s="2"/>
      <c r="D362" s="2"/>
      <c r="E362" s="123" t="s">
        <v>111</v>
      </c>
      <c r="F362" s="123" t="s">
        <v>112</v>
      </c>
      <c r="G362" s="124">
        <v>834</v>
      </c>
      <c r="H362" s="123" t="s">
        <v>113</v>
      </c>
      <c r="I362" s="124">
        <v>5312</v>
      </c>
      <c r="J362" s="123" t="s">
        <v>114</v>
      </c>
      <c r="K362" s="125" t="s">
        <v>196</v>
      </c>
      <c r="L362" s="123" t="s">
        <v>197</v>
      </c>
      <c r="M362" s="124">
        <v>2021</v>
      </c>
      <c r="N362" s="124">
        <v>2021</v>
      </c>
      <c r="O362" s="123" t="s">
        <v>117</v>
      </c>
      <c r="P362" s="124">
        <v>1650</v>
      </c>
      <c r="Q362" s="123" t="s">
        <v>118</v>
      </c>
      <c r="R362" s="123" t="s">
        <v>119</v>
      </c>
      <c r="S362" s="2"/>
      <c r="T362" s="2"/>
    </row>
    <row x14ac:dyDescent="0.25" r="363" customHeight="1" ht="13.5">
      <c r="A363" s="2"/>
      <c r="B363" s="2"/>
      <c r="C363" s="2"/>
      <c r="D363" s="2"/>
      <c r="E363" s="123" t="s">
        <v>111</v>
      </c>
      <c r="F363" s="123" t="s">
        <v>112</v>
      </c>
      <c r="G363" s="124">
        <v>834</v>
      </c>
      <c r="H363" s="123" t="s">
        <v>113</v>
      </c>
      <c r="I363" s="124">
        <v>5419</v>
      </c>
      <c r="J363" s="123" t="s">
        <v>122</v>
      </c>
      <c r="K363" s="125" t="s">
        <v>196</v>
      </c>
      <c r="L363" s="123" t="s">
        <v>197</v>
      </c>
      <c r="M363" s="124">
        <v>2017</v>
      </c>
      <c r="N363" s="124">
        <v>2017</v>
      </c>
      <c r="O363" s="123" t="s">
        <v>123</v>
      </c>
      <c r="P363" s="124">
        <v>49339</v>
      </c>
      <c r="Q363" s="123" t="s">
        <v>118</v>
      </c>
      <c r="R363" s="123" t="s">
        <v>119</v>
      </c>
      <c r="S363" s="2"/>
      <c r="T363" s="2"/>
    </row>
    <row x14ac:dyDescent="0.25" r="364" customHeight="1" ht="13.5">
      <c r="A364" s="2"/>
      <c r="B364" s="2"/>
      <c r="C364" s="2"/>
      <c r="D364" s="2"/>
      <c r="E364" s="123" t="s">
        <v>111</v>
      </c>
      <c r="F364" s="123" t="s">
        <v>112</v>
      </c>
      <c r="G364" s="124">
        <v>834</v>
      </c>
      <c r="H364" s="123" t="s">
        <v>113</v>
      </c>
      <c r="I364" s="124">
        <v>5419</v>
      </c>
      <c r="J364" s="123" t="s">
        <v>122</v>
      </c>
      <c r="K364" s="125" t="s">
        <v>196</v>
      </c>
      <c r="L364" s="123" t="s">
        <v>197</v>
      </c>
      <c r="M364" s="124">
        <v>2018</v>
      </c>
      <c r="N364" s="124">
        <v>2018</v>
      </c>
      <c r="O364" s="123" t="s">
        <v>123</v>
      </c>
      <c r="P364" s="124">
        <v>50112</v>
      </c>
      <c r="Q364" s="123" t="s">
        <v>118</v>
      </c>
      <c r="R364" s="123" t="s">
        <v>119</v>
      </c>
      <c r="S364" s="2"/>
      <c r="T364" s="2"/>
    </row>
    <row x14ac:dyDescent="0.25" r="365" customHeight="1" ht="13.5">
      <c r="A365" s="2"/>
      <c r="B365" s="2"/>
      <c r="C365" s="2"/>
      <c r="D365" s="2"/>
      <c r="E365" s="123" t="s">
        <v>111</v>
      </c>
      <c r="F365" s="123" t="s">
        <v>112</v>
      </c>
      <c r="G365" s="124">
        <v>834</v>
      </c>
      <c r="H365" s="123" t="s">
        <v>113</v>
      </c>
      <c r="I365" s="124">
        <v>5419</v>
      </c>
      <c r="J365" s="123" t="s">
        <v>122</v>
      </c>
      <c r="K365" s="125" t="s">
        <v>196</v>
      </c>
      <c r="L365" s="123" t="s">
        <v>197</v>
      </c>
      <c r="M365" s="124">
        <v>2019</v>
      </c>
      <c r="N365" s="124">
        <v>2019</v>
      </c>
      <c r="O365" s="123" t="s">
        <v>123</v>
      </c>
      <c r="P365" s="124">
        <v>49567</v>
      </c>
      <c r="Q365" s="123" t="s">
        <v>118</v>
      </c>
      <c r="R365" s="123" t="s">
        <v>119</v>
      </c>
      <c r="S365" s="2"/>
      <c r="T365" s="2"/>
    </row>
    <row x14ac:dyDescent="0.25" r="366" customHeight="1" ht="13.5">
      <c r="A366" s="2"/>
      <c r="B366" s="2"/>
      <c r="C366" s="2"/>
      <c r="D366" s="2"/>
      <c r="E366" s="123" t="s">
        <v>111</v>
      </c>
      <c r="F366" s="123" t="s">
        <v>112</v>
      </c>
      <c r="G366" s="124">
        <v>834</v>
      </c>
      <c r="H366" s="123" t="s">
        <v>113</v>
      </c>
      <c r="I366" s="124">
        <v>5419</v>
      </c>
      <c r="J366" s="123" t="s">
        <v>122</v>
      </c>
      <c r="K366" s="125" t="s">
        <v>196</v>
      </c>
      <c r="L366" s="123" t="s">
        <v>197</v>
      </c>
      <c r="M366" s="124">
        <v>2020</v>
      </c>
      <c r="N366" s="124">
        <v>2020</v>
      </c>
      <c r="O366" s="123" t="s">
        <v>123</v>
      </c>
      <c r="P366" s="124">
        <v>49042</v>
      </c>
      <c r="Q366" s="123" t="s">
        <v>118</v>
      </c>
      <c r="R366" s="123" t="s">
        <v>119</v>
      </c>
      <c r="S366" s="2"/>
      <c r="T366" s="2"/>
    </row>
    <row x14ac:dyDescent="0.25" r="367" customHeight="1" ht="13.5">
      <c r="A367" s="2"/>
      <c r="B367" s="2"/>
      <c r="C367" s="2"/>
      <c r="D367" s="2"/>
      <c r="E367" s="123" t="s">
        <v>111</v>
      </c>
      <c r="F367" s="123" t="s">
        <v>112</v>
      </c>
      <c r="G367" s="124">
        <v>834</v>
      </c>
      <c r="H367" s="123" t="s">
        <v>113</v>
      </c>
      <c r="I367" s="124">
        <v>5419</v>
      </c>
      <c r="J367" s="123" t="s">
        <v>122</v>
      </c>
      <c r="K367" s="125" t="s">
        <v>196</v>
      </c>
      <c r="L367" s="123" t="s">
        <v>197</v>
      </c>
      <c r="M367" s="124">
        <v>2021</v>
      </c>
      <c r="N367" s="124">
        <v>2021</v>
      </c>
      <c r="O367" s="123" t="s">
        <v>123</v>
      </c>
      <c r="P367" s="124">
        <v>49987</v>
      </c>
      <c r="Q367" s="123" t="s">
        <v>118</v>
      </c>
      <c r="R367" s="123" t="s">
        <v>119</v>
      </c>
      <c r="S367" s="2"/>
      <c r="T367" s="2"/>
    </row>
    <row x14ac:dyDescent="0.25" r="368" customHeight="1" ht="13.5">
      <c r="A368" s="2"/>
      <c r="B368" s="2"/>
      <c r="C368" s="2"/>
      <c r="D368" s="2"/>
      <c r="E368" s="123" t="s">
        <v>111</v>
      </c>
      <c r="F368" s="123" t="s">
        <v>112</v>
      </c>
      <c r="G368" s="124">
        <v>834</v>
      </c>
      <c r="H368" s="123" t="s">
        <v>113</v>
      </c>
      <c r="I368" s="124">
        <v>5312</v>
      </c>
      <c r="J368" s="123" t="s">
        <v>114</v>
      </c>
      <c r="K368" s="125" t="s">
        <v>198</v>
      </c>
      <c r="L368" s="123" t="s">
        <v>199</v>
      </c>
      <c r="M368" s="124">
        <v>2017</v>
      </c>
      <c r="N368" s="124">
        <v>2017</v>
      </c>
      <c r="O368" s="123" t="s">
        <v>117</v>
      </c>
      <c r="P368" s="124">
        <v>31763</v>
      </c>
      <c r="Q368" s="123" t="s">
        <v>120</v>
      </c>
      <c r="R368" s="123" t="s">
        <v>121</v>
      </c>
      <c r="S368" s="2"/>
      <c r="T368" s="2"/>
    </row>
    <row x14ac:dyDescent="0.25" r="369" customHeight="1" ht="13.5">
      <c r="A369" s="2"/>
      <c r="B369" s="2"/>
      <c r="C369" s="2"/>
      <c r="D369" s="2"/>
      <c r="E369" s="123" t="s">
        <v>111</v>
      </c>
      <c r="F369" s="123" t="s">
        <v>112</v>
      </c>
      <c r="G369" s="124">
        <v>834</v>
      </c>
      <c r="H369" s="123" t="s">
        <v>113</v>
      </c>
      <c r="I369" s="124">
        <v>5312</v>
      </c>
      <c r="J369" s="123" t="s">
        <v>114</v>
      </c>
      <c r="K369" s="125" t="s">
        <v>198</v>
      </c>
      <c r="L369" s="123" t="s">
        <v>199</v>
      </c>
      <c r="M369" s="124">
        <v>2018</v>
      </c>
      <c r="N369" s="124">
        <v>2018</v>
      </c>
      <c r="O369" s="123" t="s">
        <v>117</v>
      </c>
      <c r="P369" s="124">
        <v>31853</v>
      </c>
      <c r="Q369" s="123" t="s">
        <v>120</v>
      </c>
      <c r="R369" s="123" t="s">
        <v>121</v>
      </c>
      <c r="S369" s="2"/>
      <c r="T369" s="2"/>
    </row>
    <row x14ac:dyDescent="0.25" r="370" customHeight="1" ht="13.5">
      <c r="A370" s="2"/>
      <c r="B370" s="2"/>
      <c r="C370" s="2"/>
      <c r="D370" s="2"/>
      <c r="E370" s="123" t="s">
        <v>111</v>
      </c>
      <c r="F370" s="123" t="s">
        <v>112</v>
      </c>
      <c r="G370" s="124">
        <v>834</v>
      </c>
      <c r="H370" s="123" t="s">
        <v>113</v>
      </c>
      <c r="I370" s="124">
        <v>5312</v>
      </c>
      <c r="J370" s="123" t="s">
        <v>114</v>
      </c>
      <c r="K370" s="125" t="s">
        <v>198</v>
      </c>
      <c r="L370" s="123" t="s">
        <v>199</v>
      </c>
      <c r="M370" s="124">
        <v>2019</v>
      </c>
      <c r="N370" s="124">
        <v>2019</v>
      </c>
      <c r="O370" s="123" t="s">
        <v>117</v>
      </c>
      <c r="P370" s="124">
        <v>31877</v>
      </c>
      <c r="Q370" s="123" t="s">
        <v>120</v>
      </c>
      <c r="R370" s="123" t="s">
        <v>121</v>
      </c>
      <c r="S370" s="2"/>
      <c r="T370" s="2"/>
    </row>
    <row x14ac:dyDescent="0.25" r="371" customHeight="1" ht="13.5">
      <c r="A371" s="2"/>
      <c r="B371" s="2"/>
      <c r="C371" s="2"/>
      <c r="D371" s="2"/>
      <c r="E371" s="123" t="s">
        <v>111</v>
      </c>
      <c r="F371" s="123" t="s">
        <v>112</v>
      </c>
      <c r="G371" s="124">
        <v>834</v>
      </c>
      <c r="H371" s="123" t="s">
        <v>113</v>
      </c>
      <c r="I371" s="124">
        <v>5312</v>
      </c>
      <c r="J371" s="123" t="s">
        <v>114</v>
      </c>
      <c r="K371" s="125" t="s">
        <v>198</v>
      </c>
      <c r="L371" s="123" t="s">
        <v>199</v>
      </c>
      <c r="M371" s="124">
        <v>2020</v>
      </c>
      <c r="N371" s="124">
        <v>2020</v>
      </c>
      <c r="O371" s="123" t="s">
        <v>117</v>
      </c>
      <c r="P371" s="124">
        <v>31904</v>
      </c>
      <c r="Q371" s="123" t="s">
        <v>120</v>
      </c>
      <c r="R371" s="123" t="s">
        <v>121</v>
      </c>
      <c r="S371" s="2"/>
      <c r="T371" s="2"/>
    </row>
    <row x14ac:dyDescent="0.25" r="372" customHeight="1" ht="13.5">
      <c r="A372" s="2"/>
      <c r="B372" s="2"/>
      <c r="C372" s="2"/>
      <c r="D372" s="2"/>
      <c r="E372" s="123" t="s">
        <v>111</v>
      </c>
      <c r="F372" s="123" t="s">
        <v>112</v>
      </c>
      <c r="G372" s="124">
        <v>834</v>
      </c>
      <c r="H372" s="123" t="s">
        <v>113</v>
      </c>
      <c r="I372" s="124">
        <v>5312</v>
      </c>
      <c r="J372" s="123" t="s">
        <v>114</v>
      </c>
      <c r="K372" s="125" t="s">
        <v>198</v>
      </c>
      <c r="L372" s="123" t="s">
        <v>199</v>
      </c>
      <c r="M372" s="124">
        <v>2021</v>
      </c>
      <c r="N372" s="124">
        <v>2021</v>
      </c>
      <c r="O372" s="123" t="s">
        <v>117</v>
      </c>
      <c r="P372" s="124">
        <v>31931</v>
      </c>
      <c r="Q372" s="123" t="s">
        <v>120</v>
      </c>
      <c r="R372" s="123" t="s">
        <v>121</v>
      </c>
      <c r="S372" s="2"/>
      <c r="T372" s="2"/>
    </row>
    <row x14ac:dyDescent="0.25" r="373" customHeight="1" ht="13.5">
      <c r="A373" s="2"/>
      <c r="B373" s="2"/>
      <c r="C373" s="2"/>
      <c r="D373" s="2"/>
      <c r="E373" s="123" t="s">
        <v>111</v>
      </c>
      <c r="F373" s="123" t="s">
        <v>112</v>
      </c>
      <c r="G373" s="124">
        <v>834</v>
      </c>
      <c r="H373" s="123" t="s">
        <v>113</v>
      </c>
      <c r="I373" s="124">
        <v>5419</v>
      </c>
      <c r="J373" s="123" t="s">
        <v>122</v>
      </c>
      <c r="K373" s="125" t="s">
        <v>198</v>
      </c>
      <c r="L373" s="123" t="s">
        <v>199</v>
      </c>
      <c r="M373" s="124">
        <v>2017</v>
      </c>
      <c r="N373" s="124">
        <v>2017</v>
      </c>
      <c r="O373" s="123" t="s">
        <v>123</v>
      </c>
      <c r="P373" s="124">
        <v>63617</v>
      </c>
      <c r="Q373" s="123" t="s">
        <v>118</v>
      </c>
      <c r="R373" s="123" t="s">
        <v>119</v>
      </c>
      <c r="S373" s="2"/>
      <c r="T373" s="2"/>
    </row>
    <row x14ac:dyDescent="0.25" r="374" customHeight="1" ht="13.5">
      <c r="A374" s="2"/>
      <c r="B374" s="2"/>
      <c r="C374" s="2"/>
      <c r="D374" s="2"/>
      <c r="E374" s="123" t="s">
        <v>111</v>
      </c>
      <c r="F374" s="123" t="s">
        <v>112</v>
      </c>
      <c r="G374" s="124">
        <v>834</v>
      </c>
      <c r="H374" s="123" t="s">
        <v>113</v>
      </c>
      <c r="I374" s="124">
        <v>5419</v>
      </c>
      <c r="J374" s="123" t="s">
        <v>122</v>
      </c>
      <c r="K374" s="125" t="s">
        <v>198</v>
      </c>
      <c r="L374" s="123" t="s">
        <v>199</v>
      </c>
      <c r="M374" s="124">
        <v>2018</v>
      </c>
      <c r="N374" s="124">
        <v>2018</v>
      </c>
      <c r="O374" s="123" t="s">
        <v>123</v>
      </c>
      <c r="P374" s="124">
        <v>63511</v>
      </c>
      <c r="Q374" s="123" t="s">
        <v>118</v>
      </c>
      <c r="R374" s="123" t="s">
        <v>119</v>
      </c>
      <c r="S374" s="2"/>
      <c r="T374" s="2"/>
    </row>
    <row x14ac:dyDescent="0.25" r="375" customHeight="1" ht="13.5">
      <c r="A375" s="2"/>
      <c r="B375" s="2"/>
      <c r="C375" s="2"/>
      <c r="D375" s="2"/>
      <c r="E375" s="123" t="s">
        <v>111</v>
      </c>
      <c r="F375" s="123" t="s">
        <v>112</v>
      </c>
      <c r="G375" s="124">
        <v>834</v>
      </c>
      <c r="H375" s="123" t="s">
        <v>113</v>
      </c>
      <c r="I375" s="124">
        <v>5419</v>
      </c>
      <c r="J375" s="123" t="s">
        <v>122</v>
      </c>
      <c r="K375" s="125" t="s">
        <v>198</v>
      </c>
      <c r="L375" s="123" t="s">
        <v>199</v>
      </c>
      <c r="M375" s="124">
        <v>2019</v>
      </c>
      <c r="N375" s="124">
        <v>2019</v>
      </c>
      <c r="O375" s="123" t="s">
        <v>123</v>
      </c>
      <c r="P375" s="124">
        <v>63401</v>
      </c>
      <c r="Q375" s="123" t="s">
        <v>118</v>
      </c>
      <c r="R375" s="123" t="s">
        <v>119</v>
      </c>
      <c r="S375" s="2"/>
      <c r="T375" s="2"/>
    </row>
    <row x14ac:dyDescent="0.25" r="376" customHeight="1" ht="13.5">
      <c r="A376" s="2"/>
      <c r="B376" s="2"/>
      <c r="C376" s="2"/>
      <c r="D376" s="2"/>
      <c r="E376" s="123" t="s">
        <v>111</v>
      </c>
      <c r="F376" s="123" t="s">
        <v>112</v>
      </c>
      <c r="G376" s="124">
        <v>834</v>
      </c>
      <c r="H376" s="123" t="s">
        <v>113</v>
      </c>
      <c r="I376" s="124">
        <v>5419</v>
      </c>
      <c r="J376" s="123" t="s">
        <v>122</v>
      </c>
      <c r="K376" s="125" t="s">
        <v>198</v>
      </c>
      <c r="L376" s="123" t="s">
        <v>199</v>
      </c>
      <c r="M376" s="124">
        <v>2020</v>
      </c>
      <c r="N376" s="124">
        <v>2020</v>
      </c>
      <c r="O376" s="123" t="s">
        <v>123</v>
      </c>
      <c r="P376" s="124">
        <v>63364</v>
      </c>
      <c r="Q376" s="123" t="s">
        <v>118</v>
      </c>
      <c r="R376" s="123" t="s">
        <v>119</v>
      </c>
      <c r="S376" s="2"/>
      <c r="T376" s="2"/>
    </row>
    <row x14ac:dyDescent="0.25" r="377" customHeight="1" ht="13.5">
      <c r="A377" s="2"/>
      <c r="B377" s="2"/>
      <c r="C377" s="2"/>
      <c r="D377" s="2"/>
      <c r="E377" s="123" t="s">
        <v>111</v>
      </c>
      <c r="F377" s="123" t="s">
        <v>112</v>
      </c>
      <c r="G377" s="124">
        <v>834</v>
      </c>
      <c r="H377" s="123" t="s">
        <v>113</v>
      </c>
      <c r="I377" s="124">
        <v>5419</v>
      </c>
      <c r="J377" s="123" t="s">
        <v>122</v>
      </c>
      <c r="K377" s="125" t="s">
        <v>198</v>
      </c>
      <c r="L377" s="123" t="s">
        <v>199</v>
      </c>
      <c r="M377" s="124">
        <v>2021</v>
      </c>
      <c r="N377" s="124">
        <v>2021</v>
      </c>
      <c r="O377" s="123" t="s">
        <v>123</v>
      </c>
      <c r="P377" s="124">
        <v>63327</v>
      </c>
      <c r="Q377" s="123" t="s">
        <v>118</v>
      </c>
      <c r="R377" s="123" t="s">
        <v>119</v>
      </c>
      <c r="S377" s="2"/>
      <c r="T377" s="2"/>
    </row>
    <row x14ac:dyDescent="0.25" r="378" customHeight="1" ht="13.5">
      <c r="A378" s="2"/>
      <c r="B378" s="2"/>
      <c r="C378" s="2"/>
      <c r="D378" s="2"/>
      <c r="E378" s="123" t="s">
        <v>111</v>
      </c>
      <c r="F378" s="123" t="s">
        <v>112</v>
      </c>
      <c r="G378" s="124">
        <v>834</v>
      </c>
      <c r="H378" s="123" t="s">
        <v>113</v>
      </c>
      <c r="I378" s="124">
        <v>5312</v>
      </c>
      <c r="J378" s="123" t="s">
        <v>114</v>
      </c>
      <c r="K378" s="125" t="s">
        <v>200</v>
      </c>
      <c r="L378" s="123" t="s">
        <v>201</v>
      </c>
      <c r="M378" s="124">
        <v>2017</v>
      </c>
      <c r="N378" s="124">
        <v>2017</v>
      </c>
      <c r="O378" s="123" t="s">
        <v>117</v>
      </c>
      <c r="P378" s="124">
        <v>6190</v>
      </c>
      <c r="Q378" s="123" t="s">
        <v>120</v>
      </c>
      <c r="R378" s="123" t="s">
        <v>121</v>
      </c>
      <c r="S378" s="2"/>
      <c r="T378" s="2"/>
    </row>
    <row x14ac:dyDescent="0.25" r="379" customHeight="1" ht="13.5">
      <c r="A379" s="2"/>
      <c r="B379" s="2"/>
      <c r="C379" s="2"/>
      <c r="D379" s="2"/>
      <c r="E379" s="123" t="s">
        <v>111</v>
      </c>
      <c r="F379" s="123" t="s">
        <v>112</v>
      </c>
      <c r="G379" s="124">
        <v>834</v>
      </c>
      <c r="H379" s="123" t="s">
        <v>113</v>
      </c>
      <c r="I379" s="124">
        <v>5312</v>
      </c>
      <c r="J379" s="123" t="s">
        <v>114</v>
      </c>
      <c r="K379" s="125" t="s">
        <v>200</v>
      </c>
      <c r="L379" s="123" t="s">
        <v>201</v>
      </c>
      <c r="M379" s="124">
        <v>2018</v>
      </c>
      <c r="N379" s="124">
        <v>2018</v>
      </c>
      <c r="O379" s="123" t="s">
        <v>117</v>
      </c>
      <c r="P379" s="124">
        <v>5986</v>
      </c>
      <c r="Q379" s="123" t="s">
        <v>120</v>
      </c>
      <c r="R379" s="123" t="s">
        <v>121</v>
      </c>
      <c r="S379" s="2"/>
      <c r="T379" s="2"/>
    </row>
    <row x14ac:dyDescent="0.25" r="380" customHeight="1" ht="13.5">
      <c r="A380" s="2"/>
      <c r="B380" s="2"/>
      <c r="C380" s="2"/>
      <c r="D380" s="2"/>
      <c r="E380" s="123" t="s">
        <v>111</v>
      </c>
      <c r="F380" s="123" t="s">
        <v>112</v>
      </c>
      <c r="G380" s="124">
        <v>834</v>
      </c>
      <c r="H380" s="123" t="s">
        <v>113</v>
      </c>
      <c r="I380" s="124">
        <v>5312</v>
      </c>
      <c r="J380" s="123" t="s">
        <v>114</v>
      </c>
      <c r="K380" s="125" t="s">
        <v>200</v>
      </c>
      <c r="L380" s="123" t="s">
        <v>201</v>
      </c>
      <c r="M380" s="124">
        <v>2019</v>
      </c>
      <c r="N380" s="124">
        <v>2019</v>
      </c>
      <c r="O380" s="123" t="s">
        <v>117</v>
      </c>
      <c r="P380" s="124">
        <v>6021</v>
      </c>
      <c r="Q380" s="123" t="s">
        <v>120</v>
      </c>
      <c r="R380" s="123" t="s">
        <v>121</v>
      </c>
      <c r="S380" s="2"/>
      <c r="T380" s="2"/>
    </row>
    <row x14ac:dyDescent="0.25" r="381" customHeight="1" ht="13.5">
      <c r="A381" s="2"/>
      <c r="B381" s="2"/>
      <c r="C381" s="2"/>
      <c r="D381" s="2"/>
      <c r="E381" s="123" t="s">
        <v>111</v>
      </c>
      <c r="F381" s="123" t="s">
        <v>112</v>
      </c>
      <c r="G381" s="124">
        <v>834</v>
      </c>
      <c r="H381" s="123" t="s">
        <v>113</v>
      </c>
      <c r="I381" s="124">
        <v>5312</v>
      </c>
      <c r="J381" s="123" t="s">
        <v>114</v>
      </c>
      <c r="K381" s="125" t="s">
        <v>200</v>
      </c>
      <c r="L381" s="123" t="s">
        <v>201</v>
      </c>
      <c r="M381" s="124">
        <v>2020</v>
      </c>
      <c r="N381" s="124">
        <v>2020</v>
      </c>
      <c r="O381" s="123" t="s">
        <v>117</v>
      </c>
      <c r="P381" s="124">
        <v>6021</v>
      </c>
      <c r="Q381" s="123" t="s">
        <v>120</v>
      </c>
      <c r="R381" s="123" t="s">
        <v>121</v>
      </c>
      <c r="S381" s="2"/>
      <c r="T381" s="2"/>
    </row>
    <row x14ac:dyDescent="0.25" r="382" customHeight="1" ht="13.5">
      <c r="A382" s="2"/>
      <c r="B382" s="2"/>
      <c r="C382" s="2"/>
      <c r="D382" s="2"/>
      <c r="E382" s="123" t="s">
        <v>111</v>
      </c>
      <c r="F382" s="123" t="s">
        <v>112</v>
      </c>
      <c r="G382" s="124">
        <v>834</v>
      </c>
      <c r="H382" s="123" t="s">
        <v>113</v>
      </c>
      <c r="I382" s="124">
        <v>5312</v>
      </c>
      <c r="J382" s="123" t="s">
        <v>114</v>
      </c>
      <c r="K382" s="125" t="s">
        <v>200</v>
      </c>
      <c r="L382" s="123" t="s">
        <v>201</v>
      </c>
      <c r="M382" s="124">
        <v>2021</v>
      </c>
      <c r="N382" s="124">
        <v>2021</v>
      </c>
      <c r="O382" s="123" t="s">
        <v>117</v>
      </c>
      <c r="P382" s="124">
        <v>6020</v>
      </c>
      <c r="Q382" s="123" t="s">
        <v>120</v>
      </c>
      <c r="R382" s="123" t="s">
        <v>121</v>
      </c>
      <c r="S382" s="2"/>
      <c r="T382" s="2"/>
    </row>
    <row x14ac:dyDescent="0.25" r="383" customHeight="1" ht="13.5">
      <c r="A383" s="2"/>
      <c r="B383" s="2"/>
      <c r="C383" s="2"/>
      <c r="D383" s="2"/>
      <c r="E383" s="123" t="s">
        <v>111</v>
      </c>
      <c r="F383" s="123" t="s">
        <v>112</v>
      </c>
      <c r="G383" s="124">
        <v>834</v>
      </c>
      <c r="H383" s="123" t="s">
        <v>113</v>
      </c>
      <c r="I383" s="124">
        <v>5419</v>
      </c>
      <c r="J383" s="123" t="s">
        <v>122</v>
      </c>
      <c r="K383" s="125" t="s">
        <v>200</v>
      </c>
      <c r="L383" s="123" t="s">
        <v>201</v>
      </c>
      <c r="M383" s="124">
        <v>2017</v>
      </c>
      <c r="N383" s="124">
        <v>2017</v>
      </c>
      <c r="O383" s="123" t="s">
        <v>123</v>
      </c>
      <c r="P383" s="124">
        <v>47420</v>
      </c>
      <c r="Q383" s="123" t="s">
        <v>118</v>
      </c>
      <c r="R383" s="123" t="s">
        <v>119</v>
      </c>
      <c r="S383" s="2"/>
      <c r="T383" s="2"/>
    </row>
    <row x14ac:dyDescent="0.25" r="384" customHeight="1" ht="13.5">
      <c r="A384" s="2"/>
      <c r="B384" s="2"/>
      <c r="C384" s="2"/>
      <c r="D384" s="2"/>
      <c r="E384" s="123" t="s">
        <v>111</v>
      </c>
      <c r="F384" s="123" t="s">
        <v>112</v>
      </c>
      <c r="G384" s="124">
        <v>834</v>
      </c>
      <c r="H384" s="123" t="s">
        <v>113</v>
      </c>
      <c r="I384" s="124">
        <v>5419</v>
      </c>
      <c r="J384" s="123" t="s">
        <v>122</v>
      </c>
      <c r="K384" s="125" t="s">
        <v>200</v>
      </c>
      <c r="L384" s="123" t="s">
        <v>201</v>
      </c>
      <c r="M384" s="124">
        <v>2018</v>
      </c>
      <c r="N384" s="124">
        <v>2018</v>
      </c>
      <c r="O384" s="123" t="s">
        <v>123</v>
      </c>
      <c r="P384" s="124">
        <v>48781</v>
      </c>
      <c r="Q384" s="123" t="s">
        <v>118</v>
      </c>
      <c r="R384" s="123" t="s">
        <v>119</v>
      </c>
      <c r="S384" s="2"/>
      <c r="T384" s="2"/>
    </row>
    <row x14ac:dyDescent="0.25" r="385" customHeight="1" ht="13.5">
      <c r="A385" s="2"/>
      <c r="B385" s="2"/>
      <c r="C385" s="2"/>
      <c r="D385" s="2"/>
      <c r="E385" s="123" t="s">
        <v>111</v>
      </c>
      <c r="F385" s="123" t="s">
        <v>112</v>
      </c>
      <c r="G385" s="124">
        <v>834</v>
      </c>
      <c r="H385" s="123" t="s">
        <v>113</v>
      </c>
      <c r="I385" s="124">
        <v>5419</v>
      </c>
      <c r="J385" s="123" t="s">
        <v>122</v>
      </c>
      <c r="K385" s="125" t="s">
        <v>200</v>
      </c>
      <c r="L385" s="123" t="s">
        <v>201</v>
      </c>
      <c r="M385" s="124">
        <v>2019</v>
      </c>
      <c r="N385" s="124">
        <v>2019</v>
      </c>
      <c r="O385" s="123" t="s">
        <v>123</v>
      </c>
      <c r="P385" s="124">
        <v>48129</v>
      </c>
      <c r="Q385" s="123" t="s">
        <v>118</v>
      </c>
      <c r="R385" s="123" t="s">
        <v>119</v>
      </c>
      <c r="S385" s="2"/>
      <c r="T385" s="2"/>
    </row>
    <row x14ac:dyDescent="0.25" r="386" customHeight="1" ht="13.5">
      <c r="A386" s="2"/>
      <c r="B386" s="2"/>
      <c r="C386" s="2"/>
      <c r="D386" s="2"/>
      <c r="E386" s="123" t="s">
        <v>111</v>
      </c>
      <c r="F386" s="123" t="s">
        <v>112</v>
      </c>
      <c r="G386" s="124">
        <v>834</v>
      </c>
      <c r="H386" s="123" t="s">
        <v>113</v>
      </c>
      <c r="I386" s="124">
        <v>5419</v>
      </c>
      <c r="J386" s="123" t="s">
        <v>122</v>
      </c>
      <c r="K386" s="125" t="s">
        <v>200</v>
      </c>
      <c r="L386" s="123" t="s">
        <v>201</v>
      </c>
      <c r="M386" s="124">
        <v>2020</v>
      </c>
      <c r="N386" s="124">
        <v>2020</v>
      </c>
      <c r="O386" s="123" t="s">
        <v>123</v>
      </c>
      <c r="P386" s="124">
        <v>48463</v>
      </c>
      <c r="Q386" s="123" t="s">
        <v>118</v>
      </c>
      <c r="R386" s="123" t="s">
        <v>119</v>
      </c>
      <c r="S386" s="2"/>
      <c r="T386" s="2"/>
    </row>
    <row x14ac:dyDescent="0.25" r="387" customHeight="1" ht="13.5">
      <c r="A387" s="2"/>
      <c r="B387" s="2"/>
      <c r="C387" s="2"/>
      <c r="D387" s="2"/>
      <c r="E387" s="123" t="s">
        <v>111</v>
      </c>
      <c r="F387" s="123" t="s">
        <v>112</v>
      </c>
      <c r="G387" s="124">
        <v>834</v>
      </c>
      <c r="H387" s="123" t="s">
        <v>113</v>
      </c>
      <c r="I387" s="124">
        <v>5419</v>
      </c>
      <c r="J387" s="123" t="s">
        <v>122</v>
      </c>
      <c r="K387" s="125" t="s">
        <v>200</v>
      </c>
      <c r="L387" s="123" t="s">
        <v>201</v>
      </c>
      <c r="M387" s="124">
        <v>2021</v>
      </c>
      <c r="N387" s="124">
        <v>2021</v>
      </c>
      <c r="O387" s="123" t="s">
        <v>123</v>
      </c>
      <c r="P387" s="124">
        <v>48371</v>
      </c>
      <c r="Q387" s="123" t="s">
        <v>118</v>
      </c>
      <c r="R387" s="123" t="s">
        <v>119</v>
      </c>
      <c r="S387" s="2"/>
      <c r="T387" s="2"/>
    </row>
    <row x14ac:dyDescent="0.25" r="388" customHeight="1" ht="13.5">
      <c r="A388" s="2"/>
      <c r="B388" s="2"/>
      <c r="C388" s="2"/>
      <c r="D388" s="2"/>
      <c r="E388" s="123" t="s">
        <v>111</v>
      </c>
      <c r="F388" s="123" t="s">
        <v>112</v>
      </c>
      <c r="G388" s="124">
        <v>834</v>
      </c>
      <c r="H388" s="123" t="s">
        <v>113</v>
      </c>
      <c r="I388" s="124">
        <v>5312</v>
      </c>
      <c r="J388" s="123" t="s">
        <v>114</v>
      </c>
      <c r="K388" s="125" t="s">
        <v>202</v>
      </c>
      <c r="L388" s="123" t="s">
        <v>203</v>
      </c>
      <c r="M388" s="124">
        <v>2017</v>
      </c>
      <c r="N388" s="124">
        <v>2017</v>
      </c>
      <c r="O388" s="123" t="s">
        <v>117</v>
      </c>
      <c r="P388" s="124">
        <v>43059</v>
      </c>
      <c r="Q388" s="123" t="s">
        <v>120</v>
      </c>
      <c r="R388" s="123" t="s">
        <v>121</v>
      </c>
      <c r="S388" s="2"/>
      <c r="T388" s="2"/>
    </row>
    <row x14ac:dyDescent="0.25" r="389" customHeight="1" ht="13.5">
      <c r="A389" s="2"/>
      <c r="B389" s="2"/>
      <c r="C389" s="2"/>
      <c r="D389" s="2"/>
      <c r="E389" s="123" t="s">
        <v>111</v>
      </c>
      <c r="F389" s="123" t="s">
        <v>112</v>
      </c>
      <c r="G389" s="124">
        <v>834</v>
      </c>
      <c r="H389" s="123" t="s">
        <v>113</v>
      </c>
      <c r="I389" s="124">
        <v>5312</v>
      </c>
      <c r="J389" s="123" t="s">
        <v>114</v>
      </c>
      <c r="K389" s="125" t="s">
        <v>202</v>
      </c>
      <c r="L389" s="123" t="s">
        <v>203</v>
      </c>
      <c r="M389" s="124">
        <v>2018</v>
      </c>
      <c r="N389" s="124">
        <v>2018</v>
      </c>
      <c r="O389" s="123" t="s">
        <v>117</v>
      </c>
      <c r="P389" s="124">
        <v>44521</v>
      </c>
      <c r="Q389" s="123" t="s">
        <v>120</v>
      </c>
      <c r="R389" s="123" t="s">
        <v>121</v>
      </c>
      <c r="S389" s="2"/>
      <c r="T389" s="2"/>
    </row>
    <row x14ac:dyDescent="0.25" r="390" customHeight="1" ht="13.5">
      <c r="A390" s="2"/>
      <c r="B390" s="2"/>
      <c r="C390" s="2"/>
      <c r="D390" s="2"/>
      <c r="E390" s="123" t="s">
        <v>111</v>
      </c>
      <c r="F390" s="123" t="s">
        <v>112</v>
      </c>
      <c r="G390" s="124">
        <v>834</v>
      </c>
      <c r="H390" s="123" t="s">
        <v>113</v>
      </c>
      <c r="I390" s="124">
        <v>5312</v>
      </c>
      <c r="J390" s="123" t="s">
        <v>114</v>
      </c>
      <c r="K390" s="125" t="s">
        <v>202</v>
      </c>
      <c r="L390" s="123" t="s">
        <v>203</v>
      </c>
      <c r="M390" s="124">
        <v>2019</v>
      </c>
      <c r="N390" s="124">
        <v>2019</v>
      </c>
      <c r="O390" s="123" t="s">
        <v>117</v>
      </c>
      <c r="P390" s="124">
        <v>44638</v>
      </c>
      <c r="Q390" s="123" t="s">
        <v>120</v>
      </c>
      <c r="R390" s="123" t="s">
        <v>121</v>
      </c>
      <c r="S390" s="2"/>
      <c r="T390" s="2"/>
    </row>
    <row x14ac:dyDescent="0.25" r="391" customHeight="1" ht="13.5">
      <c r="A391" s="2"/>
      <c r="B391" s="2"/>
      <c r="C391" s="2"/>
      <c r="D391" s="2"/>
      <c r="E391" s="123" t="s">
        <v>111</v>
      </c>
      <c r="F391" s="123" t="s">
        <v>112</v>
      </c>
      <c r="G391" s="124">
        <v>834</v>
      </c>
      <c r="H391" s="123" t="s">
        <v>113</v>
      </c>
      <c r="I391" s="124">
        <v>5312</v>
      </c>
      <c r="J391" s="123" t="s">
        <v>114</v>
      </c>
      <c r="K391" s="125" t="s">
        <v>202</v>
      </c>
      <c r="L391" s="123" t="s">
        <v>203</v>
      </c>
      <c r="M391" s="124">
        <v>2020</v>
      </c>
      <c r="N391" s="124">
        <v>2020</v>
      </c>
      <c r="O391" s="123" t="s">
        <v>117</v>
      </c>
      <c r="P391" s="124">
        <v>44960</v>
      </c>
      <c r="Q391" s="123" t="s">
        <v>120</v>
      </c>
      <c r="R391" s="123" t="s">
        <v>121</v>
      </c>
      <c r="S391" s="2"/>
      <c r="T391" s="2"/>
    </row>
    <row x14ac:dyDescent="0.25" r="392" customHeight="1" ht="13.5">
      <c r="A392" s="2"/>
      <c r="B392" s="2"/>
      <c r="C392" s="2"/>
      <c r="D392" s="2"/>
      <c r="E392" s="123" t="s">
        <v>111</v>
      </c>
      <c r="F392" s="123" t="s">
        <v>112</v>
      </c>
      <c r="G392" s="124">
        <v>834</v>
      </c>
      <c r="H392" s="123" t="s">
        <v>113</v>
      </c>
      <c r="I392" s="124">
        <v>5312</v>
      </c>
      <c r="J392" s="123" t="s">
        <v>114</v>
      </c>
      <c r="K392" s="125" t="s">
        <v>202</v>
      </c>
      <c r="L392" s="123" t="s">
        <v>203</v>
      </c>
      <c r="M392" s="124">
        <v>2021</v>
      </c>
      <c r="N392" s="124">
        <v>2021</v>
      </c>
      <c r="O392" s="123" t="s">
        <v>117</v>
      </c>
      <c r="P392" s="124">
        <v>45271</v>
      </c>
      <c r="Q392" s="123" t="s">
        <v>120</v>
      </c>
      <c r="R392" s="123" t="s">
        <v>121</v>
      </c>
      <c r="S392" s="2"/>
      <c r="T392" s="2"/>
    </row>
    <row x14ac:dyDescent="0.25" r="393" customHeight="1" ht="13.5">
      <c r="A393" s="2"/>
      <c r="B393" s="2"/>
      <c r="C393" s="2"/>
      <c r="D393" s="2"/>
      <c r="E393" s="123" t="s">
        <v>111</v>
      </c>
      <c r="F393" s="123" t="s">
        <v>112</v>
      </c>
      <c r="G393" s="124">
        <v>834</v>
      </c>
      <c r="H393" s="123" t="s">
        <v>113</v>
      </c>
      <c r="I393" s="124">
        <v>5419</v>
      </c>
      <c r="J393" s="123" t="s">
        <v>122</v>
      </c>
      <c r="K393" s="125" t="s">
        <v>202</v>
      </c>
      <c r="L393" s="123" t="s">
        <v>203</v>
      </c>
      <c r="M393" s="124">
        <v>2017</v>
      </c>
      <c r="N393" s="124">
        <v>2017</v>
      </c>
      <c r="O393" s="123" t="s">
        <v>123</v>
      </c>
      <c r="P393" s="124">
        <v>11175</v>
      </c>
      <c r="Q393" s="123" t="s">
        <v>118</v>
      </c>
      <c r="R393" s="123" t="s">
        <v>119</v>
      </c>
      <c r="S393" s="2"/>
      <c r="T393" s="2"/>
    </row>
    <row x14ac:dyDescent="0.25" r="394" customHeight="1" ht="13.5">
      <c r="A394" s="2"/>
      <c r="B394" s="2"/>
      <c r="C394" s="2"/>
      <c r="D394" s="2"/>
      <c r="E394" s="123" t="s">
        <v>111</v>
      </c>
      <c r="F394" s="123" t="s">
        <v>112</v>
      </c>
      <c r="G394" s="124">
        <v>834</v>
      </c>
      <c r="H394" s="123" t="s">
        <v>113</v>
      </c>
      <c r="I394" s="124">
        <v>5419</v>
      </c>
      <c r="J394" s="123" t="s">
        <v>122</v>
      </c>
      <c r="K394" s="125" t="s">
        <v>202</v>
      </c>
      <c r="L394" s="123" t="s">
        <v>203</v>
      </c>
      <c r="M394" s="124">
        <v>2018</v>
      </c>
      <c r="N394" s="124">
        <v>2018</v>
      </c>
      <c r="O394" s="123" t="s">
        <v>123</v>
      </c>
      <c r="P394" s="124">
        <v>10801</v>
      </c>
      <c r="Q394" s="123" t="s">
        <v>118</v>
      </c>
      <c r="R394" s="123" t="s">
        <v>119</v>
      </c>
      <c r="S394" s="2"/>
      <c r="T394" s="2"/>
    </row>
    <row x14ac:dyDescent="0.25" r="395" customHeight="1" ht="13.5">
      <c r="A395" s="2"/>
      <c r="B395" s="2"/>
      <c r="C395" s="2"/>
      <c r="D395" s="2"/>
      <c r="E395" s="123" t="s">
        <v>111</v>
      </c>
      <c r="F395" s="123" t="s">
        <v>112</v>
      </c>
      <c r="G395" s="124">
        <v>834</v>
      </c>
      <c r="H395" s="123" t="s">
        <v>113</v>
      </c>
      <c r="I395" s="124">
        <v>5419</v>
      </c>
      <c r="J395" s="123" t="s">
        <v>122</v>
      </c>
      <c r="K395" s="125" t="s">
        <v>202</v>
      </c>
      <c r="L395" s="123" t="s">
        <v>203</v>
      </c>
      <c r="M395" s="124">
        <v>2019</v>
      </c>
      <c r="N395" s="124">
        <v>2019</v>
      </c>
      <c r="O395" s="123" t="s">
        <v>123</v>
      </c>
      <c r="P395" s="124">
        <v>10674</v>
      </c>
      <c r="Q395" s="123" t="s">
        <v>118</v>
      </c>
      <c r="R395" s="123" t="s">
        <v>119</v>
      </c>
      <c r="S395" s="2"/>
      <c r="T395" s="2"/>
    </row>
    <row x14ac:dyDescent="0.25" r="396" customHeight="1" ht="13.5">
      <c r="A396" s="2"/>
      <c r="B396" s="2"/>
      <c r="C396" s="2"/>
      <c r="D396" s="2"/>
      <c r="E396" s="123" t="s">
        <v>111</v>
      </c>
      <c r="F396" s="123" t="s">
        <v>112</v>
      </c>
      <c r="G396" s="124">
        <v>834</v>
      </c>
      <c r="H396" s="123" t="s">
        <v>113</v>
      </c>
      <c r="I396" s="124">
        <v>5419</v>
      </c>
      <c r="J396" s="123" t="s">
        <v>122</v>
      </c>
      <c r="K396" s="125" t="s">
        <v>202</v>
      </c>
      <c r="L396" s="123" t="s">
        <v>203</v>
      </c>
      <c r="M396" s="124">
        <v>2020</v>
      </c>
      <c r="N396" s="124">
        <v>2020</v>
      </c>
      <c r="O396" s="123" t="s">
        <v>123</v>
      </c>
      <c r="P396" s="124">
        <v>10665</v>
      </c>
      <c r="Q396" s="123" t="s">
        <v>118</v>
      </c>
      <c r="R396" s="123" t="s">
        <v>119</v>
      </c>
      <c r="S396" s="2"/>
      <c r="T396" s="2"/>
    </row>
    <row x14ac:dyDescent="0.25" r="397" customHeight="1" ht="13.5">
      <c r="A397" s="2"/>
      <c r="B397" s="2"/>
      <c r="C397" s="2"/>
      <c r="D397" s="2"/>
      <c r="E397" s="123" t="s">
        <v>111</v>
      </c>
      <c r="F397" s="123" t="s">
        <v>112</v>
      </c>
      <c r="G397" s="124">
        <v>834</v>
      </c>
      <c r="H397" s="123" t="s">
        <v>113</v>
      </c>
      <c r="I397" s="124">
        <v>5419</v>
      </c>
      <c r="J397" s="123" t="s">
        <v>122</v>
      </c>
      <c r="K397" s="125" t="s">
        <v>202</v>
      </c>
      <c r="L397" s="123" t="s">
        <v>203</v>
      </c>
      <c r="M397" s="124">
        <v>2021</v>
      </c>
      <c r="N397" s="124">
        <v>2021</v>
      </c>
      <c r="O397" s="123" t="s">
        <v>123</v>
      </c>
      <c r="P397" s="124">
        <v>10580</v>
      </c>
      <c r="Q397" s="123" t="s">
        <v>118</v>
      </c>
      <c r="R397" s="123" t="s">
        <v>119</v>
      </c>
      <c r="S397" s="2"/>
      <c r="T397" s="2"/>
    </row>
    <row x14ac:dyDescent="0.25" r="398" customHeight="1" ht="13.5">
      <c r="A398" s="2"/>
      <c r="B398" s="2"/>
      <c r="C398" s="2"/>
      <c r="D398" s="2"/>
      <c r="E398" s="123" t="s">
        <v>111</v>
      </c>
      <c r="F398" s="123" t="s">
        <v>112</v>
      </c>
      <c r="G398" s="124">
        <v>834</v>
      </c>
      <c r="H398" s="123" t="s">
        <v>113</v>
      </c>
      <c r="I398" s="124">
        <v>5312</v>
      </c>
      <c r="J398" s="123" t="s">
        <v>114</v>
      </c>
      <c r="K398" s="125" t="s">
        <v>204</v>
      </c>
      <c r="L398" s="123" t="s">
        <v>205</v>
      </c>
      <c r="M398" s="124">
        <v>2017</v>
      </c>
      <c r="N398" s="124">
        <v>2017</v>
      </c>
      <c r="O398" s="123" t="s">
        <v>117</v>
      </c>
      <c r="P398" s="124">
        <v>120000</v>
      </c>
      <c r="Q398" s="123" t="s">
        <v>118</v>
      </c>
      <c r="R398" s="123" t="s">
        <v>119</v>
      </c>
      <c r="S398" s="2"/>
      <c r="T398" s="2"/>
    </row>
    <row x14ac:dyDescent="0.25" r="399" customHeight="1" ht="13.5">
      <c r="A399" s="2"/>
      <c r="B399" s="2"/>
      <c r="C399" s="2"/>
      <c r="D399" s="2"/>
      <c r="E399" s="123" t="s">
        <v>111</v>
      </c>
      <c r="F399" s="123" t="s">
        <v>112</v>
      </c>
      <c r="G399" s="124">
        <v>834</v>
      </c>
      <c r="H399" s="123" t="s">
        <v>113</v>
      </c>
      <c r="I399" s="124">
        <v>5312</v>
      </c>
      <c r="J399" s="123" t="s">
        <v>114</v>
      </c>
      <c r="K399" s="125" t="s">
        <v>204</v>
      </c>
      <c r="L399" s="123" t="s">
        <v>205</v>
      </c>
      <c r="M399" s="124">
        <v>2018</v>
      </c>
      <c r="N399" s="124">
        <v>2018</v>
      </c>
      <c r="O399" s="123" t="s">
        <v>117</v>
      </c>
      <c r="P399" s="124">
        <v>106974</v>
      </c>
      <c r="Q399" s="123" t="s">
        <v>120</v>
      </c>
      <c r="R399" s="123" t="s">
        <v>121</v>
      </c>
      <c r="S399" s="2"/>
      <c r="T399" s="2"/>
    </row>
    <row x14ac:dyDescent="0.25" r="400" customHeight="1" ht="13.5">
      <c r="A400" s="2"/>
      <c r="B400" s="2"/>
      <c r="C400" s="2"/>
      <c r="D400" s="2"/>
      <c r="E400" s="123" t="s">
        <v>111</v>
      </c>
      <c r="F400" s="123" t="s">
        <v>112</v>
      </c>
      <c r="G400" s="124">
        <v>834</v>
      </c>
      <c r="H400" s="123" t="s">
        <v>113</v>
      </c>
      <c r="I400" s="124">
        <v>5312</v>
      </c>
      <c r="J400" s="123" t="s">
        <v>114</v>
      </c>
      <c r="K400" s="125" t="s">
        <v>204</v>
      </c>
      <c r="L400" s="123" t="s">
        <v>205</v>
      </c>
      <c r="M400" s="124">
        <v>2019</v>
      </c>
      <c r="N400" s="124">
        <v>2019</v>
      </c>
      <c r="O400" s="123" t="s">
        <v>117</v>
      </c>
      <c r="P400" s="124">
        <v>83173</v>
      </c>
      <c r="Q400" s="123" t="s">
        <v>120</v>
      </c>
      <c r="R400" s="123" t="s">
        <v>121</v>
      </c>
      <c r="S400" s="2"/>
      <c r="T400" s="2"/>
    </row>
    <row x14ac:dyDescent="0.25" r="401" customHeight="1" ht="13.5">
      <c r="A401" s="2"/>
      <c r="B401" s="2"/>
      <c r="C401" s="2"/>
      <c r="D401" s="2"/>
      <c r="E401" s="123" t="s">
        <v>111</v>
      </c>
      <c r="F401" s="123" t="s">
        <v>112</v>
      </c>
      <c r="G401" s="124">
        <v>834</v>
      </c>
      <c r="H401" s="123" t="s">
        <v>113</v>
      </c>
      <c r="I401" s="124">
        <v>5312</v>
      </c>
      <c r="J401" s="123" t="s">
        <v>114</v>
      </c>
      <c r="K401" s="125" t="s">
        <v>204</v>
      </c>
      <c r="L401" s="123" t="s">
        <v>205</v>
      </c>
      <c r="M401" s="124">
        <v>2020</v>
      </c>
      <c r="N401" s="124">
        <v>2020</v>
      </c>
      <c r="O401" s="123" t="s">
        <v>117</v>
      </c>
      <c r="P401" s="124">
        <v>58025</v>
      </c>
      <c r="Q401" s="123" t="s">
        <v>120</v>
      </c>
      <c r="R401" s="123" t="s">
        <v>121</v>
      </c>
      <c r="S401" s="2"/>
      <c r="T401" s="2"/>
    </row>
    <row x14ac:dyDescent="0.25" r="402" customHeight="1" ht="13.5">
      <c r="A402" s="2"/>
      <c r="B402" s="2"/>
      <c r="C402" s="2"/>
      <c r="D402" s="2"/>
      <c r="E402" s="123" t="s">
        <v>111</v>
      </c>
      <c r="F402" s="123" t="s">
        <v>112</v>
      </c>
      <c r="G402" s="124">
        <v>834</v>
      </c>
      <c r="H402" s="123" t="s">
        <v>113</v>
      </c>
      <c r="I402" s="124">
        <v>5312</v>
      </c>
      <c r="J402" s="123" t="s">
        <v>114</v>
      </c>
      <c r="K402" s="125" t="s">
        <v>204</v>
      </c>
      <c r="L402" s="123" t="s">
        <v>205</v>
      </c>
      <c r="M402" s="124">
        <v>2021</v>
      </c>
      <c r="N402" s="124">
        <v>2021</v>
      </c>
      <c r="O402" s="123" t="s">
        <v>117</v>
      </c>
      <c r="P402" s="124">
        <v>43955</v>
      </c>
      <c r="Q402" s="123" t="s">
        <v>120</v>
      </c>
      <c r="R402" s="123" t="s">
        <v>121</v>
      </c>
      <c r="S402" s="2"/>
      <c r="T402" s="2"/>
    </row>
    <row x14ac:dyDescent="0.25" r="403" customHeight="1" ht="13.5">
      <c r="A403" s="2"/>
      <c r="B403" s="2"/>
      <c r="C403" s="2"/>
      <c r="D403" s="2"/>
      <c r="E403" s="123" t="s">
        <v>111</v>
      </c>
      <c r="F403" s="123" t="s">
        <v>112</v>
      </c>
      <c r="G403" s="124">
        <v>834</v>
      </c>
      <c r="H403" s="123" t="s">
        <v>113</v>
      </c>
      <c r="I403" s="124">
        <v>5419</v>
      </c>
      <c r="J403" s="123" t="s">
        <v>122</v>
      </c>
      <c r="K403" s="125" t="s">
        <v>204</v>
      </c>
      <c r="L403" s="123" t="s">
        <v>205</v>
      </c>
      <c r="M403" s="124">
        <v>2017</v>
      </c>
      <c r="N403" s="124">
        <v>2017</v>
      </c>
      <c r="O403" s="123" t="s">
        <v>123</v>
      </c>
      <c r="P403" s="124">
        <v>9833</v>
      </c>
      <c r="Q403" s="123" t="s">
        <v>118</v>
      </c>
      <c r="R403" s="123" t="s">
        <v>119</v>
      </c>
      <c r="S403" s="2"/>
      <c r="T403" s="2"/>
    </row>
    <row x14ac:dyDescent="0.25" r="404" customHeight="1" ht="13.5">
      <c r="A404" s="2"/>
      <c r="B404" s="2"/>
      <c r="C404" s="2"/>
      <c r="D404" s="2"/>
      <c r="E404" s="123" t="s">
        <v>111</v>
      </c>
      <c r="F404" s="123" t="s">
        <v>112</v>
      </c>
      <c r="G404" s="124">
        <v>834</v>
      </c>
      <c r="H404" s="123" t="s">
        <v>113</v>
      </c>
      <c r="I404" s="124">
        <v>5419</v>
      </c>
      <c r="J404" s="123" t="s">
        <v>122</v>
      </c>
      <c r="K404" s="125" t="s">
        <v>204</v>
      </c>
      <c r="L404" s="123" t="s">
        <v>205</v>
      </c>
      <c r="M404" s="124">
        <v>2018</v>
      </c>
      <c r="N404" s="124">
        <v>2018</v>
      </c>
      <c r="O404" s="123" t="s">
        <v>123</v>
      </c>
      <c r="P404" s="124">
        <v>9798</v>
      </c>
      <c r="Q404" s="123" t="s">
        <v>118</v>
      </c>
      <c r="R404" s="123" t="s">
        <v>119</v>
      </c>
      <c r="S404" s="2"/>
      <c r="T404" s="2"/>
    </row>
    <row x14ac:dyDescent="0.25" r="405" customHeight="1" ht="13.5">
      <c r="A405" s="2"/>
      <c r="B405" s="2"/>
      <c r="C405" s="2"/>
      <c r="D405" s="2"/>
      <c r="E405" s="123" t="s">
        <v>111</v>
      </c>
      <c r="F405" s="123" t="s">
        <v>112</v>
      </c>
      <c r="G405" s="124">
        <v>834</v>
      </c>
      <c r="H405" s="123" t="s">
        <v>113</v>
      </c>
      <c r="I405" s="124">
        <v>5419</v>
      </c>
      <c r="J405" s="123" t="s">
        <v>122</v>
      </c>
      <c r="K405" s="125" t="s">
        <v>204</v>
      </c>
      <c r="L405" s="123" t="s">
        <v>205</v>
      </c>
      <c r="M405" s="124">
        <v>2019</v>
      </c>
      <c r="N405" s="124">
        <v>2019</v>
      </c>
      <c r="O405" s="123" t="s">
        <v>123</v>
      </c>
      <c r="P405" s="124">
        <v>10372</v>
      </c>
      <c r="Q405" s="123" t="s">
        <v>118</v>
      </c>
      <c r="R405" s="123" t="s">
        <v>119</v>
      </c>
      <c r="S405" s="2"/>
      <c r="T405" s="2"/>
    </row>
    <row x14ac:dyDescent="0.25" r="406" customHeight="1" ht="13.5">
      <c r="A406" s="2"/>
      <c r="B406" s="2"/>
      <c r="C406" s="2"/>
      <c r="D406" s="2"/>
      <c r="E406" s="123" t="s">
        <v>111</v>
      </c>
      <c r="F406" s="123" t="s">
        <v>112</v>
      </c>
      <c r="G406" s="124">
        <v>834</v>
      </c>
      <c r="H406" s="123" t="s">
        <v>113</v>
      </c>
      <c r="I406" s="124">
        <v>5419</v>
      </c>
      <c r="J406" s="123" t="s">
        <v>122</v>
      </c>
      <c r="K406" s="125" t="s">
        <v>204</v>
      </c>
      <c r="L406" s="123" t="s">
        <v>205</v>
      </c>
      <c r="M406" s="124">
        <v>2020</v>
      </c>
      <c r="N406" s="124">
        <v>2020</v>
      </c>
      <c r="O406" s="123" t="s">
        <v>123</v>
      </c>
      <c r="P406" s="124">
        <v>10340</v>
      </c>
      <c r="Q406" s="123" t="s">
        <v>118</v>
      </c>
      <c r="R406" s="123" t="s">
        <v>119</v>
      </c>
      <c r="S406" s="2"/>
      <c r="T406" s="2"/>
    </row>
    <row x14ac:dyDescent="0.25" r="407" customHeight="1" ht="13.5">
      <c r="A407" s="2"/>
      <c r="B407" s="2"/>
      <c r="C407" s="2"/>
      <c r="D407" s="2"/>
      <c r="E407" s="123" t="s">
        <v>111</v>
      </c>
      <c r="F407" s="123" t="s">
        <v>112</v>
      </c>
      <c r="G407" s="124">
        <v>834</v>
      </c>
      <c r="H407" s="123" t="s">
        <v>113</v>
      </c>
      <c r="I407" s="124">
        <v>5419</v>
      </c>
      <c r="J407" s="123" t="s">
        <v>122</v>
      </c>
      <c r="K407" s="125" t="s">
        <v>204</v>
      </c>
      <c r="L407" s="123" t="s">
        <v>205</v>
      </c>
      <c r="M407" s="124">
        <v>2021</v>
      </c>
      <c r="N407" s="124">
        <v>2021</v>
      </c>
      <c r="O407" s="123" t="s">
        <v>123</v>
      </c>
      <c r="P407" s="124">
        <v>10439</v>
      </c>
      <c r="Q407" s="123" t="s">
        <v>118</v>
      </c>
      <c r="R407" s="123" t="s">
        <v>119</v>
      </c>
      <c r="S407" s="2"/>
      <c r="T407" s="2"/>
    </row>
    <row x14ac:dyDescent="0.25" r="408" customHeight="1" ht="13.5">
      <c r="A408" s="2"/>
      <c r="B408" s="2"/>
      <c r="C408" s="2"/>
      <c r="D408" s="2"/>
      <c r="E408" s="123" t="s">
        <v>111</v>
      </c>
      <c r="F408" s="123" t="s">
        <v>112</v>
      </c>
      <c r="G408" s="124">
        <v>834</v>
      </c>
      <c r="H408" s="123" t="s">
        <v>113</v>
      </c>
      <c r="I408" s="124">
        <v>5312</v>
      </c>
      <c r="J408" s="123" t="s">
        <v>114</v>
      </c>
      <c r="K408" s="125" t="s">
        <v>206</v>
      </c>
      <c r="L408" s="123" t="s">
        <v>207</v>
      </c>
      <c r="M408" s="124">
        <v>2017</v>
      </c>
      <c r="N408" s="124">
        <v>2017</v>
      </c>
      <c r="O408" s="123" t="s">
        <v>117</v>
      </c>
      <c r="P408" s="124">
        <v>19595</v>
      </c>
      <c r="Q408" s="123" t="s">
        <v>120</v>
      </c>
      <c r="R408" s="123" t="s">
        <v>121</v>
      </c>
      <c r="S408" s="2"/>
      <c r="T408" s="2"/>
    </row>
    <row x14ac:dyDescent="0.25" r="409" customHeight="1" ht="13.5">
      <c r="A409" s="2"/>
      <c r="B409" s="2"/>
      <c r="C409" s="2"/>
      <c r="D409" s="2"/>
      <c r="E409" s="123" t="s">
        <v>111</v>
      </c>
      <c r="F409" s="123" t="s">
        <v>112</v>
      </c>
      <c r="G409" s="124">
        <v>834</v>
      </c>
      <c r="H409" s="123" t="s">
        <v>113</v>
      </c>
      <c r="I409" s="124">
        <v>5312</v>
      </c>
      <c r="J409" s="123" t="s">
        <v>114</v>
      </c>
      <c r="K409" s="125" t="s">
        <v>206</v>
      </c>
      <c r="L409" s="123" t="s">
        <v>207</v>
      </c>
      <c r="M409" s="124">
        <v>2018</v>
      </c>
      <c r="N409" s="124">
        <v>2018</v>
      </c>
      <c r="O409" s="123" t="s">
        <v>117</v>
      </c>
      <c r="P409" s="124">
        <v>19729</v>
      </c>
      <c r="Q409" s="123" t="s">
        <v>120</v>
      </c>
      <c r="R409" s="123" t="s">
        <v>121</v>
      </c>
      <c r="S409" s="2"/>
      <c r="T409" s="2"/>
    </row>
    <row x14ac:dyDescent="0.25" r="410" customHeight="1" ht="13.5">
      <c r="A410" s="2"/>
      <c r="B410" s="2"/>
      <c r="C410" s="2"/>
      <c r="D410" s="2"/>
      <c r="E410" s="123" t="s">
        <v>111</v>
      </c>
      <c r="F410" s="123" t="s">
        <v>112</v>
      </c>
      <c r="G410" s="124">
        <v>834</v>
      </c>
      <c r="H410" s="123" t="s">
        <v>113</v>
      </c>
      <c r="I410" s="124">
        <v>5312</v>
      </c>
      <c r="J410" s="123" t="s">
        <v>114</v>
      </c>
      <c r="K410" s="125" t="s">
        <v>206</v>
      </c>
      <c r="L410" s="123" t="s">
        <v>207</v>
      </c>
      <c r="M410" s="124">
        <v>2019</v>
      </c>
      <c r="N410" s="124">
        <v>2019</v>
      </c>
      <c r="O410" s="123" t="s">
        <v>117</v>
      </c>
      <c r="P410" s="124">
        <v>19782</v>
      </c>
      <c r="Q410" s="123" t="s">
        <v>120</v>
      </c>
      <c r="R410" s="123" t="s">
        <v>121</v>
      </c>
      <c r="S410" s="2"/>
      <c r="T410" s="2"/>
    </row>
    <row x14ac:dyDescent="0.25" r="411" customHeight="1" ht="13.5">
      <c r="A411" s="2"/>
      <c r="B411" s="2"/>
      <c r="C411" s="2"/>
      <c r="D411" s="2"/>
      <c r="E411" s="123" t="s">
        <v>111</v>
      </c>
      <c r="F411" s="123" t="s">
        <v>112</v>
      </c>
      <c r="G411" s="124">
        <v>834</v>
      </c>
      <c r="H411" s="123" t="s">
        <v>113</v>
      </c>
      <c r="I411" s="124">
        <v>5312</v>
      </c>
      <c r="J411" s="123" t="s">
        <v>114</v>
      </c>
      <c r="K411" s="125" t="s">
        <v>206</v>
      </c>
      <c r="L411" s="123" t="s">
        <v>207</v>
      </c>
      <c r="M411" s="124">
        <v>2020</v>
      </c>
      <c r="N411" s="124">
        <v>2020</v>
      </c>
      <c r="O411" s="123" t="s">
        <v>117</v>
      </c>
      <c r="P411" s="124">
        <v>19836</v>
      </c>
      <c r="Q411" s="123" t="s">
        <v>120</v>
      </c>
      <c r="R411" s="123" t="s">
        <v>121</v>
      </c>
      <c r="S411" s="2"/>
      <c r="T411" s="2"/>
    </row>
    <row x14ac:dyDescent="0.25" r="412" customHeight="1" ht="13.5">
      <c r="A412" s="2"/>
      <c r="B412" s="2"/>
      <c r="C412" s="2"/>
      <c r="D412" s="2"/>
      <c r="E412" s="123" t="s">
        <v>111</v>
      </c>
      <c r="F412" s="123" t="s">
        <v>112</v>
      </c>
      <c r="G412" s="124">
        <v>834</v>
      </c>
      <c r="H412" s="123" t="s">
        <v>113</v>
      </c>
      <c r="I412" s="124">
        <v>5312</v>
      </c>
      <c r="J412" s="123" t="s">
        <v>114</v>
      </c>
      <c r="K412" s="125" t="s">
        <v>206</v>
      </c>
      <c r="L412" s="123" t="s">
        <v>207</v>
      </c>
      <c r="M412" s="124">
        <v>2021</v>
      </c>
      <c r="N412" s="124">
        <v>2021</v>
      </c>
      <c r="O412" s="123" t="s">
        <v>117</v>
      </c>
      <c r="P412" s="124">
        <v>19891</v>
      </c>
      <c r="Q412" s="123" t="s">
        <v>120</v>
      </c>
      <c r="R412" s="123" t="s">
        <v>121</v>
      </c>
      <c r="S412" s="2"/>
      <c r="T412" s="2"/>
    </row>
    <row x14ac:dyDescent="0.25" r="413" customHeight="1" ht="13.5">
      <c r="A413" s="2"/>
      <c r="B413" s="2"/>
      <c r="C413" s="2"/>
      <c r="D413" s="2"/>
      <c r="E413" s="123" t="s">
        <v>111</v>
      </c>
      <c r="F413" s="123" t="s">
        <v>112</v>
      </c>
      <c r="G413" s="124">
        <v>834</v>
      </c>
      <c r="H413" s="123" t="s">
        <v>113</v>
      </c>
      <c r="I413" s="124">
        <v>5419</v>
      </c>
      <c r="J413" s="123" t="s">
        <v>122</v>
      </c>
      <c r="K413" s="125" t="s">
        <v>206</v>
      </c>
      <c r="L413" s="123" t="s">
        <v>207</v>
      </c>
      <c r="M413" s="124">
        <v>2017</v>
      </c>
      <c r="N413" s="124">
        <v>2017</v>
      </c>
      <c r="O413" s="123" t="s">
        <v>123</v>
      </c>
      <c r="P413" s="124">
        <v>25820</v>
      </c>
      <c r="Q413" s="123" t="s">
        <v>118</v>
      </c>
      <c r="R413" s="123" t="s">
        <v>119</v>
      </c>
      <c r="S413" s="2"/>
      <c r="T413" s="2"/>
    </row>
    <row x14ac:dyDescent="0.25" r="414" customHeight="1" ht="13.5">
      <c r="A414" s="2"/>
      <c r="B414" s="2"/>
      <c r="C414" s="2"/>
      <c r="D414" s="2"/>
      <c r="E414" s="123" t="s">
        <v>111</v>
      </c>
      <c r="F414" s="123" t="s">
        <v>112</v>
      </c>
      <c r="G414" s="124">
        <v>834</v>
      </c>
      <c r="H414" s="123" t="s">
        <v>113</v>
      </c>
      <c r="I414" s="124">
        <v>5419</v>
      </c>
      <c r="J414" s="123" t="s">
        <v>122</v>
      </c>
      <c r="K414" s="125" t="s">
        <v>206</v>
      </c>
      <c r="L414" s="123" t="s">
        <v>207</v>
      </c>
      <c r="M414" s="124">
        <v>2018</v>
      </c>
      <c r="N414" s="124">
        <v>2018</v>
      </c>
      <c r="O414" s="123" t="s">
        <v>123</v>
      </c>
      <c r="P414" s="124">
        <v>25740</v>
      </c>
      <c r="Q414" s="123" t="s">
        <v>118</v>
      </c>
      <c r="R414" s="123" t="s">
        <v>119</v>
      </c>
      <c r="S414" s="2"/>
      <c r="T414" s="2"/>
    </row>
    <row x14ac:dyDescent="0.25" r="415" customHeight="1" ht="13.5">
      <c r="A415" s="2"/>
      <c r="B415" s="2"/>
      <c r="C415" s="2"/>
      <c r="D415" s="2"/>
      <c r="E415" s="123" t="s">
        <v>111</v>
      </c>
      <c r="F415" s="123" t="s">
        <v>112</v>
      </c>
      <c r="G415" s="124">
        <v>834</v>
      </c>
      <c r="H415" s="123" t="s">
        <v>113</v>
      </c>
      <c r="I415" s="124">
        <v>5419</v>
      </c>
      <c r="J415" s="123" t="s">
        <v>122</v>
      </c>
      <c r="K415" s="125" t="s">
        <v>206</v>
      </c>
      <c r="L415" s="123" t="s">
        <v>207</v>
      </c>
      <c r="M415" s="124">
        <v>2019</v>
      </c>
      <c r="N415" s="124">
        <v>2019</v>
      </c>
      <c r="O415" s="123" t="s">
        <v>123</v>
      </c>
      <c r="P415" s="124">
        <v>25641</v>
      </c>
      <c r="Q415" s="123" t="s">
        <v>118</v>
      </c>
      <c r="R415" s="123" t="s">
        <v>119</v>
      </c>
      <c r="S415" s="2"/>
      <c r="T415" s="2"/>
    </row>
    <row x14ac:dyDescent="0.25" r="416" customHeight="1" ht="13.5">
      <c r="A416" s="2"/>
      <c r="B416" s="2"/>
      <c r="C416" s="2"/>
      <c r="D416" s="2"/>
      <c r="E416" s="123" t="s">
        <v>111</v>
      </c>
      <c r="F416" s="123" t="s">
        <v>112</v>
      </c>
      <c r="G416" s="124">
        <v>834</v>
      </c>
      <c r="H416" s="123" t="s">
        <v>113</v>
      </c>
      <c r="I416" s="124">
        <v>5419</v>
      </c>
      <c r="J416" s="123" t="s">
        <v>122</v>
      </c>
      <c r="K416" s="125" t="s">
        <v>206</v>
      </c>
      <c r="L416" s="123" t="s">
        <v>207</v>
      </c>
      <c r="M416" s="124">
        <v>2020</v>
      </c>
      <c r="N416" s="124">
        <v>2020</v>
      </c>
      <c r="O416" s="123" t="s">
        <v>123</v>
      </c>
      <c r="P416" s="124">
        <v>25583</v>
      </c>
      <c r="Q416" s="123" t="s">
        <v>118</v>
      </c>
      <c r="R416" s="123" t="s">
        <v>119</v>
      </c>
      <c r="S416" s="2"/>
      <c r="T416" s="2"/>
    </row>
    <row x14ac:dyDescent="0.25" r="417" customHeight="1" ht="13.5">
      <c r="A417" s="2"/>
      <c r="B417" s="2"/>
      <c r="C417" s="2"/>
      <c r="D417" s="2"/>
      <c r="E417" s="123" t="s">
        <v>111</v>
      </c>
      <c r="F417" s="123" t="s">
        <v>112</v>
      </c>
      <c r="G417" s="124">
        <v>834</v>
      </c>
      <c r="H417" s="123" t="s">
        <v>113</v>
      </c>
      <c r="I417" s="124">
        <v>5419</v>
      </c>
      <c r="J417" s="123" t="s">
        <v>122</v>
      </c>
      <c r="K417" s="125" t="s">
        <v>206</v>
      </c>
      <c r="L417" s="123" t="s">
        <v>207</v>
      </c>
      <c r="M417" s="124">
        <v>2021</v>
      </c>
      <c r="N417" s="124">
        <v>2021</v>
      </c>
      <c r="O417" s="123" t="s">
        <v>123</v>
      </c>
      <c r="P417" s="124">
        <v>25526</v>
      </c>
      <c r="Q417" s="123" t="s">
        <v>118</v>
      </c>
      <c r="R417" s="123" t="s">
        <v>119</v>
      </c>
      <c r="S417" s="2"/>
      <c r="T417" s="2"/>
    </row>
    <row x14ac:dyDescent="0.25" r="418" customHeight="1" ht="13.5">
      <c r="A418" s="2"/>
      <c r="B418" s="2"/>
      <c r="C418" s="2"/>
      <c r="D418" s="2"/>
      <c r="E418" s="123" t="s">
        <v>111</v>
      </c>
      <c r="F418" s="123" t="s">
        <v>112</v>
      </c>
      <c r="G418" s="124">
        <v>834</v>
      </c>
      <c r="H418" s="123" t="s">
        <v>113</v>
      </c>
      <c r="I418" s="124">
        <v>5312</v>
      </c>
      <c r="J418" s="123" t="s">
        <v>114</v>
      </c>
      <c r="K418" s="125" t="s">
        <v>208</v>
      </c>
      <c r="L418" s="123" t="s">
        <v>209</v>
      </c>
      <c r="M418" s="124">
        <v>2017</v>
      </c>
      <c r="N418" s="124">
        <v>2017</v>
      </c>
      <c r="O418" s="123" t="s">
        <v>117</v>
      </c>
      <c r="P418" s="124">
        <v>328934</v>
      </c>
      <c r="Q418" s="123" t="s">
        <v>120</v>
      </c>
      <c r="R418" s="123" t="s">
        <v>121</v>
      </c>
      <c r="S418" s="2"/>
      <c r="T418" s="2"/>
    </row>
    <row x14ac:dyDescent="0.25" r="419" customHeight="1" ht="13.5">
      <c r="A419" s="2"/>
      <c r="B419" s="2"/>
      <c r="C419" s="2"/>
      <c r="D419" s="2"/>
      <c r="E419" s="123" t="s">
        <v>111</v>
      </c>
      <c r="F419" s="123" t="s">
        <v>112</v>
      </c>
      <c r="G419" s="124">
        <v>834</v>
      </c>
      <c r="H419" s="123" t="s">
        <v>113</v>
      </c>
      <c r="I419" s="124">
        <v>5312</v>
      </c>
      <c r="J419" s="123" t="s">
        <v>114</v>
      </c>
      <c r="K419" s="125" t="s">
        <v>208</v>
      </c>
      <c r="L419" s="123" t="s">
        <v>209</v>
      </c>
      <c r="M419" s="124">
        <v>2018</v>
      </c>
      <c r="N419" s="124">
        <v>2018</v>
      </c>
      <c r="O419" s="123" t="s">
        <v>117</v>
      </c>
      <c r="P419" s="124">
        <v>333032</v>
      </c>
      <c r="Q419" s="123" t="s">
        <v>118</v>
      </c>
      <c r="R419" s="123" t="s">
        <v>119</v>
      </c>
      <c r="S419" s="2"/>
      <c r="T419" s="2"/>
    </row>
    <row x14ac:dyDescent="0.25" r="420" customHeight="1" ht="13.5">
      <c r="A420" s="2"/>
      <c r="B420" s="2"/>
      <c r="C420" s="2"/>
      <c r="D420" s="2"/>
      <c r="E420" s="123" t="s">
        <v>111</v>
      </c>
      <c r="F420" s="123" t="s">
        <v>112</v>
      </c>
      <c r="G420" s="124">
        <v>834</v>
      </c>
      <c r="H420" s="123" t="s">
        <v>113</v>
      </c>
      <c r="I420" s="124">
        <v>5312</v>
      </c>
      <c r="J420" s="123" t="s">
        <v>114</v>
      </c>
      <c r="K420" s="125" t="s">
        <v>208</v>
      </c>
      <c r="L420" s="123" t="s">
        <v>209</v>
      </c>
      <c r="M420" s="124">
        <v>2019</v>
      </c>
      <c r="N420" s="124">
        <v>2019</v>
      </c>
      <c r="O420" s="123" t="s">
        <v>117</v>
      </c>
      <c r="P420" s="124">
        <v>327390</v>
      </c>
      <c r="Q420" s="123" t="s">
        <v>118</v>
      </c>
      <c r="R420" s="123" t="s">
        <v>119</v>
      </c>
      <c r="S420" s="2"/>
      <c r="T420" s="2"/>
    </row>
    <row x14ac:dyDescent="0.25" r="421" customHeight="1" ht="13.5">
      <c r="A421" s="2"/>
      <c r="B421" s="2"/>
      <c r="C421" s="2"/>
      <c r="D421" s="2"/>
      <c r="E421" s="123" t="s">
        <v>111</v>
      </c>
      <c r="F421" s="123" t="s">
        <v>112</v>
      </c>
      <c r="G421" s="124">
        <v>834</v>
      </c>
      <c r="H421" s="123" t="s">
        <v>113</v>
      </c>
      <c r="I421" s="124">
        <v>5312</v>
      </c>
      <c r="J421" s="123" t="s">
        <v>114</v>
      </c>
      <c r="K421" s="125" t="s">
        <v>208</v>
      </c>
      <c r="L421" s="123" t="s">
        <v>209</v>
      </c>
      <c r="M421" s="124">
        <v>2020</v>
      </c>
      <c r="N421" s="124">
        <v>2020</v>
      </c>
      <c r="O421" s="123" t="s">
        <v>117</v>
      </c>
      <c r="P421" s="124">
        <v>329786</v>
      </c>
      <c r="Q421" s="123" t="s">
        <v>118</v>
      </c>
      <c r="R421" s="123" t="s">
        <v>119</v>
      </c>
      <c r="S421" s="2"/>
      <c r="T421" s="2"/>
    </row>
    <row x14ac:dyDescent="0.25" r="422" customHeight="1" ht="13.5">
      <c r="A422" s="2"/>
      <c r="B422" s="2"/>
      <c r="C422" s="2"/>
      <c r="D422" s="2"/>
      <c r="E422" s="123" t="s">
        <v>111</v>
      </c>
      <c r="F422" s="123" t="s">
        <v>112</v>
      </c>
      <c r="G422" s="124">
        <v>834</v>
      </c>
      <c r="H422" s="123" t="s">
        <v>113</v>
      </c>
      <c r="I422" s="124">
        <v>5312</v>
      </c>
      <c r="J422" s="123" t="s">
        <v>114</v>
      </c>
      <c r="K422" s="125" t="s">
        <v>208</v>
      </c>
      <c r="L422" s="123" t="s">
        <v>209</v>
      </c>
      <c r="M422" s="124">
        <v>2021</v>
      </c>
      <c r="N422" s="124">
        <v>2021</v>
      </c>
      <c r="O422" s="123" t="s">
        <v>117</v>
      </c>
      <c r="P422" s="124">
        <v>330069</v>
      </c>
      <c r="Q422" s="123" t="s">
        <v>118</v>
      </c>
      <c r="R422" s="123" t="s">
        <v>119</v>
      </c>
      <c r="S422" s="2"/>
      <c r="T422" s="2"/>
    </row>
    <row x14ac:dyDescent="0.25" r="423" customHeight="1" ht="13.5">
      <c r="A423" s="2"/>
      <c r="B423" s="2"/>
      <c r="C423" s="2"/>
      <c r="D423" s="2"/>
      <c r="E423" s="123" t="s">
        <v>111</v>
      </c>
      <c r="F423" s="123" t="s">
        <v>112</v>
      </c>
      <c r="G423" s="124">
        <v>834</v>
      </c>
      <c r="H423" s="123" t="s">
        <v>113</v>
      </c>
      <c r="I423" s="124">
        <v>5419</v>
      </c>
      <c r="J423" s="123" t="s">
        <v>122</v>
      </c>
      <c r="K423" s="125" t="s">
        <v>208</v>
      </c>
      <c r="L423" s="123" t="s">
        <v>209</v>
      </c>
      <c r="M423" s="124">
        <v>2017</v>
      </c>
      <c r="N423" s="124">
        <v>2017</v>
      </c>
      <c r="O423" s="123" t="s">
        <v>123</v>
      </c>
      <c r="P423" s="124">
        <v>58618</v>
      </c>
      <c r="Q423" s="123" t="s">
        <v>118</v>
      </c>
      <c r="R423" s="123" t="s">
        <v>119</v>
      </c>
      <c r="S423" s="2"/>
      <c r="T423" s="2"/>
    </row>
    <row x14ac:dyDescent="0.25" r="424" customHeight="1" ht="13.5">
      <c r="A424" s="2"/>
      <c r="B424" s="2"/>
      <c r="C424" s="2"/>
      <c r="D424" s="2"/>
      <c r="E424" s="123" t="s">
        <v>111</v>
      </c>
      <c r="F424" s="123" t="s">
        <v>112</v>
      </c>
      <c r="G424" s="124">
        <v>834</v>
      </c>
      <c r="H424" s="123" t="s">
        <v>113</v>
      </c>
      <c r="I424" s="124">
        <v>5419</v>
      </c>
      <c r="J424" s="123" t="s">
        <v>122</v>
      </c>
      <c r="K424" s="125" t="s">
        <v>208</v>
      </c>
      <c r="L424" s="123" t="s">
        <v>209</v>
      </c>
      <c r="M424" s="124">
        <v>2018</v>
      </c>
      <c r="N424" s="124">
        <v>2018</v>
      </c>
      <c r="O424" s="123" t="s">
        <v>123</v>
      </c>
      <c r="P424" s="124">
        <v>58403</v>
      </c>
      <c r="Q424" s="123" t="s">
        <v>118</v>
      </c>
      <c r="R424" s="123" t="s">
        <v>119</v>
      </c>
      <c r="S424" s="2"/>
      <c r="T424" s="2"/>
    </row>
    <row x14ac:dyDescent="0.25" r="425" customHeight="1" ht="13.5">
      <c r="A425" s="2"/>
      <c r="B425" s="2"/>
      <c r="C425" s="2"/>
      <c r="D425" s="2"/>
      <c r="E425" s="123" t="s">
        <v>111</v>
      </c>
      <c r="F425" s="123" t="s">
        <v>112</v>
      </c>
      <c r="G425" s="124">
        <v>834</v>
      </c>
      <c r="H425" s="123" t="s">
        <v>113</v>
      </c>
      <c r="I425" s="124">
        <v>5419</v>
      </c>
      <c r="J425" s="123" t="s">
        <v>122</v>
      </c>
      <c r="K425" s="125" t="s">
        <v>208</v>
      </c>
      <c r="L425" s="123" t="s">
        <v>209</v>
      </c>
      <c r="M425" s="124">
        <v>2019</v>
      </c>
      <c r="N425" s="124">
        <v>2019</v>
      </c>
      <c r="O425" s="123" t="s">
        <v>123</v>
      </c>
      <c r="P425" s="124">
        <v>58714</v>
      </c>
      <c r="Q425" s="123" t="s">
        <v>118</v>
      </c>
      <c r="R425" s="123" t="s">
        <v>119</v>
      </c>
      <c r="S425" s="2"/>
      <c r="T425" s="2"/>
    </row>
    <row x14ac:dyDescent="0.25" r="426" customHeight="1" ht="13.5">
      <c r="A426" s="2"/>
      <c r="B426" s="2"/>
      <c r="C426" s="2"/>
      <c r="D426" s="2"/>
      <c r="E426" s="123" t="s">
        <v>111</v>
      </c>
      <c r="F426" s="123" t="s">
        <v>112</v>
      </c>
      <c r="G426" s="124">
        <v>834</v>
      </c>
      <c r="H426" s="123" t="s">
        <v>113</v>
      </c>
      <c r="I426" s="124">
        <v>5419</v>
      </c>
      <c r="J426" s="123" t="s">
        <v>122</v>
      </c>
      <c r="K426" s="125" t="s">
        <v>208</v>
      </c>
      <c r="L426" s="123" t="s">
        <v>209</v>
      </c>
      <c r="M426" s="124">
        <v>2020</v>
      </c>
      <c r="N426" s="124">
        <v>2020</v>
      </c>
      <c r="O426" s="123" t="s">
        <v>123</v>
      </c>
      <c r="P426" s="124">
        <v>58577</v>
      </c>
      <c r="Q426" s="123" t="s">
        <v>118</v>
      </c>
      <c r="R426" s="123" t="s">
        <v>119</v>
      </c>
      <c r="S426" s="2"/>
      <c r="T426" s="2"/>
    </row>
    <row x14ac:dyDescent="0.25" r="427" customHeight="1" ht="13.5">
      <c r="A427" s="2"/>
      <c r="B427" s="2"/>
      <c r="C427" s="2"/>
      <c r="D427" s="2"/>
      <c r="E427" s="123" t="s">
        <v>111</v>
      </c>
      <c r="F427" s="123" t="s">
        <v>112</v>
      </c>
      <c r="G427" s="124">
        <v>834</v>
      </c>
      <c r="H427" s="123" t="s">
        <v>113</v>
      </c>
      <c r="I427" s="124">
        <v>5419</v>
      </c>
      <c r="J427" s="123" t="s">
        <v>122</v>
      </c>
      <c r="K427" s="125" t="s">
        <v>208</v>
      </c>
      <c r="L427" s="123" t="s">
        <v>209</v>
      </c>
      <c r="M427" s="124">
        <v>2021</v>
      </c>
      <c r="N427" s="124">
        <v>2021</v>
      </c>
      <c r="O427" s="123" t="s">
        <v>123</v>
      </c>
      <c r="P427" s="124">
        <v>58564</v>
      </c>
      <c r="Q427" s="123" t="s">
        <v>118</v>
      </c>
      <c r="R427" s="123" t="s">
        <v>119</v>
      </c>
      <c r="S427" s="2"/>
      <c r="T427" s="2"/>
    </row>
    <row x14ac:dyDescent="0.25" r="428" customHeight="1" ht="13.5">
      <c r="A428" s="2"/>
      <c r="B428" s="2"/>
      <c r="C428" s="2"/>
      <c r="D428" s="2"/>
      <c r="E428" s="123" t="s">
        <v>111</v>
      </c>
      <c r="F428" s="123" t="s">
        <v>112</v>
      </c>
      <c r="G428" s="124">
        <v>834</v>
      </c>
      <c r="H428" s="123" t="s">
        <v>113</v>
      </c>
      <c r="I428" s="124">
        <v>5312</v>
      </c>
      <c r="J428" s="123" t="s">
        <v>114</v>
      </c>
      <c r="K428" s="125" t="s">
        <v>210</v>
      </c>
      <c r="L428" s="123" t="s">
        <v>211</v>
      </c>
      <c r="M428" s="124">
        <v>2017</v>
      </c>
      <c r="N428" s="124">
        <v>2017</v>
      </c>
      <c r="O428" s="123" t="s">
        <v>117</v>
      </c>
      <c r="P428" s="124">
        <v>676</v>
      </c>
      <c r="Q428" s="123" t="s">
        <v>120</v>
      </c>
      <c r="R428" s="123" t="s">
        <v>121</v>
      </c>
      <c r="S428" s="2"/>
      <c r="T428" s="2"/>
    </row>
    <row x14ac:dyDescent="0.25" r="429" customHeight="1" ht="13.5">
      <c r="A429" s="2"/>
      <c r="B429" s="2"/>
      <c r="C429" s="2"/>
      <c r="D429" s="2"/>
      <c r="E429" s="123" t="s">
        <v>111</v>
      </c>
      <c r="F429" s="123" t="s">
        <v>112</v>
      </c>
      <c r="G429" s="124">
        <v>834</v>
      </c>
      <c r="H429" s="123" t="s">
        <v>113</v>
      </c>
      <c r="I429" s="124">
        <v>5312</v>
      </c>
      <c r="J429" s="123" t="s">
        <v>114</v>
      </c>
      <c r="K429" s="125" t="s">
        <v>210</v>
      </c>
      <c r="L429" s="123" t="s">
        <v>211</v>
      </c>
      <c r="M429" s="124">
        <v>2018</v>
      </c>
      <c r="N429" s="124">
        <v>2018</v>
      </c>
      <c r="O429" s="123" t="s">
        <v>117</v>
      </c>
      <c r="P429" s="124">
        <v>674</v>
      </c>
      <c r="Q429" s="123" t="s">
        <v>118</v>
      </c>
      <c r="R429" s="123" t="s">
        <v>119</v>
      </c>
      <c r="S429" s="2"/>
      <c r="T429" s="2"/>
    </row>
    <row x14ac:dyDescent="0.25" r="430" customHeight="1" ht="13.5">
      <c r="A430" s="2"/>
      <c r="B430" s="2"/>
      <c r="C430" s="2"/>
      <c r="D430" s="2"/>
      <c r="E430" s="123" t="s">
        <v>111</v>
      </c>
      <c r="F430" s="123" t="s">
        <v>112</v>
      </c>
      <c r="G430" s="124">
        <v>834</v>
      </c>
      <c r="H430" s="123" t="s">
        <v>113</v>
      </c>
      <c r="I430" s="124">
        <v>5312</v>
      </c>
      <c r="J430" s="123" t="s">
        <v>114</v>
      </c>
      <c r="K430" s="125" t="s">
        <v>210</v>
      </c>
      <c r="L430" s="123" t="s">
        <v>211</v>
      </c>
      <c r="M430" s="124">
        <v>2019</v>
      </c>
      <c r="N430" s="124">
        <v>2019</v>
      </c>
      <c r="O430" s="123" t="s">
        <v>117</v>
      </c>
      <c r="P430" s="124">
        <v>667</v>
      </c>
      <c r="Q430" s="123" t="s">
        <v>118</v>
      </c>
      <c r="R430" s="123" t="s">
        <v>119</v>
      </c>
      <c r="S430" s="2"/>
      <c r="T430" s="2"/>
    </row>
    <row x14ac:dyDescent="0.25" r="431" customHeight="1" ht="13.5">
      <c r="A431" s="2"/>
      <c r="B431" s="2"/>
      <c r="C431" s="2"/>
      <c r="D431" s="2"/>
      <c r="E431" s="123" t="s">
        <v>111</v>
      </c>
      <c r="F431" s="123" t="s">
        <v>112</v>
      </c>
      <c r="G431" s="124">
        <v>834</v>
      </c>
      <c r="H431" s="123" t="s">
        <v>113</v>
      </c>
      <c r="I431" s="124">
        <v>5312</v>
      </c>
      <c r="J431" s="123" t="s">
        <v>114</v>
      </c>
      <c r="K431" s="125" t="s">
        <v>210</v>
      </c>
      <c r="L431" s="123" t="s">
        <v>211</v>
      </c>
      <c r="M431" s="124">
        <v>2020</v>
      </c>
      <c r="N431" s="124">
        <v>2020</v>
      </c>
      <c r="O431" s="123" t="s">
        <v>117</v>
      </c>
      <c r="P431" s="124">
        <v>673</v>
      </c>
      <c r="Q431" s="123" t="s">
        <v>118</v>
      </c>
      <c r="R431" s="123" t="s">
        <v>119</v>
      </c>
      <c r="S431" s="2"/>
      <c r="T431" s="2"/>
    </row>
    <row x14ac:dyDescent="0.25" r="432" customHeight="1" ht="13.5">
      <c r="A432" s="2"/>
      <c r="B432" s="2"/>
      <c r="C432" s="2"/>
      <c r="D432" s="2"/>
      <c r="E432" s="123" t="s">
        <v>111</v>
      </c>
      <c r="F432" s="123" t="s">
        <v>112</v>
      </c>
      <c r="G432" s="124">
        <v>834</v>
      </c>
      <c r="H432" s="123" t="s">
        <v>113</v>
      </c>
      <c r="I432" s="124">
        <v>5312</v>
      </c>
      <c r="J432" s="123" t="s">
        <v>114</v>
      </c>
      <c r="K432" s="125" t="s">
        <v>210</v>
      </c>
      <c r="L432" s="123" t="s">
        <v>211</v>
      </c>
      <c r="M432" s="124">
        <v>2021</v>
      </c>
      <c r="N432" s="124">
        <v>2021</v>
      </c>
      <c r="O432" s="123" t="s">
        <v>117</v>
      </c>
      <c r="P432" s="124">
        <v>671</v>
      </c>
      <c r="Q432" s="123" t="s">
        <v>118</v>
      </c>
      <c r="R432" s="123" t="s">
        <v>119</v>
      </c>
      <c r="S432" s="2"/>
      <c r="T432" s="2"/>
    </row>
    <row x14ac:dyDescent="0.25" r="433" customHeight="1" ht="13.5">
      <c r="A433" s="2"/>
      <c r="B433" s="2"/>
      <c r="C433" s="2"/>
      <c r="D433" s="2"/>
      <c r="E433" s="123" t="s">
        <v>111</v>
      </c>
      <c r="F433" s="123" t="s">
        <v>112</v>
      </c>
      <c r="G433" s="124">
        <v>834</v>
      </c>
      <c r="H433" s="123" t="s">
        <v>113</v>
      </c>
      <c r="I433" s="124">
        <v>5419</v>
      </c>
      <c r="J433" s="123" t="s">
        <v>122</v>
      </c>
      <c r="K433" s="125" t="s">
        <v>210</v>
      </c>
      <c r="L433" s="123" t="s">
        <v>211</v>
      </c>
      <c r="M433" s="124">
        <v>2017</v>
      </c>
      <c r="N433" s="124">
        <v>2017</v>
      </c>
      <c r="O433" s="123" t="s">
        <v>123</v>
      </c>
      <c r="P433" s="124">
        <v>76606</v>
      </c>
      <c r="Q433" s="123" t="s">
        <v>118</v>
      </c>
      <c r="R433" s="123" t="s">
        <v>119</v>
      </c>
      <c r="S433" s="2"/>
      <c r="T433" s="2"/>
    </row>
    <row x14ac:dyDescent="0.25" r="434" customHeight="1" ht="13.5">
      <c r="A434" s="2"/>
      <c r="B434" s="2"/>
      <c r="C434" s="2"/>
      <c r="D434" s="2"/>
      <c r="E434" s="123" t="s">
        <v>111</v>
      </c>
      <c r="F434" s="123" t="s">
        <v>112</v>
      </c>
      <c r="G434" s="124">
        <v>834</v>
      </c>
      <c r="H434" s="123" t="s">
        <v>113</v>
      </c>
      <c r="I434" s="124">
        <v>5419</v>
      </c>
      <c r="J434" s="123" t="s">
        <v>122</v>
      </c>
      <c r="K434" s="125" t="s">
        <v>210</v>
      </c>
      <c r="L434" s="123" t="s">
        <v>211</v>
      </c>
      <c r="M434" s="124">
        <v>2018</v>
      </c>
      <c r="N434" s="124">
        <v>2018</v>
      </c>
      <c r="O434" s="123" t="s">
        <v>123</v>
      </c>
      <c r="P434" s="124">
        <v>77511</v>
      </c>
      <c r="Q434" s="123" t="s">
        <v>118</v>
      </c>
      <c r="R434" s="123" t="s">
        <v>119</v>
      </c>
      <c r="S434" s="2"/>
      <c r="T434" s="2"/>
    </row>
    <row x14ac:dyDescent="0.25" r="435" customHeight="1" ht="13.5">
      <c r="A435" s="2"/>
      <c r="B435" s="2"/>
      <c r="C435" s="2"/>
      <c r="D435" s="2"/>
      <c r="E435" s="123" t="s">
        <v>111</v>
      </c>
      <c r="F435" s="123" t="s">
        <v>112</v>
      </c>
      <c r="G435" s="124">
        <v>834</v>
      </c>
      <c r="H435" s="123" t="s">
        <v>113</v>
      </c>
      <c r="I435" s="124">
        <v>5419</v>
      </c>
      <c r="J435" s="123" t="s">
        <v>122</v>
      </c>
      <c r="K435" s="125" t="s">
        <v>210</v>
      </c>
      <c r="L435" s="123" t="s">
        <v>211</v>
      </c>
      <c r="M435" s="124">
        <v>2019</v>
      </c>
      <c r="N435" s="124">
        <v>2019</v>
      </c>
      <c r="O435" s="123" t="s">
        <v>123</v>
      </c>
      <c r="P435" s="124">
        <v>76696</v>
      </c>
      <c r="Q435" s="123" t="s">
        <v>118</v>
      </c>
      <c r="R435" s="123" t="s">
        <v>119</v>
      </c>
      <c r="S435" s="2"/>
      <c r="T435" s="2"/>
    </row>
    <row x14ac:dyDescent="0.25" r="436" customHeight="1" ht="13.5">
      <c r="A436" s="2"/>
      <c r="B436" s="2"/>
      <c r="C436" s="2"/>
      <c r="D436" s="2"/>
      <c r="E436" s="123" t="s">
        <v>111</v>
      </c>
      <c r="F436" s="123" t="s">
        <v>112</v>
      </c>
      <c r="G436" s="124">
        <v>834</v>
      </c>
      <c r="H436" s="123" t="s">
        <v>113</v>
      </c>
      <c r="I436" s="124">
        <v>5419</v>
      </c>
      <c r="J436" s="123" t="s">
        <v>122</v>
      </c>
      <c r="K436" s="125" t="s">
        <v>210</v>
      </c>
      <c r="L436" s="123" t="s">
        <v>211</v>
      </c>
      <c r="M436" s="124">
        <v>2020</v>
      </c>
      <c r="N436" s="124">
        <v>2020</v>
      </c>
      <c r="O436" s="123" t="s">
        <v>123</v>
      </c>
      <c r="P436" s="124">
        <v>76938</v>
      </c>
      <c r="Q436" s="123" t="s">
        <v>118</v>
      </c>
      <c r="R436" s="123" t="s">
        <v>119</v>
      </c>
      <c r="S436" s="2"/>
      <c r="T436" s="2"/>
    </row>
    <row x14ac:dyDescent="0.25" r="437" customHeight="1" ht="13.5">
      <c r="A437" s="2"/>
      <c r="B437" s="2"/>
      <c r="C437" s="2"/>
      <c r="D437" s="2"/>
      <c r="E437" s="123" t="s">
        <v>111</v>
      </c>
      <c r="F437" s="123" t="s">
        <v>112</v>
      </c>
      <c r="G437" s="124">
        <v>834</v>
      </c>
      <c r="H437" s="123" t="s">
        <v>113</v>
      </c>
      <c r="I437" s="124">
        <v>5419</v>
      </c>
      <c r="J437" s="123" t="s">
        <v>122</v>
      </c>
      <c r="K437" s="125" t="s">
        <v>210</v>
      </c>
      <c r="L437" s="123" t="s">
        <v>211</v>
      </c>
      <c r="M437" s="124">
        <v>2021</v>
      </c>
      <c r="N437" s="124">
        <v>2021</v>
      </c>
      <c r="O437" s="123" t="s">
        <v>123</v>
      </c>
      <c r="P437" s="124">
        <v>77050</v>
      </c>
      <c r="Q437" s="123" t="s">
        <v>118</v>
      </c>
      <c r="R437" s="123" t="s">
        <v>119</v>
      </c>
      <c r="S437" s="2"/>
      <c r="T437" s="2"/>
    </row>
    <row x14ac:dyDescent="0.25" r="438" customHeight="1" ht="13.5">
      <c r="A438" s="2"/>
      <c r="B438" s="2"/>
      <c r="C438" s="2"/>
      <c r="D438" s="2"/>
      <c r="E438" s="123" t="s">
        <v>111</v>
      </c>
      <c r="F438" s="123" t="s">
        <v>112</v>
      </c>
      <c r="G438" s="124">
        <v>834</v>
      </c>
      <c r="H438" s="123" t="s">
        <v>113</v>
      </c>
      <c r="I438" s="124">
        <v>5312</v>
      </c>
      <c r="J438" s="123" t="s">
        <v>114</v>
      </c>
      <c r="K438" s="125" t="s">
        <v>212</v>
      </c>
      <c r="L438" s="123" t="s">
        <v>213</v>
      </c>
      <c r="M438" s="124">
        <v>2017</v>
      </c>
      <c r="N438" s="124">
        <v>2017</v>
      </c>
      <c r="O438" s="123" t="s">
        <v>117</v>
      </c>
      <c r="P438" s="124">
        <v>52360</v>
      </c>
      <c r="Q438" s="123" t="s">
        <v>120</v>
      </c>
      <c r="R438" s="123" t="s">
        <v>121</v>
      </c>
      <c r="S438" s="2"/>
      <c r="T438" s="2"/>
    </row>
    <row x14ac:dyDescent="0.25" r="439" customHeight="1" ht="13.5">
      <c r="A439" s="2"/>
      <c r="B439" s="2"/>
      <c r="C439" s="2"/>
      <c r="D439" s="2"/>
      <c r="E439" s="123" t="s">
        <v>111</v>
      </c>
      <c r="F439" s="123" t="s">
        <v>112</v>
      </c>
      <c r="G439" s="124">
        <v>834</v>
      </c>
      <c r="H439" s="123" t="s">
        <v>113</v>
      </c>
      <c r="I439" s="124">
        <v>5312</v>
      </c>
      <c r="J439" s="123" t="s">
        <v>114</v>
      </c>
      <c r="K439" s="125" t="s">
        <v>212</v>
      </c>
      <c r="L439" s="123" t="s">
        <v>213</v>
      </c>
      <c r="M439" s="124">
        <v>2018</v>
      </c>
      <c r="N439" s="124">
        <v>2018</v>
      </c>
      <c r="O439" s="123" t="s">
        <v>117</v>
      </c>
      <c r="P439" s="124">
        <v>51197</v>
      </c>
      <c r="Q439" s="123" t="s">
        <v>120</v>
      </c>
      <c r="R439" s="123" t="s">
        <v>121</v>
      </c>
      <c r="S439" s="2"/>
      <c r="T439" s="2"/>
    </row>
    <row x14ac:dyDescent="0.25" r="440" customHeight="1" ht="13.5">
      <c r="A440" s="2"/>
      <c r="B440" s="2"/>
      <c r="C440" s="2"/>
      <c r="D440" s="2"/>
      <c r="E440" s="123" t="s">
        <v>111</v>
      </c>
      <c r="F440" s="123" t="s">
        <v>112</v>
      </c>
      <c r="G440" s="124">
        <v>834</v>
      </c>
      <c r="H440" s="123" t="s">
        <v>113</v>
      </c>
      <c r="I440" s="124">
        <v>5312</v>
      </c>
      <c r="J440" s="123" t="s">
        <v>114</v>
      </c>
      <c r="K440" s="125" t="s">
        <v>212</v>
      </c>
      <c r="L440" s="123" t="s">
        <v>213</v>
      </c>
      <c r="M440" s="124">
        <v>2019</v>
      </c>
      <c r="N440" s="124">
        <v>2019</v>
      </c>
      <c r="O440" s="123" t="s">
        <v>117</v>
      </c>
      <c r="P440" s="124">
        <v>52262</v>
      </c>
      <c r="Q440" s="123" t="s">
        <v>120</v>
      </c>
      <c r="R440" s="123" t="s">
        <v>121</v>
      </c>
      <c r="S440" s="2"/>
      <c r="T440" s="2"/>
    </row>
    <row x14ac:dyDescent="0.25" r="441" customHeight="1" ht="13.5">
      <c r="A441" s="2"/>
      <c r="B441" s="2"/>
      <c r="C441" s="2"/>
      <c r="D441" s="2"/>
      <c r="E441" s="123" t="s">
        <v>111</v>
      </c>
      <c r="F441" s="123" t="s">
        <v>112</v>
      </c>
      <c r="G441" s="124">
        <v>834</v>
      </c>
      <c r="H441" s="123" t="s">
        <v>113</v>
      </c>
      <c r="I441" s="124">
        <v>5312</v>
      </c>
      <c r="J441" s="123" t="s">
        <v>114</v>
      </c>
      <c r="K441" s="125" t="s">
        <v>212</v>
      </c>
      <c r="L441" s="123" t="s">
        <v>213</v>
      </c>
      <c r="M441" s="124">
        <v>2020</v>
      </c>
      <c r="N441" s="124">
        <v>2020</v>
      </c>
      <c r="O441" s="123" t="s">
        <v>117</v>
      </c>
      <c r="P441" s="124">
        <v>64184</v>
      </c>
      <c r="Q441" s="123" t="s">
        <v>120</v>
      </c>
      <c r="R441" s="123" t="s">
        <v>121</v>
      </c>
      <c r="S441" s="2"/>
      <c r="T441" s="2"/>
    </row>
    <row x14ac:dyDescent="0.25" r="442" customHeight="1" ht="13.5">
      <c r="A442" s="2"/>
      <c r="B442" s="2"/>
      <c r="C442" s="2"/>
      <c r="D442" s="2"/>
      <c r="E442" s="123" t="s">
        <v>111</v>
      </c>
      <c r="F442" s="123" t="s">
        <v>112</v>
      </c>
      <c r="G442" s="124">
        <v>834</v>
      </c>
      <c r="H442" s="123" t="s">
        <v>113</v>
      </c>
      <c r="I442" s="124">
        <v>5312</v>
      </c>
      <c r="J442" s="123" t="s">
        <v>114</v>
      </c>
      <c r="K442" s="125" t="s">
        <v>212</v>
      </c>
      <c r="L442" s="123" t="s">
        <v>213</v>
      </c>
      <c r="M442" s="124">
        <v>2021</v>
      </c>
      <c r="N442" s="124">
        <v>2021</v>
      </c>
      <c r="O442" s="123" t="s">
        <v>117</v>
      </c>
      <c r="P442" s="124">
        <v>58865</v>
      </c>
      <c r="Q442" s="123" t="s">
        <v>120</v>
      </c>
      <c r="R442" s="123" t="s">
        <v>121</v>
      </c>
      <c r="S442" s="2"/>
      <c r="T442" s="2"/>
    </row>
    <row x14ac:dyDescent="0.25" r="443" customHeight="1" ht="13.5">
      <c r="A443" s="2"/>
      <c r="B443" s="2"/>
      <c r="C443" s="2"/>
      <c r="D443" s="2"/>
      <c r="E443" s="123" t="s">
        <v>111</v>
      </c>
      <c r="F443" s="123" t="s">
        <v>112</v>
      </c>
      <c r="G443" s="124">
        <v>834</v>
      </c>
      <c r="H443" s="123" t="s">
        <v>113</v>
      </c>
      <c r="I443" s="124">
        <v>5419</v>
      </c>
      <c r="J443" s="123" t="s">
        <v>122</v>
      </c>
      <c r="K443" s="125" t="s">
        <v>212</v>
      </c>
      <c r="L443" s="123" t="s">
        <v>213</v>
      </c>
      <c r="M443" s="124">
        <v>2017</v>
      </c>
      <c r="N443" s="124">
        <v>2017</v>
      </c>
      <c r="O443" s="123" t="s">
        <v>123</v>
      </c>
      <c r="P443" s="124">
        <v>5730</v>
      </c>
      <c r="Q443" s="123" t="s">
        <v>118</v>
      </c>
      <c r="R443" s="123" t="s">
        <v>119</v>
      </c>
      <c r="S443" s="2"/>
      <c r="T443" s="2"/>
    </row>
    <row x14ac:dyDescent="0.25" r="444" customHeight="1" ht="13.5">
      <c r="A444" s="2"/>
      <c r="B444" s="2"/>
      <c r="C444" s="2"/>
      <c r="D444" s="2"/>
      <c r="E444" s="123" t="s">
        <v>111</v>
      </c>
      <c r="F444" s="123" t="s">
        <v>112</v>
      </c>
      <c r="G444" s="124">
        <v>834</v>
      </c>
      <c r="H444" s="123" t="s">
        <v>113</v>
      </c>
      <c r="I444" s="124">
        <v>5419</v>
      </c>
      <c r="J444" s="123" t="s">
        <v>122</v>
      </c>
      <c r="K444" s="125" t="s">
        <v>212</v>
      </c>
      <c r="L444" s="123" t="s">
        <v>213</v>
      </c>
      <c r="M444" s="124">
        <v>2018</v>
      </c>
      <c r="N444" s="124">
        <v>2018</v>
      </c>
      <c r="O444" s="123" t="s">
        <v>123</v>
      </c>
      <c r="P444" s="124">
        <v>5860</v>
      </c>
      <c r="Q444" s="123" t="s">
        <v>118</v>
      </c>
      <c r="R444" s="123" t="s">
        <v>119</v>
      </c>
      <c r="S444" s="2"/>
      <c r="T444" s="2"/>
    </row>
    <row x14ac:dyDescent="0.25" r="445" customHeight="1" ht="13.5">
      <c r="A445" s="2"/>
      <c r="B445" s="2"/>
      <c r="C445" s="2"/>
      <c r="D445" s="2"/>
      <c r="E445" s="123" t="s">
        <v>111</v>
      </c>
      <c r="F445" s="123" t="s">
        <v>112</v>
      </c>
      <c r="G445" s="124">
        <v>834</v>
      </c>
      <c r="H445" s="123" t="s">
        <v>113</v>
      </c>
      <c r="I445" s="124">
        <v>5419</v>
      </c>
      <c r="J445" s="123" t="s">
        <v>122</v>
      </c>
      <c r="K445" s="125" t="s">
        <v>212</v>
      </c>
      <c r="L445" s="123" t="s">
        <v>213</v>
      </c>
      <c r="M445" s="124">
        <v>2019</v>
      </c>
      <c r="N445" s="124">
        <v>2019</v>
      </c>
      <c r="O445" s="123" t="s">
        <v>123</v>
      </c>
      <c r="P445" s="124">
        <v>5875</v>
      </c>
      <c r="Q445" s="123" t="s">
        <v>118</v>
      </c>
      <c r="R445" s="123" t="s">
        <v>119</v>
      </c>
      <c r="S445" s="2"/>
      <c r="T445" s="2"/>
    </row>
    <row x14ac:dyDescent="0.25" r="446" customHeight="1" ht="13.5">
      <c r="A446" s="2"/>
      <c r="B446" s="2"/>
      <c r="C446" s="2"/>
      <c r="D446" s="2"/>
      <c r="E446" s="123" t="s">
        <v>111</v>
      </c>
      <c r="F446" s="123" t="s">
        <v>112</v>
      </c>
      <c r="G446" s="124">
        <v>834</v>
      </c>
      <c r="H446" s="123" t="s">
        <v>113</v>
      </c>
      <c r="I446" s="124">
        <v>5419</v>
      </c>
      <c r="J446" s="123" t="s">
        <v>122</v>
      </c>
      <c r="K446" s="125" t="s">
        <v>212</v>
      </c>
      <c r="L446" s="123" t="s">
        <v>213</v>
      </c>
      <c r="M446" s="124">
        <v>2020</v>
      </c>
      <c r="N446" s="124">
        <v>2020</v>
      </c>
      <c r="O446" s="123" t="s">
        <v>123</v>
      </c>
      <c r="P446" s="124">
        <v>5945</v>
      </c>
      <c r="Q446" s="123" t="s">
        <v>118</v>
      </c>
      <c r="R446" s="123" t="s">
        <v>119</v>
      </c>
      <c r="S446" s="2"/>
      <c r="T446" s="2"/>
    </row>
    <row x14ac:dyDescent="0.25" r="447" customHeight="1" ht="13.5">
      <c r="A447" s="2"/>
      <c r="B447" s="2"/>
      <c r="C447" s="2"/>
      <c r="D447" s="2"/>
      <c r="E447" s="123" t="s">
        <v>111</v>
      </c>
      <c r="F447" s="123" t="s">
        <v>112</v>
      </c>
      <c r="G447" s="124">
        <v>834</v>
      </c>
      <c r="H447" s="123" t="s">
        <v>113</v>
      </c>
      <c r="I447" s="124">
        <v>5419</v>
      </c>
      <c r="J447" s="123" t="s">
        <v>122</v>
      </c>
      <c r="K447" s="125" t="s">
        <v>212</v>
      </c>
      <c r="L447" s="123" t="s">
        <v>213</v>
      </c>
      <c r="M447" s="124">
        <v>2021</v>
      </c>
      <c r="N447" s="124">
        <v>2021</v>
      </c>
      <c r="O447" s="123" t="s">
        <v>123</v>
      </c>
      <c r="P447" s="124">
        <v>6015</v>
      </c>
      <c r="Q447" s="123" t="s">
        <v>118</v>
      </c>
      <c r="R447" s="123" t="s">
        <v>119</v>
      </c>
      <c r="S447" s="2"/>
      <c r="T447" s="2"/>
    </row>
    <row x14ac:dyDescent="0.25" r="448" customHeight="1" ht="13.5">
      <c r="A448" s="2"/>
      <c r="B448" s="2"/>
      <c r="C448" s="2"/>
      <c r="D448" s="2"/>
      <c r="E448" s="123" t="s">
        <v>111</v>
      </c>
      <c r="F448" s="123" t="s">
        <v>112</v>
      </c>
      <c r="G448" s="124">
        <v>834</v>
      </c>
      <c r="H448" s="123" t="s">
        <v>113</v>
      </c>
      <c r="I448" s="124">
        <v>5312</v>
      </c>
      <c r="J448" s="123" t="s">
        <v>114</v>
      </c>
      <c r="K448" s="125" t="s">
        <v>214</v>
      </c>
      <c r="L448" s="123" t="s">
        <v>215</v>
      </c>
      <c r="M448" s="124">
        <v>2017</v>
      </c>
      <c r="N448" s="124">
        <v>2017</v>
      </c>
      <c r="O448" s="123" t="s">
        <v>117</v>
      </c>
      <c r="P448" s="124">
        <v>5457</v>
      </c>
      <c r="Q448" s="123" t="s">
        <v>118</v>
      </c>
      <c r="R448" s="123" t="s">
        <v>119</v>
      </c>
      <c r="S448" s="2"/>
      <c r="T448" s="2"/>
    </row>
    <row x14ac:dyDescent="0.25" r="449" customHeight="1" ht="13.5">
      <c r="A449" s="2"/>
      <c r="B449" s="2"/>
      <c r="C449" s="2"/>
      <c r="D449" s="2"/>
      <c r="E449" s="123" t="s">
        <v>111</v>
      </c>
      <c r="F449" s="123" t="s">
        <v>112</v>
      </c>
      <c r="G449" s="124">
        <v>834</v>
      </c>
      <c r="H449" s="123" t="s">
        <v>113</v>
      </c>
      <c r="I449" s="124">
        <v>5312</v>
      </c>
      <c r="J449" s="123" t="s">
        <v>114</v>
      </c>
      <c r="K449" s="125" t="s">
        <v>214</v>
      </c>
      <c r="L449" s="123" t="s">
        <v>215</v>
      </c>
      <c r="M449" s="124">
        <v>2018</v>
      </c>
      <c r="N449" s="124">
        <v>2018</v>
      </c>
      <c r="O449" s="123" t="s">
        <v>117</v>
      </c>
      <c r="P449" s="124">
        <v>5417</v>
      </c>
      <c r="Q449" s="123" t="s">
        <v>118</v>
      </c>
      <c r="R449" s="123" t="s">
        <v>119</v>
      </c>
      <c r="S449" s="2"/>
      <c r="T449" s="2"/>
    </row>
    <row x14ac:dyDescent="0.25" r="450" customHeight="1" ht="13.5">
      <c r="A450" s="2"/>
      <c r="B450" s="2"/>
      <c r="C450" s="2"/>
      <c r="D450" s="2"/>
      <c r="E450" s="123" t="s">
        <v>111</v>
      </c>
      <c r="F450" s="123" t="s">
        <v>112</v>
      </c>
      <c r="G450" s="124">
        <v>834</v>
      </c>
      <c r="H450" s="123" t="s">
        <v>113</v>
      </c>
      <c r="I450" s="124">
        <v>5312</v>
      </c>
      <c r="J450" s="123" t="s">
        <v>114</v>
      </c>
      <c r="K450" s="125" t="s">
        <v>214</v>
      </c>
      <c r="L450" s="123" t="s">
        <v>215</v>
      </c>
      <c r="M450" s="124">
        <v>2019</v>
      </c>
      <c r="N450" s="124">
        <v>2019</v>
      </c>
      <c r="O450" s="123" t="s">
        <v>117</v>
      </c>
      <c r="P450" s="124">
        <v>5364</v>
      </c>
      <c r="Q450" s="123" t="s">
        <v>118</v>
      </c>
      <c r="R450" s="123" t="s">
        <v>119</v>
      </c>
      <c r="S450" s="2"/>
      <c r="T450" s="2"/>
    </row>
    <row x14ac:dyDescent="0.25" r="451" customHeight="1" ht="13.5">
      <c r="A451" s="2"/>
      <c r="B451" s="2"/>
      <c r="C451" s="2"/>
      <c r="D451" s="2"/>
      <c r="E451" s="123" t="s">
        <v>111</v>
      </c>
      <c r="F451" s="123" t="s">
        <v>112</v>
      </c>
      <c r="G451" s="124">
        <v>834</v>
      </c>
      <c r="H451" s="123" t="s">
        <v>113</v>
      </c>
      <c r="I451" s="124">
        <v>5312</v>
      </c>
      <c r="J451" s="123" t="s">
        <v>114</v>
      </c>
      <c r="K451" s="125" t="s">
        <v>214</v>
      </c>
      <c r="L451" s="123" t="s">
        <v>215</v>
      </c>
      <c r="M451" s="124">
        <v>2020</v>
      </c>
      <c r="N451" s="124">
        <v>2020</v>
      </c>
      <c r="O451" s="123" t="s">
        <v>117</v>
      </c>
      <c r="P451" s="124">
        <v>5413</v>
      </c>
      <c r="Q451" s="123" t="s">
        <v>118</v>
      </c>
      <c r="R451" s="123" t="s">
        <v>119</v>
      </c>
      <c r="S451" s="2"/>
      <c r="T451" s="2"/>
    </row>
    <row x14ac:dyDescent="0.25" r="452" customHeight="1" ht="13.5">
      <c r="A452" s="2"/>
      <c r="B452" s="2"/>
      <c r="C452" s="2"/>
      <c r="D452" s="2"/>
      <c r="E452" s="123" t="s">
        <v>111</v>
      </c>
      <c r="F452" s="123" t="s">
        <v>112</v>
      </c>
      <c r="G452" s="124">
        <v>834</v>
      </c>
      <c r="H452" s="123" t="s">
        <v>113</v>
      </c>
      <c r="I452" s="124">
        <v>5312</v>
      </c>
      <c r="J452" s="123" t="s">
        <v>114</v>
      </c>
      <c r="K452" s="125" t="s">
        <v>214</v>
      </c>
      <c r="L452" s="123" t="s">
        <v>215</v>
      </c>
      <c r="M452" s="124">
        <v>2021</v>
      </c>
      <c r="N452" s="124">
        <v>2021</v>
      </c>
      <c r="O452" s="123" t="s">
        <v>117</v>
      </c>
      <c r="P452" s="124">
        <v>5398</v>
      </c>
      <c r="Q452" s="123" t="s">
        <v>118</v>
      </c>
      <c r="R452" s="123" t="s">
        <v>119</v>
      </c>
      <c r="S452" s="2"/>
      <c r="T452" s="2"/>
    </row>
    <row x14ac:dyDescent="0.25" r="453" customHeight="1" ht="13.5">
      <c r="A453" s="2"/>
      <c r="B453" s="2"/>
      <c r="C453" s="2"/>
      <c r="D453" s="2"/>
      <c r="E453" s="123" t="s">
        <v>111</v>
      </c>
      <c r="F453" s="123" t="s">
        <v>112</v>
      </c>
      <c r="G453" s="124">
        <v>834</v>
      </c>
      <c r="H453" s="123" t="s">
        <v>113</v>
      </c>
      <c r="I453" s="124">
        <v>5419</v>
      </c>
      <c r="J453" s="123" t="s">
        <v>122</v>
      </c>
      <c r="K453" s="125" t="s">
        <v>214</v>
      </c>
      <c r="L453" s="123" t="s">
        <v>215</v>
      </c>
      <c r="M453" s="124">
        <v>2017</v>
      </c>
      <c r="N453" s="124">
        <v>2017</v>
      </c>
      <c r="O453" s="123" t="s">
        <v>123</v>
      </c>
      <c r="P453" s="124">
        <v>17610</v>
      </c>
      <c r="Q453" s="123" t="s">
        <v>118</v>
      </c>
      <c r="R453" s="123" t="s">
        <v>119</v>
      </c>
      <c r="S453" s="2"/>
      <c r="T453" s="2"/>
    </row>
    <row x14ac:dyDescent="0.25" r="454" customHeight="1" ht="13.5">
      <c r="A454" s="2"/>
      <c r="B454" s="2"/>
      <c r="C454" s="2"/>
      <c r="D454" s="2"/>
      <c r="E454" s="123" t="s">
        <v>111</v>
      </c>
      <c r="F454" s="123" t="s">
        <v>112</v>
      </c>
      <c r="G454" s="124">
        <v>834</v>
      </c>
      <c r="H454" s="123" t="s">
        <v>113</v>
      </c>
      <c r="I454" s="124">
        <v>5419</v>
      </c>
      <c r="J454" s="123" t="s">
        <v>122</v>
      </c>
      <c r="K454" s="125" t="s">
        <v>214</v>
      </c>
      <c r="L454" s="123" t="s">
        <v>215</v>
      </c>
      <c r="M454" s="124">
        <v>2018</v>
      </c>
      <c r="N454" s="124">
        <v>2018</v>
      </c>
      <c r="O454" s="123" t="s">
        <v>123</v>
      </c>
      <c r="P454" s="124">
        <v>17821</v>
      </c>
      <c r="Q454" s="123" t="s">
        <v>118</v>
      </c>
      <c r="R454" s="123" t="s">
        <v>119</v>
      </c>
      <c r="S454" s="2"/>
      <c r="T454" s="2"/>
    </row>
    <row x14ac:dyDescent="0.25" r="455" customHeight="1" ht="13.5">
      <c r="A455" s="2"/>
      <c r="B455" s="2"/>
      <c r="C455" s="2"/>
      <c r="D455" s="2"/>
      <c r="E455" s="123" t="s">
        <v>111</v>
      </c>
      <c r="F455" s="123" t="s">
        <v>112</v>
      </c>
      <c r="G455" s="124">
        <v>834</v>
      </c>
      <c r="H455" s="123" t="s">
        <v>113</v>
      </c>
      <c r="I455" s="124">
        <v>5419</v>
      </c>
      <c r="J455" s="123" t="s">
        <v>122</v>
      </c>
      <c r="K455" s="125" t="s">
        <v>214</v>
      </c>
      <c r="L455" s="123" t="s">
        <v>215</v>
      </c>
      <c r="M455" s="124">
        <v>2019</v>
      </c>
      <c r="N455" s="124">
        <v>2019</v>
      </c>
      <c r="O455" s="123" t="s">
        <v>123</v>
      </c>
      <c r="P455" s="124">
        <v>17771</v>
      </c>
      <c r="Q455" s="123" t="s">
        <v>118</v>
      </c>
      <c r="R455" s="123" t="s">
        <v>119</v>
      </c>
      <c r="S455" s="2"/>
      <c r="T455" s="2"/>
    </row>
    <row x14ac:dyDescent="0.25" r="456" customHeight="1" ht="13.5">
      <c r="A456" s="2"/>
      <c r="B456" s="2"/>
      <c r="C456" s="2"/>
      <c r="D456" s="2"/>
      <c r="E456" s="123" t="s">
        <v>111</v>
      </c>
      <c r="F456" s="123" t="s">
        <v>112</v>
      </c>
      <c r="G456" s="124">
        <v>834</v>
      </c>
      <c r="H456" s="123" t="s">
        <v>113</v>
      </c>
      <c r="I456" s="124">
        <v>5419</v>
      </c>
      <c r="J456" s="123" t="s">
        <v>122</v>
      </c>
      <c r="K456" s="125" t="s">
        <v>214</v>
      </c>
      <c r="L456" s="123" t="s">
        <v>215</v>
      </c>
      <c r="M456" s="124">
        <v>2020</v>
      </c>
      <c r="N456" s="124">
        <v>2020</v>
      </c>
      <c r="O456" s="123" t="s">
        <v>123</v>
      </c>
      <c r="P456" s="124">
        <v>17734</v>
      </c>
      <c r="Q456" s="123" t="s">
        <v>118</v>
      </c>
      <c r="R456" s="123" t="s">
        <v>119</v>
      </c>
      <c r="S456" s="2"/>
      <c r="T456" s="2"/>
    </row>
    <row x14ac:dyDescent="0.25" r="457" customHeight="1" ht="13.5">
      <c r="A457" s="2"/>
      <c r="B457" s="2"/>
      <c r="C457" s="2"/>
      <c r="D457" s="2"/>
      <c r="E457" s="123" t="s">
        <v>111</v>
      </c>
      <c r="F457" s="123" t="s">
        <v>112</v>
      </c>
      <c r="G457" s="124">
        <v>834</v>
      </c>
      <c r="H457" s="123" t="s">
        <v>113</v>
      </c>
      <c r="I457" s="124">
        <v>5419</v>
      </c>
      <c r="J457" s="123" t="s">
        <v>122</v>
      </c>
      <c r="K457" s="125" t="s">
        <v>214</v>
      </c>
      <c r="L457" s="123" t="s">
        <v>215</v>
      </c>
      <c r="M457" s="124">
        <v>2021</v>
      </c>
      <c r="N457" s="124">
        <v>2021</v>
      </c>
      <c r="O457" s="123" t="s">
        <v>123</v>
      </c>
      <c r="P457" s="124">
        <v>17775</v>
      </c>
      <c r="Q457" s="123" t="s">
        <v>118</v>
      </c>
      <c r="R457" s="123" t="s">
        <v>119</v>
      </c>
      <c r="S457" s="2"/>
      <c r="T457" s="2"/>
    </row>
    <row x14ac:dyDescent="0.25" r="458" customHeight="1" ht="13.5">
      <c r="A458" s="2"/>
      <c r="B458" s="2"/>
      <c r="C458" s="2"/>
      <c r="D458" s="2"/>
      <c r="E458" s="123" t="s">
        <v>111</v>
      </c>
      <c r="F458" s="123" t="s">
        <v>112</v>
      </c>
      <c r="G458" s="124">
        <v>834</v>
      </c>
      <c r="H458" s="123" t="s">
        <v>113</v>
      </c>
      <c r="I458" s="124">
        <v>5312</v>
      </c>
      <c r="J458" s="123" t="s">
        <v>114</v>
      </c>
      <c r="K458" s="125" t="s">
        <v>216</v>
      </c>
      <c r="L458" s="123" t="s">
        <v>217</v>
      </c>
      <c r="M458" s="124">
        <v>2017</v>
      </c>
      <c r="N458" s="124">
        <v>2017</v>
      </c>
      <c r="O458" s="123" t="s">
        <v>117</v>
      </c>
      <c r="P458" s="124">
        <v>939</v>
      </c>
      <c r="Q458" s="123" t="s">
        <v>118</v>
      </c>
      <c r="R458" s="123" t="s">
        <v>119</v>
      </c>
      <c r="S458" s="2"/>
      <c r="T458" s="2"/>
    </row>
    <row x14ac:dyDescent="0.25" r="459" customHeight="1" ht="13.5">
      <c r="A459" s="2"/>
      <c r="B459" s="2"/>
      <c r="C459" s="2"/>
      <c r="D459" s="2"/>
      <c r="E459" s="123" t="s">
        <v>111</v>
      </c>
      <c r="F459" s="123" t="s">
        <v>112</v>
      </c>
      <c r="G459" s="124">
        <v>834</v>
      </c>
      <c r="H459" s="123" t="s">
        <v>113</v>
      </c>
      <c r="I459" s="124">
        <v>5312</v>
      </c>
      <c r="J459" s="123" t="s">
        <v>114</v>
      </c>
      <c r="K459" s="125" t="s">
        <v>216</v>
      </c>
      <c r="L459" s="123" t="s">
        <v>217</v>
      </c>
      <c r="M459" s="124">
        <v>2018</v>
      </c>
      <c r="N459" s="124">
        <v>2018</v>
      </c>
      <c r="O459" s="123" t="s">
        <v>117</v>
      </c>
      <c r="P459" s="124">
        <v>972</v>
      </c>
      <c r="Q459" s="123" t="s">
        <v>118</v>
      </c>
      <c r="R459" s="123" t="s">
        <v>119</v>
      </c>
      <c r="S459" s="2"/>
      <c r="T459" s="2"/>
    </row>
    <row x14ac:dyDescent="0.25" r="460" customHeight="1" ht="13.5">
      <c r="A460" s="2"/>
      <c r="B460" s="2"/>
      <c r="C460" s="2"/>
      <c r="D460" s="2"/>
      <c r="E460" s="123" t="s">
        <v>111</v>
      </c>
      <c r="F460" s="123" t="s">
        <v>112</v>
      </c>
      <c r="G460" s="124">
        <v>834</v>
      </c>
      <c r="H460" s="123" t="s">
        <v>113</v>
      </c>
      <c r="I460" s="124">
        <v>5312</v>
      </c>
      <c r="J460" s="123" t="s">
        <v>114</v>
      </c>
      <c r="K460" s="125" t="s">
        <v>216</v>
      </c>
      <c r="L460" s="123" t="s">
        <v>217</v>
      </c>
      <c r="M460" s="124">
        <v>2019</v>
      </c>
      <c r="N460" s="124">
        <v>2019</v>
      </c>
      <c r="O460" s="123" t="s">
        <v>117</v>
      </c>
      <c r="P460" s="124">
        <v>968</v>
      </c>
      <c r="Q460" s="123" t="s">
        <v>120</v>
      </c>
      <c r="R460" s="123" t="s">
        <v>121</v>
      </c>
      <c r="S460" s="2"/>
      <c r="T460" s="2"/>
    </row>
    <row x14ac:dyDescent="0.25" r="461" customHeight="1" ht="13.5">
      <c r="A461" s="2"/>
      <c r="B461" s="2"/>
      <c r="C461" s="2"/>
      <c r="D461" s="2"/>
      <c r="E461" s="123" t="s">
        <v>111</v>
      </c>
      <c r="F461" s="123" t="s">
        <v>112</v>
      </c>
      <c r="G461" s="124">
        <v>834</v>
      </c>
      <c r="H461" s="123" t="s">
        <v>113</v>
      </c>
      <c r="I461" s="124">
        <v>5312</v>
      </c>
      <c r="J461" s="123" t="s">
        <v>114</v>
      </c>
      <c r="K461" s="125" t="s">
        <v>216</v>
      </c>
      <c r="L461" s="123" t="s">
        <v>217</v>
      </c>
      <c r="M461" s="124">
        <v>2020</v>
      </c>
      <c r="N461" s="124">
        <v>2020</v>
      </c>
      <c r="O461" s="123" t="s">
        <v>117</v>
      </c>
      <c r="P461" s="124">
        <v>958</v>
      </c>
      <c r="Q461" s="123" t="s">
        <v>120</v>
      </c>
      <c r="R461" s="123" t="s">
        <v>121</v>
      </c>
      <c r="S461" s="2"/>
      <c r="T461" s="2"/>
    </row>
    <row x14ac:dyDescent="0.25" r="462" customHeight="1" ht="13.5">
      <c r="A462" s="2"/>
      <c r="B462" s="2"/>
      <c r="C462" s="2"/>
      <c r="D462" s="2"/>
      <c r="E462" s="123" t="s">
        <v>111</v>
      </c>
      <c r="F462" s="123" t="s">
        <v>112</v>
      </c>
      <c r="G462" s="124">
        <v>834</v>
      </c>
      <c r="H462" s="123" t="s">
        <v>113</v>
      </c>
      <c r="I462" s="124">
        <v>5312</v>
      </c>
      <c r="J462" s="123" t="s">
        <v>114</v>
      </c>
      <c r="K462" s="125" t="s">
        <v>216</v>
      </c>
      <c r="L462" s="123" t="s">
        <v>217</v>
      </c>
      <c r="M462" s="124">
        <v>2021</v>
      </c>
      <c r="N462" s="124">
        <v>2021</v>
      </c>
      <c r="O462" s="123" t="s">
        <v>117</v>
      </c>
      <c r="P462" s="124">
        <v>949</v>
      </c>
      <c r="Q462" s="123" t="s">
        <v>120</v>
      </c>
      <c r="R462" s="123" t="s">
        <v>121</v>
      </c>
      <c r="S462" s="2"/>
      <c r="T462" s="2"/>
    </row>
    <row x14ac:dyDescent="0.25" r="463" customHeight="1" ht="13.5">
      <c r="A463" s="2"/>
      <c r="B463" s="2"/>
      <c r="C463" s="2"/>
      <c r="D463" s="2"/>
      <c r="E463" s="123" t="s">
        <v>111</v>
      </c>
      <c r="F463" s="123" t="s">
        <v>112</v>
      </c>
      <c r="G463" s="124">
        <v>834</v>
      </c>
      <c r="H463" s="123" t="s">
        <v>113</v>
      </c>
      <c r="I463" s="124">
        <v>5419</v>
      </c>
      <c r="J463" s="123" t="s">
        <v>122</v>
      </c>
      <c r="K463" s="125" t="s">
        <v>216</v>
      </c>
      <c r="L463" s="123" t="s">
        <v>217</v>
      </c>
      <c r="M463" s="124">
        <v>2017</v>
      </c>
      <c r="N463" s="124">
        <v>2017</v>
      </c>
      <c r="O463" s="123" t="s">
        <v>123</v>
      </c>
      <c r="P463" s="124">
        <v>4732</v>
      </c>
      <c r="Q463" s="123" t="s">
        <v>118</v>
      </c>
      <c r="R463" s="123" t="s">
        <v>119</v>
      </c>
      <c r="S463" s="2"/>
      <c r="T463" s="2"/>
    </row>
    <row x14ac:dyDescent="0.25" r="464" customHeight="1" ht="13.5">
      <c r="A464" s="2"/>
      <c r="B464" s="2"/>
      <c r="C464" s="2"/>
      <c r="D464" s="2"/>
      <c r="E464" s="123" t="s">
        <v>111</v>
      </c>
      <c r="F464" s="123" t="s">
        <v>112</v>
      </c>
      <c r="G464" s="124">
        <v>834</v>
      </c>
      <c r="H464" s="123" t="s">
        <v>113</v>
      </c>
      <c r="I464" s="124">
        <v>5419</v>
      </c>
      <c r="J464" s="123" t="s">
        <v>122</v>
      </c>
      <c r="K464" s="125" t="s">
        <v>216</v>
      </c>
      <c r="L464" s="123" t="s">
        <v>217</v>
      </c>
      <c r="M464" s="124">
        <v>2018</v>
      </c>
      <c r="N464" s="124">
        <v>2018</v>
      </c>
      <c r="O464" s="123" t="s">
        <v>123</v>
      </c>
      <c r="P464" s="124">
        <v>4735</v>
      </c>
      <c r="Q464" s="123" t="s">
        <v>118</v>
      </c>
      <c r="R464" s="123" t="s">
        <v>119</v>
      </c>
      <c r="S464" s="2"/>
      <c r="T464" s="2"/>
    </row>
    <row x14ac:dyDescent="0.25" r="465" customHeight="1" ht="13.5">
      <c r="A465" s="2"/>
      <c r="B465" s="2"/>
      <c r="C465" s="2"/>
      <c r="D465" s="2"/>
      <c r="E465" s="123" t="s">
        <v>111</v>
      </c>
      <c r="F465" s="123" t="s">
        <v>112</v>
      </c>
      <c r="G465" s="124">
        <v>834</v>
      </c>
      <c r="H465" s="123" t="s">
        <v>113</v>
      </c>
      <c r="I465" s="124">
        <v>5419</v>
      </c>
      <c r="J465" s="123" t="s">
        <v>122</v>
      </c>
      <c r="K465" s="125" t="s">
        <v>216</v>
      </c>
      <c r="L465" s="123" t="s">
        <v>217</v>
      </c>
      <c r="M465" s="124">
        <v>2019</v>
      </c>
      <c r="N465" s="124">
        <v>2019</v>
      </c>
      <c r="O465" s="123" t="s">
        <v>123</v>
      </c>
      <c r="P465" s="124">
        <v>4609</v>
      </c>
      <c r="Q465" s="123" t="s">
        <v>118</v>
      </c>
      <c r="R465" s="123" t="s">
        <v>119</v>
      </c>
      <c r="S465" s="2"/>
      <c r="T465" s="2"/>
    </row>
    <row x14ac:dyDescent="0.25" r="466" customHeight="1" ht="13.5">
      <c r="A466" s="2"/>
      <c r="B466" s="2"/>
      <c r="C466" s="2"/>
      <c r="D466" s="2"/>
      <c r="E466" s="123" t="s">
        <v>111</v>
      </c>
      <c r="F466" s="123" t="s">
        <v>112</v>
      </c>
      <c r="G466" s="124">
        <v>834</v>
      </c>
      <c r="H466" s="123" t="s">
        <v>113</v>
      </c>
      <c r="I466" s="124">
        <v>5419</v>
      </c>
      <c r="J466" s="123" t="s">
        <v>122</v>
      </c>
      <c r="K466" s="125" t="s">
        <v>216</v>
      </c>
      <c r="L466" s="123" t="s">
        <v>217</v>
      </c>
      <c r="M466" s="124">
        <v>2020</v>
      </c>
      <c r="N466" s="124">
        <v>2020</v>
      </c>
      <c r="O466" s="123" t="s">
        <v>123</v>
      </c>
      <c r="P466" s="124">
        <v>4698</v>
      </c>
      <c r="Q466" s="123" t="s">
        <v>118</v>
      </c>
      <c r="R466" s="123" t="s">
        <v>119</v>
      </c>
      <c r="S466" s="2"/>
      <c r="T466" s="2"/>
    </row>
    <row x14ac:dyDescent="0.25" r="467" customHeight="1" ht="13.5">
      <c r="A467" s="2"/>
      <c r="B467" s="2"/>
      <c r="C467" s="2"/>
      <c r="D467" s="2"/>
      <c r="E467" s="123" t="s">
        <v>111</v>
      </c>
      <c r="F467" s="123" t="s">
        <v>112</v>
      </c>
      <c r="G467" s="124">
        <v>834</v>
      </c>
      <c r="H467" s="123" t="s">
        <v>113</v>
      </c>
      <c r="I467" s="124">
        <v>5419</v>
      </c>
      <c r="J467" s="123" t="s">
        <v>122</v>
      </c>
      <c r="K467" s="125" t="s">
        <v>216</v>
      </c>
      <c r="L467" s="123" t="s">
        <v>217</v>
      </c>
      <c r="M467" s="124">
        <v>2021</v>
      </c>
      <c r="N467" s="124">
        <v>2021</v>
      </c>
      <c r="O467" s="123" t="s">
        <v>123</v>
      </c>
      <c r="P467" s="124">
        <v>4763</v>
      </c>
      <c r="Q467" s="123" t="s">
        <v>118</v>
      </c>
      <c r="R467" s="123" t="s">
        <v>119</v>
      </c>
      <c r="S467" s="2"/>
      <c r="T467" s="2"/>
    </row>
    <row x14ac:dyDescent="0.25" r="468" customHeight="1" ht="13.5">
      <c r="A468" s="2"/>
      <c r="B468" s="2"/>
      <c r="C468" s="2"/>
      <c r="D468" s="2"/>
      <c r="E468" s="123" t="s">
        <v>111</v>
      </c>
      <c r="F468" s="123" t="s">
        <v>112</v>
      </c>
      <c r="G468" s="124">
        <v>834</v>
      </c>
      <c r="H468" s="123" t="s">
        <v>113</v>
      </c>
      <c r="I468" s="124">
        <v>5312</v>
      </c>
      <c r="J468" s="123" t="s">
        <v>114</v>
      </c>
      <c r="K468" s="125" t="s">
        <v>218</v>
      </c>
      <c r="L468" s="123" t="s">
        <v>219</v>
      </c>
      <c r="M468" s="124">
        <v>2017</v>
      </c>
      <c r="N468" s="124">
        <v>2017</v>
      </c>
      <c r="O468" s="123" t="s">
        <v>117</v>
      </c>
      <c r="P468" s="124">
        <v>290322</v>
      </c>
      <c r="Q468" s="123" t="s">
        <v>126</v>
      </c>
      <c r="R468" s="123" t="s">
        <v>127</v>
      </c>
      <c r="S468" s="2"/>
      <c r="T468" s="2"/>
    </row>
    <row x14ac:dyDescent="0.25" r="469" customHeight="1" ht="13.5">
      <c r="A469" s="2"/>
      <c r="B469" s="2"/>
      <c r="C469" s="2"/>
      <c r="D469" s="2"/>
      <c r="E469" s="123" t="s">
        <v>111</v>
      </c>
      <c r="F469" s="123" t="s">
        <v>112</v>
      </c>
      <c r="G469" s="124">
        <v>834</v>
      </c>
      <c r="H469" s="123" t="s">
        <v>113</v>
      </c>
      <c r="I469" s="124">
        <v>5312</v>
      </c>
      <c r="J469" s="123" t="s">
        <v>114</v>
      </c>
      <c r="K469" s="125" t="s">
        <v>218</v>
      </c>
      <c r="L469" s="123" t="s">
        <v>219</v>
      </c>
      <c r="M469" s="124">
        <v>2018</v>
      </c>
      <c r="N469" s="124">
        <v>2018</v>
      </c>
      <c r="O469" s="123" t="s">
        <v>117</v>
      </c>
      <c r="P469" s="124">
        <v>87189</v>
      </c>
      <c r="Q469" s="123" t="s">
        <v>126</v>
      </c>
      <c r="R469" s="123" t="s">
        <v>127</v>
      </c>
      <c r="S469" s="2"/>
      <c r="T469" s="2"/>
    </row>
    <row x14ac:dyDescent="0.25" r="470" customHeight="1" ht="13.5">
      <c r="A470" s="2"/>
      <c r="B470" s="2"/>
      <c r="C470" s="2"/>
      <c r="D470" s="2"/>
      <c r="E470" s="123" t="s">
        <v>111</v>
      </c>
      <c r="F470" s="123" t="s">
        <v>112</v>
      </c>
      <c r="G470" s="124">
        <v>834</v>
      </c>
      <c r="H470" s="123" t="s">
        <v>113</v>
      </c>
      <c r="I470" s="124">
        <v>5312</v>
      </c>
      <c r="J470" s="123" t="s">
        <v>114</v>
      </c>
      <c r="K470" s="125" t="s">
        <v>218</v>
      </c>
      <c r="L470" s="123" t="s">
        <v>219</v>
      </c>
      <c r="M470" s="124">
        <v>2019</v>
      </c>
      <c r="N470" s="124">
        <v>2019</v>
      </c>
      <c r="O470" s="123" t="s">
        <v>117</v>
      </c>
      <c r="P470" s="124">
        <v>87425</v>
      </c>
      <c r="Q470" s="123" t="s">
        <v>126</v>
      </c>
      <c r="R470" s="123" t="s">
        <v>127</v>
      </c>
      <c r="S470" s="2"/>
      <c r="T470" s="2"/>
    </row>
    <row x14ac:dyDescent="0.25" r="471" customHeight="1" ht="13.5">
      <c r="A471" s="2"/>
      <c r="B471" s="2"/>
      <c r="C471" s="2"/>
      <c r="D471" s="2"/>
      <c r="E471" s="123" t="s">
        <v>111</v>
      </c>
      <c r="F471" s="123" t="s">
        <v>112</v>
      </c>
      <c r="G471" s="124">
        <v>834</v>
      </c>
      <c r="H471" s="123" t="s">
        <v>113</v>
      </c>
      <c r="I471" s="124">
        <v>5312</v>
      </c>
      <c r="J471" s="123" t="s">
        <v>114</v>
      </c>
      <c r="K471" s="125" t="s">
        <v>218</v>
      </c>
      <c r="L471" s="123" t="s">
        <v>219</v>
      </c>
      <c r="M471" s="124">
        <v>2020</v>
      </c>
      <c r="N471" s="124">
        <v>2020</v>
      </c>
      <c r="O471" s="123" t="s">
        <v>117</v>
      </c>
      <c r="P471" s="124">
        <v>179189</v>
      </c>
      <c r="Q471" s="123" t="s">
        <v>120</v>
      </c>
      <c r="R471" s="123" t="s">
        <v>121</v>
      </c>
      <c r="S471" s="2"/>
      <c r="T471" s="2"/>
    </row>
    <row x14ac:dyDescent="0.25" r="472" customHeight="1" ht="13.5">
      <c r="A472" s="2"/>
      <c r="B472" s="2"/>
      <c r="C472" s="2"/>
      <c r="D472" s="2"/>
      <c r="E472" s="123" t="s">
        <v>111</v>
      </c>
      <c r="F472" s="123" t="s">
        <v>112</v>
      </c>
      <c r="G472" s="124">
        <v>834</v>
      </c>
      <c r="H472" s="123" t="s">
        <v>113</v>
      </c>
      <c r="I472" s="124">
        <v>5312</v>
      </c>
      <c r="J472" s="123" t="s">
        <v>114</v>
      </c>
      <c r="K472" s="125" t="s">
        <v>218</v>
      </c>
      <c r="L472" s="123" t="s">
        <v>219</v>
      </c>
      <c r="M472" s="124">
        <v>2021</v>
      </c>
      <c r="N472" s="124">
        <v>2021</v>
      </c>
      <c r="O472" s="123" t="s">
        <v>117</v>
      </c>
      <c r="P472" s="124">
        <v>177351</v>
      </c>
      <c r="Q472" s="123" t="s">
        <v>120</v>
      </c>
      <c r="R472" s="123" t="s">
        <v>121</v>
      </c>
      <c r="S472" s="2"/>
      <c r="T472" s="2"/>
    </row>
    <row x14ac:dyDescent="0.25" r="473" customHeight="1" ht="13.5">
      <c r="A473" s="2"/>
      <c r="B473" s="2"/>
      <c r="C473" s="2"/>
      <c r="D473" s="2"/>
      <c r="E473" s="123" t="s">
        <v>111</v>
      </c>
      <c r="F473" s="123" t="s">
        <v>112</v>
      </c>
      <c r="G473" s="124">
        <v>834</v>
      </c>
      <c r="H473" s="123" t="s">
        <v>113</v>
      </c>
      <c r="I473" s="124">
        <v>5419</v>
      </c>
      <c r="J473" s="123" t="s">
        <v>122</v>
      </c>
      <c r="K473" s="125" t="s">
        <v>218</v>
      </c>
      <c r="L473" s="123" t="s">
        <v>219</v>
      </c>
      <c r="M473" s="124">
        <v>2017</v>
      </c>
      <c r="N473" s="124">
        <v>2017</v>
      </c>
      <c r="O473" s="123" t="s">
        <v>123</v>
      </c>
      <c r="P473" s="124">
        <v>9882</v>
      </c>
      <c r="Q473" s="123" t="s">
        <v>126</v>
      </c>
      <c r="R473" s="123" t="s">
        <v>127</v>
      </c>
      <c r="S473" s="2"/>
      <c r="T473" s="2"/>
    </row>
    <row x14ac:dyDescent="0.25" r="474" customHeight="1" ht="13.5">
      <c r="A474" s="2"/>
      <c r="B474" s="2"/>
      <c r="C474" s="2"/>
      <c r="D474" s="2"/>
      <c r="E474" s="123" t="s">
        <v>111</v>
      </c>
      <c r="F474" s="123" t="s">
        <v>112</v>
      </c>
      <c r="G474" s="124">
        <v>834</v>
      </c>
      <c r="H474" s="123" t="s">
        <v>113</v>
      </c>
      <c r="I474" s="124">
        <v>5419</v>
      </c>
      <c r="J474" s="123" t="s">
        <v>122</v>
      </c>
      <c r="K474" s="125" t="s">
        <v>218</v>
      </c>
      <c r="L474" s="123" t="s">
        <v>219</v>
      </c>
      <c r="M474" s="124">
        <v>2018</v>
      </c>
      <c r="N474" s="124">
        <v>2018</v>
      </c>
      <c r="O474" s="123" t="s">
        <v>123</v>
      </c>
      <c r="P474" s="124">
        <v>11632</v>
      </c>
      <c r="Q474" s="123" t="s">
        <v>126</v>
      </c>
      <c r="R474" s="123" t="s">
        <v>127</v>
      </c>
      <c r="S474" s="2"/>
      <c r="T474" s="2"/>
    </row>
    <row x14ac:dyDescent="0.25" r="475" customHeight="1" ht="13.5">
      <c r="A475" s="2"/>
      <c r="B475" s="2"/>
      <c r="C475" s="2"/>
      <c r="D475" s="2"/>
      <c r="E475" s="123" t="s">
        <v>111</v>
      </c>
      <c r="F475" s="123" t="s">
        <v>112</v>
      </c>
      <c r="G475" s="124">
        <v>834</v>
      </c>
      <c r="H475" s="123" t="s">
        <v>113</v>
      </c>
      <c r="I475" s="124">
        <v>5419</v>
      </c>
      <c r="J475" s="123" t="s">
        <v>122</v>
      </c>
      <c r="K475" s="125" t="s">
        <v>218</v>
      </c>
      <c r="L475" s="123" t="s">
        <v>219</v>
      </c>
      <c r="M475" s="124">
        <v>2019</v>
      </c>
      <c r="N475" s="124">
        <v>2019</v>
      </c>
      <c r="O475" s="123" t="s">
        <v>123</v>
      </c>
      <c r="P475" s="124">
        <v>10305</v>
      </c>
      <c r="Q475" s="123" t="s">
        <v>126</v>
      </c>
      <c r="R475" s="123" t="s">
        <v>127</v>
      </c>
      <c r="S475" s="2"/>
      <c r="T475" s="2"/>
    </row>
    <row x14ac:dyDescent="0.25" r="476" customHeight="1" ht="13.5">
      <c r="A476" s="2"/>
      <c r="B476" s="2"/>
      <c r="C476" s="2"/>
      <c r="D476" s="2"/>
      <c r="E476" s="123" t="s">
        <v>111</v>
      </c>
      <c r="F476" s="123" t="s">
        <v>112</v>
      </c>
      <c r="G476" s="124">
        <v>834</v>
      </c>
      <c r="H476" s="123" t="s">
        <v>113</v>
      </c>
      <c r="I476" s="124">
        <v>5419</v>
      </c>
      <c r="J476" s="123" t="s">
        <v>122</v>
      </c>
      <c r="K476" s="125" t="s">
        <v>218</v>
      </c>
      <c r="L476" s="123" t="s">
        <v>219</v>
      </c>
      <c r="M476" s="124">
        <v>2020</v>
      </c>
      <c r="N476" s="124">
        <v>2020</v>
      </c>
      <c r="O476" s="123" t="s">
        <v>123</v>
      </c>
      <c r="P476" s="124">
        <v>10603</v>
      </c>
      <c r="Q476" s="123" t="s">
        <v>118</v>
      </c>
      <c r="R476" s="123" t="s">
        <v>119</v>
      </c>
      <c r="S476" s="2"/>
      <c r="T476" s="2"/>
    </row>
    <row x14ac:dyDescent="0.25" r="477" customHeight="1" ht="13.5">
      <c r="A477" s="2"/>
      <c r="B477" s="2"/>
      <c r="C477" s="2"/>
      <c r="D477" s="2"/>
      <c r="E477" s="123" t="s">
        <v>111</v>
      </c>
      <c r="F477" s="123" t="s">
        <v>112</v>
      </c>
      <c r="G477" s="124">
        <v>834</v>
      </c>
      <c r="H477" s="123" t="s">
        <v>113</v>
      </c>
      <c r="I477" s="124">
        <v>5419</v>
      </c>
      <c r="J477" s="123" t="s">
        <v>122</v>
      </c>
      <c r="K477" s="125" t="s">
        <v>218</v>
      </c>
      <c r="L477" s="123" t="s">
        <v>219</v>
      </c>
      <c r="M477" s="124">
        <v>2021</v>
      </c>
      <c r="N477" s="124">
        <v>2021</v>
      </c>
      <c r="O477" s="123" t="s">
        <v>123</v>
      </c>
      <c r="P477" s="124">
        <v>11073</v>
      </c>
      <c r="Q477" s="123" t="s">
        <v>118</v>
      </c>
      <c r="R477" s="123" t="s">
        <v>119</v>
      </c>
      <c r="S477" s="2"/>
      <c r="T477" s="2"/>
    </row>
    <row x14ac:dyDescent="0.25" r="478" customHeight="1" ht="13.5">
      <c r="A478" s="2"/>
      <c r="B478" s="2"/>
      <c r="C478" s="2"/>
      <c r="D478" s="2"/>
      <c r="E478" s="123" t="s">
        <v>111</v>
      </c>
      <c r="F478" s="123" t="s">
        <v>112</v>
      </c>
      <c r="G478" s="124">
        <v>834</v>
      </c>
      <c r="H478" s="123" t="s">
        <v>113</v>
      </c>
      <c r="I478" s="124">
        <v>5312</v>
      </c>
      <c r="J478" s="123" t="s">
        <v>114</v>
      </c>
      <c r="K478" s="125" t="s">
        <v>220</v>
      </c>
      <c r="L478" s="123" t="s">
        <v>221</v>
      </c>
      <c r="M478" s="124">
        <v>2017</v>
      </c>
      <c r="N478" s="124">
        <v>2017</v>
      </c>
      <c r="O478" s="123" t="s">
        <v>117</v>
      </c>
      <c r="P478" s="124">
        <v>15619</v>
      </c>
      <c r="Q478" s="123" t="s">
        <v>120</v>
      </c>
      <c r="R478" s="123" t="s">
        <v>121</v>
      </c>
      <c r="S478" s="2"/>
      <c r="T478" s="2"/>
    </row>
    <row x14ac:dyDescent="0.25" r="479" customHeight="1" ht="13.5">
      <c r="A479" s="2"/>
      <c r="B479" s="2"/>
      <c r="C479" s="2"/>
      <c r="D479" s="2"/>
      <c r="E479" s="123" t="s">
        <v>111</v>
      </c>
      <c r="F479" s="123" t="s">
        <v>112</v>
      </c>
      <c r="G479" s="124">
        <v>834</v>
      </c>
      <c r="H479" s="123" t="s">
        <v>113</v>
      </c>
      <c r="I479" s="124">
        <v>5312</v>
      </c>
      <c r="J479" s="123" t="s">
        <v>114</v>
      </c>
      <c r="K479" s="125" t="s">
        <v>220</v>
      </c>
      <c r="L479" s="123" t="s">
        <v>221</v>
      </c>
      <c r="M479" s="124">
        <v>2018</v>
      </c>
      <c r="N479" s="124">
        <v>2018</v>
      </c>
      <c r="O479" s="123" t="s">
        <v>117</v>
      </c>
      <c r="P479" s="124">
        <v>15235</v>
      </c>
      <c r="Q479" s="123" t="s">
        <v>118</v>
      </c>
      <c r="R479" s="123" t="s">
        <v>119</v>
      </c>
      <c r="S479" s="2"/>
      <c r="T479" s="2"/>
    </row>
    <row x14ac:dyDescent="0.25" r="480" customHeight="1" ht="13.5">
      <c r="A480" s="2"/>
      <c r="B480" s="2"/>
      <c r="C480" s="2"/>
      <c r="D480" s="2"/>
      <c r="E480" s="123" t="s">
        <v>111</v>
      </c>
      <c r="F480" s="123" t="s">
        <v>112</v>
      </c>
      <c r="G480" s="124">
        <v>834</v>
      </c>
      <c r="H480" s="123" t="s">
        <v>113</v>
      </c>
      <c r="I480" s="124">
        <v>5312</v>
      </c>
      <c r="J480" s="123" t="s">
        <v>114</v>
      </c>
      <c r="K480" s="125" t="s">
        <v>220</v>
      </c>
      <c r="L480" s="123" t="s">
        <v>221</v>
      </c>
      <c r="M480" s="124">
        <v>2019</v>
      </c>
      <c r="N480" s="124">
        <v>2019</v>
      </c>
      <c r="O480" s="123" t="s">
        <v>117</v>
      </c>
      <c r="P480" s="124">
        <v>15366</v>
      </c>
      <c r="Q480" s="123" t="s">
        <v>118</v>
      </c>
      <c r="R480" s="123" t="s">
        <v>119</v>
      </c>
      <c r="S480" s="2"/>
      <c r="T480" s="2"/>
    </row>
    <row x14ac:dyDescent="0.25" r="481" customHeight="1" ht="13.5">
      <c r="A481" s="2"/>
      <c r="B481" s="2"/>
      <c r="C481" s="2"/>
      <c r="D481" s="2"/>
      <c r="E481" s="123" t="s">
        <v>111</v>
      </c>
      <c r="F481" s="123" t="s">
        <v>112</v>
      </c>
      <c r="G481" s="124">
        <v>834</v>
      </c>
      <c r="H481" s="123" t="s">
        <v>113</v>
      </c>
      <c r="I481" s="124">
        <v>5312</v>
      </c>
      <c r="J481" s="123" t="s">
        <v>114</v>
      </c>
      <c r="K481" s="125" t="s">
        <v>220</v>
      </c>
      <c r="L481" s="123" t="s">
        <v>221</v>
      </c>
      <c r="M481" s="124">
        <v>2020</v>
      </c>
      <c r="N481" s="124">
        <v>2020</v>
      </c>
      <c r="O481" s="123" t="s">
        <v>117</v>
      </c>
      <c r="P481" s="124">
        <v>15407</v>
      </c>
      <c r="Q481" s="123" t="s">
        <v>118</v>
      </c>
      <c r="R481" s="123" t="s">
        <v>119</v>
      </c>
      <c r="S481" s="2"/>
      <c r="T481" s="2"/>
    </row>
    <row x14ac:dyDescent="0.25" r="482" customHeight="1" ht="13.5">
      <c r="A482" s="2"/>
      <c r="B482" s="2"/>
      <c r="C482" s="2"/>
      <c r="D482" s="2"/>
      <c r="E482" s="123" t="s">
        <v>111</v>
      </c>
      <c r="F482" s="123" t="s">
        <v>112</v>
      </c>
      <c r="G482" s="124">
        <v>834</v>
      </c>
      <c r="H482" s="123" t="s">
        <v>113</v>
      </c>
      <c r="I482" s="124">
        <v>5312</v>
      </c>
      <c r="J482" s="123" t="s">
        <v>114</v>
      </c>
      <c r="K482" s="125" t="s">
        <v>220</v>
      </c>
      <c r="L482" s="123" t="s">
        <v>221</v>
      </c>
      <c r="M482" s="124">
        <v>2021</v>
      </c>
      <c r="N482" s="124">
        <v>2021</v>
      </c>
      <c r="O482" s="123" t="s">
        <v>117</v>
      </c>
      <c r="P482" s="124">
        <v>15336</v>
      </c>
      <c r="Q482" s="123" t="s">
        <v>118</v>
      </c>
      <c r="R482" s="123" t="s">
        <v>119</v>
      </c>
      <c r="S482" s="2"/>
      <c r="T482" s="2"/>
    </row>
    <row x14ac:dyDescent="0.25" r="483" customHeight="1" ht="13.5">
      <c r="A483" s="2"/>
      <c r="B483" s="2"/>
      <c r="C483" s="2"/>
      <c r="D483" s="2"/>
      <c r="E483" s="123" t="s">
        <v>111</v>
      </c>
      <c r="F483" s="123" t="s">
        <v>112</v>
      </c>
      <c r="G483" s="124">
        <v>834</v>
      </c>
      <c r="H483" s="123" t="s">
        <v>113</v>
      </c>
      <c r="I483" s="124">
        <v>5419</v>
      </c>
      <c r="J483" s="123" t="s">
        <v>122</v>
      </c>
      <c r="K483" s="125" t="s">
        <v>220</v>
      </c>
      <c r="L483" s="123" t="s">
        <v>221</v>
      </c>
      <c r="M483" s="124">
        <v>2017</v>
      </c>
      <c r="N483" s="124">
        <v>2017</v>
      </c>
      <c r="O483" s="123" t="s">
        <v>123</v>
      </c>
      <c r="P483" s="124">
        <v>239794</v>
      </c>
      <c r="Q483" s="123" t="s">
        <v>118</v>
      </c>
      <c r="R483" s="123" t="s">
        <v>119</v>
      </c>
      <c r="S483" s="2"/>
      <c r="T483" s="2"/>
    </row>
    <row x14ac:dyDescent="0.25" r="484" customHeight="1" ht="13.5">
      <c r="A484" s="2"/>
      <c r="B484" s="2"/>
      <c r="C484" s="2"/>
      <c r="D484" s="2"/>
      <c r="E484" s="123" t="s">
        <v>111</v>
      </c>
      <c r="F484" s="123" t="s">
        <v>112</v>
      </c>
      <c r="G484" s="124">
        <v>834</v>
      </c>
      <c r="H484" s="123" t="s">
        <v>113</v>
      </c>
      <c r="I484" s="124">
        <v>5419</v>
      </c>
      <c r="J484" s="123" t="s">
        <v>122</v>
      </c>
      <c r="K484" s="125" t="s">
        <v>220</v>
      </c>
      <c r="L484" s="123" t="s">
        <v>221</v>
      </c>
      <c r="M484" s="124">
        <v>2018</v>
      </c>
      <c r="N484" s="124">
        <v>2018</v>
      </c>
      <c r="O484" s="123" t="s">
        <v>123</v>
      </c>
      <c r="P484" s="124">
        <v>243720</v>
      </c>
      <c r="Q484" s="123" t="s">
        <v>118</v>
      </c>
      <c r="R484" s="123" t="s">
        <v>119</v>
      </c>
      <c r="S484" s="2"/>
      <c r="T484" s="2"/>
    </row>
    <row x14ac:dyDescent="0.25" r="485" customHeight="1" ht="13.5">
      <c r="A485" s="2"/>
      <c r="B485" s="2"/>
      <c r="C485" s="2"/>
      <c r="D485" s="2"/>
      <c r="E485" s="123" t="s">
        <v>111</v>
      </c>
      <c r="F485" s="123" t="s">
        <v>112</v>
      </c>
      <c r="G485" s="124">
        <v>834</v>
      </c>
      <c r="H485" s="123" t="s">
        <v>113</v>
      </c>
      <c r="I485" s="124">
        <v>5419</v>
      </c>
      <c r="J485" s="123" t="s">
        <v>122</v>
      </c>
      <c r="K485" s="125" t="s">
        <v>220</v>
      </c>
      <c r="L485" s="123" t="s">
        <v>221</v>
      </c>
      <c r="M485" s="124">
        <v>2019</v>
      </c>
      <c r="N485" s="124">
        <v>2019</v>
      </c>
      <c r="O485" s="123" t="s">
        <v>123</v>
      </c>
      <c r="P485" s="124">
        <v>242393</v>
      </c>
      <c r="Q485" s="123" t="s">
        <v>118</v>
      </c>
      <c r="R485" s="123" t="s">
        <v>119</v>
      </c>
      <c r="S485" s="2"/>
      <c r="T485" s="2"/>
    </row>
    <row x14ac:dyDescent="0.25" r="486" customHeight="1" ht="13.5">
      <c r="A486" s="2"/>
      <c r="B486" s="2"/>
      <c r="C486" s="2"/>
      <c r="D486" s="2"/>
      <c r="E486" s="123" t="s">
        <v>111</v>
      </c>
      <c r="F486" s="123" t="s">
        <v>112</v>
      </c>
      <c r="G486" s="124">
        <v>834</v>
      </c>
      <c r="H486" s="123" t="s">
        <v>113</v>
      </c>
      <c r="I486" s="124">
        <v>5419</v>
      </c>
      <c r="J486" s="123" t="s">
        <v>122</v>
      </c>
      <c r="K486" s="125" t="s">
        <v>220</v>
      </c>
      <c r="L486" s="123" t="s">
        <v>221</v>
      </c>
      <c r="M486" s="124">
        <v>2020</v>
      </c>
      <c r="N486" s="124">
        <v>2020</v>
      </c>
      <c r="O486" s="123" t="s">
        <v>123</v>
      </c>
      <c r="P486" s="124">
        <v>241952</v>
      </c>
      <c r="Q486" s="123" t="s">
        <v>118</v>
      </c>
      <c r="R486" s="123" t="s">
        <v>119</v>
      </c>
      <c r="S486" s="2"/>
      <c r="T486" s="2"/>
    </row>
    <row x14ac:dyDescent="0.25" r="487" customHeight="1" ht="13.5">
      <c r="A487" s="2"/>
      <c r="B487" s="2"/>
      <c r="C487" s="2"/>
      <c r="D487" s="2"/>
      <c r="E487" s="123" t="s">
        <v>111</v>
      </c>
      <c r="F487" s="123" t="s">
        <v>112</v>
      </c>
      <c r="G487" s="124">
        <v>834</v>
      </c>
      <c r="H487" s="123" t="s">
        <v>113</v>
      </c>
      <c r="I487" s="124">
        <v>5419</v>
      </c>
      <c r="J487" s="123" t="s">
        <v>122</v>
      </c>
      <c r="K487" s="125" t="s">
        <v>220</v>
      </c>
      <c r="L487" s="123" t="s">
        <v>221</v>
      </c>
      <c r="M487" s="124">
        <v>2021</v>
      </c>
      <c r="N487" s="124">
        <v>2021</v>
      </c>
      <c r="O487" s="123" t="s">
        <v>123</v>
      </c>
      <c r="P487" s="124">
        <v>242685</v>
      </c>
      <c r="Q487" s="123" t="s">
        <v>118</v>
      </c>
      <c r="R487" s="123" t="s">
        <v>119</v>
      </c>
      <c r="S487" s="2"/>
      <c r="T487" s="2"/>
    </row>
    <row x14ac:dyDescent="0.25" r="488" customHeight="1" ht="13.5">
      <c r="A488" s="2"/>
      <c r="B488" s="2"/>
      <c r="C488" s="2"/>
      <c r="D488" s="2"/>
      <c r="E488" s="123" t="s">
        <v>111</v>
      </c>
      <c r="F488" s="123" t="s">
        <v>112</v>
      </c>
      <c r="G488" s="124">
        <v>834</v>
      </c>
      <c r="H488" s="123" t="s">
        <v>113</v>
      </c>
      <c r="I488" s="124">
        <v>5312</v>
      </c>
      <c r="J488" s="123" t="s">
        <v>114</v>
      </c>
      <c r="K488" s="125" t="s">
        <v>222</v>
      </c>
      <c r="L488" s="123" t="s">
        <v>223</v>
      </c>
      <c r="M488" s="124">
        <v>2017</v>
      </c>
      <c r="N488" s="124">
        <v>2017</v>
      </c>
      <c r="O488" s="123" t="s">
        <v>117</v>
      </c>
      <c r="P488" s="124">
        <v>305896</v>
      </c>
      <c r="Q488" s="123" t="s">
        <v>120</v>
      </c>
      <c r="R488" s="123" t="s">
        <v>121</v>
      </c>
      <c r="S488" s="2"/>
      <c r="T488" s="2"/>
    </row>
    <row x14ac:dyDescent="0.25" r="489" customHeight="1" ht="13.5">
      <c r="A489" s="2"/>
      <c r="B489" s="2"/>
      <c r="C489" s="2"/>
      <c r="D489" s="2"/>
      <c r="E489" s="123" t="s">
        <v>111</v>
      </c>
      <c r="F489" s="123" t="s">
        <v>112</v>
      </c>
      <c r="G489" s="124">
        <v>834</v>
      </c>
      <c r="H489" s="123" t="s">
        <v>113</v>
      </c>
      <c r="I489" s="124">
        <v>5312</v>
      </c>
      <c r="J489" s="123" t="s">
        <v>114</v>
      </c>
      <c r="K489" s="125" t="s">
        <v>222</v>
      </c>
      <c r="L489" s="123" t="s">
        <v>223</v>
      </c>
      <c r="M489" s="124">
        <v>2018</v>
      </c>
      <c r="N489" s="124">
        <v>2018</v>
      </c>
      <c r="O489" s="123" t="s">
        <v>117</v>
      </c>
      <c r="P489" s="124">
        <v>306110</v>
      </c>
      <c r="Q489" s="123" t="s">
        <v>120</v>
      </c>
      <c r="R489" s="123" t="s">
        <v>121</v>
      </c>
      <c r="S489" s="2"/>
      <c r="T489" s="2"/>
    </row>
    <row x14ac:dyDescent="0.25" r="490" customHeight="1" ht="13.5">
      <c r="A490" s="2"/>
      <c r="B490" s="2"/>
      <c r="C490" s="2"/>
      <c r="D490" s="2"/>
      <c r="E490" s="123" t="s">
        <v>111</v>
      </c>
      <c r="F490" s="123" t="s">
        <v>112</v>
      </c>
      <c r="G490" s="124">
        <v>834</v>
      </c>
      <c r="H490" s="123" t="s">
        <v>113</v>
      </c>
      <c r="I490" s="124">
        <v>5312</v>
      </c>
      <c r="J490" s="123" t="s">
        <v>114</v>
      </c>
      <c r="K490" s="125" t="s">
        <v>222</v>
      </c>
      <c r="L490" s="123" t="s">
        <v>223</v>
      </c>
      <c r="M490" s="124">
        <v>2019</v>
      </c>
      <c r="N490" s="124">
        <v>2019</v>
      </c>
      <c r="O490" s="123" t="s">
        <v>117</v>
      </c>
      <c r="P490" s="124">
        <v>305886</v>
      </c>
      <c r="Q490" s="123" t="s">
        <v>120</v>
      </c>
      <c r="R490" s="123" t="s">
        <v>121</v>
      </c>
      <c r="S490" s="2"/>
      <c r="T490" s="2"/>
    </row>
    <row x14ac:dyDescent="0.25" r="491" customHeight="1" ht="13.5">
      <c r="A491" s="2"/>
      <c r="B491" s="2"/>
      <c r="C491" s="2"/>
      <c r="D491" s="2"/>
      <c r="E491" s="123" t="s">
        <v>111</v>
      </c>
      <c r="F491" s="123" t="s">
        <v>112</v>
      </c>
      <c r="G491" s="124">
        <v>834</v>
      </c>
      <c r="H491" s="123" t="s">
        <v>113</v>
      </c>
      <c r="I491" s="124">
        <v>5312</v>
      </c>
      <c r="J491" s="123" t="s">
        <v>114</v>
      </c>
      <c r="K491" s="125" t="s">
        <v>222</v>
      </c>
      <c r="L491" s="123" t="s">
        <v>223</v>
      </c>
      <c r="M491" s="124">
        <v>2020</v>
      </c>
      <c r="N491" s="124">
        <v>2020</v>
      </c>
      <c r="O491" s="123" t="s">
        <v>117</v>
      </c>
      <c r="P491" s="124">
        <v>308237</v>
      </c>
      <c r="Q491" s="123" t="s">
        <v>120</v>
      </c>
      <c r="R491" s="123" t="s">
        <v>121</v>
      </c>
      <c r="S491" s="2"/>
      <c r="T491" s="2"/>
    </row>
    <row x14ac:dyDescent="0.25" r="492" customHeight="1" ht="13.5">
      <c r="A492" s="2"/>
      <c r="B492" s="2"/>
      <c r="C492" s="2"/>
      <c r="D492" s="2"/>
      <c r="E492" s="123" t="s">
        <v>111</v>
      </c>
      <c r="F492" s="123" t="s">
        <v>112</v>
      </c>
      <c r="G492" s="124">
        <v>834</v>
      </c>
      <c r="H492" s="123" t="s">
        <v>113</v>
      </c>
      <c r="I492" s="124">
        <v>5312</v>
      </c>
      <c r="J492" s="123" t="s">
        <v>114</v>
      </c>
      <c r="K492" s="125" t="s">
        <v>222</v>
      </c>
      <c r="L492" s="123" t="s">
        <v>223</v>
      </c>
      <c r="M492" s="124">
        <v>2021</v>
      </c>
      <c r="N492" s="124">
        <v>2021</v>
      </c>
      <c r="O492" s="123" t="s">
        <v>117</v>
      </c>
      <c r="P492" s="124">
        <v>310626</v>
      </c>
      <c r="Q492" s="123" t="s">
        <v>120</v>
      </c>
      <c r="R492" s="123" t="s">
        <v>121</v>
      </c>
      <c r="S492" s="2"/>
      <c r="T492" s="2"/>
    </row>
    <row x14ac:dyDescent="0.25" r="493" customHeight="1" ht="13.5">
      <c r="A493" s="2"/>
      <c r="B493" s="2"/>
      <c r="C493" s="2"/>
      <c r="D493" s="2"/>
      <c r="E493" s="123" t="s">
        <v>111</v>
      </c>
      <c r="F493" s="123" t="s">
        <v>112</v>
      </c>
      <c r="G493" s="124">
        <v>834</v>
      </c>
      <c r="H493" s="123" t="s">
        <v>113</v>
      </c>
      <c r="I493" s="124">
        <v>5419</v>
      </c>
      <c r="J493" s="123" t="s">
        <v>122</v>
      </c>
      <c r="K493" s="125" t="s">
        <v>222</v>
      </c>
      <c r="L493" s="123" t="s">
        <v>223</v>
      </c>
      <c r="M493" s="124">
        <v>2017</v>
      </c>
      <c r="N493" s="124">
        <v>2017</v>
      </c>
      <c r="O493" s="123" t="s">
        <v>123</v>
      </c>
      <c r="P493" s="124">
        <v>18956</v>
      </c>
      <c r="Q493" s="123" t="s">
        <v>118</v>
      </c>
      <c r="R493" s="123" t="s">
        <v>119</v>
      </c>
      <c r="S493" s="2"/>
      <c r="T493" s="2"/>
    </row>
    <row x14ac:dyDescent="0.25" r="494" customHeight="1" ht="13.5">
      <c r="A494" s="2"/>
      <c r="B494" s="2"/>
      <c r="C494" s="2"/>
      <c r="D494" s="2"/>
      <c r="E494" s="123" t="s">
        <v>111</v>
      </c>
      <c r="F494" s="123" t="s">
        <v>112</v>
      </c>
      <c r="G494" s="124">
        <v>834</v>
      </c>
      <c r="H494" s="123" t="s">
        <v>113</v>
      </c>
      <c r="I494" s="124">
        <v>5419</v>
      </c>
      <c r="J494" s="123" t="s">
        <v>122</v>
      </c>
      <c r="K494" s="125" t="s">
        <v>222</v>
      </c>
      <c r="L494" s="123" t="s">
        <v>223</v>
      </c>
      <c r="M494" s="124">
        <v>2018</v>
      </c>
      <c r="N494" s="124">
        <v>2018</v>
      </c>
      <c r="O494" s="123" t="s">
        <v>123</v>
      </c>
      <c r="P494" s="124">
        <v>18948</v>
      </c>
      <c r="Q494" s="123" t="s">
        <v>118</v>
      </c>
      <c r="R494" s="123" t="s">
        <v>119</v>
      </c>
      <c r="S494" s="2"/>
      <c r="T494" s="2"/>
    </row>
    <row x14ac:dyDescent="0.25" r="495" customHeight="1" ht="13.5">
      <c r="A495" s="2"/>
      <c r="B495" s="2"/>
      <c r="C495" s="2"/>
      <c r="D495" s="2"/>
      <c r="E495" s="123" t="s">
        <v>111</v>
      </c>
      <c r="F495" s="123" t="s">
        <v>112</v>
      </c>
      <c r="G495" s="124">
        <v>834</v>
      </c>
      <c r="H495" s="123" t="s">
        <v>113</v>
      </c>
      <c r="I495" s="124">
        <v>5419</v>
      </c>
      <c r="J495" s="123" t="s">
        <v>122</v>
      </c>
      <c r="K495" s="125" t="s">
        <v>222</v>
      </c>
      <c r="L495" s="123" t="s">
        <v>223</v>
      </c>
      <c r="M495" s="124">
        <v>2019</v>
      </c>
      <c r="N495" s="124">
        <v>2019</v>
      </c>
      <c r="O495" s="123" t="s">
        <v>123</v>
      </c>
      <c r="P495" s="124">
        <v>18967</v>
      </c>
      <c r="Q495" s="123" t="s">
        <v>118</v>
      </c>
      <c r="R495" s="123" t="s">
        <v>119</v>
      </c>
      <c r="S495" s="2"/>
      <c r="T495" s="2"/>
    </row>
    <row x14ac:dyDescent="0.25" r="496" customHeight="1" ht="13.5">
      <c r="A496" s="2"/>
      <c r="B496" s="2"/>
      <c r="C496" s="2"/>
      <c r="D496" s="2"/>
      <c r="E496" s="123" t="s">
        <v>111</v>
      </c>
      <c r="F496" s="123" t="s">
        <v>112</v>
      </c>
      <c r="G496" s="124">
        <v>834</v>
      </c>
      <c r="H496" s="123" t="s">
        <v>113</v>
      </c>
      <c r="I496" s="124">
        <v>5419</v>
      </c>
      <c r="J496" s="123" t="s">
        <v>122</v>
      </c>
      <c r="K496" s="125" t="s">
        <v>222</v>
      </c>
      <c r="L496" s="123" t="s">
        <v>223</v>
      </c>
      <c r="M496" s="124">
        <v>2020</v>
      </c>
      <c r="N496" s="124">
        <v>2020</v>
      </c>
      <c r="O496" s="123" t="s">
        <v>123</v>
      </c>
      <c r="P496" s="124">
        <v>18817</v>
      </c>
      <c r="Q496" s="123" t="s">
        <v>118</v>
      </c>
      <c r="R496" s="123" t="s">
        <v>119</v>
      </c>
      <c r="S496" s="2"/>
      <c r="T496" s="2"/>
    </row>
    <row x14ac:dyDescent="0.25" r="497" customHeight="1" ht="13.5">
      <c r="A497" s="2"/>
      <c r="B497" s="2"/>
      <c r="C497" s="2"/>
      <c r="D497" s="2"/>
      <c r="E497" s="123" t="s">
        <v>111</v>
      </c>
      <c r="F497" s="123" t="s">
        <v>112</v>
      </c>
      <c r="G497" s="124">
        <v>834</v>
      </c>
      <c r="H497" s="123" t="s">
        <v>113</v>
      </c>
      <c r="I497" s="124">
        <v>5419</v>
      </c>
      <c r="J497" s="123" t="s">
        <v>122</v>
      </c>
      <c r="K497" s="125" t="s">
        <v>222</v>
      </c>
      <c r="L497" s="123" t="s">
        <v>223</v>
      </c>
      <c r="M497" s="124">
        <v>2021</v>
      </c>
      <c r="N497" s="124">
        <v>2021</v>
      </c>
      <c r="O497" s="123" t="s">
        <v>123</v>
      </c>
      <c r="P497" s="124">
        <v>18667</v>
      </c>
      <c r="Q497" s="123" t="s">
        <v>118</v>
      </c>
      <c r="R497" s="123" t="s">
        <v>119</v>
      </c>
      <c r="S497" s="2"/>
      <c r="T497" s="2"/>
    </row>
    <row x14ac:dyDescent="0.25" r="498" customHeight="1" ht="13.5">
      <c r="A498" s="2"/>
      <c r="B498" s="2"/>
      <c r="C498" s="2"/>
      <c r="D498" s="2"/>
      <c r="E498" s="123" t="s">
        <v>111</v>
      </c>
      <c r="F498" s="123" t="s">
        <v>112</v>
      </c>
      <c r="G498" s="124">
        <v>834</v>
      </c>
      <c r="H498" s="123" t="s">
        <v>113</v>
      </c>
      <c r="I498" s="124">
        <v>5312</v>
      </c>
      <c r="J498" s="123" t="s">
        <v>114</v>
      </c>
      <c r="K498" s="125" t="s">
        <v>224</v>
      </c>
      <c r="L498" s="123" t="s">
        <v>225</v>
      </c>
      <c r="M498" s="124">
        <v>2017</v>
      </c>
      <c r="N498" s="124">
        <v>2017</v>
      </c>
      <c r="O498" s="123" t="s">
        <v>117</v>
      </c>
      <c r="P498" s="124">
        <v>619</v>
      </c>
      <c r="Q498" s="123" t="s">
        <v>118</v>
      </c>
      <c r="R498" s="123" t="s">
        <v>119</v>
      </c>
      <c r="S498" s="2"/>
      <c r="T498" s="2"/>
    </row>
    <row x14ac:dyDescent="0.25" r="499" customHeight="1" ht="13.5">
      <c r="A499" s="2"/>
      <c r="B499" s="2"/>
      <c r="C499" s="2"/>
      <c r="D499" s="2"/>
      <c r="E499" s="123" t="s">
        <v>111</v>
      </c>
      <c r="F499" s="123" t="s">
        <v>112</v>
      </c>
      <c r="G499" s="124">
        <v>834</v>
      </c>
      <c r="H499" s="123" t="s">
        <v>113</v>
      </c>
      <c r="I499" s="124">
        <v>5312</v>
      </c>
      <c r="J499" s="123" t="s">
        <v>114</v>
      </c>
      <c r="K499" s="125" t="s">
        <v>224</v>
      </c>
      <c r="L499" s="123" t="s">
        <v>225</v>
      </c>
      <c r="M499" s="124">
        <v>2018</v>
      </c>
      <c r="N499" s="124">
        <v>2018</v>
      </c>
      <c r="O499" s="123" t="s">
        <v>117</v>
      </c>
      <c r="P499" s="124">
        <v>624</v>
      </c>
      <c r="Q499" s="123" t="s">
        <v>118</v>
      </c>
      <c r="R499" s="123" t="s">
        <v>119</v>
      </c>
      <c r="S499" s="2"/>
      <c r="T499" s="2"/>
    </row>
    <row x14ac:dyDescent="0.25" r="500" customHeight="1" ht="13.5">
      <c r="A500" s="2"/>
      <c r="B500" s="2"/>
      <c r="C500" s="2"/>
      <c r="D500" s="2"/>
      <c r="E500" s="123" t="s">
        <v>111</v>
      </c>
      <c r="F500" s="123" t="s">
        <v>112</v>
      </c>
      <c r="G500" s="124">
        <v>834</v>
      </c>
      <c r="H500" s="123" t="s">
        <v>113</v>
      </c>
      <c r="I500" s="124">
        <v>5312</v>
      </c>
      <c r="J500" s="123" t="s">
        <v>114</v>
      </c>
      <c r="K500" s="125" t="s">
        <v>224</v>
      </c>
      <c r="L500" s="123" t="s">
        <v>225</v>
      </c>
      <c r="M500" s="124">
        <v>2019</v>
      </c>
      <c r="N500" s="124">
        <v>2019</v>
      </c>
      <c r="O500" s="123" t="s">
        <v>117</v>
      </c>
      <c r="P500" s="124">
        <v>612</v>
      </c>
      <c r="Q500" s="123" t="s">
        <v>118</v>
      </c>
      <c r="R500" s="123" t="s">
        <v>119</v>
      </c>
      <c r="S500" s="2"/>
      <c r="T500" s="2"/>
    </row>
    <row x14ac:dyDescent="0.25" r="501" customHeight="1" ht="13.5">
      <c r="A501" s="2"/>
      <c r="B501" s="2"/>
      <c r="C501" s="2"/>
      <c r="D501" s="2"/>
      <c r="E501" s="123" t="s">
        <v>111</v>
      </c>
      <c r="F501" s="123" t="s">
        <v>112</v>
      </c>
      <c r="G501" s="124">
        <v>834</v>
      </c>
      <c r="H501" s="123" t="s">
        <v>113</v>
      </c>
      <c r="I501" s="124">
        <v>5312</v>
      </c>
      <c r="J501" s="123" t="s">
        <v>114</v>
      </c>
      <c r="K501" s="125" t="s">
        <v>224</v>
      </c>
      <c r="L501" s="123" t="s">
        <v>225</v>
      </c>
      <c r="M501" s="124">
        <v>2020</v>
      </c>
      <c r="N501" s="124">
        <v>2020</v>
      </c>
      <c r="O501" s="123" t="s">
        <v>117</v>
      </c>
      <c r="P501" s="124">
        <v>619</v>
      </c>
      <c r="Q501" s="123" t="s">
        <v>118</v>
      </c>
      <c r="R501" s="123" t="s">
        <v>119</v>
      </c>
      <c r="S501" s="2"/>
      <c r="T501" s="2"/>
    </row>
    <row x14ac:dyDescent="0.25" r="502" customHeight="1" ht="13.5">
      <c r="A502" s="2"/>
      <c r="B502" s="2"/>
      <c r="C502" s="2"/>
      <c r="D502" s="2"/>
      <c r="E502" s="123" t="s">
        <v>111</v>
      </c>
      <c r="F502" s="123" t="s">
        <v>112</v>
      </c>
      <c r="G502" s="124">
        <v>834</v>
      </c>
      <c r="H502" s="123" t="s">
        <v>113</v>
      </c>
      <c r="I502" s="124">
        <v>5312</v>
      </c>
      <c r="J502" s="123" t="s">
        <v>114</v>
      </c>
      <c r="K502" s="125" t="s">
        <v>224</v>
      </c>
      <c r="L502" s="123" t="s">
        <v>225</v>
      </c>
      <c r="M502" s="124">
        <v>2021</v>
      </c>
      <c r="N502" s="124">
        <v>2021</v>
      </c>
      <c r="O502" s="123" t="s">
        <v>117</v>
      </c>
      <c r="P502" s="124">
        <v>618</v>
      </c>
      <c r="Q502" s="123" t="s">
        <v>118</v>
      </c>
      <c r="R502" s="123" t="s">
        <v>119</v>
      </c>
      <c r="S502" s="2"/>
      <c r="T502" s="2"/>
    </row>
    <row x14ac:dyDescent="0.25" r="503" customHeight="1" ht="13.5">
      <c r="A503" s="2"/>
      <c r="B503" s="2"/>
      <c r="C503" s="2"/>
      <c r="D503" s="2"/>
      <c r="E503" s="123" t="s">
        <v>111</v>
      </c>
      <c r="F503" s="123" t="s">
        <v>112</v>
      </c>
      <c r="G503" s="124">
        <v>834</v>
      </c>
      <c r="H503" s="123" t="s">
        <v>113</v>
      </c>
      <c r="I503" s="124">
        <v>5419</v>
      </c>
      <c r="J503" s="123" t="s">
        <v>122</v>
      </c>
      <c r="K503" s="125" t="s">
        <v>224</v>
      </c>
      <c r="L503" s="123" t="s">
        <v>225</v>
      </c>
      <c r="M503" s="124">
        <v>2017</v>
      </c>
      <c r="N503" s="124">
        <v>2017</v>
      </c>
      <c r="O503" s="123" t="s">
        <v>123</v>
      </c>
      <c r="P503" s="124">
        <v>65332</v>
      </c>
      <c r="Q503" s="123" t="s">
        <v>118</v>
      </c>
      <c r="R503" s="123" t="s">
        <v>119</v>
      </c>
      <c r="S503" s="2"/>
      <c r="T503" s="2"/>
    </row>
    <row x14ac:dyDescent="0.25" r="504" customHeight="1" ht="13.5">
      <c r="A504" s="2"/>
      <c r="B504" s="2"/>
      <c r="C504" s="2"/>
      <c r="D504" s="2"/>
      <c r="E504" s="123" t="s">
        <v>111</v>
      </c>
      <c r="F504" s="123" t="s">
        <v>112</v>
      </c>
      <c r="G504" s="124">
        <v>834</v>
      </c>
      <c r="H504" s="123" t="s">
        <v>113</v>
      </c>
      <c r="I504" s="124">
        <v>5419</v>
      </c>
      <c r="J504" s="123" t="s">
        <v>122</v>
      </c>
      <c r="K504" s="125" t="s">
        <v>224</v>
      </c>
      <c r="L504" s="123" t="s">
        <v>225</v>
      </c>
      <c r="M504" s="124">
        <v>2018</v>
      </c>
      <c r="N504" s="124">
        <v>2018</v>
      </c>
      <c r="O504" s="123" t="s">
        <v>123</v>
      </c>
      <c r="P504" s="124">
        <v>65173</v>
      </c>
      <c r="Q504" s="123" t="s">
        <v>118</v>
      </c>
      <c r="R504" s="123" t="s">
        <v>119</v>
      </c>
      <c r="S504" s="2"/>
      <c r="T504" s="2"/>
    </row>
    <row x14ac:dyDescent="0.25" r="505" customHeight="1" ht="13.5">
      <c r="A505" s="2"/>
      <c r="B505" s="2"/>
      <c r="C505" s="2"/>
      <c r="D505" s="2"/>
      <c r="E505" s="123" t="s">
        <v>111</v>
      </c>
      <c r="F505" s="123" t="s">
        <v>112</v>
      </c>
      <c r="G505" s="124">
        <v>834</v>
      </c>
      <c r="H505" s="123" t="s">
        <v>113</v>
      </c>
      <c r="I505" s="124">
        <v>5419</v>
      </c>
      <c r="J505" s="123" t="s">
        <v>122</v>
      </c>
      <c r="K505" s="125" t="s">
        <v>224</v>
      </c>
      <c r="L505" s="123" t="s">
        <v>225</v>
      </c>
      <c r="M505" s="124">
        <v>2019</v>
      </c>
      <c r="N505" s="124">
        <v>2019</v>
      </c>
      <c r="O505" s="123" t="s">
        <v>123</v>
      </c>
      <c r="P505" s="124">
        <v>65523</v>
      </c>
      <c r="Q505" s="123" t="s">
        <v>118</v>
      </c>
      <c r="R505" s="123" t="s">
        <v>119</v>
      </c>
      <c r="S505" s="2"/>
      <c r="T505" s="2"/>
    </row>
    <row x14ac:dyDescent="0.25" r="506" customHeight="1" ht="13.5">
      <c r="A506" s="2"/>
      <c r="B506" s="2"/>
      <c r="C506" s="2"/>
      <c r="D506" s="2"/>
      <c r="E506" s="123" t="s">
        <v>111</v>
      </c>
      <c r="F506" s="123" t="s">
        <v>112</v>
      </c>
      <c r="G506" s="124">
        <v>834</v>
      </c>
      <c r="H506" s="123" t="s">
        <v>113</v>
      </c>
      <c r="I506" s="124">
        <v>5419</v>
      </c>
      <c r="J506" s="123" t="s">
        <v>122</v>
      </c>
      <c r="K506" s="125" t="s">
        <v>224</v>
      </c>
      <c r="L506" s="123" t="s">
        <v>225</v>
      </c>
      <c r="M506" s="124">
        <v>2020</v>
      </c>
      <c r="N506" s="124">
        <v>2020</v>
      </c>
      <c r="O506" s="123" t="s">
        <v>123</v>
      </c>
      <c r="P506" s="124">
        <v>65342</v>
      </c>
      <c r="Q506" s="123" t="s">
        <v>118</v>
      </c>
      <c r="R506" s="123" t="s">
        <v>119</v>
      </c>
      <c r="S506" s="2"/>
      <c r="T506" s="2"/>
    </row>
    <row x14ac:dyDescent="0.25" r="507" customHeight="1" ht="13.5">
      <c r="A507" s="2"/>
      <c r="B507" s="2"/>
      <c r="C507" s="2"/>
      <c r="D507" s="2"/>
      <c r="E507" s="123" t="s">
        <v>111</v>
      </c>
      <c r="F507" s="123" t="s">
        <v>112</v>
      </c>
      <c r="G507" s="124">
        <v>834</v>
      </c>
      <c r="H507" s="123" t="s">
        <v>113</v>
      </c>
      <c r="I507" s="124">
        <v>5419</v>
      </c>
      <c r="J507" s="123" t="s">
        <v>122</v>
      </c>
      <c r="K507" s="125" t="s">
        <v>224</v>
      </c>
      <c r="L507" s="123" t="s">
        <v>225</v>
      </c>
      <c r="M507" s="124">
        <v>2021</v>
      </c>
      <c r="N507" s="124">
        <v>2021</v>
      </c>
      <c r="O507" s="123" t="s">
        <v>123</v>
      </c>
      <c r="P507" s="124">
        <v>65345</v>
      </c>
      <c r="Q507" s="123" t="s">
        <v>118</v>
      </c>
      <c r="R507" s="123" t="s">
        <v>119</v>
      </c>
      <c r="S507" s="2"/>
      <c r="T507" s="2"/>
    </row>
    <row x14ac:dyDescent="0.25" r="508" customHeight="1" ht="13.5">
      <c r="A508" s="2"/>
      <c r="B508" s="2"/>
      <c r="C508" s="2"/>
      <c r="D508" s="2"/>
      <c r="E508" s="123" t="s">
        <v>111</v>
      </c>
      <c r="F508" s="123" t="s">
        <v>112</v>
      </c>
      <c r="G508" s="124">
        <v>834</v>
      </c>
      <c r="H508" s="123" t="s">
        <v>113</v>
      </c>
      <c r="I508" s="124">
        <v>5312</v>
      </c>
      <c r="J508" s="123" t="s">
        <v>114</v>
      </c>
      <c r="K508" s="125" t="s">
        <v>226</v>
      </c>
      <c r="L508" s="123" t="s">
        <v>227</v>
      </c>
      <c r="M508" s="124">
        <v>2017</v>
      </c>
      <c r="N508" s="124">
        <v>2017</v>
      </c>
      <c r="O508" s="123" t="s">
        <v>117</v>
      </c>
      <c r="P508" s="124">
        <v>164073</v>
      </c>
      <c r="Q508" s="123" t="s">
        <v>126</v>
      </c>
      <c r="R508" s="123" t="s">
        <v>127</v>
      </c>
      <c r="S508" s="2"/>
      <c r="T508" s="2"/>
    </row>
    <row x14ac:dyDescent="0.25" r="509" customHeight="1" ht="13.5">
      <c r="A509" s="2"/>
      <c r="B509" s="2"/>
      <c r="C509" s="2"/>
      <c r="D509" s="2"/>
      <c r="E509" s="123" t="s">
        <v>111</v>
      </c>
      <c r="F509" s="123" t="s">
        <v>112</v>
      </c>
      <c r="G509" s="124">
        <v>834</v>
      </c>
      <c r="H509" s="123" t="s">
        <v>113</v>
      </c>
      <c r="I509" s="124">
        <v>5312</v>
      </c>
      <c r="J509" s="123" t="s">
        <v>114</v>
      </c>
      <c r="K509" s="125" t="s">
        <v>226</v>
      </c>
      <c r="L509" s="123" t="s">
        <v>227</v>
      </c>
      <c r="M509" s="124">
        <v>2018</v>
      </c>
      <c r="N509" s="124">
        <v>2018</v>
      </c>
      <c r="O509" s="123" t="s">
        <v>117</v>
      </c>
      <c r="P509" s="124">
        <v>96574</v>
      </c>
      <c r="Q509" s="123" t="s">
        <v>126</v>
      </c>
      <c r="R509" s="123" t="s">
        <v>127</v>
      </c>
      <c r="S509" s="2"/>
      <c r="T509" s="2"/>
    </row>
    <row x14ac:dyDescent="0.25" r="510" customHeight="1" ht="13.5">
      <c r="A510" s="2"/>
      <c r="B510" s="2"/>
      <c r="C510" s="2"/>
      <c r="D510" s="2"/>
      <c r="E510" s="123" t="s">
        <v>111</v>
      </c>
      <c r="F510" s="123" t="s">
        <v>112</v>
      </c>
      <c r="G510" s="124">
        <v>834</v>
      </c>
      <c r="H510" s="123" t="s">
        <v>113</v>
      </c>
      <c r="I510" s="124">
        <v>5312</v>
      </c>
      <c r="J510" s="123" t="s">
        <v>114</v>
      </c>
      <c r="K510" s="125" t="s">
        <v>226</v>
      </c>
      <c r="L510" s="123" t="s">
        <v>227</v>
      </c>
      <c r="M510" s="124">
        <v>2019</v>
      </c>
      <c r="N510" s="124">
        <v>2019</v>
      </c>
      <c r="O510" s="123" t="s">
        <v>117</v>
      </c>
      <c r="P510" s="124">
        <v>96594</v>
      </c>
      <c r="Q510" s="123" t="s">
        <v>126</v>
      </c>
      <c r="R510" s="123" t="s">
        <v>127</v>
      </c>
      <c r="S510" s="2"/>
      <c r="T510" s="2"/>
    </row>
    <row x14ac:dyDescent="0.25" r="511" customHeight="1" ht="13.5">
      <c r="A511" s="2"/>
      <c r="B511" s="2"/>
      <c r="C511" s="2"/>
      <c r="D511" s="2"/>
      <c r="E511" s="123" t="s">
        <v>111</v>
      </c>
      <c r="F511" s="123" t="s">
        <v>112</v>
      </c>
      <c r="G511" s="124">
        <v>834</v>
      </c>
      <c r="H511" s="123" t="s">
        <v>113</v>
      </c>
      <c r="I511" s="124">
        <v>5312</v>
      </c>
      <c r="J511" s="123" t="s">
        <v>114</v>
      </c>
      <c r="K511" s="125" t="s">
        <v>226</v>
      </c>
      <c r="L511" s="123" t="s">
        <v>227</v>
      </c>
      <c r="M511" s="124">
        <v>2020</v>
      </c>
      <c r="N511" s="124">
        <v>2020</v>
      </c>
      <c r="O511" s="123" t="s">
        <v>117</v>
      </c>
      <c r="P511" s="124">
        <v>116775</v>
      </c>
      <c r="Q511" s="123" t="s">
        <v>120</v>
      </c>
      <c r="R511" s="123" t="s">
        <v>121</v>
      </c>
      <c r="S511" s="2"/>
      <c r="T511" s="2"/>
    </row>
    <row x14ac:dyDescent="0.25" r="512" customHeight="1" ht="13.5">
      <c r="A512" s="2"/>
      <c r="B512" s="2"/>
      <c r="C512" s="2"/>
      <c r="D512" s="2"/>
      <c r="E512" s="123" t="s">
        <v>111</v>
      </c>
      <c r="F512" s="123" t="s">
        <v>112</v>
      </c>
      <c r="G512" s="124">
        <v>834</v>
      </c>
      <c r="H512" s="123" t="s">
        <v>113</v>
      </c>
      <c r="I512" s="124">
        <v>5312</v>
      </c>
      <c r="J512" s="123" t="s">
        <v>114</v>
      </c>
      <c r="K512" s="125" t="s">
        <v>226</v>
      </c>
      <c r="L512" s="123" t="s">
        <v>227</v>
      </c>
      <c r="M512" s="124">
        <v>2021</v>
      </c>
      <c r="N512" s="124">
        <v>2021</v>
      </c>
      <c r="O512" s="123" t="s">
        <v>117</v>
      </c>
      <c r="P512" s="124">
        <v>129967</v>
      </c>
      <c r="Q512" s="123" t="s">
        <v>120</v>
      </c>
      <c r="R512" s="123" t="s">
        <v>121</v>
      </c>
      <c r="S512" s="2"/>
      <c r="T512" s="2"/>
    </row>
    <row x14ac:dyDescent="0.25" r="513" customHeight="1" ht="13.5">
      <c r="A513" s="2"/>
      <c r="B513" s="2"/>
      <c r="C513" s="2"/>
      <c r="D513" s="2"/>
      <c r="E513" s="123" t="s">
        <v>111</v>
      </c>
      <c r="F513" s="123" t="s">
        <v>112</v>
      </c>
      <c r="G513" s="124">
        <v>834</v>
      </c>
      <c r="H513" s="123" t="s">
        <v>113</v>
      </c>
      <c r="I513" s="124">
        <v>5419</v>
      </c>
      <c r="J513" s="123" t="s">
        <v>122</v>
      </c>
      <c r="K513" s="125" t="s">
        <v>226</v>
      </c>
      <c r="L513" s="123" t="s">
        <v>227</v>
      </c>
      <c r="M513" s="124">
        <v>2017</v>
      </c>
      <c r="N513" s="124">
        <v>2017</v>
      </c>
      <c r="O513" s="123" t="s">
        <v>123</v>
      </c>
      <c r="P513" s="124">
        <v>35538</v>
      </c>
      <c r="Q513" s="123" t="s">
        <v>126</v>
      </c>
      <c r="R513" s="123" t="s">
        <v>127</v>
      </c>
      <c r="S513" s="2"/>
      <c r="T513" s="2"/>
    </row>
    <row x14ac:dyDescent="0.25" r="514" customHeight="1" ht="13.5">
      <c r="A514" s="2"/>
      <c r="B514" s="2"/>
      <c r="C514" s="2"/>
      <c r="D514" s="2"/>
      <c r="E514" s="123" t="s">
        <v>111</v>
      </c>
      <c r="F514" s="123" t="s">
        <v>112</v>
      </c>
      <c r="G514" s="124">
        <v>834</v>
      </c>
      <c r="H514" s="123" t="s">
        <v>113</v>
      </c>
      <c r="I514" s="124">
        <v>5419</v>
      </c>
      <c r="J514" s="123" t="s">
        <v>122</v>
      </c>
      <c r="K514" s="125" t="s">
        <v>226</v>
      </c>
      <c r="L514" s="123" t="s">
        <v>227</v>
      </c>
      <c r="M514" s="124">
        <v>2018</v>
      </c>
      <c r="N514" s="124">
        <v>2018</v>
      </c>
      <c r="O514" s="123" t="s">
        <v>123</v>
      </c>
      <c r="P514" s="124">
        <v>111846</v>
      </c>
      <c r="Q514" s="123" t="s">
        <v>126</v>
      </c>
      <c r="R514" s="123" t="s">
        <v>127</v>
      </c>
      <c r="S514" s="2"/>
      <c r="T514" s="2"/>
    </row>
    <row x14ac:dyDescent="0.25" r="515" customHeight="1" ht="13.5">
      <c r="A515" s="2"/>
      <c r="B515" s="2"/>
      <c r="C515" s="2"/>
      <c r="D515" s="2"/>
      <c r="E515" s="123" t="s">
        <v>111</v>
      </c>
      <c r="F515" s="123" t="s">
        <v>112</v>
      </c>
      <c r="G515" s="124">
        <v>834</v>
      </c>
      <c r="H515" s="123" t="s">
        <v>113</v>
      </c>
      <c r="I515" s="124">
        <v>5419</v>
      </c>
      <c r="J515" s="123" t="s">
        <v>122</v>
      </c>
      <c r="K515" s="125" t="s">
        <v>226</v>
      </c>
      <c r="L515" s="123" t="s">
        <v>227</v>
      </c>
      <c r="M515" s="124">
        <v>2019</v>
      </c>
      <c r="N515" s="124">
        <v>2019</v>
      </c>
      <c r="O515" s="123" t="s">
        <v>123</v>
      </c>
      <c r="P515" s="124">
        <v>104914</v>
      </c>
      <c r="Q515" s="123" t="s">
        <v>126</v>
      </c>
      <c r="R515" s="123" t="s">
        <v>127</v>
      </c>
      <c r="S515" s="2"/>
      <c r="T515" s="2"/>
    </row>
    <row x14ac:dyDescent="0.25" r="516" customHeight="1" ht="13.5">
      <c r="A516" s="2"/>
      <c r="B516" s="2"/>
      <c r="C516" s="2"/>
      <c r="D516" s="2"/>
      <c r="E516" s="123" t="s">
        <v>111</v>
      </c>
      <c r="F516" s="123" t="s">
        <v>112</v>
      </c>
      <c r="G516" s="124">
        <v>834</v>
      </c>
      <c r="H516" s="123" t="s">
        <v>113</v>
      </c>
      <c r="I516" s="124">
        <v>5419</v>
      </c>
      <c r="J516" s="123" t="s">
        <v>122</v>
      </c>
      <c r="K516" s="125" t="s">
        <v>226</v>
      </c>
      <c r="L516" s="123" t="s">
        <v>227</v>
      </c>
      <c r="M516" s="124">
        <v>2020</v>
      </c>
      <c r="N516" s="124">
        <v>2020</v>
      </c>
      <c r="O516" s="123" t="s">
        <v>123</v>
      </c>
      <c r="P516" s="124">
        <v>91262</v>
      </c>
      <c r="Q516" s="123" t="s">
        <v>118</v>
      </c>
      <c r="R516" s="123" t="s">
        <v>119</v>
      </c>
      <c r="S516" s="2"/>
      <c r="T516" s="2"/>
    </row>
    <row x14ac:dyDescent="0.25" r="517" customHeight="1" ht="13.5">
      <c r="A517" s="2"/>
      <c r="B517" s="2"/>
      <c r="C517" s="2"/>
      <c r="D517" s="2"/>
      <c r="E517" s="123" t="s">
        <v>111</v>
      </c>
      <c r="F517" s="123" t="s">
        <v>112</v>
      </c>
      <c r="G517" s="124">
        <v>834</v>
      </c>
      <c r="H517" s="123" t="s">
        <v>113</v>
      </c>
      <c r="I517" s="124">
        <v>5419</v>
      </c>
      <c r="J517" s="123" t="s">
        <v>122</v>
      </c>
      <c r="K517" s="125" t="s">
        <v>226</v>
      </c>
      <c r="L517" s="123" t="s">
        <v>227</v>
      </c>
      <c r="M517" s="124">
        <v>2021</v>
      </c>
      <c r="N517" s="124">
        <v>2021</v>
      </c>
      <c r="O517" s="123" t="s">
        <v>123</v>
      </c>
      <c r="P517" s="124">
        <v>82748</v>
      </c>
      <c r="Q517" s="123" t="s">
        <v>118</v>
      </c>
      <c r="R517" s="123" t="s">
        <v>119</v>
      </c>
      <c r="S517" s="2"/>
      <c r="T517" s="2"/>
    </row>
    <row x14ac:dyDescent="0.25" r="518" customHeight="1" ht="13.5">
      <c r="A518" s="2"/>
      <c r="B518" s="2"/>
      <c r="C518" s="2"/>
      <c r="D518" s="2"/>
      <c r="E518" s="123" t="s">
        <v>111</v>
      </c>
      <c r="F518" s="123" t="s">
        <v>112</v>
      </c>
      <c r="G518" s="124">
        <v>834</v>
      </c>
      <c r="H518" s="123" t="s">
        <v>113</v>
      </c>
      <c r="I518" s="124">
        <v>5312</v>
      </c>
      <c r="J518" s="123" t="s">
        <v>114</v>
      </c>
      <c r="K518" s="125" t="s">
        <v>228</v>
      </c>
      <c r="L518" s="123" t="s">
        <v>229</v>
      </c>
      <c r="M518" s="124">
        <v>2017</v>
      </c>
      <c r="N518" s="124">
        <v>2017</v>
      </c>
      <c r="O518" s="123" t="s">
        <v>117</v>
      </c>
      <c r="P518" s="124">
        <v>5091</v>
      </c>
      <c r="Q518" s="123" t="s">
        <v>120</v>
      </c>
      <c r="R518" s="123" t="s">
        <v>121</v>
      </c>
      <c r="S518" s="2"/>
      <c r="T518" s="2"/>
    </row>
    <row x14ac:dyDescent="0.25" r="519" customHeight="1" ht="13.5">
      <c r="A519" s="2"/>
      <c r="B519" s="2"/>
      <c r="C519" s="2"/>
      <c r="D519" s="2"/>
      <c r="E519" s="123" t="s">
        <v>111</v>
      </c>
      <c r="F519" s="123" t="s">
        <v>112</v>
      </c>
      <c r="G519" s="124">
        <v>834</v>
      </c>
      <c r="H519" s="123" t="s">
        <v>113</v>
      </c>
      <c r="I519" s="124">
        <v>5312</v>
      </c>
      <c r="J519" s="123" t="s">
        <v>114</v>
      </c>
      <c r="K519" s="125" t="s">
        <v>228</v>
      </c>
      <c r="L519" s="123" t="s">
        <v>229</v>
      </c>
      <c r="M519" s="124">
        <v>2018</v>
      </c>
      <c r="N519" s="124">
        <v>2018</v>
      </c>
      <c r="O519" s="123" t="s">
        <v>117</v>
      </c>
      <c r="P519" s="124">
        <v>5282</v>
      </c>
      <c r="Q519" s="123" t="s">
        <v>120</v>
      </c>
      <c r="R519" s="123" t="s">
        <v>121</v>
      </c>
      <c r="S519" s="2"/>
      <c r="T519" s="2"/>
    </row>
    <row x14ac:dyDescent="0.25" r="520" customHeight="1" ht="13.5">
      <c r="A520" s="2"/>
      <c r="B520" s="2"/>
      <c r="C520" s="2"/>
      <c r="D520" s="2"/>
      <c r="E520" s="123" t="s">
        <v>111</v>
      </c>
      <c r="F520" s="123" t="s">
        <v>112</v>
      </c>
      <c r="G520" s="124">
        <v>834</v>
      </c>
      <c r="H520" s="123" t="s">
        <v>113</v>
      </c>
      <c r="I520" s="124">
        <v>5312</v>
      </c>
      <c r="J520" s="123" t="s">
        <v>114</v>
      </c>
      <c r="K520" s="125" t="s">
        <v>228</v>
      </c>
      <c r="L520" s="123" t="s">
        <v>229</v>
      </c>
      <c r="M520" s="124">
        <v>2019</v>
      </c>
      <c r="N520" s="124">
        <v>2019</v>
      </c>
      <c r="O520" s="123" t="s">
        <v>117</v>
      </c>
      <c r="P520" s="124">
        <v>4351</v>
      </c>
      <c r="Q520" s="123" t="s">
        <v>120</v>
      </c>
      <c r="R520" s="123" t="s">
        <v>121</v>
      </c>
      <c r="S520" s="2"/>
      <c r="T520" s="2"/>
    </row>
    <row x14ac:dyDescent="0.25" r="521" customHeight="1" ht="13.5">
      <c r="A521" s="2"/>
      <c r="B521" s="2"/>
      <c r="C521" s="2"/>
      <c r="D521" s="2"/>
      <c r="E521" s="123" t="s">
        <v>111</v>
      </c>
      <c r="F521" s="123" t="s">
        <v>112</v>
      </c>
      <c r="G521" s="124">
        <v>834</v>
      </c>
      <c r="H521" s="123" t="s">
        <v>113</v>
      </c>
      <c r="I521" s="124">
        <v>5312</v>
      </c>
      <c r="J521" s="123" t="s">
        <v>114</v>
      </c>
      <c r="K521" s="125" t="s">
        <v>228</v>
      </c>
      <c r="L521" s="123" t="s">
        <v>229</v>
      </c>
      <c r="M521" s="124">
        <v>2020</v>
      </c>
      <c r="N521" s="124">
        <v>2020</v>
      </c>
      <c r="O521" s="123" t="s">
        <v>117</v>
      </c>
      <c r="P521" s="124">
        <v>5335</v>
      </c>
      <c r="Q521" s="123" t="s">
        <v>120</v>
      </c>
      <c r="R521" s="123" t="s">
        <v>121</v>
      </c>
      <c r="S521" s="2"/>
      <c r="T521" s="2"/>
    </row>
    <row x14ac:dyDescent="0.25" r="522" customHeight="1" ht="13.5">
      <c r="A522" s="2"/>
      <c r="B522" s="2"/>
      <c r="C522" s="2"/>
      <c r="D522" s="2"/>
      <c r="E522" s="123" t="s">
        <v>111</v>
      </c>
      <c r="F522" s="123" t="s">
        <v>112</v>
      </c>
      <c r="G522" s="124">
        <v>834</v>
      </c>
      <c r="H522" s="123" t="s">
        <v>113</v>
      </c>
      <c r="I522" s="124">
        <v>5312</v>
      </c>
      <c r="J522" s="123" t="s">
        <v>114</v>
      </c>
      <c r="K522" s="125" t="s">
        <v>228</v>
      </c>
      <c r="L522" s="123" t="s">
        <v>229</v>
      </c>
      <c r="M522" s="124">
        <v>2021</v>
      </c>
      <c r="N522" s="124">
        <v>2021</v>
      </c>
      <c r="O522" s="123" t="s">
        <v>117</v>
      </c>
      <c r="P522" s="124">
        <v>5045</v>
      </c>
      <c r="Q522" s="123" t="s">
        <v>120</v>
      </c>
      <c r="R522" s="123" t="s">
        <v>121</v>
      </c>
      <c r="S522" s="2"/>
      <c r="T522" s="2"/>
    </row>
    <row x14ac:dyDescent="0.25" r="523" customHeight="1" ht="13.5">
      <c r="A523" s="2"/>
      <c r="B523" s="2"/>
      <c r="C523" s="2"/>
      <c r="D523" s="2"/>
      <c r="E523" s="123" t="s">
        <v>111</v>
      </c>
      <c r="F523" s="123" t="s">
        <v>112</v>
      </c>
      <c r="G523" s="124">
        <v>834</v>
      </c>
      <c r="H523" s="123" t="s">
        <v>113</v>
      </c>
      <c r="I523" s="124">
        <v>5419</v>
      </c>
      <c r="J523" s="123" t="s">
        <v>122</v>
      </c>
      <c r="K523" s="125" t="s">
        <v>228</v>
      </c>
      <c r="L523" s="123" t="s">
        <v>229</v>
      </c>
      <c r="M523" s="124">
        <v>2017</v>
      </c>
      <c r="N523" s="124">
        <v>2017</v>
      </c>
      <c r="O523" s="123" t="s">
        <v>123</v>
      </c>
      <c r="P523" s="124">
        <v>4223</v>
      </c>
      <c r="Q523" s="123" t="s">
        <v>118</v>
      </c>
      <c r="R523" s="123" t="s">
        <v>119</v>
      </c>
      <c r="S523" s="2"/>
      <c r="T523" s="2"/>
    </row>
    <row x14ac:dyDescent="0.25" r="524" customHeight="1" ht="13.5">
      <c r="A524" s="2"/>
      <c r="B524" s="2"/>
      <c r="C524" s="2"/>
      <c r="D524" s="2"/>
      <c r="E524" s="123" t="s">
        <v>111</v>
      </c>
      <c r="F524" s="123" t="s">
        <v>112</v>
      </c>
      <c r="G524" s="124">
        <v>834</v>
      </c>
      <c r="H524" s="123" t="s">
        <v>113</v>
      </c>
      <c r="I524" s="124">
        <v>5419</v>
      </c>
      <c r="J524" s="123" t="s">
        <v>122</v>
      </c>
      <c r="K524" s="125" t="s">
        <v>228</v>
      </c>
      <c r="L524" s="123" t="s">
        <v>229</v>
      </c>
      <c r="M524" s="124">
        <v>2018</v>
      </c>
      <c r="N524" s="124">
        <v>2018</v>
      </c>
      <c r="O524" s="123" t="s">
        <v>123</v>
      </c>
      <c r="P524" s="124">
        <v>4544</v>
      </c>
      <c r="Q524" s="123" t="s">
        <v>118</v>
      </c>
      <c r="R524" s="123" t="s">
        <v>119</v>
      </c>
      <c r="S524" s="2"/>
      <c r="T524" s="2"/>
    </row>
    <row x14ac:dyDescent="0.25" r="525" customHeight="1" ht="13.5">
      <c r="A525" s="2"/>
      <c r="B525" s="2"/>
      <c r="C525" s="2"/>
      <c r="D525" s="2"/>
      <c r="E525" s="123" t="s">
        <v>111</v>
      </c>
      <c r="F525" s="123" t="s">
        <v>112</v>
      </c>
      <c r="G525" s="124">
        <v>834</v>
      </c>
      <c r="H525" s="123" t="s">
        <v>113</v>
      </c>
      <c r="I525" s="124">
        <v>5419</v>
      </c>
      <c r="J525" s="123" t="s">
        <v>122</v>
      </c>
      <c r="K525" s="125" t="s">
        <v>228</v>
      </c>
      <c r="L525" s="123" t="s">
        <v>229</v>
      </c>
      <c r="M525" s="124">
        <v>2019</v>
      </c>
      <c r="N525" s="124">
        <v>2019</v>
      </c>
      <c r="O525" s="123" t="s">
        <v>123</v>
      </c>
      <c r="P525" s="124">
        <v>4629</v>
      </c>
      <c r="Q525" s="123" t="s">
        <v>118</v>
      </c>
      <c r="R525" s="123" t="s">
        <v>119</v>
      </c>
      <c r="S525" s="2"/>
      <c r="T525" s="2"/>
    </row>
    <row x14ac:dyDescent="0.25" r="526" customHeight="1" ht="13.5">
      <c r="A526" s="2"/>
      <c r="B526" s="2"/>
      <c r="C526" s="2"/>
      <c r="D526" s="2"/>
      <c r="E526" s="123" t="s">
        <v>111</v>
      </c>
      <c r="F526" s="123" t="s">
        <v>112</v>
      </c>
      <c r="G526" s="124">
        <v>834</v>
      </c>
      <c r="H526" s="123" t="s">
        <v>113</v>
      </c>
      <c r="I526" s="124">
        <v>5419</v>
      </c>
      <c r="J526" s="123" t="s">
        <v>122</v>
      </c>
      <c r="K526" s="125" t="s">
        <v>228</v>
      </c>
      <c r="L526" s="123" t="s">
        <v>229</v>
      </c>
      <c r="M526" s="124">
        <v>2020</v>
      </c>
      <c r="N526" s="124">
        <v>2020</v>
      </c>
      <c r="O526" s="123" t="s">
        <v>123</v>
      </c>
      <c r="P526" s="124">
        <v>4705</v>
      </c>
      <c r="Q526" s="123" t="s">
        <v>118</v>
      </c>
      <c r="R526" s="123" t="s">
        <v>119</v>
      </c>
      <c r="S526" s="2"/>
      <c r="T526" s="2"/>
    </row>
    <row x14ac:dyDescent="0.25" r="527" customHeight="1" ht="13.5">
      <c r="A527" s="2"/>
      <c r="B527" s="2"/>
      <c r="C527" s="2"/>
      <c r="D527" s="2"/>
      <c r="E527" s="123" t="s">
        <v>111</v>
      </c>
      <c r="F527" s="123" t="s">
        <v>112</v>
      </c>
      <c r="G527" s="124">
        <v>834</v>
      </c>
      <c r="H527" s="123" t="s">
        <v>113</v>
      </c>
      <c r="I527" s="124">
        <v>5419</v>
      </c>
      <c r="J527" s="123" t="s">
        <v>122</v>
      </c>
      <c r="K527" s="125" t="s">
        <v>228</v>
      </c>
      <c r="L527" s="123" t="s">
        <v>229</v>
      </c>
      <c r="M527" s="124">
        <v>2021</v>
      </c>
      <c r="N527" s="124">
        <v>2021</v>
      </c>
      <c r="O527" s="123" t="s">
        <v>123</v>
      </c>
      <c r="P527" s="124">
        <v>4781</v>
      </c>
      <c r="Q527" s="123" t="s">
        <v>118</v>
      </c>
      <c r="R527" s="123" t="s">
        <v>119</v>
      </c>
      <c r="S527" s="2"/>
      <c r="T527" s="2"/>
    </row>
    <row x14ac:dyDescent="0.25" r="528" customHeight="1" ht="13.5">
      <c r="A528" s="2"/>
      <c r="B528" s="2"/>
      <c r="C528" s="2"/>
      <c r="D528" s="2"/>
      <c r="E528" s="123" t="s">
        <v>111</v>
      </c>
      <c r="F528" s="123" t="s">
        <v>112</v>
      </c>
      <c r="G528" s="124">
        <v>834</v>
      </c>
      <c r="H528" s="123" t="s">
        <v>113</v>
      </c>
      <c r="I528" s="124">
        <v>5312</v>
      </c>
      <c r="J528" s="123" t="s">
        <v>114</v>
      </c>
      <c r="K528" s="125" t="s">
        <v>230</v>
      </c>
      <c r="L528" s="123" t="s">
        <v>231</v>
      </c>
      <c r="M528" s="124">
        <v>2017</v>
      </c>
      <c r="N528" s="124">
        <v>2017</v>
      </c>
      <c r="O528" s="123" t="s">
        <v>117</v>
      </c>
      <c r="P528" s="124">
        <v>1097283</v>
      </c>
      <c r="Q528" s="123" t="s">
        <v>126</v>
      </c>
      <c r="R528" s="123" t="s">
        <v>127</v>
      </c>
      <c r="S528" s="2"/>
      <c r="T528" s="2"/>
    </row>
    <row x14ac:dyDescent="0.25" r="529" customHeight="1" ht="13.5">
      <c r="A529" s="2"/>
      <c r="B529" s="2"/>
      <c r="C529" s="2"/>
      <c r="D529" s="2"/>
      <c r="E529" s="123" t="s">
        <v>111</v>
      </c>
      <c r="F529" s="123" t="s">
        <v>112</v>
      </c>
      <c r="G529" s="124">
        <v>834</v>
      </c>
      <c r="H529" s="123" t="s">
        <v>113</v>
      </c>
      <c r="I529" s="124">
        <v>5312</v>
      </c>
      <c r="J529" s="123" t="s">
        <v>114</v>
      </c>
      <c r="K529" s="125" t="s">
        <v>230</v>
      </c>
      <c r="L529" s="123" t="s">
        <v>231</v>
      </c>
      <c r="M529" s="124">
        <v>2018</v>
      </c>
      <c r="N529" s="124">
        <v>2018</v>
      </c>
      <c r="O529" s="123" t="s">
        <v>117</v>
      </c>
      <c r="P529" s="124">
        <v>1032902</v>
      </c>
      <c r="Q529" s="123" t="s">
        <v>126</v>
      </c>
      <c r="R529" s="123" t="s">
        <v>127</v>
      </c>
      <c r="S529" s="2"/>
      <c r="T529" s="2"/>
    </row>
    <row x14ac:dyDescent="0.25" r="530" customHeight="1" ht="13.5">
      <c r="A530" s="2"/>
      <c r="B530" s="2"/>
      <c r="C530" s="2"/>
      <c r="D530" s="2"/>
      <c r="E530" s="123" t="s">
        <v>111</v>
      </c>
      <c r="F530" s="123" t="s">
        <v>112</v>
      </c>
      <c r="G530" s="124">
        <v>834</v>
      </c>
      <c r="H530" s="123" t="s">
        <v>113</v>
      </c>
      <c r="I530" s="124">
        <v>5312</v>
      </c>
      <c r="J530" s="123" t="s">
        <v>114</v>
      </c>
      <c r="K530" s="125" t="s">
        <v>230</v>
      </c>
      <c r="L530" s="123" t="s">
        <v>231</v>
      </c>
      <c r="M530" s="124">
        <v>2019</v>
      </c>
      <c r="N530" s="124">
        <v>2019</v>
      </c>
      <c r="O530" s="123" t="s">
        <v>117</v>
      </c>
      <c r="P530" s="124">
        <v>1052547</v>
      </c>
      <c r="Q530" s="123" t="s">
        <v>126</v>
      </c>
      <c r="R530" s="123" t="s">
        <v>127</v>
      </c>
      <c r="S530" s="2"/>
      <c r="T530" s="2"/>
    </row>
    <row x14ac:dyDescent="0.25" r="531" customHeight="1" ht="13.5">
      <c r="A531" s="2"/>
      <c r="B531" s="2"/>
      <c r="C531" s="2"/>
      <c r="D531" s="2"/>
      <c r="E531" s="123" t="s">
        <v>111</v>
      </c>
      <c r="F531" s="123" t="s">
        <v>112</v>
      </c>
      <c r="G531" s="124">
        <v>834</v>
      </c>
      <c r="H531" s="123" t="s">
        <v>113</v>
      </c>
      <c r="I531" s="124">
        <v>5312</v>
      </c>
      <c r="J531" s="123" t="s">
        <v>114</v>
      </c>
      <c r="K531" s="125" t="s">
        <v>230</v>
      </c>
      <c r="L531" s="123" t="s">
        <v>231</v>
      </c>
      <c r="M531" s="124">
        <v>2020</v>
      </c>
      <c r="N531" s="124">
        <v>2020</v>
      </c>
      <c r="O531" s="123" t="s">
        <v>117</v>
      </c>
      <c r="P531" s="124">
        <v>1038343</v>
      </c>
      <c r="Q531" s="123" t="s">
        <v>120</v>
      </c>
      <c r="R531" s="123" t="s">
        <v>121</v>
      </c>
      <c r="S531" s="2"/>
      <c r="T531" s="2"/>
    </row>
    <row x14ac:dyDescent="0.25" r="532" customHeight="1" ht="13.5">
      <c r="A532" s="2"/>
      <c r="B532" s="2"/>
      <c r="C532" s="2"/>
      <c r="D532" s="2"/>
      <c r="E532" s="123" t="s">
        <v>111</v>
      </c>
      <c r="F532" s="123" t="s">
        <v>112</v>
      </c>
      <c r="G532" s="124">
        <v>834</v>
      </c>
      <c r="H532" s="123" t="s">
        <v>113</v>
      </c>
      <c r="I532" s="124">
        <v>5312</v>
      </c>
      <c r="J532" s="123" t="s">
        <v>114</v>
      </c>
      <c r="K532" s="125" t="s">
        <v>230</v>
      </c>
      <c r="L532" s="123" t="s">
        <v>231</v>
      </c>
      <c r="M532" s="124">
        <v>2021</v>
      </c>
      <c r="N532" s="124">
        <v>2021</v>
      </c>
      <c r="O532" s="123" t="s">
        <v>117</v>
      </c>
      <c r="P532" s="124">
        <v>955729</v>
      </c>
      <c r="Q532" s="123" t="s">
        <v>120</v>
      </c>
      <c r="R532" s="123" t="s">
        <v>121</v>
      </c>
      <c r="S532" s="2"/>
      <c r="T532" s="2"/>
    </row>
    <row x14ac:dyDescent="0.25" r="533" customHeight="1" ht="13.5">
      <c r="A533" s="2"/>
      <c r="B533" s="2"/>
      <c r="C533" s="2"/>
      <c r="D533" s="2"/>
      <c r="E533" s="123" t="s">
        <v>111</v>
      </c>
      <c r="F533" s="123" t="s">
        <v>112</v>
      </c>
      <c r="G533" s="124">
        <v>834</v>
      </c>
      <c r="H533" s="123" t="s">
        <v>113</v>
      </c>
      <c r="I533" s="124">
        <v>5419</v>
      </c>
      <c r="J533" s="123" t="s">
        <v>122</v>
      </c>
      <c r="K533" s="125" t="s">
        <v>230</v>
      </c>
      <c r="L533" s="123" t="s">
        <v>231</v>
      </c>
      <c r="M533" s="124">
        <v>2017</v>
      </c>
      <c r="N533" s="124">
        <v>2017</v>
      </c>
      <c r="O533" s="123" t="s">
        <v>123</v>
      </c>
      <c r="P533" s="124">
        <v>22343</v>
      </c>
      <c r="Q533" s="123" t="s">
        <v>126</v>
      </c>
      <c r="R533" s="123" t="s">
        <v>127</v>
      </c>
      <c r="S533" s="2"/>
      <c r="T533" s="2"/>
    </row>
    <row x14ac:dyDescent="0.25" r="534" customHeight="1" ht="13.5">
      <c r="A534" s="2"/>
      <c r="B534" s="2"/>
      <c r="C534" s="2"/>
      <c r="D534" s="2"/>
      <c r="E534" s="123" t="s">
        <v>111</v>
      </c>
      <c r="F534" s="123" t="s">
        <v>112</v>
      </c>
      <c r="G534" s="124">
        <v>834</v>
      </c>
      <c r="H534" s="123" t="s">
        <v>113</v>
      </c>
      <c r="I534" s="124">
        <v>5419</v>
      </c>
      <c r="J534" s="123" t="s">
        <v>122</v>
      </c>
      <c r="K534" s="125" t="s">
        <v>230</v>
      </c>
      <c r="L534" s="123" t="s">
        <v>231</v>
      </c>
      <c r="M534" s="124">
        <v>2018</v>
      </c>
      <c r="N534" s="124">
        <v>2018</v>
      </c>
      <c r="O534" s="123" t="s">
        <v>123</v>
      </c>
      <c r="P534" s="124">
        <v>33060</v>
      </c>
      <c r="Q534" s="123" t="s">
        <v>126</v>
      </c>
      <c r="R534" s="123" t="s">
        <v>127</v>
      </c>
      <c r="S534" s="2"/>
      <c r="T534" s="2"/>
    </row>
    <row x14ac:dyDescent="0.25" r="535" customHeight="1" ht="13.5">
      <c r="A535" s="2"/>
      <c r="B535" s="2"/>
      <c r="C535" s="2"/>
      <c r="D535" s="2"/>
      <c r="E535" s="123" t="s">
        <v>111</v>
      </c>
      <c r="F535" s="123" t="s">
        <v>112</v>
      </c>
      <c r="G535" s="124">
        <v>834</v>
      </c>
      <c r="H535" s="123" t="s">
        <v>113</v>
      </c>
      <c r="I535" s="124">
        <v>5419</v>
      </c>
      <c r="J535" s="123" t="s">
        <v>122</v>
      </c>
      <c r="K535" s="125" t="s">
        <v>230</v>
      </c>
      <c r="L535" s="123" t="s">
        <v>231</v>
      </c>
      <c r="M535" s="124">
        <v>2019</v>
      </c>
      <c r="N535" s="124">
        <v>2019</v>
      </c>
      <c r="O535" s="123" t="s">
        <v>123</v>
      </c>
      <c r="P535" s="124">
        <v>33013</v>
      </c>
      <c r="Q535" s="123" t="s">
        <v>126</v>
      </c>
      <c r="R535" s="123" t="s">
        <v>127</v>
      </c>
      <c r="S535" s="2"/>
      <c r="T535" s="2"/>
    </row>
    <row x14ac:dyDescent="0.25" r="536" customHeight="1" ht="13.5">
      <c r="A536" s="2"/>
      <c r="B536" s="2"/>
      <c r="C536" s="2"/>
      <c r="D536" s="2"/>
      <c r="E536" s="123" t="s">
        <v>111</v>
      </c>
      <c r="F536" s="123" t="s">
        <v>112</v>
      </c>
      <c r="G536" s="124">
        <v>834</v>
      </c>
      <c r="H536" s="123" t="s">
        <v>113</v>
      </c>
      <c r="I536" s="124">
        <v>5419</v>
      </c>
      <c r="J536" s="123" t="s">
        <v>122</v>
      </c>
      <c r="K536" s="125" t="s">
        <v>230</v>
      </c>
      <c r="L536" s="123" t="s">
        <v>231</v>
      </c>
      <c r="M536" s="124">
        <v>2020</v>
      </c>
      <c r="N536" s="124">
        <v>2020</v>
      </c>
      <c r="O536" s="123" t="s">
        <v>123</v>
      </c>
      <c r="P536" s="124">
        <v>29258</v>
      </c>
      <c r="Q536" s="123" t="s">
        <v>118</v>
      </c>
      <c r="R536" s="123" t="s">
        <v>119</v>
      </c>
      <c r="S536" s="2"/>
      <c r="T536" s="2"/>
    </row>
    <row x14ac:dyDescent="0.25" r="537" customHeight="1" ht="13.5">
      <c r="A537" s="2"/>
      <c r="B537" s="2"/>
      <c r="C537" s="2"/>
      <c r="D537" s="2"/>
      <c r="E537" s="123" t="s">
        <v>111</v>
      </c>
      <c r="F537" s="123" t="s">
        <v>112</v>
      </c>
      <c r="G537" s="124">
        <v>834</v>
      </c>
      <c r="H537" s="123" t="s">
        <v>113</v>
      </c>
      <c r="I537" s="124">
        <v>5419</v>
      </c>
      <c r="J537" s="123" t="s">
        <v>122</v>
      </c>
      <c r="K537" s="125" t="s">
        <v>230</v>
      </c>
      <c r="L537" s="123" t="s">
        <v>231</v>
      </c>
      <c r="M537" s="124">
        <v>2021</v>
      </c>
      <c r="N537" s="124">
        <v>2021</v>
      </c>
      <c r="O537" s="123" t="s">
        <v>123</v>
      </c>
      <c r="P537" s="124">
        <v>28125</v>
      </c>
      <c r="Q537" s="123" t="s">
        <v>118</v>
      </c>
      <c r="R537" s="123" t="s">
        <v>119</v>
      </c>
      <c r="S537" s="2"/>
      <c r="T537" s="2"/>
    </row>
    <row x14ac:dyDescent="0.25" r="538" customHeight="1" ht="13.5">
      <c r="A538" s="2"/>
      <c r="B538" s="2"/>
      <c r="C538" s="2"/>
      <c r="D538" s="2"/>
      <c r="E538" s="123" t="s">
        <v>111</v>
      </c>
      <c r="F538" s="123" t="s">
        <v>112</v>
      </c>
      <c r="G538" s="124">
        <v>834</v>
      </c>
      <c r="H538" s="123" t="s">
        <v>113</v>
      </c>
      <c r="I538" s="124">
        <v>5312</v>
      </c>
      <c r="J538" s="123" t="s">
        <v>114</v>
      </c>
      <c r="K538" s="125" t="s">
        <v>232</v>
      </c>
      <c r="L538" s="123" t="s">
        <v>233</v>
      </c>
      <c r="M538" s="124">
        <v>2017</v>
      </c>
      <c r="N538" s="124">
        <v>2017</v>
      </c>
      <c r="O538" s="123" t="s">
        <v>117</v>
      </c>
      <c r="P538" s="124">
        <v>25164</v>
      </c>
      <c r="Q538" s="123" t="s">
        <v>120</v>
      </c>
      <c r="R538" s="123" t="s">
        <v>121</v>
      </c>
      <c r="S538" s="2"/>
      <c r="T538" s="2"/>
    </row>
    <row x14ac:dyDescent="0.25" r="539" customHeight="1" ht="13.5">
      <c r="A539" s="2"/>
      <c r="B539" s="2"/>
      <c r="C539" s="2"/>
      <c r="D539" s="2"/>
      <c r="E539" s="123" t="s">
        <v>111</v>
      </c>
      <c r="F539" s="123" t="s">
        <v>112</v>
      </c>
      <c r="G539" s="124">
        <v>834</v>
      </c>
      <c r="H539" s="123" t="s">
        <v>113</v>
      </c>
      <c r="I539" s="124">
        <v>5312</v>
      </c>
      <c r="J539" s="123" t="s">
        <v>114</v>
      </c>
      <c r="K539" s="125" t="s">
        <v>232</v>
      </c>
      <c r="L539" s="123" t="s">
        <v>233</v>
      </c>
      <c r="M539" s="124">
        <v>2018</v>
      </c>
      <c r="N539" s="124">
        <v>2018</v>
      </c>
      <c r="O539" s="123" t="s">
        <v>117</v>
      </c>
      <c r="P539" s="124">
        <v>25230</v>
      </c>
      <c r="Q539" s="123" t="s">
        <v>118</v>
      </c>
      <c r="R539" s="123" t="s">
        <v>119</v>
      </c>
      <c r="S539" s="2"/>
      <c r="T539" s="2"/>
    </row>
    <row x14ac:dyDescent="0.25" r="540" customHeight="1" ht="13.5">
      <c r="A540" s="2"/>
      <c r="B540" s="2"/>
      <c r="C540" s="2"/>
      <c r="D540" s="2"/>
      <c r="E540" s="123" t="s">
        <v>111</v>
      </c>
      <c r="F540" s="123" t="s">
        <v>112</v>
      </c>
      <c r="G540" s="124">
        <v>834</v>
      </c>
      <c r="H540" s="123" t="s">
        <v>113</v>
      </c>
      <c r="I540" s="124">
        <v>5312</v>
      </c>
      <c r="J540" s="123" t="s">
        <v>114</v>
      </c>
      <c r="K540" s="125" t="s">
        <v>232</v>
      </c>
      <c r="L540" s="123" t="s">
        <v>233</v>
      </c>
      <c r="M540" s="124">
        <v>2019</v>
      </c>
      <c r="N540" s="124">
        <v>2019</v>
      </c>
      <c r="O540" s="123" t="s">
        <v>117</v>
      </c>
      <c r="P540" s="124">
        <v>25092</v>
      </c>
      <c r="Q540" s="123" t="s">
        <v>118</v>
      </c>
      <c r="R540" s="123" t="s">
        <v>119</v>
      </c>
      <c r="S540" s="2"/>
      <c r="T540" s="2"/>
    </row>
    <row x14ac:dyDescent="0.25" r="541" customHeight="1" ht="13.5">
      <c r="A541" s="2"/>
      <c r="B541" s="2"/>
      <c r="C541" s="2"/>
      <c r="D541" s="2"/>
      <c r="E541" s="123" t="s">
        <v>111</v>
      </c>
      <c r="F541" s="123" t="s">
        <v>112</v>
      </c>
      <c r="G541" s="124">
        <v>834</v>
      </c>
      <c r="H541" s="123" t="s">
        <v>113</v>
      </c>
      <c r="I541" s="124">
        <v>5312</v>
      </c>
      <c r="J541" s="123" t="s">
        <v>114</v>
      </c>
      <c r="K541" s="125" t="s">
        <v>232</v>
      </c>
      <c r="L541" s="123" t="s">
        <v>233</v>
      </c>
      <c r="M541" s="124">
        <v>2020</v>
      </c>
      <c r="N541" s="124">
        <v>2020</v>
      </c>
      <c r="O541" s="123" t="s">
        <v>117</v>
      </c>
      <c r="P541" s="124">
        <v>25162</v>
      </c>
      <c r="Q541" s="123" t="s">
        <v>118</v>
      </c>
      <c r="R541" s="123" t="s">
        <v>119</v>
      </c>
      <c r="S541" s="2"/>
      <c r="T541" s="2"/>
    </row>
    <row x14ac:dyDescent="0.25" r="542" customHeight="1" ht="13.5">
      <c r="A542" s="2"/>
      <c r="B542" s="2"/>
      <c r="C542" s="2"/>
      <c r="D542" s="2"/>
      <c r="E542" s="123" t="s">
        <v>111</v>
      </c>
      <c r="F542" s="123" t="s">
        <v>112</v>
      </c>
      <c r="G542" s="124">
        <v>834</v>
      </c>
      <c r="H542" s="123" t="s">
        <v>113</v>
      </c>
      <c r="I542" s="124">
        <v>5312</v>
      </c>
      <c r="J542" s="123" t="s">
        <v>114</v>
      </c>
      <c r="K542" s="125" t="s">
        <v>232</v>
      </c>
      <c r="L542" s="123" t="s">
        <v>233</v>
      </c>
      <c r="M542" s="124">
        <v>2021</v>
      </c>
      <c r="N542" s="124">
        <v>2021</v>
      </c>
      <c r="O542" s="123" t="s">
        <v>117</v>
      </c>
      <c r="P542" s="124">
        <v>25161</v>
      </c>
      <c r="Q542" s="123" t="s">
        <v>118</v>
      </c>
      <c r="R542" s="123" t="s">
        <v>119</v>
      </c>
      <c r="S542" s="2"/>
      <c r="T542" s="2"/>
    </row>
    <row x14ac:dyDescent="0.25" r="543" customHeight="1" ht="13.5">
      <c r="A543" s="2"/>
      <c r="B543" s="2"/>
      <c r="C543" s="2"/>
      <c r="D543" s="2"/>
      <c r="E543" s="123" t="s">
        <v>111</v>
      </c>
      <c r="F543" s="123" t="s">
        <v>112</v>
      </c>
      <c r="G543" s="124">
        <v>834</v>
      </c>
      <c r="H543" s="123" t="s">
        <v>113</v>
      </c>
      <c r="I543" s="124">
        <v>5419</v>
      </c>
      <c r="J543" s="123" t="s">
        <v>122</v>
      </c>
      <c r="K543" s="125" t="s">
        <v>232</v>
      </c>
      <c r="L543" s="123" t="s">
        <v>233</v>
      </c>
      <c r="M543" s="124">
        <v>2017</v>
      </c>
      <c r="N543" s="124">
        <v>2017</v>
      </c>
      <c r="O543" s="123" t="s">
        <v>123</v>
      </c>
      <c r="P543" s="124">
        <v>5541</v>
      </c>
      <c r="Q543" s="123" t="s">
        <v>118</v>
      </c>
      <c r="R543" s="123" t="s">
        <v>119</v>
      </c>
      <c r="S543" s="2"/>
      <c r="T543" s="2"/>
    </row>
    <row x14ac:dyDescent="0.25" r="544" customHeight="1" ht="13.5">
      <c r="A544" s="2"/>
      <c r="B544" s="2"/>
      <c r="C544" s="2"/>
      <c r="D544" s="2"/>
      <c r="E544" s="123" t="s">
        <v>111</v>
      </c>
      <c r="F544" s="123" t="s">
        <v>112</v>
      </c>
      <c r="G544" s="124">
        <v>834</v>
      </c>
      <c r="H544" s="123" t="s">
        <v>113</v>
      </c>
      <c r="I544" s="124">
        <v>5419</v>
      </c>
      <c r="J544" s="123" t="s">
        <v>122</v>
      </c>
      <c r="K544" s="125" t="s">
        <v>232</v>
      </c>
      <c r="L544" s="123" t="s">
        <v>233</v>
      </c>
      <c r="M544" s="124">
        <v>2018</v>
      </c>
      <c r="N544" s="124">
        <v>2018</v>
      </c>
      <c r="O544" s="123" t="s">
        <v>123</v>
      </c>
      <c r="P544" s="124">
        <v>5493</v>
      </c>
      <c r="Q544" s="123" t="s">
        <v>118</v>
      </c>
      <c r="R544" s="123" t="s">
        <v>119</v>
      </c>
      <c r="S544" s="2"/>
      <c r="T544" s="2"/>
    </row>
    <row x14ac:dyDescent="0.25" r="545" customHeight="1" ht="13.5">
      <c r="A545" s="2"/>
      <c r="B545" s="2"/>
      <c r="C545" s="2"/>
      <c r="D545" s="2"/>
      <c r="E545" s="123" t="s">
        <v>111</v>
      </c>
      <c r="F545" s="123" t="s">
        <v>112</v>
      </c>
      <c r="G545" s="124">
        <v>834</v>
      </c>
      <c r="H545" s="123" t="s">
        <v>113</v>
      </c>
      <c r="I545" s="124">
        <v>5419</v>
      </c>
      <c r="J545" s="123" t="s">
        <v>122</v>
      </c>
      <c r="K545" s="125" t="s">
        <v>232</v>
      </c>
      <c r="L545" s="123" t="s">
        <v>233</v>
      </c>
      <c r="M545" s="124">
        <v>2019</v>
      </c>
      <c r="N545" s="124">
        <v>2019</v>
      </c>
      <c r="O545" s="123" t="s">
        <v>123</v>
      </c>
      <c r="P545" s="124">
        <v>5491</v>
      </c>
      <c r="Q545" s="123" t="s">
        <v>118</v>
      </c>
      <c r="R545" s="123" t="s">
        <v>119</v>
      </c>
      <c r="S545" s="2"/>
      <c r="T545" s="2"/>
    </row>
    <row x14ac:dyDescent="0.25" r="546" customHeight="1" ht="13.5">
      <c r="A546" s="2"/>
      <c r="B546" s="2"/>
      <c r="C546" s="2"/>
      <c r="D546" s="2"/>
      <c r="E546" s="123" t="s">
        <v>111</v>
      </c>
      <c r="F546" s="123" t="s">
        <v>112</v>
      </c>
      <c r="G546" s="124">
        <v>834</v>
      </c>
      <c r="H546" s="123" t="s">
        <v>113</v>
      </c>
      <c r="I546" s="124">
        <v>5419</v>
      </c>
      <c r="J546" s="123" t="s">
        <v>122</v>
      </c>
      <c r="K546" s="125" t="s">
        <v>232</v>
      </c>
      <c r="L546" s="123" t="s">
        <v>233</v>
      </c>
      <c r="M546" s="124">
        <v>2020</v>
      </c>
      <c r="N546" s="124">
        <v>2020</v>
      </c>
      <c r="O546" s="123" t="s">
        <v>123</v>
      </c>
      <c r="P546" s="124">
        <v>5509</v>
      </c>
      <c r="Q546" s="123" t="s">
        <v>118</v>
      </c>
      <c r="R546" s="123" t="s">
        <v>119</v>
      </c>
      <c r="S546" s="2"/>
      <c r="T546" s="2"/>
    </row>
    <row x14ac:dyDescent="0.25" r="547" customHeight="1" ht="13.5">
      <c r="A547" s="2"/>
      <c r="B547" s="2"/>
      <c r="C547" s="2"/>
      <c r="D547" s="2"/>
      <c r="E547" s="123" t="s">
        <v>111</v>
      </c>
      <c r="F547" s="123" t="s">
        <v>112</v>
      </c>
      <c r="G547" s="124">
        <v>834</v>
      </c>
      <c r="H547" s="123" t="s">
        <v>113</v>
      </c>
      <c r="I547" s="124">
        <v>5419</v>
      </c>
      <c r="J547" s="123" t="s">
        <v>122</v>
      </c>
      <c r="K547" s="125" t="s">
        <v>232</v>
      </c>
      <c r="L547" s="123" t="s">
        <v>233</v>
      </c>
      <c r="M547" s="124">
        <v>2021</v>
      </c>
      <c r="N547" s="124">
        <v>2021</v>
      </c>
      <c r="O547" s="123" t="s">
        <v>123</v>
      </c>
      <c r="P547" s="124">
        <v>5498</v>
      </c>
      <c r="Q547" s="123" t="s">
        <v>118</v>
      </c>
      <c r="R547" s="123" t="s">
        <v>119</v>
      </c>
      <c r="S547" s="2"/>
      <c r="T547" s="2"/>
    </row>
    <row x14ac:dyDescent="0.25" r="548" customHeight="1" ht="13.5">
      <c r="A548" s="2"/>
      <c r="B548" s="2"/>
      <c r="C548" s="2"/>
      <c r="D548" s="2"/>
      <c r="E548" s="123" t="s">
        <v>111</v>
      </c>
      <c r="F548" s="123" t="s">
        <v>112</v>
      </c>
      <c r="G548" s="124">
        <v>834</v>
      </c>
      <c r="H548" s="123" t="s">
        <v>113</v>
      </c>
      <c r="I548" s="124">
        <v>5312</v>
      </c>
      <c r="J548" s="123" t="s">
        <v>114</v>
      </c>
      <c r="K548" s="125" t="s">
        <v>234</v>
      </c>
      <c r="L548" s="123" t="s">
        <v>235</v>
      </c>
      <c r="M548" s="124">
        <v>2017</v>
      </c>
      <c r="N548" s="124">
        <v>2017</v>
      </c>
      <c r="O548" s="123" t="s">
        <v>117</v>
      </c>
      <c r="P548" s="124">
        <v>340000</v>
      </c>
      <c r="Q548" s="123" t="s">
        <v>144</v>
      </c>
      <c r="R548" s="123" t="s">
        <v>145</v>
      </c>
      <c r="S548" s="2"/>
      <c r="T548" s="2"/>
    </row>
    <row x14ac:dyDescent="0.25" r="549" customHeight="1" ht="13.5">
      <c r="A549" s="2"/>
      <c r="B549" s="2"/>
      <c r="C549" s="2"/>
      <c r="D549" s="2"/>
      <c r="E549" s="123" t="s">
        <v>111</v>
      </c>
      <c r="F549" s="123" t="s">
        <v>112</v>
      </c>
      <c r="G549" s="124">
        <v>834</v>
      </c>
      <c r="H549" s="123" t="s">
        <v>113</v>
      </c>
      <c r="I549" s="124">
        <v>5312</v>
      </c>
      <c r="J549" s="123" t="s">
        <v>114</v>
      </c>
      <c r="K549" s="125" t="s">
        <v>234</v>
      </c>
      <c r="L549" s="123" t="s">
        <v>235</v>
      </c>
      <c r="M549" s="124">
        <v>2018</v>
      </c>
      <c r="N549" s="124">
        <v>2018</v>
      </c>
      <c r="O549" s="123" t="s">
        <v>117</v>
      </c>
      <c r="P549" s="124">
        <v>400000</v>
      </c>
      <c r="Q549" s="123" t="s">
        <v>144</v>
      </c>
      <c r="R549" s="123" t="s">
        <v>145</v>
      </c>
      <c r="S549" s="2"/>
      <c r="T549" s="2"/>
    </row>
    <row x14ac:dyDescent="0.25" r="550" customHeight="1" ht="13.5">
      <c r="A550" s="2"/>
      <c r="B550" s="2"/>
      <c r="C550" s="2"/>
      <c r="D550" s="2"/>
      <c r="E550" s="123" t="s">
        <v>111</v>
      </c>
      <c r="F550" s="123" t="s">
        <v>112</v>
      </c>
      <c r="G550" s="124">
        <v>834</v>
      </c>
      <c r="H550" s="123" t="s">
        <v>113</v>
      </c>
      <c r="I550" s="124">
        <v>5312</v>
      </c>
      <c r="J550" s="123" t="s">
        <v>114</v>
      </c>
      <c r="K550" s="125" t="s">
        <v>234</v>
      </c>
      <c r="L550" s="123" t="s">
        <v>235</v>
      </c>
      <c r="M550" s="124">
        <v>2019</v>
      </c>
      <c r="N550" s="124">
        <v>2019</v>
      </c>
      <c r="O550" s="123" t="s">
        <v>117</v>
      </c>
      <c r="P550" s="124">
        <v>420000</v>
      </c>
      <c r="Q550" s="123" t="s">
        <v>144</v>
      </c>
      <c r="R550" s="123" t="s">
        <v>145</v>
      </c>
      <c r="S550" s="2"/>
      <c r="T550" s="2"/>
    </row>
    <row x14ac:dyDescent="0.25" r="551" customHeight="1" ht="13.5">
      <c r="A551" s="2"/>
      <c r="B551" s="2"/>
      <c r="C551" s="2"/>
      <c r="D551" s="2"/>
      <c r="E551" s="123" t="s">
        <v>111</v>
      </c>
      <c r="F551" s="123" t="s">
        <v>112</v>
      </c>
      <c r="G551" s="124">
        <v>834</v>
      </c>
      <c r="H551" s="123" t="s">
        <v>113</v>
      </c>
      <c r="I551" s="124">
        <v>5312</v>
      </c>
      <c r="J551" s="123" t="s">
        <v>114</v>
      </c>
      <c r="K551" s="125" t="s">
        <v>234</v>
      </c>
      <c r="L551" s="123" t="s">
        <v>235</v>
      </c>
      <c r="M551" s="124">
        <v>2020</v>
      </c>
      <c r="N551" s="124">
        <v>2020</v>
      </c>
      <c r="O551" s="123" t="s">
        <v>117</v>
      </c>
      <c r="P551" s="124">
        <v>500000</v>
      </c>
      <c r="Q551" s="123" t="s">
        <v>144</v>
      </c>
      <c r="R551" s="123" t="s">
        <v>145</v>
      </c>
      <c r="S551" s="2"/>
      <c r="T551" s="2"/>
    </row>
    <row x14ac:dyDescent="0.25" r="552" customHeight="1" ht="13.5">
      <c r="A552" s="2"/>
      <c r="B552" s="2"/>
      <c r="C552" s="2"/>
      <c r="D552" s="2"/>
      <c r="E552" s="123" t="s">
        <v>111</v>
      </c>
      <c r="F552" s="123" t="s">
        <v>112</v>
      </c>
      <c r="G552" s="124">
        <v>834</v>
      </c>
      <c r="H552" s="123" t="s">
        <v>113</v>
      </c>
      <c r="I552" s="124">
        <v>5312</v>
      </c>
      <c r="J552" s="123" t="s">
        <v>114</v>
      </c>
      <c r="K552" s="125" t="s">
        <v>234</v>
      </c>
      <c r="L552" s="123" t="s">
        <v>235</v>
      </c>
      <c r="M552" s="124">
        <v>2021</v>
      </c>
      <c r="N552" s="124">
        <v>2021</v>
      </c>
      <c r="O552" s="123" t="s">
        <v>117</v>
      </c>
      <c r="P552" s="124">
        <v>183326</v>
      </c>
      <c r="Q552" s="123" t="s">
        <v>120</v>
      </c>
      <c r="R552" s="123" t="s">
        <v>121</v>
      </c>
      <c r="S552" s="2"/>
      <c r="T552" s="2"/>
    </row>
    <row x14ac:dyDescent="0.25" r="553" customHeight="1" ht="13.5">
      <c r="A553" s="2"/>
      <c r="B553" s="2"/>
      <c r="C553" s="2"/>
      <c r="D553" s="2"/>
      <c r="E553" s="123" t="s">
        <v>111</v>
      </c>
      <c r="F553" s="123" t="s">
        <v>112</v>
      </c>
      <c r="G553" s="124">
        <v>834</v>
      </c>
      <c r="H553" s="123" t="s">
        <v>113</v>
      </c>
      <c r="I553" s="124">
        <v>5419</v>
      </c>
      <c r="J553" s="123" t="s">
        <v>122</v>
      </c>
      <c r="K553" s="125" t="s">
        <v>234</v>
      </c>
      <c r="L553" s="123" t="s">
        <v>235</v>
      </c>
      <c r="M553" s="124">
        <v>2017</v>
      </c>
      <c r="N553" s="124">
        <v>2017</v>
      </c>
      <c r="O553" s="123" t="s">
        <v>123</v>
      </c>
      <c r="P553" s="124">
        <v>4844</v>
      </c>
      <c r="Q553" s="123" t="s">
        <v>118</v>
      </c>
      <c r="R553" s="123" t="s">
        <v>119</v>
      </c>
      <c r="S553" s="2"/>
      <c r="T553" s="2"/>
    </row>
    <row x14ac:dyDescent="0.25" r="554" customHeight="1" ht="13.5">
      <c r="A554" s="2"/>
      <c r="B554" s="2"/>
      <c r="C554" s="2"/>
      <c r="D554" s="2"/>
      <c r="E554" s="123" t="s">
        <v>111</v>
      </c>
      <c r="F554" s="123" t="s">
        <v>112</v>
      </c>
      <c r="G554" s="124">
        <v>834</v>
      </c>
      <c r="H554" s="123" t="s">
        <v>113</v>
      </c>
      <c r="I554" s="124">
        <v>5419</v>
      </c>
      <c r="J554" s="123" t="s">
        <v>122</v>
      </c>
      <c r="K554" s="125" t="s">
        <v>234</v>
      </c>
      <c r="L554" s="123" t="s">
        <v>235</v>
      </c>
      <c r="M554" s="124">
        <v>2018</v>
      </c>
      <c r="N554" s="124">
        <v>2018</v>
      </c>
      <c r="O554" s="123" t="s">
        <v>123</v>
      </c>
      <c r="P554" s="124">
        <v>6735</v>
      </c>
      <c r="Q554" s="123" t="s">
        <v>118</v>
      </c>
      <c r="R554" s="123" t="s">
        <v>119</v>
      </c>
      <c r="S554" s="2"/>
      <c r="T554" s="2"/>
    </row>
    <row x14ac:dyDescent="0.25" r="555" customHeight="1" ht="13.5">
      <c r="A555" s="2"/>
      <c r="B555" s="2"/>
      <c r="C555" s="2"/>
      <c r="D555" s="2"/>
      <c r="E555" s="123" t="s">
        <v>111</v>
      </c>
      <c r="F555" s="123" t="s">
        <v>112</v>
      </c>
      <c r="G555" s="124">
        <v>834</v>
      </c>
      <c r="H555" s="123" t="s">
        <v>113</v>
      </c>
      <c r="I555" s="124">
        <v>5419</v>
      </c>
      <c r="J555" s="123" t="s">
        <v>122</v>
      </c>
      <c r="K555" s="125" t="s">
        <v>234</v>
      </c>
      <c r="L555" s="123" t="s">
        <v>235</v>
      </c>
      <c r="M555" s="124">
        <v>2019</v>
      </c>
      <c r="N555" s="124">
        <v>2019</v>
      </c>
      <c r="O555" s="123" t="s">
        <v>123</v>
      </c>
      <c r="P555" s="124">
        <v>8307</v>
      </c>
      <c r="Q555" s="123" t="s">
        <v>118</v>
      </c>
      <c r="R555" s="123" t="s">
        <v>119</v>
      </c>
      <c r="S555" s="2"/>
      <c r="T555" s="2"/>
    </row>
    <row x14ac:dyDescent="0.25" r="556" customHeight="1" ht="13.5">
      <c r="A556" s="2"/>
      <c r="B556" s="2"/>
      <c r="C556" s="2"/>
      <c r="D556" s="2"/>
      <c r="E556" s="123" t="s">
        <v>111</v>
      </c>
      <c r="F556" s="123" t="s">
        <v>112</v>
      </c>
      <c r="G556" s="124">
        <v>834</v>
      </c>
      <c r="H556" s="123" t="s">
        <v>113</v>
      </c>
      <c r="I556" s="124">
        <v>5419</v>
      </c>
      <c r="J556" s="123" t="s">
        <v>122</v>
      </c>
      <c r="K556" s="125" t="s">
        <v>234</v>
      </c>
      <c r="L556" s="123" t="s">
        <v>235</v>
      </c>
      <c r="M556" s="124">
        <v>2020</v>
      </c>
      <c r="N556" s="124">
        <v>2020</v>
      </c>
      <c r="O556" s="123" t="s">
        <v>123</v>
      </c>
      <c r="P556" s="124">
        <v>6979</v>
      </c>
      <c r="Q556" s="123" t="s">
        <v>118</v>
      </c>
      <c r="R556" s="123" t="s">
        <v>119</v>
      </c>
      <c r="S556" s="2"/>
      <c r="T556" s="2"/>
    </row>
    <row x14ac:dyDescent="0.25" r="557" customHeight="1" ht="13.5">
      <c r="A557" s="2"/>
      <c r="B557" s="2"/>
      <c r="C557" s="2"/>
      <c r="D557" s="2"/>
      <c r="E557" s="123" t="s">
        <v>111</v>
      </c>
      <c r="F557" s="123" t="s">
        <v>112</v>
      </c>
      <c r="G557" s="124">
        <v>834</v>
      </c>
      <c r="H557" s="123" t="s">
        <v>113</v>
      </c>
      <c r="I557" s="124">
        <v>5419</v>
      </c>
      <c r="J557" s="123" t="s">
        <v>122</v>
      </c>
      <c r="K557" s="125" t="s">
        <v>234</v>
      </c>
      <c r="L557" s="123" t="s">
        <v>235</v>
      </c>
      <c r="M557" s="124">
        <v>2021</v>
      </c>
      <c r="N557" s="124">
        <v>2021</v>
      </c>
      <c r="O557" s="123" t="s">
        <v>123</v>
      </c>
      <c r="P557" s="124">
        <v>6700</v>
      </c>
      <c r="Q557" s="123" t="s">
        <v>118</v>
      </c>
      <c r="R557" s="123" t="s">
        <v>119</v>
      </c>
      <c r="S557" s="2"/>
      <c r="T557" s="2"/>
    </row>
    <row x14ac:dyDescent="0.25" r="558" customHeight="1" ht="13.5">
      <c r="A558" s="2"/>
      <c r="B558" s="2"/>
      <c r="C558" s="2"/>
      <c r="D558" s="2"/>
      <c r="E558" s="123" t="s">
        <v>111</v>
      </c>
      <c r="F558" s="123" t="s">
        <v>112</v>
      </c>
      <c r="G558" s="124">
        <v>834</v>
      </c>
      <c r="H558" s="123" t="s">
        <v>113</v>
      </c>
      <c r="I558" s="124">
        <v>5312</v>
      </c>
      <c r="J558" s="123" t="s">
        <v>114</v>
      </c>
      <c r="K558" s="125" t="s">
        <v>236</v>
      </c>
      <c r="L558" s="123" t="s">
        <v>237</v>
      </c>
      <c r="M558" s="124">
        <v>2017</v>
      </c>
      <c r="N558" s="124">
        <v>2017</v>
      </c>
      <c r="O558" s="123" t="s">
        <v>117</v>
      </c>
      <c r="P558" s="124">
        <v>850000</v>
      </c>
      <c r="Q558" s="123" t="s">
        <v>144</v>
      </c>
      <c r="R558" s="123" t="s">
        <v>145</v>
      </c>
      <c r="S558" s="2"/>
      <c r="T558" s="2"/>
    </row>
    <row x14ac:dyDescent="0.25" r="559" customHeight="1" ht="13.5">
      <c r="A559" s="2"/>
      <c r="B559" s="2"/>
      <c r="C559" s="2"/>
      <c r="D559" s="2"/>
      <c r="E559" s="123" t="s">
        <v>111</v>
      </c>
      <c r="F559" s="123" t="s">
        <v>112</v>
      </c>
      <c r="G559" s="124">
        <v>834</v>
      </c>
      <c r="H559" s="123" t="s">
        <v>113</v>
      </c>
      <c r="I559" s="124">
        <v>5312</v>
      </c>
      <c r="J559" s="123" t="s">
        <v>114</v>
      </c>
      <c r="K559" s="125" t="s">
        <v>236</v>
      </c>
      <c r="L559" s="123" t="s">
        <v>237</v>
      </c>
      <c r="M559" s="124">
        <v>2018</v>
      </c>
      <c r="N559" s="124">
        <v>2018</v>
      </c>
      <c r="O559" s="123" t="s">
        <v>117</v>
      </c>
      <c r="P559" s="124">
        <v>900000</v>
      </c>
      <c r="Q559" s="123" t="s">
        <v>144</v>
      </c>
      <c r="R559" s="123" t="s">
        <v>145</v>
      </c>
      <c r="S559" s="2"/>
      <c r="T559" s="2"/>
    </row>
    <row x14ac:dyDescent="0.25" r="560" customHeight="1" ht="13.5">
      <c r="A560" s="2"/>
      <c r="B560" s="2"/>
      <c r="C560" s="2"/>
      <c r="D560" s="2"/>
      <c r="E560" s="123" t="s">
        <v>111</v>
      </c>
      <c r="F560" s="123" t="s">
        <v>112</v>
      </c>
      <c r="G560" s="124">
        <v>834</v>
      </c>
      <c r="H560" s="123" t="s">
        <v>113</v>
      </c>
      <c r="I560" s="124">
        <v>5312</v>
      </c>
      <c r="J560" s="123" t="s">
        <v>114</v>
      </c>
      <c r="K560" s="125" t="s">
        <v>236</v>
      </c>
      <c r="L560" s="123" t="s">
        <v>237</v>
      </c>
      <c r="M560" s="124">
        <v>2019</v>
      </c>
      <c r="N560" s="124">
        <v>2019</v>
      </c>
      <c r="O560" s="123" t="s">
        <v>117</v>
      </c>
      <c r="P560" s="124">
        <v>940000</v>
      </c>
      <c r="Q560" s="123" t="s">
        <v>144</v>
      </c>
      <c r="R560" s="123" t="s">
        <v>145</v>
      </c>
      <c r="S560" s="2"/>
      <c r="T560" s="2"/>
    </row>
    <row x14ac:dyDescent="0.25" r="561" customHeight="1" ht="13.5">
      <c r="A561" s="2"/>
      <c r="B561" s="2"/>
      <c r="C561" s="2"/>
      <c r="D561" s="2"/>
      <c r="E561" s="123" t="s">
        <v>111</v>
      </c>
      <c r="F561" s="123" t="s">
        <v>112</v>
      </c>
      <c r="G561" s="124">
        <v>834</v>
      </c>
      <c r="H561" s="123" t="s">
        <v>113</v>
      </c>
      <c r="I561" s="124">
        <v>5312</v>
      </c>
      <c r="J561" s="123" t="s">
        <v>114</v>
      </c>
      <c r="K561" s="125" t="s">
        <v>236</v>
      </c>
      <c r="L561" s="123" t="s">
        <v>237</v>
      </c>
      <c r="M561" s="124">
        <v>2020</v>
      </c>
      <c r="N561" s="124">
        <v>2020</v>
      </c>
      <c r="O561" s="123" t="s">
        <v>117</v>
      </c>
      <c r="P561" s="124">
        <v>960000</v>
      </c>
      <c r="Q561" s="123" t="s">
        <v>144</v>
      </c>
      <c r="R561" s="123" t="s">
        <v>145</v>
      </c>
      <c r="S561" s="2"/>
      <c r="T561" s="2"/>
    </row>
    <row x14ac:dyDescent="0.25" r="562" customHeight="1" ht="13.5">
      <c r="A562" s="2"/>
      <c r="B562" s="2"/>
      <c r="C562" s="2"/>
      <c r="D562" s="2"/>
      <c r="E562" s="123" t="s">
        <v>111</v>
      </c>
      <c r="F562" s="123" t="s">
        <v>112</v>
      </c>
      <c r="G562" s="124">
        <v>834</v>
      </c>
      <c r="H562" s="123" t="s">
        <v>113</v>
      </c>
      <c r="I562" s="124">
        <v>5312</v>
      </c>
      <c r="J562" s="123" t="s">
        <v>114</v>
      </c>
      <c r="K562" s="125" t="s">
        <v>236</v>
      </c>
      <c r="L562" s="123" t="s">
        <v>237</v>
      </c>
      <c r="M562" s="124">
        <v>2021</v>
      </c>
      <c r="N562" s="124">
        <v>2021</v>
      </c>
      <c r="O562" s="123" t="s">
        <v>117</v>
      </c>
      <c r="P562" s="124">
        <v>970000</v>
      </c>
      <c r="Q562" s="123" t="s">
        <v>144</v>
      </c>
      <c r="R562" s="123" t="s">
        <v>145</v>
      </c>
      <c r="S562" s="2"/>
      <c r="T562" s="2"/>
    </row>
    <row x14ac:dyDescent="0.25" r="563" customHeight="1" ht="13.5">
      <c r="A563" s="2"/>
      <c r="B563" s="2"/>
      <c r="C563" s="2"/>
      <c r="D563" s="2"/>
      <c r="E563" s="123" t="s">
        <v>111</v>
      </c>
      <c r="F563" s="123" t="s">
        <v>112</v>
      </c>
      <c r="G563" s="124">
        <v>834</v>
      </c>
      <c r="H563" s="123" t="s">
        <v>113</v>
      </c>
      <c r="I563" s="124">
        <v>5419</v>
      </c>
      <c r="J563" s="123" t="s">
        <v>122</v>
      </c>
      <c r="K563" s="125" t="s">
        <v>236</v>
      </c>
      <c r="L563" s="123" t="s">
        <v>237</v>
      </c>
      <c r="M563" s="124">
        <v>2017</v>
      </c>
      <c r="N563" s="124">
        <v>2017</v>
      </c>
      <c r="O563" s="123" t="s">
        <v>123</v>
      </c>
      <c r="P563" s="124">
        <v>7294</v>
      </c>
      <c r="Q563" s="123" t="s">
        <v>118</v>
      </c>
      <c r="R563" s="123" t="s">
        <v>119</v>
      </c>
      <c r="S563" s="2"/>
      <c r="T563" s="2"/>
    </row>
    <row x14ac:dyDescent="0.25" r="564" customHeight="1" ht="13.5">
      <c r="A564" s="2"/>
      <c r="B564" s="2"/>
      <c r="C564" s="2"/>
      <c r="D564" s="2"/>
      <c r="E564" s="123" t="s">
        <v>111</v>
      </c>
      <c r="F564" s="123" t="s">
        <v>112</v>
      </c>
      <c r="G564" s="124">
        <v>834</v>
      </c>
      <c r="H564" s="123" t="s">
        <v>113</v>
      </c>
      <c r="I564" s="124">
        <v>5419</v>
      </c>
      <c r="J564" s="123" t="s">
        <v>122</v>
      </c>
      <c r="K564" s="125" t="s">
        <v>236</v>
      </c>
      <c r="L564" s="123" t="s">
        <v>237</v>
      </c>
      <c r="M564" s="124">
        <v>2018</v>
      </c>
      <c r="N564" s="124">
        <v>2018</v>
      </c>
      <c r="O564" s="123" t="s">
        <v>123</v>
      </c>
      <c r="P564" s="124">
        <v>7111</v>
      </c>
      <c r="Q564" s="123" t="s">
        <v>118</v>
      </c>
      <c r="R564" s="123" t="s">
        <v>119</v>
      </c>
      <c r="S564" s="2"/>
      <c r="T564" s="2"/>
    </row>
    <row x14ac:dyDescent="0.25" r="565" customHeight="1" ht="13.5">
      <c r="A565" s="2"/>
      <c r="B565" s="2"/>
      <c r="C565" s="2"/>
      <c r="D565" s="2"/>
      <c r="E565" s="123" t="s">
        <v>111</v>
      </c>
      <c r="F565" s="123" t="s">
        <v>112</v>
      </c>
      <c r="G565" s="124">
        <v>834</v>
      </c>
      <c r="H565" s="123" t="s">
        <v>113</v>
      </c>
      <c r="I565" s="124">
        <v>5419</v>
      </c>
      <c r="J565" s="123" t="s">
        <v>122</v>
      </c>
      <c r="K565" s="125" t="s">
        <v>236</v>
      </c>
      <c r="L565" s="123" t="s">
        <v>237</v>
      </c>
      <c r="M565" s="124">
        <v>2019</v>
      </c>
      <c r="N565" s="124">
        <v>2019</v>
      </c>
      <c r="O565" s="123" t="s">
        <v>123</v>
      </c>
      <c r="P565" s="124">
        <v>7234</v>
      </c>
      <c r="Q565" s="123" t="s">
        <v>118</v>
      </c>
      <c r="R565" s="123" t="s">
        <v>119</v>
      </c>
      <c r="S565" s="2"/>
      <c r="T565" s="2"/>
    </row>
    <row x14ac:dyDescent="0.25" r="566" customHeight="1" ht="13.5">
      <c r="A566" s="2"/>
      <c r="B566" s="2"/>
      <c r="C566" s="2"/>
      <c r="D566" s="2"/>
      <c r="E566" s="123" t="s">
        <v>111</v>
      </c>
      <c r="F566" s="123" t="s">
        <v>112</v>
      </c>
      <c r="G566" s="124">
        <v>834</v>
      </c>
      <c r="H566" s="123" t="s">
        <v>113</v>
      </c>
      <c r="I566" s="124">
        <v>5419</v>
      </c>
      <c r="J566" s="123" t="s">
        <v>122</v>
      </c>
      <c r="K566" s="125" t="s">
        <v>236</v>
      </c>
      <c r="L566" s="123" t="s">
        <v>237</v>
      </c>
      <c r="M566" s="124">
        <v>2020</v>
      </c>
      <c r="N566" s="124">
        <v>2020</v>
      </c>
      <c r="O566" s="123" t="s">
        <v>123</v>
      </c>
      <c r="P566" s="124">
        <v>7396</v>
      </c>
      <c r="Q566" s="123" t="s">
        <v>118</v>
      </c>
      <c r="R566" s="123" t="s">
        <v>119</v>
      </c>
      <c r="S566" s="2"/>
      <c r="T566" s="2"/>
    </row>
    <row x14ac:dyDescent="0.25" r="567" customHeight="1" ht="13.5">
      <c r="A567" s="2"/>
      <c r="B567" s="2"/>
      <c r="C567" s="2"/>
      <c r="D567" s="2"/>
      <c r="E567" s="123" t="s">
        <v>111</v>
      </c>
      <c r="F567" s="123" t="s">
        <v>112</v>
      </c>
      <c r="G567" s="124">
        <v>834</v>
      </c>
      <c r="H567" s="123" t="s">
        <v>113</v>
      </c>
      <c r="I567" s="124">
        <v>5419</v>
      </c>
      <c r="J567" s="123" t="s">
        <v>122</v>
      </c>
      <c r="K567" s="125" t="s">
        <v>236</v>
      </c>
      <c r="L567" s="123" t="s">
        <v>237</v>
      </c>
      <c r="M567" s="124">
        <v>2021</v>
      </c>
      <c r="N567" s="124">
        <v>2021</v>
      </c>
      <c r="O567" s="123" t="s">
        <v>123</v>
      </c>
      <c r="P567" s="124">
        <v>7216</v>
      </c>
      <c r="Q567" s="123" t="s">
        <v>118</v>
      </c>
      <c r="R567" s="123" t="s">
        <v>119</v>
      </c>
      <c r="S567" s="2"/>
      <c r="T567" s="2"/>
    </row>
    <row x14ac:dyDescent="0.25" r="568" customHeight="1" ht="13.5">
      <c r="A568" s="2"/>
      <c r="B568" s="2"/>
      <c r="C568" s="2"/>
      <c r="D568" s="2"/>
      <c r="E568" s="123" t="s">
        <v>111</v>
      </c>
      <c r="F568" s="123" t="s">
        <v>112</v>
      </c>
      <c r="G568" s="124">
        <v>834</v>
      </c>
      <c r="H568" s="123" t="s">
        <v>113</v>
      </c>
      <c r="I568" s="124">
        <v>5312</v>
      </c>
      <c r="J568" s="123" t="s">
        <v>114</v>
      </c>
      <c r="K568" s="125" t="s">
        <v>238</v>
      </c>
      <c r="L568" s="123" t="s">
        <v>239</v>
      </c>
      <c r="M568" s="124">
        <v>2017</v>
      </c>
      <c r="N568" s="124">
        <v>2017</v>
      </c>
      <c r="O568" s="123" t="s">
        <v>117</v>
      </c>
      <c r="P568" s="124">
        <v>53260</v>
      </c>
      <c r="Q568" s="123" t="s">
        <v>120</v>
      </c>
      <c r="R568" s="123" t="s">
        <v>121</v>
      </c>
      <c r="S568" s="2"/>
      <c r="T568" s="2"/>
    </row>
    <row x14ac:dyDescent="0.25" r="569" customHeight="1" ht="13.5">
      <c r="A569" s="2"/>
      <c r="B569" s="2"/>
      <c r="C569" s="2"/>
      <c r="D569" s="2"/>
      <c r="E569" s="123" t="s">
        <v>111</v>
      </c>
      <c r="F569" s="123" t="s">
        <v>112</v>
      </c>
      <c r="G569" s="124">
        <v>834</v>
      </c>
      <c r="H569" s="123" t="s">
        <v>113</v>
      </c>
      <c r="I569" s="124">
        <v>5312</v>
      </c>
      <c r="J569" s="123" t="s">
        <v>114</v>
      </c>
      <c r="K569" s="125" t="s">
        <v>238</v>
      </c>
      <c r="L569" s="123" t="s">
        <v>239</v>
      </c>
      <c r="M569" s="124">
        <v>2018</v>
      </c>
      <c r="N569" s="124">
        <v>2018</v>
      </c>
      <c r="O569" s="123" t="s">
        <v>117</v>
      </c>
      <c r="P569" s="124">
        <v>55798</v>
      </c>
      <c r="Q569" s="123" t="s">
        <v>120</v>
      </c>
      <c r="R569" s="123" t="s">
        <v>121</v>
      </c>
      <c r="S569" s="2"/>
      <c r="T569" s="2"/>
    </row>
    <row x14ac:dyDescent="0.25" r="570" customHeight="1" ht="13.5">
      <c r="A570" s="2"/>
      <c r="B570" s="2"/>
      <c r="C570" s="2"/>
      <c r="D570" s="2"/>
      <c r="E570" s="123" t="s">
        <v>111</v>
      </c>
      <c r="F570" s="123" t="s">
        <v>112</v>
      </c>
      <c r="G570" s="124">
        <v>834</v>
      </c>
      <c r="H570" s="123" t="s">
        <v>113</v>
      </c>
      <c r="I570" s="124">
        <v>5312</v>
      </c>
      <c r="J570" s="123" t="s">
        <v>114</v>
      </c>
      <c r="K570" s="125" t="s">
        <v>238</v>
      </c>
      <c r="L570" s="123" t="s">
        <v>239</v>
      </c>
      <c r="M570" s="124">
        <v>2019</v>
      </c>
      <c r="N570" s="124">
        <v>2019</v>
      </c>
      <c r="O570" s="123" t="s">
        <v>117</v>
      </c>
      <c r="P570" s="124">
        <v>44716</v>
      </c>
      <c r="Q570" s="123" t="s">
        <v>120</v>
      </c>
      <c r="R570" s="123" t="s">
        <v>121</v>
      </c>
      <c r="S570" s="2"/>
      <c r="T570" s="2"/>
    </row>
    <row x14ac:dyDescent="0.25" r="571" customHeight="1" ht="13.5">
      <c r="A571" s="2"/>
      <c r="B571" s="2"/>
      <c r="C571" s="2"/>
      <c r="D571" s="2"/>
      <c r="E571" s="123" t="s">
        <v>111</v>
      </c>
      <c r="F571" s="123" t="s">
        <v>112</v>
      </c>
      <c r="G571" s="124">
        <v>834</v>
      </c>
      <c r="H571" s="123" t="s">
        <v>113</v>
      </c>
      <c r="I571" s="124">
        <v>5312</v>
      </c>
      <c r="J571" s="123" t="s">
        <v>114</v>
      </c>
      <c r="K571" s="125" t="s">
        <v>238</v>
      </c>
      <c r="L571" s="123" t="s">
        <v>239</v>
      </c>
      <c r="M571" s="124">
        <v>2020</v>
      </c>
      <c r="N571" s="124">
        <v>2020</v>
      </c>
      <c r="O571" s="123" t="s">
        <v>117</v>
      </c>
      <c r="P571" s="124">
        <v>48248</v>
      </c>
      <c r="Q571" s="123" t="s">
        <v>120</v>
      </c>
      <c r="R571" s="123" t="s">
        <v>121</v>
      </c>
      <c r="S571" s="2"/>
      <c r="T571" s="2"/>
    </row>
    <row x14ac:dyDescent="0.25" r="572" customHeight="1" ht="13.5">
      <c r="A572" s="2"/>
      <c r="B572" s="2"/>
      <c r="C572" s="2"/>
      <c r="D572" s="2"/>
      <c r="E572" s="123" t="s">
        <v>111</v>
      </c>
      <c r="F572" s="123" t="s">
        <v>112</v>
      </c>
      <c r="G572" s="124">
        <v>834</v>
      </c>
      <c r="H572" s="123" t="s">
        <v>113</v>
      </c>
      <c r="I572" s="124">
        <v>5312</v>
      </c>
      <c r="J572" s="123" t="s">
        <v>114</v>
      </c>
      <c r="K572" s="125" t="s">
        <v>238</v>
      </c>
      <c r="L572" s="123" t="s">
        <v>239</v>
      </c>
      <c r="M572" s="124">
        <v>2021</v>
      </c>
      <c r="N572" s="124">
        <v>2021</v>
      </c>
      <c r="O572" s="123" t="s">
        <v>117</v>
      </c>
      <c r="P572" s="124">
        <v>47346</v>
      </c>
      <c r="Q572" s="123" t="s">
        <v>120</v>
      </c>
      <c r="R572" s="123" t="s">
        <v>121</v>
      </c>
      <c r="S572" s="2"/>
      <c r="T572" s="2"/>
    </row>
    <row x14ac:dyDescent="0.25" r="573" customHeight="1" ht="13.5">
      <c r="A573" s="2"/>
      <c r="B573" s="2"/>
      <c r="C573" s="2"/>
      <c r="D573" s="2"/>
      <c r="E573" s="123" t="s">
        <v>111</v>
      </c>
      <c r="F573" s="123" t="s">
        <v>112</v>
      </c>
      <c r="G573" s="124">
        <v>834</v>
      </c>
      <c r="H573" s="123" t="s">
        <v>113</v>
      </c>
      <c r="I573" s="124">
        <v>5419</v>
      </c>
      <c r="J573" s="123" t="s">
        <v>122</v>
      </c>
      <c r="K573" s="125" t="s">
        <v>238</v>
      </c>
      <c r="L573" s="123" t="s">
        <v>239</v>
      </c>
      <c r="M573" s="124">
        <v>2017</v>
      </c>
      <c r="N573" s="124">
        <v>2017</v>
      </c>
      <c r="O573" s="123" t="s">
        <v>123</v>
      </c>
      <c r="P573" s="124">
        <v>6859</v>
      </c>
      <c r="Q573" s="123" t="s">
        <v>118</v>
      </c>
      <c r="R573" s="123" t="s">
        <v>119</v>
      </c>
      <c r="S573" s="2"/>
      <c r="T573" s="2"/>
    </row>
    <row x14ac:dyDescent="0.25" r="574" customHeight="1" ht="13.5">
      <c r="A574" s="2"/>
      <c r="B574" s="2"/>
      <c r="C574" s="2"/>
      <c r="D574" s="2"/>
      <c r="E574" s="123" t="s">
        <v>111</v>
      </c>
      <c r="F574" s="123" t="s">
        <v>112</v>
      </c>
      <c r="G574" s="124">
        <v>834</v>
      </c>
      <c r="H574" s="123" t="s">
        <v>113</v>
      </c>
      <c r="I574" s="124">
        <v>5419</v>
      </c>
      <c r="J574" s="123" t="s">
        <v>122</v>
      </c>
      <c r="K574" s="125" t="s">
        <v>238</v>
      </c>
      <c r="L574" s="123" t="s">
        <v>239</v>
      </c>
      <c r="M574" s="124">
        <v>2018</v>
      </c>
      <c r="N574" s="124">
        <v>2018</v>
      </c>
      <c r="O574" s="123" t="s">
        <v>123</v>
      </c>
      <c r="P574" s="124">
        <v>7282</v>
      </c>
      <c r="Q574" s="123" t="s">
        <v>118</v>
      </c>
      <c r="R574" s="123" t="s">
        <v>119</v>
      </c>
      <c r="S574" s="2"/>
      <c r="T574" s="2"/>
    </row>
    <row x14ac:dyDescent="0.25" r="575" customHeight="1" ht="13.5">
      <c r="A575" s="2"/>
      <c r="B575" s="2"/>
      <c r="C575" s="2"/>
      <c r="D575" s="2"/>
      <c r="E575" s="123" t="s">
        <v>111</v>
      </c>
      <c r="F575" s="123" t="s">
        <v>112</v>
      </c>
      <c r="G575" s="124">
        <v>834</v>
      </c>
      <c r="H575" s="123" t="s">
        <v>113</v>
      </c>
      <c r="I575" s="124">
        <v>5419</v>
      </c>
      <c r="J575" s="123" t="s">
        <v>122</v>
      </c>
      <c r="K575" s="125" t="s">
        <v>238</v>
      </c>
      <c r="L575" s="123" t="s">
        <v>239</v>
      </c>
      <c r="M575" s="124">
        <v>2019</v>
      </c>
      <c r="N575" s="124">
        <v>2019</v>
      </c>
      <c r="O575" s="123" t="s">
        <v>123</v>
      </c>
      <c r="P575" s="124">
        <v>7441</v>
      </c>
      <c r="Q575" s="123" t="s">
        <v>118</v>
      </c>
      <c r="R575" s="123" t="s">
        <v>119</v>
      </c>
      <c r="S575" s="2"/>
      <c r="T575" s="2"/>
    </row>
    <row x14ac:dyDescent="0.25" r="576" customHeight="1" ht="13.5">
      <c r="A576" s="2"/>
      <c r="B576" s="2"/>
      <c r="C576" s="2"/>
      <c r="D576" s="2"/>
      <c r="E576" s="123" t="s">
        <v>111</v>
      </c>
      <c r="F576" s="123" t="s">
        <v>112</v>
      </c>
      <c r="G576" s="124">
        <v>834</v>
      </c>
      <c r="H576" s="123" t="s">
        <v>113</v>
      </c>
      <c r="I576" s="124">
        <v>5419</v>
      </c>
      <c r="J576" s="123" t="s">
        <v>122</v>
      </c>
      <c r="K576" s="125" t="s">
        <v>238</v>
      </c>
      <c r="L576" s="123" t="s">
        <v>239</v>
      </c>
      <c r="M576" s="124">
        <v>2020</v>
      </c>
      <c r="N576" s="124">
        <v>2020</v>
      </c>
      <c r="O576" s="123" t="s">
        <v>123</v>
      </c>
      <c r="P576" s="124">
        <v>7540</v>
      </c>
      <c r="Q576" s="123" t="s">
        <v>118</v>
      </c>
      <c r="R576" s="123" t="s">
        <v>119</v>
      </c>
      <c r="S576" s="2"/>
      <c r="T576" s="2"/>
    </row>
    <row x14ac:dyDescent="0.25" r="577" customHeight="1" ht="13.5">
      <c r="A577" s="2"/>
      <c r="B577" s="2"/>
      <c r="C577" s="2"/>
      <c r="D577" s="2"/>
      <c r="E577" s="123" t="s">
        <v>111</v>
      </c>
      <c r="F577" s="123" t="s">
        <v>112</v>
      </c>
      <c r="G577" s="124">
        <v>834</v>
      </c>
      <c r="H577" s="123" t="s">
        <v>113</v>
      </c>
      <c r="I577" s="124">
        <v>5419</v>
      </c>
      <c r="J577" s="123" t="s">
        <v>122</v>
      </c>
      <c r="K577" s="125" t="s">
        <v>238</v>
      </c>
      <c r="L577" s="123" t="s">
        <v>239</v>
      </c>
      <c r="M577" s="124">
        <v>2021</v>
      </c>
      <c r="N577" s="124">
        <v>2021</v>
      </c>
      <c r="O577" s="123" t="s">
        <v>123</v>
      </c>
      <c r="P577" s="124">
        <v>7639</v>
      </c>
      <c r="Q577" s="123" t="s">
        <v>118</v>
      </c>
      <c r="R577" s="123" t="s">
        <v>119</v>
      </c>
      <c r="S577" s="2"/>
      <c r="T577" s="2"/>
    </row>
    <row x14ac:dyDescent="0.25" r="578" customHeight="1" ht="13.5">
      <c r="A578" s="2"/>
      <c r="B578" s="2"/>
      <c r="C578" s="2"/>
      <c r="D578" s="2"/>
      <c r="E578" s="123" t="s">
        <v>111</v>
      </c>
      <c r="F578" s="123" t="s">
        <v>112</v>
      </c>
      <c r="G578" s="124">
        <v>834</v>
      </c>
      <c r="H578" s="123" t="s">
        <v>113</v>
      </c>
      <c r="I578" s="124">
        <v>5312</v>
      </c>
      <c r="J578" s="123" t="s">
        <v>114</v>
      </c>
      <c r="K578" s="125" t="s">
        <v>240</v>
      </c>
      <c r="L578" s="123" t="s">
        <v>241</v>
      </c>
      <c r="M578" s="124">
        <v>2017</v>
      </c>
      <c r="N578" s="124">
        <v>2017</v>
      </c>
      <c r="O578" s="123" t="s">
        <v>117</v>
      </c>
      <c r="P578" s="124">
        <v>753708</v>
      </c>
      <c r="Q578" s="123" t="s">
        <v>126</v>
      </c>
      <c r="R578" s="123" t="s">
        <v>127</v>
      </c>
      <c r="S578" s="2"/>
      <c r="T578" s="2"/>
    </row>
    <row x14ac:dyDescent="0.25" r="579" customHeight="1" ht="13.5">
      <c r="A579" s="2"/>
      <c r="B579" s="2"/>
      <c r="C579" s="2"/>
      <c r="D579" s="2"/>
      <c r="E579" s="123" t="s">
        <v>111</v>
      </c>
      <c r="F579" s="123" t="s">
        <v>112</v>
      </c>
      <c r="G579" s="124">
        <v>834</v>
      </c>
      <c r="H579" s="123" t="s">
        <v>113</v>
      </c>
      <c r="I579" s="124">
        <v>5312</v>
      </c>
      <c r="J579" s="123" t="s">
        <v>114</v>
      </c>
      <c r="K579" s="125" t="s">
        <v>240</v>
      </c>
      <c r="L579" s="123" t="s">
        <v>241</v>
      </c>
      <c r="M579" s="124">
        <v>2018</v>
      </c>
      <c r="N579" s="124">
        <v>2018</v>
      </c>
      <c r="O579" s="123" t="s">
        <v>117</v>
      </c>
      <c r="P579" s="124">
        <v>609567</v>
      </c>
      <c r="Q579" s="123" t="s">
        <v>126</v>
      </c>
      <c r="R579" s="123" t="s">
        <v>127</v>
      </c>
      <c r="S579" s="2"/>
      <c r="T579" s="2"/>
    </row>
    <row x14ac:dyDescent="0.25" r="580" customHeight="1" ht="13.5">
      <c r="A580" s="2"/>
      <c r="B580" s="2"/>
      <c r="C580" s="2"/>
      <c r="D580" s="2"/>
      <c r="E580" s="123" t="s">
        <v>111</v>
      </c>
      <c r="F580" s="123" t="s">
        <v>112</v>
      </c>
      <c r="G580" s="124">
        <v>834</v>
      </c>
      <c r="H580" s="123" t="s">
        <v>113</v>
      </c>
      <c r="I580" s="124">
        <v>5312</v>
      </c>
      <c r="J580" s="123" t="s">
        <v>114</v>
      </c>
      <c r="K580" s="125" t="s">
        <v>240</v>
      </c>
      <c r="L580" s="123" t="s">
        <v>241</v>
      </c>
      <c r="M580" s="124">
        <v>2019</v>
      </c>
      <c r="N580" s="124">
        <v>2019</v>
      </c>
      <c r="O580" s="123" t="s">
        <v>117</v>
      </c>
      <c r="P580" s="124">
        <v>646868</v>
      </c>
      <c r="Q580" s="123" t="s">
        <v>126</v>
      </c>
      <c r="R580" s="123" t="s">
        <v>127</v>
      </c>
      <c r="S580" s="2"/>
      <c r="T580" s="2"/>
    </row>
    <row x14ac:dyDescent="0.25" r="581" customHeight="1" ht="13.5">
      <c r="A581" s="2"/>
      <c r="B581" s="2"/>
      <c r="C581" s="2"/>
      <c r="D581" s="2"/>
      <c r="E581" s="123" t="s">
        <v>111</v>
      </c>
      <c r="F581" s="123" t="s">
        <v>112</v>
      </c>
      <c r="G581" s="124">
        <v>834</v>
      </c>
      <c r="H581" s="123" t="s">
        <v>113</v>
      </c>
      <c r="I581" s="124">
        <v>5312</v>
      </c>
      <c r="J581" s="123" t="s">
        <v>114</v>
      </c>
      <c r="K581" s="125" t="s">
        <v>240</v>
      </c>
      <c r="L581" s="123" t="s">
        <v>241</v>
      </c>
      <c r="M581" s="124">
        <v>2020</v>
      </c>
      <c r="N581" s="124">
        <v>2020</v>
      </c>
      <c r="O581" s="123" t="s">
        <v>117</v>
      </c>
      <c r="P581" s="124">
        <v>994014</v>
      </c>
      <c r="Q581" s="123" t="s">
        <v>120</v>
      </c>
      <c r="R581" s="123" t="s">
        <v>121</v>
      </c>
      <c r="S581" s="2"/>
      <c r="T581" s="2"/>
    </row>
    <row x14ac:dyDescent="0.25" r="582" customHeight="1" ht="13.5">
      <c r="A582" s="2"/>
      <c r="B582" s="2"/>
      <c r="C582" s="2"/>
      <c r="D582" s="2"/>
      <c r="E582" s="123" t="s">
        <v>111</v>
      </c>
      <c r="F582" s="123" t="s">
        <v>112</v>
      </c>
      <c r="G582" s="124">
        <v>834</v>
      </c>
      <c r="H582" s="123" t="s">
        <v>113</v>
      </c>
      <c r="I582" s="124">
        <v>5312</v>
      </c>
      <c r="J582" s="123" t="s">
        <v>114</v>
      </c>
      <c r="K582" s="125" t="s">
        <v>240</v>
      </c>
      <c r="L582" s="123" t="s">
        <v>241</v>
      </c>
      <c r="M582" s="124">
        <v>2021</v>
      </c>
      <c r="N582" s="124">
        <v>2021</v>
      </c>
      <c r="O582" s="123" t="s">
        <v>117</v>
      </c>
      <c r="P582" s="124">
        <v>1035257</v>
      </c>
      <c r="Q582" s="123" t="s">
        <v>118</v>
      </c>
      <c r="R582" s="123" t="s">
        <v>119</v>
      </c>
      <c r="S582" s="2"/>
      <c r="T582" s="2"/>
    </row>
    <row x14ac:dyDescent="0.25" r="583" customHeight="1" ht="13.5">
      <c r="A583" s="2"/>
      <c r="B583" s="2"/>
      <c r="C583" s="2"/>
      <c r="D583" s="2"/>
      <c r="E583" s="123" t="s">
        <v>111</v>
      </c>
      <c r="F583" s="123" t="s">
        <v>112</v>
      </c>
      <c r="G583" s="124">
        <v>834</v>
      </c>
      <c r="H583" s="123" t="s">
        <v>113</v>
      </c>
      <c r="I583" s="124">
        <v>5419</v>
      </c>
      <c r="J583" s="123" t="s">
        <v>122</v>
      </c>
      <c r="K583" s="125" t="s">
        <v>240</v>
      </c>
      <c r="L583" s="123" t="s">
        <v>241</v>
      </c>
      <c r="M583" s="124">
        <v>2017</v>
      </c>
      <c r="N583" s="124">
        <v>2017</v>
      </c>
      <c r="O583" s="123" t="s">
        <v>123</v>
      </c>
      <c r="P583" s="124">
        <v>10018</v>
      </c>
      <c r="Q583" s="123" t="s">
        <v>126</v>
      </c>
      <c r="R583" s="123" t="s">
        <v>127</v>
      </c>
      <c r="S583" s="2"/>
      <c r="T583" s="2"/>
    </row>
    <row x14ac:dyDescent="0.25" r="584" customHeight="1" ht="13.5">
      <c r="A584" s="2"/>
      <c r="B584" s="2"/>
      <c r="C584" s="2"/>
      <c r="D584" s="2"/>
      <c r="E584" s="123" t="s">
        <v>111</v>
      </c>
      <c r="F584" s="123" t="s">
        <v>112</v>
      </c>
      <c r="G584" s="124">
        <v>834</v>
      </c>
      <c r="H584" s="123" t="s">
        <v>113</v>
      </c>
      <c r="I584" s="124">
        <v>5419</v>
      </c>
      <c r="J584" s="123" t="s">
        <v>122</v>
      </c>
      <c r="K584" s="125" t="s">
        <v>240</v>
      </c>
      <c r="L584" s="123" t="s">
        <v>241</v>
      </c>
      <c r="M584" s="124">
        <v>2018</v>
      </c>
      <c r="N584" s="124">
        <v>2018</v>
      </c>
      <c r="O584" s="123" t="s">
        <v>123</v>
      </c>
      <c r="P584" s="124">
        <v>11028</v>
      </c>
      <c r="Q584" s="123" t="s">
        <v>126</v>
      </c>
      <c r="R584" s="123" t="s">
        <v>127</v>
      </c>
      <c r="S584" s="2"/>
      <c r="T584" s="2"/>
    </row>
    <row x14ac:dyDescent="0.25" r="585" customHeight="1" ht="13.5">
      <c r="A585" s="2"/>
      <c r="B585" s="2"/>
      <c r="C585" s="2"/>
      <c r="D585" s="2"/>
      <c r="E585" s="123" t="s">
        <v>111</v>
      </c>
      <c r="F585" s="123" t="s">
        <v>112</v>
      </c>
      <c r="G585" s="124">
        <v>834</v>
      </c>
      <c r="H585" s="123" t="s">
        <v>113</v>
      </c>
      <c r="I585" s="124">
        <v>5419</v>
      </c>
      <c r="J585" s="123" t="s">
        <v>122</v>
      </c>
      <c r="K585" s="125" t="s">
        <v>240</v>
      </c>
      <c r="L585" s="123" t="s">
        <v>241</v>
      </c>
      <c r="M585" s="124">
        <v>2019</v>
      </c>
      <c r="N585" s="124">
        <v>2019</v>
      </c>
      <c r="O585" s="123" t="s">
        <v>123</v>
      </c>
      <c r="P585" s="124">
        <v>11314</v>
      </c>
      <c r="Q585" s="123" t="s">
        <v>126</v>
      </c>
      <c r="R585" s="123" t="s">
        <v>127</v>
      </c>
      <c r="S585" s="2"/>
      <c r="T585" s="2"/>
    </row>
    <row x14ac:dyDescent="0.25" r="586" customHeight="1" ht="13.5">
      <c r="A586" s="2"/>
      <c r="B586" s="2"/>
      <c r="C586" s="2"/>
      <c r="D586" s="2"/>
      <c r="E586" s="123" t="s">
        <v>111</v>
      </c>
      <c r="F586" s="123" t="s">
        <v>112</v>
      </c>
      <c r="G586" s="124">
        <v>834</v>
      </c>
      <c r="H586" s="123" t="s">
        <v>113</v>
      </c>
      <c r="I586" s="124">
        <v>5419</v>
      </c>
      <c r="J586" s="123" t="s">
        <v>122</v>
      </c>
      <c r="K586" s="125" t="s">
        <v>240</v>
      </c>
      <c r="L586" s="123" t="s">
        <v>241</v>
      </c>
      <c r="M586" s="124">
        <v>2020</v>
      </c>
      <c r="N586" s="124">
        <v>2020</v>
      </c>
      <c r="O586" s="123" t="s">
        <v>123</v>
      </c>
      <c r="P586" s="124">
        <v>10493</v>
      </c>
      <c r="Q586" s="123" t="s">
        <v>118</v>
      </c>
      <c r="R586" s="123" t="s">
        <v>119</v>
      </c>
      <c r="S586" s="2"/>
      <c r="T586" s="2"/>
    </row>
    <row x14ac:dyDescent="0.25" r="587" customHeight="1" ht="13.5">
      <c r="A587" s="2"/>
      <c r="B587" s="2"/>
      <c r="C587" s="2"/>
      <c r="D587" s="2"/>
      <c r="E587" s="123" t="s">
        <v>111</v>
      </c>
      <c r="F587" s="123" t="s">
        <v>112</v>
      </c>
      <c r="G587" s="124">
        <v>834</v>
      </c>
      <c r="H587" s="123" t="s">
        <v>113</v>
      </c>
      <c r="I587" s="124">
        <v>5419</v>
      </c>
      <c r="J587" s="123" t="s">
        <v>122</v>
      </c>
      <c r="K587" s="125" t="s">
        <v>240</v>
      </c>
      <c r="L587" s="123" t="s">
        <v>241</v>
      </c>
      <c r="M587" s="124">
        <v>2021</v>
      </c>
      <c r="N587" s="124">
        <v>2021</v>
      </c>
      <c r="O587" s="123" t="s">
        <v>123</v>
      </c>
      <c r="P587" s="124">
        <v>10403</v>
      </c>
      <c r="Q587" s="123" t="s">
        <v>118</v>
      </c>
      <c r="R587" s="123" t="s">
        <v>119</v>
      </c>
      <c r="S587" s="2"/>
      <c r="T587" s="2"/>
    </row>
    <row x14ac:dyDescent="0.25" r="588" customHeight="1" ht="13.5">
      <c r="A588" s="2"/>
      <c r="B588" s="2"/>
      <c r="C588" s="2"/>
      <c r="D588" s="2"/>
      <c r="E588" s="123" t="s">
        <v>111</v>
      </c>
      <c r="F588" s="123" t="s">
        <v>112</v>
      </c>
      <c r="G588" s="124">
        <v>834</v>
      </c>
      <c r="H588" s="123" t="s">
        <v>113</v>
      </c>
      <c r="I588" s="124">
        <v>5312</v>
      </c>
      <c r="J588" s="123" t="s">
        <v>114</v>
      </c>
      <c r="K588" s="125" t="s">
        <v>242</v>
      </c>
      <c r="L588" s="123" t="s">
        <v>243</v>
      </c>
      <c r="M588" s="124">
        <v>2017</v>
      </c>
      <c r="N588" s="124">
        <v>2017</v>
      </c>
      <c r="O588" s="123" t="s">
        <v>117</v>
      </c>
      <c r="P588" s="124">
        <v>6015</v>
      </c>
      <c r="Q588" s="123" t="s">
        <v>126</v>
      </c>
      <c r="R588" s="123" t="s">
        <v>127</v>
      </c>
      <c r="S588" s="2"/>
      <c r="T588" s="2"/>
    </row>
    <row x14ac:dyDescent="0.25" r="589" customHeight="1" ht="13.5">
      <c r="A589" s="2"/>
      <c r="B589" s="2"/>
      <c r="C589" s="2"/>
      <c r="D589" s="2"/>
      <c r="E589" s="123" t="s">
        <v>111</v>
      </c>
      <c r="F589" s="123" t="s">
        <v>112</v>
      </c>
      <c r="G589" s="124">
        <v>834</v>
      </c>
      <c r="H589" s="123" t="s">
        <v>113</v>
      </c>
      <c r="I589" s="124">
        <v>5312</v>
      </c>
      <c r="J589" s="123" t="s">
        <v>114</v>
      </c>
      <c r="K589" s="125" t="s">
        <v>242</v>
      </c>
      <c r="L589" s="123" t="s">
        <v>243</v>
      </c>
      <c r="M589" s="124">
        <v>2018</v>
      </c>
      <c r="N589" s="124">
        <v>2018</v>
      </c>
      <c r="O589" s="123" t="s">
        <v>117</v>
      </c>
      <c r="P589" s="124">
        <v>18883</v>
      </c>
      <c r="Q589" s="123" t="s">
        <v>126</v>
      </c>
      <c r="R589" s="123" t="s">
        <v>127</v>
      </c>
      <c r="S589" s="2"/>
      <c r="T589" s="2"/>
    </row>
    <row x14ac:dyDescent="0.25" r="590" customHeight="1" ht="13.5">
      <c r="A590" s="2"/>
      <c r="B590" s="2"/>
      <c r="C590" s="2"/>
      <c r="D590" s="2"/>
      <c r="E590" s="123" t="s">
        <v>111</v>
      </c>
      <c r="F590" s="123" t="s">
        <v>112</v>
      </c>
      <c r="G590" s="124">
        <v>834</v>
      </c>
      <c r="H590" s="123" t="s">
        <v>113</v>
      </c>
      <c r="I590" s="124">
        <v>5312</v>
      </c>
      <c r="J590" s="123" t="s">
        <v>114</v>
      </c>
      <c r="K590" s="125" t="s">
        <v>242</v>
      </c>
      <c r="L590" s="123" t="s">
        <v>243</v>
      </c>
      <c r="M590" s="124">
        <v>2019</v>
      </c>
      <c r="N590" s="124">
        <v>2019</v>
      </c>
      <c r="O590" s="123" t="s">
        <v>117</v>
      </c>
      <c r="P590" s="124">
        <v>19133</v>
      </c>
      <c r="Q590" s="123" t="s">
        <v>126</v>
      </c>
      <c r="R590" s="123" t="s">
        <v>127</v>
      </c>
      <c r="S590" s="2"/>
      <c r="T590" s="2"/>
    </row>
    <row x14ac:dyDescent="0.25" r="591" customHeight="1" ht="13.5">
      <c r="A591" s="2"/>
      <c r="B591" s="2"/>
      <c r="C591" s="2"/>
      <c r="D591" s="2"/>
      <c r="E591" s="123" t="s">
        <v>111</v>
      </c>
      <c r="F591" s="123" t="s">
        <v>112</v>
      </c>
      <c r="G591" s="124">
        <v>834</v>
      </c>
      <c r="H591" s="123" t="s">
        <v>113</v>
      </c>
      <c r="I591" s="124">
        <v>5312</v>
      </c>
      <c r="J591" s="123" t="s">
        <v>114</v>
      </c>
      <c r="K591" s="125" t="s">
        <v>242</v>
      </c>
      <c r="L591" s="123" t="s">
        <v>243</v>
      </c>
      <c r="M591" s="124">
        <v>2020</v>
      </c>
      <c r="N591" s="124">
        <v>2020</v>
      </c>
      <c r="O591" s="123" t="s">
        <v>117</v>
      </c>
      <c r="P591" s="124">
        <v>18845</v>
      </c>
      <c r="Q591" s="123" t="s">
        <v>120</v>
      </c>
      <c r="R591" s="123" t="s">
        <v>121</v>
      </c>
      <c r="S591" s="2"/>
      <c r="T591" s="2"/>
    </row>
    <row x14ac:dyDescent="0.25" r="592" customHeight="1" ht="13.5">
      <c r="A592" s="2"/>
      <c r="B592" s="2"/>
      <c r="C592" s="2"/>
      <c r="D592" s="2"/>
      <c r="E592" s="123" t="s">
        <v>111</v>
      </c>
      <c r="F592" s="123" t="s">
        <v>112</v>
      </c>
      <c r="G592" s="124">
        <v>834</v>
      </c>
      <c r="H592" s="123" t="s">
        <v>113</v>
      </c>
      <c r="I592" s="124">
        <v>5312</v>
      </c>
      <c r="J592" s="123" t="s">
        <v>114</v>
      </c>
      <c r="K592" s="125" t="s">
        <v>242</v>
      </c>
      <c r="L592" s="123" t="s">
        <v>243</v>
      </c>
      <c r="M592" s="124">
        <v>2021</v>
      </c>
      <c r="N592" s="124">
        <v>2021</v>
      </c>
      <c r="O592" s="123" t="s">
        <v>117</v>
      </c>
      <c r="P592" s="124">
        <v>15361</v>
      </c>
      <c r="Q592" s="123" t="s">
        <v>120</v>
      </c>
      <c r="R592" s="123" t="s">
        <v>121</v>
      </c>
      <c r="S592" s="2"/>
      <c r="T592" s="2"/>
    </row>
    <row x14ac:dyDescent="0.25" r="593" customHeight="1" ht="13.5">
      <c r="A593" s="2"/>
      <c r="B593" s="2"/>
      <c r="C593" s="2"/>
      <c r="D593" s="2"/>
      <c r="E593" s="123" t="s">
        <v>111</v>
      </c>
      <c r="F593" s="123" t="s">
        <v>112</v>
      </c>
      <c r="G593" s="124">
        <v>834</v>
      </c>
      <c r="H593" s="123" t="s">
        <v>113</v>
      </c>
      <c r="I593" s="124">
        <v>5419</v>
      </c>
      <c r="J593" s="123" t="s">
        <v>122</v>
      </c>
      <c r="K593" s="125" t="s">
        <v>242</v>
      </c>
      <c r="L593" s="123" t="s">
        <v>243</v>
      </c>
      <c r="M593" s="124">
        <v>2017</v>
      </c>
      <c r="N593" s="124">
        <v>2017</v>
      </c>
      <c r="O593" s="123" t="s">
        <v>123</v>
      </c>
      <c r="P593" s="124">
        <v>10200</v>
      </c>
      <c r="Q593" s="123" t="s">
        <v>126</v>
      </c>
      <c r="R593" s="123" t="s">
        <v>127</v>
      </c>
      <c r="S593" s="2"/>
      <c r="T593" s="2"/>
    </row>
    <row x14ac:dyDescent="0.25" r="594" customHeight="1" ht="13.5">
      <c r="A594" s="2"/>
      <c r="B594" s="2"/>
      <c r="C594" s="2"/>
      <c r="D594" s="2"/>
      <c r="E594" s="123" t="s">
        <v>111</v>
      </c>
      <c r="F594" s="123" t="s">
        <v>112</v>
      </c>
      <c r="G594" s="124">
        <v>834</v>
      </c>
      <c r="H594" s="123" t="s">
        <v>113</v>
      </c>
      <c r="I594" s="124">
        <v>5419</v>
      </c>
      <c r="J594" s="123" t="s">
        <v>122</v>
      </c>
      <c r="K594" s="125" t="s">
        <v>242</v>
      </c>
      <c r="L594" s="123" t="s">
        <v>243</v>
      </c>
      <c r="M594" s="124">
        <v>2018</v>
      </c>
      <c r="N594" s="124">
        <v>2018</v>
      </c>
      <c r="O594" s="123" t="s">
        <v>123</v>
      </c>
      <c r="P594" s="124">
        <v>11291</v>
      </c>
      <c r="Q594" s="123" t="s">
        <v>126</v>
      </c>
      <c r="R594" s="123" t="s">
        <v>127</v>
      </c>
      <c r="S594" s="2"/>
      <c r="T594" s="2"/>
    </row>
    <row x14ac:dyDescent="0.25" r="595" customHeight="1" ht="13.5">
      <c r="A595" s="2"/>
      <c r="B595" s="2"/>
      <c r="C595" s="2"/>
      <c r="D595" s="2"/>
      <c r="E595" s="123" t="s">
        <v>111</v>
      </c>
      <c r="F595" s="123" t="s">
        <v>112</v>
      </c>
      <c r="G595" s="124">
        <v>834</v>
      </c>
      <c r="H595" s="123" t="s">
        <v>113</v>
      </c>
      <c r="I595" s="124">
        <v>5419</v>
      </c>
      <c r="J595" s="123" t="s">
        <v>122</v>
      </c>
      <c r="K595" s="125" t="s">
        <v>242</v>
      </c>
      <c r="L595" s="123" t="s">
        <v>243</v>
      </c>
      <c r="M595" s="124">
        <v>2019</v>
      </c>
      <c r="N595" s="124">
        <v>2019</v>
      </c>
      <c r="O595" s="123" t="s">
        <v>123</v>
      </c>
      <c r="P595" s="124">
        <v>11997</v>
      </c>
      <c r="Q595" s="123" t="s">
        <v>126</v>
      </c>
      <c r="R595" s="123" t="s">
        <v>127</v>
      </c>
      <c r="S595" s="2"/>
      <c r="T595" s="2"/>
    </row>
    <row x14ac:dyDescent="0.25" r="596" customHeight="1" ht="13.5">
      <c r="A596" s="2"/>
      <c r="B596" s="2"/>
      <c r="C596" s="2"/>
      <c r="D596" s="2"/>
      <c r="E596" s="123" t="s">
        <v>111</v>
      </c>
      <c r="F596" s="123" t="s">
        <v>112</v>
      </c>
      <c r="G596" s="124">
        <v>834</v>
      </c>
      <c r="H596" s="123" t="s">
        <v>113</v>
      </c>
      <c r="I596" s="124">
        <v>5419</v>
      </c>
      <c r="J596" s="123" t="s">
        <v>122</v>
      </c>
      <c r="K596" s="125" t="s">
        <v>242</v>
      </c>
      <c r="L596" s="123" t="s">
        <v>243</v>
      </c>
      <c r="M596" s="124">
        <v>2020</v>
      </c>
      <c r="N596" s="124">
        <v>2020</v>
      </c>
      <c r="O596" s="123" t="s">
        <v>123</v>
      </c>
      <c r="P596" s="124">
        <v>11855</v>
      </c>
      <c r="Q596" s="123" t="s">
        <v>118</v>
      </c>
      <c r="R596" s="123" t="s">
        <v>119</v>
      </c>
      <c r="S596" s="2"/>
      <c r="T596" s="2"/>
    </row>
    <row x14ac:dyDescent="0.25" r="597" customHeight="1" ht="13.5">
      <c r="A597" s="2"/>
      <c r="B597" s="2"/>
      <c r="C597" s="2"/>
      <c r="D597" s="2"/>
      <c r="E597" s="123" t="s">
        <v>111</v>
      </c>
      <c r="F597" s="123" t="s">
        <v>112</v>
      </c>
      <c r="G597" s="124">
        <v>834</v>
      </c>
      <c r="H597" s="123" t="s">
        <v>113</v>
      </c>
      <c r="I597" s="124">
        <v>5419</v>
      </c>
      <c r="J597" s="123" t="s">
        <v>122</v>
      </c>
      <c r="K597" s="125" t="s">
        <v>242</v>
      </c>
      <c r="L597" s="123" t="s">
        <v>243</v>
      </c>
      <c r="M597" s="124">
        <v>2021</v>
      </c>
      <c r="N597" s="124">
        <v>2021</v>
      </c>
      <c r="O597" s="123" t="s">
        <v>123</v>
      </c>
      <c r="P597" s="124">
        <v>11467</v>
      </c>
      <c r="Q597" s="123" t="s">
        <v>118</v>
      </c>
      <c r="R597" s="123" t="s">
        <v>119</v>
      </c>
      <c r="S597" s="2"/>
      <c r="T597" s="2"/>
    </row>
    <row x14ac:dyDescent="0.25" r="598" customHeight="1" ht="13.5">
      <c r="A598" s="2"/>
      <c r="B598" s="2"/>
      <c r="C598" s="2"/>
      <c r="D598" s="2"/>
      <c r="E598" s="123" t="s">
        <v>111</v>
      </c>
      <c r="F598" s="123" t="s">
        <v>112</v>
      </c>
      <c r="G598" s="124">
        <v>834</v>
      </c>
      <c r="H598" s="123" t="s">
        <v>113</v>
      </c>
      <c r="I598" s="124">
        <v>5312</v>
      </c>
      <c r="J598" s="123" t="s">
        <v>114</v>
      </c>
      <c r="K598" s="125" t="s">
        <v>244</v>
      </c>
      <c r="L598" s="123" t="s">
        <v>245</v>
      </c>
      <c r="M598" s="124">
        <v>2017</v>
      </c>
      <c r="N598" s="124">
        <v>2017</v>
      </c>
      <c r="O598" s="123" t="s">
        <v>117</v>
      </c>
      <c r="P598" s="124">
        <v>43779</v>
      </c>
      <c r="Q598" s="123" t="s">
        <v>126</v>
      </c>
      <c r="R598" s="123" t="s">
        <v>127</v>
      </c>
      <c r="S598" s="2"/>
      <c r="T598" s="2"/>
    </row>
    <row x14ac:dyDescent="0.25" r="599" customHeight="1" ht="13.5">
      <c r="A599" s="2"/>
      <c r="B599" s="2"/>
      <c r="C599" s="2"/>
      <c r="D599" s="2"/>
      <c r="E599" s="123" t="s">
        <v>111</v>
      </c>
      <c r="F599" s="123" t="s">
        <v>112</v>
      </c>
      <c r="G599" s="124">
        <v>834</v>
      </c>
      <c r="H599" s="123" t="s">
        <v>113</v>
      </c>
      <c r="I599" s="124">
        <v>5312</v>
      </c>
      <c r="J599" s="123" t="s">
        <v>114</v>
      </c>
      <c r="K599" s="125" t="s">
        <v>244</v>
      </c>
      <c r="L599" s="123" t="s">
        <v>245</v>
      </c>
      <c r="M599" s="124">
        <v>2018</v>
      </c>
      <c r="N599" s="124">
        <v>2018</v>
      </c>
      <c r="O599" s="123" t="s">
        <v>117</v>
      </c>
      <c r="P599" s="124">
        <v>44598</v>
      </c>
      <c r="Q599" s="123" t="s">
        <v>126</v>
      </c>
      <c r="R599" s="123" t="s">
        <v>127</v>
      </c>
      <c r="S599" s="2"/>
      <c r="T599" s="2"/>
    </row>
    <row x14ac:dyDescent="0.25" r="600" customHeight="1" ht="13.5">
      <c r="A600" s="2"/>
      <c r="B600" s="2"/>
      <c r="C600" s="2"/>
      <c r="D600" s="2"/>
      <c r="E600" s="123" t="s">
        <v>111</v>
      </c>
      <c r="F600" s="123" t="s">
        <v>112</v>
      </c>
      <c r="G600" s="124">
        <v>834</v>
      </c>
      <c r="H600" s="123" t="s">
        <v>113</v>
      </c>
      <c r="I600" s="124">
        <v>5312</v>
      </c>
      <c r="J600" s="123" t="s">
        <v>114</v>
      </c>
      <c r="K600" s="125" t="s">
        <v>244</v>
      </c>
      <c r="L600" s="123" t="s">
        <v>245</v>
      </c>
      <c r="M600" s="124">
        <v>2019</v>
      </c>
      <c r="N600" s="124">
        <v>2019</v>
      </c>
      <c r="O600" s="123" t="s">
        <v>117</v>
      </c>
      <c r="P600" s="124">
        <v>51344</v>
      </c>
      <c r="Q600" s="123" t="s">
        <v>126</v>
      </c>
      <c r="R600" s="123" t="s">
        <v>127</v>
      </c>
      <c r="S600" s="2"/>
      <c r="T600" s="2"/>
    </row>
    <row x14ac:dyDescent="0.25" r="601" customHeight="1" ht="13.5">
      <c r="A601" s="2"/>
      <c r="B601" s="2"/>
      <c r="C601" s="2"/>
      <c r="D601" s="2"/>
      <c r="E601" s="123" t="s">
        <v>111</v>
      </c>
      <c r="F601" s="123" t="s">
        <v>112</v>
      </c>
      <c r="G601" s="124">
        <v>834</v>
      </c>
      <c r="H601" s="123" t="s">
        <v>113</v>
      </c>
      <c r="I601" s="124">
        <v>5312</v>
      </c>
      <c r="J601" s="123" t="s">
        <v>114</v>
      </c>
      <c r="K601" s="125" t="s">
        <v>244</v>
      </c>
      <c r="L601" s="123" t="s">
        <v>245</v>
      </c>
      <c r="M601" s="124">
        <v>2020</v>
      </c>
      <c r="N601" s="124">
        <v>2020</v>
      </c>
      <c r="O601" s="123" t="s">
        <v>117</v>
      </c>
      <c r="P601" s="124">
        <v>51568</v>
      </c>
      <c r="Q601" s="123" t="s">
        <v>120</v>
      </c>
      <c r="R601" s="123" t="s">
        <v>121</v>
      </c>
      <c r="S601" s="2"/>
      <c r="T601" s="2"/>
    </row>
    <row x14ac:dyDescent="0.25" r="602" customHeight="1" ht="13.5">
      <c r="A602" s="2"/>
      <c r="B602" s="2"/>
      <c r="C602" s="2"/>
      <c r="D602" s="2"/>
      <c r="E602" s="123" t="s">
        <v>111</v>
      </c>
      <c r="F602" s="123" t="s">
        <v>112</v>
      </c>
      <c r="G602" s="124">
        <v>834</v>
      </c>
      <c r="H602" s="123" t="s">
        <v>113</v>
      </c>
      <c r="I602" s="124">
        <v>5312</v>
      </c>
      <c r="J602" s="123" t="s">
        <v>114</v>
      </c>
      <c r="K602" s="125" t="s">
        <v>244</v>
      </c>
      <c r="L602" s="123" t="s">
        <v>245</v>
      </c>
      <c r="M602" s="124">
        <v>2021</v>
      </c>
      <c r="N602" s="124">
        <v>2021</v>
      </c>
      <c r="O602" s="123" t="s">
        <v>117</v>
      </c>
      <c r="P602" s="124">
        <v>49369</v>
      </c>
      <c r="Q602" s="123" t="s">
        <v>120</v>
      </c>
      <c r="R602" s="123" t="s">
        <v>121</v>
      </c>
      <c r="S602" s="2"/>
      <c r="T602" s="2"/>
    </row>
    <row x14ac:dyDescent="0.25" r="603" customHeight="1" ht="13.5">
      <c r="A603" s="2"/>
      <c r="B603" s="2"/>
      <c r="C603" s="2"/>
      <c r="D603" s="2"/>
      <c r="E603" s="123" t="s">
        <v>111</v>
      </c>
      <c r="F603" s="123" t="s">
        <v>112</v>
      </c>
      <c r="G603" s="124">
        <v>834</v>
      </c>
      <c r="H603" s="123" t="s">
        <v>113</v>
      </c>
      <c r="I603" s="124">
        <v>5419</v>
      </c>
      <c r="J603" s="123" t="s">
        <v>122</v>
      </c>
      <c r="K603" s="125" t="s">
        <v>244</v>
      </c>
      <c r="L603" s="123" t="s">
        <v>245</v>
      </c>
      <c r="M603" s="124">
        <v>2017</v>
      </c>
      <c r="N603" s="124">
        <v>2017</v>
      </c>
      <c r="O603" s="123" t="s">
        <v>123</v>
      </c>
      <c r="P603" s="124">
        <v>699105</v>
      </c>
      <c r="Q603" s="123" t="s">
        <v>126</v>
      </c>
      <c r="R603" s="123" t="s">
        <v>127</v>
      </c>
      <c r="S603" s="2"/>
      <c r="T603" s="2"/>
    </row>
    <row x14ac:dyDescent="0.25" r="604" customHeight="1" ht="13.5">
      <c r="A604" s="2"/>
      <c r="B604" s="2"/>
      <c r="C604" s="2"/>
      <c r="D604" s="2"/>
      <c r="E604" s="123" t="s">
        <v>111</v>
      </c>
      <c r="F604" s="123" t="s">
        <v>112</v>
      </c>
      <c r="G604" s="124">
        <v>834</v>
      </c>
      <c r="H604" s="123" t="s">
        <v>113</v>
      </c>
      <c r="I604" s="124">
        <v>5419</v>
      </c>
      <c r="J604" s="123" t="s">
        <v>122</v>
      </c>
      <c r="K604" s="125" t="s">
        <v>244</v>
      </c>
      <c r="L604" s="123" t="s">
        <v>245</v>
      </c>
      <c r="M604" s="124">
        <v>2018</v>
      </c>
      <c r="N604" s="124">
        <v>2018</v>
      </c>
      <c r="O604" s="123" t="s">
        <v>123</v>
      </c>
      <c r="P604" s="124">
        <v>699092</v>
      </c>
      <c r="Q604" s="123" t="s">
        <v>126</v>
      </c>
      <c r="R604" s="123" t="s">
        <v>127</v>
      </c>
      <c r="S604" s="2"/>
      <c r="T604" s="2"/>
    </row>
    <row x14ac:dyDescent="0.25" r="605" customHeight="1" ht="13.5">
      <c r="A605" s="2"/>
      <c r="B605" s="2"/>
      <c r="C605" s="2"/>
      <c r="D605" s="2"/>
      <c r="E605" s="123" t="s">
        <v>111</v>
      </c>
      <c r="F605" s="123" t="s">
        <v>112</v>
      </c>
      <c r="G605" s="124">
        <v>834</v>
      </c>
      <c r="H605" s="123" t="s">
        <v>113</v>
      </c>
      <c r="I605" s="124">
        <v>5419</v>
      </c>
      <c r="J605" s="123" t="s">
        <v>122</v>
      </c>
      <c r="K605" s="125" t="s">
        <v>244</v>
      </c>
      <c r="L605" s="123" t="s">
        <v>245</v>
      </c>
      <c r="M605" s="124">
        <v>2019</v>
      </c>
      <c r="N605" s="124">
        <v>2019</v>
      </c>
      <c r="O605" s="123" t="s">
        <v>123</v>
      </c>
      <c r="P605" s="124">
        <v>699100</v>
      </c>
      <c r="Q605" s="123" t="s">
        <v>126</v>
      </c>
      <c r="R605" s="123" t="s">
        <v>127</v>
      </c>
      <c r="S605" s="2"/>
      <c r="T605" s="2"/>
    </row>
    <row x14ac:dyDescent="0.25" r="606" customHeight="1" ht="13.5">
      <c r="A606" s="2"/>
      <c r="B606" s="2"/>
      <c r="C606" s="2"/>
      <c r="D606" s="2"/>
      <c r="E606" s="123" t="s">
        <v>111</v>
      </c>
      <c r="F606" s="123" t="s">
        <v>112</v>
      </c>
      <c r="G606" s="124">
        <v>834</v>
      </c>
      <c r="H606" s="123" t="s">
        <v>113</v>
      </c>
      <c r="I606" s="124">
        <v>5419</v>
      </c>
      <c r="J606" s="123" t="s">
        <v>122</v>
      </c>
      <c r="K606" s="125" t="s">
        <v>244</v>
      </c>
      <c r="L606" s="123" t="s">
        <v>245</v>
      </c>
      <c r="M606" s="124">
        <v>2020</v>
      </c>
      <c r="N606" s="124">
        <v>2020</v>
      </c>
      <c r="O606" s="123" t="s">
        <v>123</v>
      </c>
      <c r="P606" s="124">
        <v>700052</v>
      </c>
      <c r="Q606" s="123" t="s">
        <v>118</v>
      </c>
      <c r="R606" s="123" t="s">
        <v>119</v>
      </c>
      <c r="S606" s="2"/>
      <c r="T606" s="2"/>
    </row>
    <row x14ac:dyDescent="0.25" r="607" customHeight="1" ht="13.5">
      <c r="A607" s="2"/>
      <c r="B607" s="2"/>
      <c r="C607" s="2"/>
      <c r="D607" s="2"/>
      <c r="E607" s="123" t="s">
        <v>111</v>
      </c>
      <c r="F607" s="123" t="s">
        <v>112</v>
      </c>
      <c r="G607" s="124">
        <v>834</v>
      </c>
      <c r="H607" s="123" t="s">
        <v>113</v>
      </c>
      <c r="I607" s="124">
        <v>5419</v>
      </c>
      <c r="J607" s="123" t="s">
        <v>122</v>
      </c>
      <c r="K607" s="125" t="s">
        <v>244</v>
      </c>
      <c r="L607" s="123" t="s">
        <v>245</v>
      </c>
      <c r="M607" s="124">
        <v>2021</v>
      </c>
      <c r="N607" s="124">
        <v>2021</v>
      </c>
      <c r="O607" s="123" t="s">
        <v>123</v>
      </c>
      <c r="P607" s="124">
        <v>712083</v>
      </c>
      <c r="Q607" s="123" t="s">
        <v>118</v>
      </c>
      <c r="R607" s="123" t="s">
        <v>119</v>
      </c>
      <c r="S607" s="2"/>
      <c r="T607" s="2"/>
    </row>
    <row x14ac:dyDescent="0.25" r="608" customHeight="1" ht="13.5">
      <c r="A608" s="2"/>
      <c r="B608" s="2"/>
      <c r="C608" s="2"/>
      <c r="D608" s="2"/>
      <c r="E608" s="123" t="s">
        <v>111</v>
      </c>
      <c r="F608" s="123" t="s">
        <v>112</v>
      </c>
      <c r="G608" s="124">
        <v>834</v>
      </c>
      <c r="H608" s="123" t="s">
        <v>113</v>
      </c>
      <c r="I608" s="124">
        <v>5312</v>
      </c>
      <c r="J608" s="123" t="s">
        <v>114</v>
      </c>
      <c r="K608" s="125" t="s">
        <v>246</v>
      </c>
      <c r="L608" s="123" t="s">
        <v>247</v>
      </c>
      <c r="M608" s="124">
        <v>2017</v>
      </c>
      <c r="N608" s="124">
        <v>2017</v>
      </c>
      <c r="O608" s="123" t="s">
        <v>117</v>
      </c>
      <c r="P608" s="124">
        <v>960000</v>
      </c>
      <c r="Q608" s="123" t="s">
        <v>144</v>
      </c>
      <c r="R608" s="123" t="s">
        <v>145</v>
      </c>
      <c r="S608" s="2"/>
      <c r="T608" s="2"/>
    </row>
    <row x14ac:dyDescent="0.25" r="609" customHeight="1" ht="13.5">
      <c r="A609" s="2"/>
      <c r="B609" s="2"/>
      <c r="C609" s="2"/>
      <c r="D609" s="2"/>
      <c r="E609" s="123" t="s">
        <v>111</v>
      </c>
      <c r="F609" s="123" t="s">
        <v>112</v>
      </c>
      <c r="G609" s="124">
        <v>834</v>
      </c>
      <c r="H609" s="123" t="s">
        <v>113</v>
      </c>
      <c r="I609" s="124">
        <v>5312</v>
      </c>
      <c r="J609" s="123" t="s">
        <v>114</v>
      </c>
      <c r="K609" s="125" t="s">
        <v>246</v>
      </c>
      <c r="L609" s="123" t="s">
        <v>247</v>
      </c>
      <c r="M609" s="124">
        <v>2018</v>
      </c>
      <c r="N609" s="124">
        <v>2018</v>
      </c>
      <c r="O609" s="123" t="s">
        <v>117</v>
      </c>
      <c r="P609" s="124">
        <v>980000</v>
      </c>
      <c r="Q609" s="123" t="s">
        <v>144</v>
      </c>
      <c r="R609" s="123" t="s">
        <v>145</v>
      </c>
      <c r="S609" s="2"/>
      <c r="T609" s="2"/>
    </row>
    <row x14ac:dyDescent="0.25" r="610" customHeight="1" ht="13.5">
      <c r="A610" s="2"/>
      <c r="B610" s="2"/>
      <c r="C610" s="2"/>
      <c r="D610" s="2"/>
      <c r="E610" s="123" t="s">
        <v>111</v>
      </c>
      <c r="F610" s="123" t="s">
        <v>112</v>
      </c>
      <c r="G610" s="124">
        <v>834</v>
      </c>
      <c r="H610" s="123" t="s">
        <v>113</v>
      </c>
      <c r="I610" s="124">
        <v>5312</v>
      </c>
      <c r="J610" s="123" t="s">
        <v>114</v>
      </c>
      <c r="K610" s="125" t="s">
        <v>246</v>
      </c>
      <c r="L610" s="123" t="s">
        <v>247</v>
      </c>
      <c r="M610" s="124">
        <v>2019</v>
      </c>
      <c r="N610" s="124">
        <v>2019</v>
      </c>
      <c r="O610" s="123" t="s">
        <v>117</v>
      </c>
      <c r="P610" s="124">
        <v>1000000</v>
      </c>
      <c r="Q610" s="123" t="s">
        <v>144</v>
      </c>
      <c r="R610" s="123" t="s">
        <v>145</v>
      </c>
      <c r="S610" s="2"/>
      <c r="T610" s="2"/>
    </row>
    <row x14ac:dyDescent="0.25" r="611" customHeight="1" ht="13.5">
      <c r="A611" s="2"/>
      <c r="B611" s="2"/>
      <c r="C611" s="2"/>
      <c r="D611" s="2"/>
      <c r="E611" s="123" t="s">
        <v>111</v>
      </c>
      <c r="F611" s="123" t="s">
        <v>112</v>
      </c>
      <c r="G611" s="124">
        <v>834</v>
      </c>
      <c r="H611" s="123" t="s">
        <v>113</v>
      </c>
      <c r="I611" s="124">
        <v>5312</v>
      </c>
      <c r="J611" s="123" t="s">
        <v>114</v>
      </c>
      <c r="K611" s="125" t="s">
        <v>246</v>
      </c>
      <c r="L611" s="123" t="s">
        <v>247</v>
      </c>
      <c r="M611" s="124">
        <v>2020</v>
      </c>
      <c r="N611" s="124">
        <v>2020</v>
      </c>
      <c r="O611" s="123" t="s">
        <v>117</v>
      </c>
      <c r="P611" s="124">
        <v>1030000</v>
      </c>
      <c r="Q611" s="123" t="s">
        <v>144</v>
      </c>
      <c r="R611" s="123" t="s">
        <v>145</v>
      </c>
      <c r="S611" s="2"/>
      <c r="T611" s="2"/>
    </row>
    <row x14ac:dyDescent="0.25" r="612" customHeight="1" ht="13.5">
      <c r="A612" s="2"/>
      <c r="B612" s="2"/>
      <c r="C612" s="2"/>
      <c r="D612" s="2"/>
      <c r="E612" s="123" t="s">
        <v>111</v>
      </c>
      <c r="F612" s="123" t="s">
        <v>112</v>
      </c>
      <c r="G612" s="124">
        <v>834</v>
      </c>
      <c r="H612" s="123" t="s">
        <v>113</v>
      </c>
      <c r="I612" s="124">
        <v>5312</v>
      </c>
      <c r="J612" s="123" t="s">
        <v>114</v>
      </c>
      <c r="K612" s="125" t="s">
        <v>246</v>
      </c>
      <c r="L612" s="123" t="s">
        <v>247</v>
      </c>
      <c r="M612" s="124">
        <v>2021</v>
      </c>
      <c r="N612" s="124">
        <v>2021</v>
      </c>
      <c r="O612" s="123" t="s">
        <v>117</v>
      </c>
      <c r="P612" s="124">
        <v>1050000</v>
      </c>
      <c r="Q612" s="123" t="s">
        <v>144</v>
      </c>
      <c r="R612" s="123" t="s">
        <v>145</v>
      </c>
      <c r="S612" s="2"/>
      <c r="T612" s="2"/>
    </row>
    <row x14ac:dyDescent="0.25" r="613" customHeight="1" ht="13.5">
      <c r="A613" s="2"/>
      <c r="B613" s="2"/>
      <c r="C613" s="2"/>
      <c r="D613" s="2"/>
      <c r="E613" s="123" t="s">
        <v>111</v>
      </c>
      <c r="F613" s="123" t="s">
        <v>112</v>
      </c>
      <c r="G613" s="124">
        <v>834</v>
      </c>
      <c r="H613" s="123" t="s">
        <v>113</v>
      </c>
      <c r="I613" s="124">
        <v>5419</v>
      </c>
      <c r="J613" s="123" t="s">
        <v>122</v>
      </c>
      <c r="K613" s="125" t="s">
        <v>246</v>
      </c>
      <c r="L613" s="123" t="s">
        <v>247</v>
      </c>
      <c r="M613" s="124">
        <v>2017</v>
      </c>
      <c r="N613" s="124">
        <v>2017</v>
      </c>
      <c r="O613" s="123" t="s">
        <v>123</v>
      </c>
      <c r="P613" s="124">
        <v>10313</v>
      </c>
      <c r="Q613" s="123" t="s">
        <v>118</v>
      </c>
      <c r="R613" s="123" t="s">
        <v>119</v>
      </c>
      <c r="S613" s="2"/>
      <c r="T613" s="2"/>
    </row>
    <row x14ac:dyDescent="0.25" r="614" customHeight="1" ht="13.5">
      <c r="A614" s="2"/>
      <c r="B614" s="2"/>
      <c r="C614" s="2"/>
      <c r="D614" s="2"/>
      <c r="E614" s="123" t="s">
        <v>111</v>
      </c>
      <c r="F614" s="123" t="s">
        <v>112</v>
      </c>
      <c r="G614" s="124">
        <v>834</v>
      </c>
      <c r="H614" s="123" t="s">
        <v>113</v>
      </c>
      <c r="I614" s="124">
        <v>5419</v>
      </c>
      <c r="J614" s="123" t="s">
        <v>122</v>
      </c>
      <c r="K614" s="125" t="s">
        <v>246</v>
      </c>
      <c r="L614" s="123" t="s">
        <v>247</v>
      </c>
      <c r="M614" s="124">
        <v>2018</v>
      </c>
      <c r="N614" s="124">
        <v>2018</v>
      </c>
      <c r="O614" s="123" t="s">
        <v>123</v>
      </c>
      <c r="P614" s="124">
        <v>10204</v>
      </c>
      <c r="Q614" s="123" t="s">
        <v>118</v>
      </c>
      <c r="R614" s="123" t="s">
        <v>119</v>
      </c>
      <c r="S614" s="2"/>
      <c r="T614" s="2"/>
    </row>
    <row x14ac:dyDescent="0.25" r="615" customHeight="1" ht="13.5">
      <c r="A615" s="2"/>
      <c r="B615" s="2"/>
      <c r="C615" s="2"/>
      <c r="D615" s="2"/>
      <c r="E615" s="123" t="s">
        <v>111</v>
      </c>
      <c r="F615" s="123" t="s">
        <v>112</v>
      </c>
      <c r="G615" s="124">
        <v>834</v>
      </c>
      <c r="H615" s="123" t="s">
        <v>113</v>
      </c>
      <c r="I615" s="124">
        <v>5419</v>
      </c>
      <c r="J615" s="123" t="s">
        <v>122</v>
      </c>
      <c r="K615" s="125" t="s">
        <v>246</v>
      </c>
      <c r="L615" s="123" t="s">
        <v>247</v>
      </c>
      <c r="M615" s="124">
        <v>2019</v>
      </c>
      <c r="N615" s="124">
        <v>2019</v>
      </c>
      <c r="O615" s="123" t="s">
        <v>123</v>
      </c>
      <c r="P615" s="124">
        <v>10400</v>
      </c>
      <c r="Q615" s="123" t="s">
        <v>118</v>
      </c>
      <c r="R615" s="123" t="s">
        <v>119</v>
      </c>
      <c r="S615" s="2"/>
      <c r="T615" s="2"/>
    </row>
    <row x14ac:dyDescent="0.25" r="616" customHeight="1" ht="13.5">
      <c r="A616" s="2"/>
      <c r="B616" s="2"/>
      <c r="C616" s="2"/>
      <c r="D616" s="2"/>
      <c r="E616" s="123" t="s">
        <v>111</v>
      </c>
      <c r="F616" s="123" t="s">
        <v>112</v>
      </c>
      <c r="G616" s="124">
        <v>834</v>
      </c>
      <c r="H616" s="123" t="s">
        <v>113</v>
      </c>
      <c r="I616" s="124">
        <v>5419</v>
      </c>
      <c r="J616" s="123" t="s">
        <v>122</v>
      </c>
      <c r="K616" s="125" t="s">
        <v>246</v>
      </c>
      <c r="L616" s="123" t="s">
        <v>247</v>
      </c>
      <c r="M616" s="124">
        <v>2020</v>
      </c>
      <c r="N616" s="124">
        <v>2020</v>
      </c>
      <c r="O616" s="123" t="s">
        <v>123</v>
      </c>
      <c r="P616" s="124">
        <v>10437</v>
      </c>
      <c r="Q616" s="123" t="s">
        <v>118</v>
      </c>
      <c r="R616" s="123" t="s">
        <v>119</v>
      </c>
      <c r="S616" s="2"/>
      <c r="T616" s="2"/>
    </row>
    <row x14ac:dyDescent="0.25" r="617" customHeight="1" ht="13.5">
      <c r="A617" s="2"/>
      <c r="B617" s="2"/>
      <c r="C617" s="2"/>
      <c r="D617" s="2"/>
      <c r="E617" s="123" t="s">
        <v>111</v>
      </c>
      <c r="F617" s="123" t="s">
        <v>112</v>
      </c>
      <c r="G617" s="124">
        <v>834</v>
      </c>
      <c r="H617" s="123" t="s">
        <v>113</v>
      </c>
      <c r="I617" s="124">
        <v>5419</v>
      </c>
      <c r="J617" s="123" t="s">
        <v>122</v>
      </c>
      <c r="K617" s="125" t="s">
        <v>246</v>
      </c>
      <c r="L617" s="123" t="s">
        <v>247</v>
      </c>
      <c r="M617" s="124">
        <v>2021</v>
      </c>
      <c r="N617" s="124">
        <v>2021</v>
      </c>
      <c r="O617" s="123" t="s">
        <v>123</v>
      </c>
      <c r="P617" s="124">
        <v>10667</v>
      </c>
      <c r="Q617" s="123" t="s">
        <v>118</v>
      </c>
      <c r="R617" s="123" t="s">
        <v>119</v>
      </c>
      <c r="S617" s="2"/>
      <c r="T617" s="2"/>
    </row>
    <row x14ac:dyDescent="0.25" r="618" customHeight="1" ht="13.5">
      <c r="A618" s="2"/>
      <c r="B618" s="2"/>
      <c r="C618" s="2"/>
      <c r="D618" s="2"/>
      <c r="E618" s="123" t="s">
        <v>111</v>
      </c>
      <c r="F618" s="123" t="s">
        <v>112</v>
      </c>
      <c r="G618" s="124">
        <v>834</v>
      </c>
      <c r="H618" s="123" t="s">
        <v>113</v>
      </c>
      <c r="I618" s="124">
        <v>5312</v>
      </c>
      <c r="J618" s="123" t="s">
        <v>114</v>
      </c>
      <c r="K618" s="125" t="s">
        <v>248</v>
      </c>
      <c r="L618" s="123" t="s">
        <v>249</v>
      </c>
      <c r="M618" s="124">
        <v>2017</v>
      </c>
      <c r="N618" s="124">
        <v>2017</v>
      </c>
      <c r="O618" s="123" t="s">
        <v>117</v>
      </c>
      <c r="P618" s="124">
        <v>733726</v>
      </c>
      <c r="Q618" s="123" t="s">
        <v>126</v>
      </c>
      <c r="R618" s="123" t="s">
        <v>127</v>
      </c>
      <c r="S618" s="2"/>
      <c r="T618" s="2"/>
    </row>
    <row x14ac:dyDescent="0.25" r="619" customHeight="1" ht="13.5">
      <c r="A619" s="2"/>
      <c r="B619" s="2"/>
      <c r="C619" s="2"/>
      <c r="D619" s="2"/>
      <c r="E619" s="123" t="s">
        <v>111</v>
      </c>
      <c r="F619" s="123" t="s">
        <v>112</v>
      </c>
      <c r="G619" s="124">
        <v>834</v>
      </c>
      <c r="H619" s="123" t="s">
        <v>113</v>
      </c>
      <c r="I619" s="124">
        <v>5312</v>
      </c>
      <c r="J619" s="123" t="s">
        <v>114</v>
      </c>
      <c r="K619" s="125" t="s">
        <v>248</v>
      </c>
      <c r="L619" s="123" t="s">
        <v>249</v>
      </c>
      <c r="M619" s="124">
        <v>2018</v>
      </c>
      <c r="N619" s="124">
        <v>2018</v>
      </c>
      <c r="O619" s="123" t="s">
        <v>117</v>
      </c>
      <c r="P619" s="124">
        <v>530526</v>
      </c>
      <c r="Q619" s="123" t="s">
        <v>126</v>
      </c>
      <c r="R619" s="123" t="s">
        <v>127</v>
      </c>
      <c r="S619" s="2"/>
      <c r="T619" s="2"/>
    </row>
    <row x14ac:dyDescent="0.25" r="620" customHeight="1" ht="13.5">
      <c r="A620" s="2"/>
      <c r="B620" s="2"/>
      <c r="C620" s="2"/>
      <c r="D620" s="2"/>
      <c r="E620" s="123" t="s">
        <v>111</v>
      </c>
      <c r="F620" s="123" t="s">
        <v>112</v>
      </c>
      <c r="G620" s="124">
        <v>834</v>
      </c>
      <c r="H620" s="123" t="s">
        <v>113</v>
      </c>
      <c r="I620" s="124">
        <v>5312</v>
      </c>
      <c r="J620" s="123" t="s">
        <v>114</v>
      </c>
      <c r="K620" s="125" t="s">
        <v>248</v>
      </c>
      <c r="L620" s="123" t="s">
        <v>249</v>
      </c>
      <c r="M620" s="124">
        <v>2019</v>
      </c>
      <c r="N620" s="124">
        <v>2019</v>
      </c>
      <c r="O620" s="123" t="s">
        <v>117</v>
      </c>
      <c r="P620" s="124">
        <v>539513</v>
      </c>
      <c r="Q620" s="123" t="s">
        <v>126</v>
      </c>
      <c r="R620" s="123" t="s">
        <v>127</v>
      </c>
      <c r="S620" s="2"/>
      <c r="T620" s="2"/>
    </row>
    <row x14ac:dyDescent="0.25" r="621" customHeight="1" ht="13.5">
      <c r="A621" s="2"/>
      <c r="B621" s="2"/>
      <c r="C621" s="2"/>
      <c r="D621" s="2"/>
      <c r="E621" s="123" t="s">
        <v>111</v>
      </c>
      <c r="F621" s="123" t="s">
        <v>112</v>
      </c>
      <c r="G621" s="124">
        <v>834</v>
      </c>
      <c r="H621" s="123" t="s">
        <v>113</v>
      </c>
      <c r="I621" s="124">
        <v>5312</v>
      </c>
      <c r="J621" s="123" t="s">
        <v>114</v>
      </c>
      <c r="K621" s="125" t="s">
        <v>248</v>
      </c>
      <c r="L621" s="123" t="s">
        <v>249</v>
      </c>
      <c r="M621" s="124">
        <v>2020</v>
      </c>
      <c r="N621" s="124">
        <v>2020</v>
      </c>
      <c r="O621" s="123" t="s">
        <v>117</v>
      </c>
      <c r="P621" s="124">
        <v>641562</v>
      </c>
      <c r="Q621" s="123" t="s">
        <v>120</v>
      </c>
      <c r="R621" s="123" t="s">
        <v>121</v>
      </c>
      <c r="S621" s="2"/>
      <c r="T621" s="2"/>
    </row>
    <row x14ac:dyDescent="0.25" r="622" customHeight="1" ht="13.5">
      <c r="A622" s="2"/>
      <c r="B622" s="2"/>
      <c r="C622" s="2"/>
      <c r="D622" s="2"/>
      <c r="E622" s="123" t="s">
        <v>111</v>
      </c>
      <c r="F622" s="123" t="s">
        <v>112</v>
      </c>
      <c r="G622" s="124">
        <v>834</v>
      </c>
      <c r="H622" s="123" t="s">
        <v>113</v>
      </c>
      <c r="I622" s="124">
        <v>5312</v>
      </c>
      <c r="J622" s="123" t="s">
        <v>114</v>
      </c>
      <c r="K622" s="125" t="s">
        <v>248</v>
      </c>
      <c r="L622" s="123" t="s">
        <v>249</v>
      </c>
      <c r="M622" s="124">
        <v>2021</v>
      </c>
      <c r="N622" s="124">
        <v>2021</v>
      </c>
      <c r="O622" s="123" t="s">
        <v>117</v>
      </c>
      <c r="P622" s="124">
        <v>680327</v>
      </c>
      <c r="Q622" s="123" t="s">
        <v>120</v>
      </c>
      <c r="R622" s="123" t="s">
        <v>121</v>
      </c>
      <c r="S622" s="2"/>
      <c r="T622" s="2"/>
    </row>
    <row x14ac:dyDescent="0.25" r="623" customHeight="1" ht="13.5">
      <c r="A623" s="2"/>
      <c r="B623" s="2"/>
      <c r="C623" s="2"/>
      <c r="D623" s="2"/>
      <c r="E623" s="123" t="s">
        <v>111</v>
      </c>
      <c r="F623" s="123" t="s">
        <v>112</v>
      </c>
      <c r="G623" s="124">
        <v>834</v>
      </c>
      <c r="H623" s="123" t="s">
        <v>113</v>
      </c>
      <c r="I623" s="124">
        <v>5419</v>
      </c>
      <c r="J623" s="123" t="s">
        <v>122</v>
      </c>
      <c r="K623" s="125" t="s">
        <v>248</v>
      </c>
      <c r="L623" s="123" t="s">
        <v>249</v>
      </c>
      <c r="M623" s="124">
        <v>2017</v>
      </c>
      <c r="N623" s="124">
        <v>2017</v>
      </c>
      <c r="O623" s="123" t="s">
        <v>123</v>
      </c>
      <c r="P623" s="124">
        <v>74153</v>
      </c>
      <c r="Q623" s="123" t="s">
        <v>126</v>
      </c>
      <c r="R623" s="123" t="s">
        <v>127</v>
      </c>
      <c r="S623" s="2"/>
      <c r="T623" s="2"/>
    </row>
    <row x14ac:dyDescent="0.25" r="624" customHeight="1" ht="13.5">
      <c r="A624" s="2"/>
      <c r="B624" s="2"/>
      <c r="C624" s="2"/>
      <c r="D624" s="2"/>
      <c r="E624" s="123" t="s">
        <v>111</v>
      </c>
      <c r="F624" s="123" t="s">
        <v>112</v>
      </c>
      <c r="G624" s="124">
        <v>834</v>
      </c>
      <c r="H624" s="123" t="s">
        <v>113</v>
      </c>
      <c r="I624" s="124">
        <v>5419</v>
      </c>
      <c r="J624" s="123" t="s">
        <v>122</v>
      </c>
      <c r="K624" s="125" t="s">
        <v>248</v>
      </c>
      <c r="L624" s="123" t="s">
        <v>249</v>
      </c>
      <c r="M624" s="124">
        <v>2018</v>
      </c>
      <c r="N624" s="124">
        <v>2018</v>
      </c>
      <c r="O624" s="123" t="s">
        <v>123</v>
      </c>
      <c r="P624" s="124">
        <v>70573</v>
      </c>
      <c r="Q624" s="123" t="s">
        <v>126</v>
      </c>
      <c r="R624" s="123" t="s">
        <v>127</v>
      </c>
      <c r="S624" s="2"/>
      <c r="T624" s="2"/>
    </row>
    <row x14ac:dyDescent="0.25" r="625" customHeight="1" ht="13.5">
      <c r="A625" s="2"/>
      <c r="B625" s="2"/>
      <c r="C625" s="2"/>
      <c r="D625" s="2"/>
      <c r="E625" s="123" t="s">
        <v>111</v>
      </c>
      <c r="F625" s="123" t="s">
        <v>112</v>
      </c>
      <c r="G625" s="124">
        <v>834</v>
      </c>
      <c r="H625" s="123" t="s">
        <v>113</v>
      </c>
      <c r="I625" s="124">
        <v>5419</v>
      </c>
      <c r="J625" s="123" t="s">
        <v>122</v>
      </c>
      <c r="K625" s="125" t="s">
        <v>248</v>
      </c>
      <c r="L625" s="123" t="s">
        <v>249</v>
      </c>
      <c r="M625" s="124">
        <v>2019</v>
      </c>
      <c r="N625" s="124">
        <v>2019</v>
      </c>
      <c r="O625" s="123" t="s">
        <v>123</v>
      </c>
      <c r="P625" s="124">
        <v>72688</v>
      </c>
      <c r="Q625" s="123" t="s">
        <v>126</v>
      </c>
      <c r="R625" s="123" t="s">
        <v>127</v>
      </c>
      <c r="S625" s="2"/>
      <c r="T625" s="2"/>
    </row>
    <row x14ac:dyDescent="0.25" r="626" customHeight="1" ht="13.5">
      <c r="A626" s="2"/>
      <c r="B626" s="2"/>
      <c r="C626" s="2"/>
      <c r="D626" s="2"/>
      <c r="E626" s="123" t="s">
        <v>111</v>
      </c>
      <c r="F626" s="123" t="s">
        <v>112</v>
      </c>
      <c r="G626" s="124">
        <v>834</v>
      </c>
      <c r="H626" s="123" t="s">
        <v>113</v>
      </c>
      <c r="I626" s="124">
        <v>5419</v>
      </c>
      <c r="J626" s="123" t="s">
        <v>122</v>
      </c>
      <c r="K626" s="125" t="s">
        <v>248</v>
      </c>
      <c r="L626" s="123" t="s">
        <v>249</v>
      </c>
      <c r="M626" s="124">
        <v>2020</v>
      </c>
      <c r="N626" s="124">
        <v>2020</v>
      </c>
      <c r="O626" s="123" t="s">
        <v>123</v>
      </c>
      <c r="P626" s="124">
        <v>69692</v>
      </c>
      <c r="Q626" s="123" t="s">
        <v>118</v>
      </c>
      <c r="R626" s="123" t="s">
        <v>119</v>
      </c>
      <c r="S626" s="2"/>
      <c r="T626" s="2"/>
    </row>
    <row x14ac:dyDescent="0.25" r="627" customHeight="1" ht="13.5">
      <c r="A627" s="2"/>
      <c r="B627" s="2"/>
      <c r="C627" s="2"/>
      <c r="D627" s="2"/>
      <c r="E627" s="123" t="s">
        <v>111</v>
      </c>
      <c r="F627" s="123" t="s">
        <v>112</v>
      </c>
      <c r="G627" s="124">
        <v>834</v>
      </c>
      <c r="H627" s="123" t="s">
        <v>113</v>
      </c>
      <c r="I627" s="124">
        <v>5419</v>
      </c>
      <c r="J627" s="123" t="s">
        <v>122</v>
      </c>
      <c r="K627" s="125" t="s">
        <v>248</v>
      </c>
      <c r="L627" s="123" t="s">
        <v>249</v>
      </c>
      <c r="M627" s="124">
        <v>2021</v>
      </c>
      <c r="N627" s="124">
        <v>2021</v>
      </c>
      <c r="O627" s="123" t="s">
        <v>123</v>
      </c>
      <c r="P627" s="124">
        <v>73374</v>
      </c>
      <c r="Q627" s="123" t="s">
        <v>118</v>
      </c>
      <c r="R627" s="123" t="s">
        <v>119</v>
      </c>
      <c r="S627" s="2"/>
      <c r="T627" s="2"/>
    </row>
    <row x14ac:dyDescent="0.25" r="628" customHeight="1" ht="13.5">
      <c r="A628" s="2"/>
      <c r="B628" s="2"/>
      <c r="C628" s="2"/>
      <c r="D628" s="2"/>
      <c r="E628" s="123" t="s">
        <v>111</v>
      </c>
      <c r="F628" s="123" t="s">
        <v>112</v>
      </c>
      <c r="G628" s="124">
        <v>834</v>
      </c>
      <c r="H628" s="123" t="s">
        <v>113</v>
      </c>
      <c r="I628" s="124">
        <v>5312</v>
      </c>
      <c r="J628" s="123" t="s">
        <v>114</v>
      </c>
      <c r="K628" s="125" t="s">
        <v>250</v>
      </c>
      <c r="L628" s="123" t="s">
        <v>251</v>
      </c>
      <c r="M628" s="124">
        <v>2017</v>
      </c>
      <c r="N628" s="124">
        <v>2017</v>
      </c>
      <c r="O628" s="123" t="s">
        <v>117</v>
      </c>
      <c r="P628" s="124">
        <v>15110</v>
      </c>
      <c r="Q628" s="123" t="s">
        <v>120</v>
      </c>
      <c r="R628" s="123" t="s">
        <v>121</v>
      </c>
      <c r="S628" s="2"/>
      <c r="T628" s="2"/>
    </row>
    <row x14ac:dyDescent="0.25" r="629" customHeight="1" ht="13.5">
      <c r="A629" s="2"/>
      <c r="B629" s="2"/>
      <c r="C629" s="2"/>
      <c r="D629" s="2"/>
      <c r="E629" s="123" t="s">
        <v>111</v>
      </c>
      <c r="F629" s="123" t="s">
        <v>112</v>
      </c>
      <c r="G629" s="124">
        <v>834</v>
      </c>
      <c r="H629" s="123" t="s">
        <v>113</v>
      </c>
      <c r="I629" s="124">
        <v>5312</v>
      </c>
      <c r="J629" s="123" t="s">
        <v>114</v>
      </c>
      <c r="K629" s="125" t="s">
        <v>250</v>
      </c>
      <c r="L629" s="123" t="s">
        <v>251</v>
      </c>
      <c r="M629" s="124">
        <v>2018</v>
      </c>
      <c r="N629" s="124">
        <v>2018</v>
      </c>
      <c r="O629" s="123" t="s">
        <v>117</v>
      </c>
      <c r="P629" s="124">
        <v>19731</v>
      </c>
      <c r="Q629" s="123" t="s">
        <v>120</v>
      </c>
      <c r="R629" s="123" t="s">
        <v>121</v>
      </c>
      <c r="S629" s="2"/>
      <c r="T629" s="2"/>
    </row>
    <row x14ac:dyDescent="0.25" r="630" customHeight="1" ht="13.5">
      <c r="A630" s="2"/>
      <c r="B630" s="2"/>
      <c r="C630" s="2"/>
      <c r="D630" s="2"/>
      <c r="E630" s="123" t="s">
        <v>111</v>
      </c>
      <c r="F630" s="123" t="s">
        <v>112</v>
      </c>
      <c r="G630" s="124">
        <v>834</v>
      </c>
      <c r="H630" s="123" t="s">
        <v>113</v>
      </c>
      <c r="I630" s="124">
        <v>5312</v>
      </c>
      <c r="J630" s="123" t="s">
        <v>114</v>
      </c>
      <c r="K630" s="125" t="s">
        <v>250</v>
      </c>
      <c r="L630" s="123" t="s">
        <v>251</v>
      </c>
      <c r="M630" s="124">
        <v>2019</v>
      </c>
      <c r="N630" s="124">
        <v>2019</v>
      </c>
      <c r="O630" s="123" t="s">
        <v>117</v>
      </c>
      <c r="P630" s="124">
        <v>22468</v>
      </c>
      <c r="Q630" s="123" t="s">
        <v>120</v>
      </c>
      <c r="R630" s="123" t="s">
        <v>121</v>
      </c>
      <c r="S630" s="2"/>
      <c r="T630" s="2"/>
    </row>
    <row x14ac:dyDescent="0.25" r="631" customHeight="1" ht="13.5">
      <c r="A631" s="2"/>
      <c r="B631" s="2"/>
      <c r="C631" s="2"/>
      <c r="D631" s="2"/>
      <c r="E631" s="123" t="s">
        <v>111</v>
      </c>
      <c r="F631" s="123" t="s">
        <v>112</v>
      </c>
      <c r="G631" s="124">
        <v>834</v>
      </c>
      <c r="H631" s="123" t="s">
        <v>113</v>
      </c>
      <c r="I631" s="124">
        <v>5312</v>
      </c>
      <c r="J631" s="123" t="s">
        <v>114</v>
      </c>
      <c r="K631" s="125" t="s">
        <v>250</v>
      </c>
      <c r="L631" s="123" t="s">
        <v>251</v>
      </c>
      <c r="M631" s="124">
        <v>2020</v>
      </c>
      <c r="N631" s="124">
        <v>2020</v>
      </c>
      <c r="O631" s="123" t="s">
        <v>117</v>
      </c>
      <c r="P631" s="124">
        <v>17519</v>
      </c>
      <c r="Q631" s="123" t="s">
        <v>120</v>
      </c>
      <c r="R631" s="123" t="s">
        <v>121</v>
      </c>
      <c r="S631" s="2"/>
      <c r="T631" s="2"/>
    </row>
    <row x14ac:dyDescent="0.25" r="632" customHeight="1" ht="13.5">
      <c r="A632" s="2"/>
      <c r="B632" s="2"/>
      <c r="C632" s="2"/>
      <c r="D632" s="2"/>
      <c r="E632" s="123" t="s">
        <v>111</v>
      </c>
      <c r="F632" s="123" t="s">
        <v>112</v>
      </c>
      <c r="G632" s="124">
        <v>834</v>
      </c>
      <c r="H632" s="123" t="s">
        <v>113</v>
      </c>
      <c r="I632" s="124">
        <v>5312</v>
      </c>
      <c r="J632" s="123" t="s">
        <v>114</v>
      </c>
      <c r="K632" s="125" t="s">
        <v>250</v>
      </c>
      <c r="L632" s="123" t="s">
        <v>251</v>
      </c>
      <c r="M632" s="124">
        <v>2021</v>
      </c>
      <c r="N632" s="124">
        <v>2021</v>
      </c>
      <c r="O632" s="123" t="s">
        <v>117</v>
      </c>
      <c r="P632" s="124">
        <v>16998</v>
      </c>
      <c r="Q632" s="123" t="s">
        <v>120</v>
      </c>
      <c r="R632" s="123" t="s">
        <v>121</v>
      </c>
      <c r="S632" s="2"/>
      <c r="T632" s="2"/>
    </row>
    <row x14ac:dyDescent="0.25" r="633" customHeight="1" ht="13.5">
      <c r="A633" s="2"/>
      <c r="B633" s="2"/>
      <c r="C633" s="2"/>
      <c r="D633" s="2"/>
      <c r="E633" s="123" t="s">
        <v>111</v>
      </c>
      <c r="F633" s="123" t="s">
        <v>112</v>
      </c>
      <c r="G633" s="124">
        <v>834</v>
      </c>
      <c r="H633" s="123" t="s">
        <v>113</v>
      </c>
      <c r="I633" s="124">
        <v>5419</v>
      </c>
      <c r="J633" s="123" t="s">
        <v>122</v>
      </c>
      <c r="K633" s="125" t="s">
        <v>250</v>
      </c>
      <c r="L633" s="123" t="s">
        <v>251</v>
      </c>
      <c r="M633" s="124">
        <v>2017</v>
      </c>
      <c r="N633" s="124">
        <v>2017</v>
      </c>
      <c r="O633" s="123" t="s">
        <v>123</v>
      </c>
      <c r="P633" s="124">
        <v>77433</v>
      </c>
      <c r="Q633" s="123" t="s">
        <v>118</v>
      </c>
      <c r="R633" s="123" t="s">
        <v>119</v>
      </c>
      <c r="S633" s="2"/>
      <c r="T633" s="2"/>
    </row>
    <row x14ac:dyDescent="0.25" r="634" customHeight="1" ht="13.5">
      <c r="A634" s="2"/>
      <c r="B634" s="2"/>
      <c r="C634" s="2"/>
      <c r="D634" s="2"/>
      <c r="E634" s="123" t="s">
        <v>111</v>
      </c>
      <c r="F634" s="123" t="s">
        <v>112</v>
      </c>
      <c r="G634" s="124">
        <v>834</v>
      </c>
      <c r="H634" s="123" t="s">
        <v>113</v>
      </c>
      <c r="I634" s="124">
        <v>5419</v>
      </c>
      <c r="J634" s="123" t="s">
        <v>122</v>
      </c>
      <c r="K634" s="125" t="s">
        <v>250</v>
      </c>
      <c r="L634" s="123" t="s">
        <v>251</v>
      </c>
      <c r="M634" s="124">
        <v>2018</v>
      </c>
      <c r="N634" s="124">
        <v>2018</v>
      </c>
      <c r="O634" s="123" t="s">
        <v>123</v>
      </c>
      <c r="P634" s="124">
        <v>75010</v>
      </c>
      <c r="Q634" s="123" t="s">
        <v>118</v>
      </c>
      <c r="R634" s="123" t="s">
        <v>119</v>
      </c>
      <c r="S634" s="2"/>
      <c r="T634" s="2"/>
    </row>
    <row x14ac:dyDescent="0.25" r="635" customHeight="1" ht="13.5">
      <c r="A635" s="2"/>
      <c r="B635" s="2"/>
      <c r="C635" s="2"/>
      <c r="D635" s="2"/>
      <c r="E635" s="123" t="s">
        <v>111</v>
      </c>
      <c r="F635" s="123" t="s">
        <v>112</v>
      </c>
      <c r="G635" s="124">
        <v>834</v>
      </c>
      <c r="H635" s="123" t="s">
        <v>113</v>
      </c>
      <c r="I635" s="124">
        <v>5419</v>
      </c>
      <c r="J635" s="123" t="s">
        <v>122</v>
      </c>
      <c r="K635" s="125" t="s">
        <v>250</v>
      </c>
      <c r="L635" s="123" t="s">
        <v>251</v>
      </c>
      <c r="M635" s="124">
        <v>2019</v>
      </c>
      <c r="N635" s="124">
        <v>2019</v>
      </c>
      <c r="O635" s="123" t="s">
        <v>123</v>
      </c>
      <c r="P635" s="124">
        <v>72104</v>
      </c>
      <c r="Q635" s="123" t="s">
        <v>118</v>
      </c>
      <c r="R635" s="123" t="s">
        <v>119</v>
      </c>
      <c r="S635" s="2"/>
      <c r="T635" s="2"/>
    </row>
    <row x14ac:dyDescent="0.25" r="636" customHeight="1" ht="13.5">
      <c r="A636" s="2"/>
      <c r="B636" s="2"/>
      <c r="C636" s="2"/>
      <c r="D636" s="2"/>
      <c r="E636" s="123" t="s">
        <v>111</v>
      </c>
      <c r="F636" s="123" t="s">
        <v>112</v>
      </c>
      <c r="G636" s="124">
        <v>834</v>
      </c>
      <c r="H636" s="123" t="s">
        <v>113</v>
      </c>
      <c r="I636" s="124">
        <v>5419</v>
      </c>
      <c r="J636" s="123" t="s">
        <v>122</v>
      </c>
      <c r="K636" s="125" t="s">
        <v>250</v>
      </c>
      <c r="L636" s="123" t="s">
        <v>251</v>
      </c>
      <c r="M636" s="124">
        <v>2020</v>
      </c>
      <c r="N636" s="124">
        <v>2020</v>
      </c>
      <c r="O636" s="123" t="s">
        <v>123</v>
      </c>
      <c r="P636" s="124">
        <v>71350</v>
      </c>
      <c r="Q636" s="123" t="s">
        <v>118</v>
      </c>
      <c r="R636" s="123" t="s">
        <v>119</v>
      </c>
      <c r="S636" s="2"/>
      <c r="T636" s="2"/>
    </row>
    <row x14ac:dyDescent="0.25" r="637" customHeight="1" ht="13.5">
      <c r="A637" s="2"/>
      <c r="B637" s="2"/>
      <c r="C637" s="2"/>
      <c r="D637" s="2"/>
      <c r="E637" s="123" t="s">
        <v>111</v>
      </c>
      <c r="F637" s="123" t="s">
        <v>112</v>
      </c>
      <c r="G637" s="124">
        <v>834</v>
      </c>
      <c r="H637" s="123" t="s">
        <v>113</v>
      </c>
      <c r="I637" s="124">
        <v>5419</v>
      </c>
      <c r="J637" s="123" t="s">
        <v>122</v>
      </c>
      <c r="K637" s="125" t="s">
        <v>250</v>
      </c>
      <c r="L637" s="123" t="s">
        <v>251</v>
      </c>
      <c r="M637" s="124">
        <v>2021</v>
      </c>
      <c r="N637" s="124">
        <v>2021</v>
      </c>
      <c r="O637" s="123" t="s">
        <v>123</v>
      </c>
      <c r="P637" s="124">
        <v>70596</v>
      </c>
      <c r="Q637" s="123" t="s">
        <v>118</v>
      </c>
      <c r="R637" s="123" t="s">
        <v>119</v>
      </c>
      <c r="S637" s="2"/>
      <c r="T637" s="2"/>
    </row>
    <row x14ac:dyDescent="0.25" r="638" customHeight="1" ht="13.5">
      <c r="A638" s="2"/>
      <c r="B638" s="2"/>
      <c r="C638" s="2"/>
      <c r="D638" s="2"/>
      <c r="E638" s="123" t="s">
        <v>111</v>
      </c>
      <c r="F638" s="123" t="s">
        <v>112</v>
      </c>
      <c r="G638" s="124">
        <v>834</v>
      </c>
      <c r="H638" s="123" t="s">
        <v>113</v>
      </c>
      <c r="I638" s="124">
        <v>5312</v>
      </c>
      <c r="J638" s="123" t="s">
        <v>114</v>
      </c>
      <c r="K638" s="125" t="s">
        <v>252</v>
      </c>
      <c r="L638" s="123" t="s">
        <v>253</v>
      </c>
      <c r="M638" s="124">
        <v>2017</v>
      </c>
      <c r="N638" s="124">
        <v>2017</v>
      </c>
      <c r="O638" s="123" t="s">
        <v>117</v>
      </c>
      <c r="P638" s="124">
        <v>36493</v>
      </c>
      <c r="Q638" s="123" t="s">
        <v>118</v>
      </c>
      <c r="R638" s="123" t="s">
        <v>119</v>
      </c>
      <c r="S638" s="2"/>
      <c r="T638" s="2"/>
    </row>
    <row x14ac:dyDescent="0.25" r="639" customHeight="1" ht="13.5">
      <c r="A639" s="2"/>
      <c r="B639" s="2"/>
      <c r="C639" s="2"/>
      <c r="D639" s="2"/>
      <c r="E639" s="123" t="s">
        <v>111</v>
      </c>
      <c r="F639" s="123" t="s">
        <v>112</v>
      </c>
      <c r="G639" s="124">
        <v>834</v>
      </c>
      <c r="H639" s="123" t="s">
        <v>113</v>
      </c>
      <c r="I639" s="124">
        <v>5312</v>
      </c>
      <c r="J639" s="123" t="s">
        <v>114</v>
      </c>
      <c r="K639" s="125" t="s">
        <v>252</v>
      </c>
      <c r="L639" s="123" t="s">
        <v>253</v>
      </c>
      <c r="M639" s="124">
        <v>2018</v>
      </c>
      <c r="N639" s="124">
        <v>2018</v>
      </c>
      <c r="O639" s="123" t="s">
        <v>117</v>
      </c>
      <c r="P639" s="124">
        <v>36351</v>
      </c>
      <c r="Q639" s="123" t="s">
        <v>118</v>
      </c>
      <c r="R639" s="123" t="s">
        <v>119</v>
      </c>
      <c r="S639" s="2"/>
      <c r="T639" s="2"/>
    </row>
    <row x14ac:dyDescent="0.25" r="640" customHeight="1" ht="13.5">
      <c r="A640" s="2"/>
      <c r="B640" s="2"/>
      <c r="C640" s="2"/>
      <c r="D640" s="2"/>
      <c r="E640" s="123" t="s">
        <v>111</v>
      </c>
      <c r="F640" s="123" t="s">
        <v>112</v>
      </c>
      <c r="G640" s="124">
        <v>834</v>
      </c>
      <c r="H640" s="123" t="s">
        <v>113</v>
      </c>
      <c r="I640" s="124">
        <v>5312</v>
      </c>
      <c r="J640" s="123" t="s">
        <v>114</v>
      </c>
      <c r="K640" s="125" t="s">
        <v>252</v>
      </c>
      <c r="L640" s="123" t="s">
        <v>253</v>
      </c>
      <c r="M640" s="124">
        <v>2019</v>
      </c>
      <c r="N640" s="124">
        <v>2019</v>
      </c>
      <c r="O640" s="123" t="s">
        <v>117</v>
      </c>
      <c r="P640" s="124">
        <v>36297</v>
      </c>
      <c r="Q640" s="123" t="s">
        <v>118</v>
      </c>
      <c r="R640" s="123" t="s">
        <v>119</v>
      </c>
      <c r="S640" s="2"/>
      <c r="T640" s="2"/>
    </row>
    <row x14ac:dyDescent="0.25" r="641" customHeight="1" ht="13.5">
      <c r="A641" s="2"/>
      <c r="B641" s="2"/>
      <c r="C641" s="2"/>
      <c r="D641" s="2"/>
      <c r="E641" s="123" t="s">
        <v>111</v>
      </c>
      <c r="F641" s="123" t="s">
        <v>112</v>
      </c>
      <c r="G641" s="124">
        <v>834</v>
      </c>
      <c r="H641" s="123" t="s">
        <v>113</v>
      </c>
      <c r="I641" s="124">
        <v>5312</v>
      </c>
      <c r="J641" s="123" t="s">
        <v>114</v>
      </c>
      <c r="K641" s="125" t="s">
        <v>252</v>
      </c>
      <c r="L641" s="123" t="s">
        <v>253</v>
      </c>
      <c r="M641" s="124">
        <v>2020</v>
      </c>
      <c r="N641" s="124">
        <v>2020</v>
      </c>
      <c r="O641" s="123" t="s">
        <v>117</v>
      </c>
      <c r="P641" s="124">
        <v>36380</v>
      </c>
      <c r="Q641" s="123" t="s">
        <v>118</v>
      </c>
      <c r="R641" s="123" t="s">
        <v>119</v>
      </c>
      <c r="S641" s="2"/>
      <c r="T641" s="2"/>
    </row>
    <row x14ac:dyDescent="0.25" r="642" customHeight="1" ht="13.5">
      <c r="A642" s="2"/>
      <c r="B642" s="2"/>
      <c r="C642" s="2"/>
      <c r="D642" s="2"/>
      <c r="E642" s="123" t="s">
        <v>111</v>
      </c>
      <c r="F642" s="123" t="s">
        <v>112</v>
      </c>
      <c r="G642" s="124">
        <v>834</v>
      </c>
      <c r="H642" s="123" t="s">
        <v>113</v>
      </c>
      <c r="I642" s="124">
        <v>5312</v>
      </c>
      <c r="J642" s="123" t="s">
        <v>114</v>
      </c>
      <c r="K642" s="125" t="s">
        <v>252</v>
      </c>
      <c r="L642" s="123" t="s">
        <v>253</v>
      </c>
      <c r="M642" s="124">
        <v>2021</v>
      </c>
      <c r="N642" s="124">
        <v>2021</v>
      </c>
      <c r="O642" s="123" t="s">
        <v>117</v>
      </c>
      <c r="P642" s="124">
        <v>36343</v>
      </c>
      <c r="Q642" s="123" t="s">
        <v>118</v>
      </c>
      <c r="R642" s="123" t="s">
        <v>119</v>
      </c>
      <c r="S642" s="2"/>
      <c r="T642" s="2"/>
    </row>
    <row x14ac:dyDescent="0.25" r="643" customHeight="1" ht="13.5">
      <c r="A643" s="2"/>
      <c r="B643" s="2"/>
      <c r="C643" s="2"/>
      <c r="D643" s="2"/>
      <c r="E643" s="123" t="s">
        <v>111</v>
      </c>
      <c r="F643" s="123" t="s">
        <v>112</v>
      </c>
      <c r="G643" s="124">
        <v>834</v>
      </c>
      <c r="H643" s="123" t="s">
        <v>113</v>
      </c>
      <c r="I643" s="124">
        <v>5419</v>
      </c>
      <c r="J643" s="123" t="s">
        <v>122</v>
      </c>
      <c r="K643" s="125" t="s">
        <v>252</v>
      </c>
      <c r="L643" s="123" t="s">
        <v>253</v>
      </c>
      <c r="M643" s="124">
        <v>2017</v>
      </c>
      <c r="N643" s="124">
        <v>2017</v>
      </c>
      <c r="O643" s="123" t="s">
        <v>123</v>
      </c>
      <c r="P643" s="124">
        <v>127162</v>
      </c>
      <c r="Q643" s="123" t="s">
        <v>118</v>
      </c>
      <c r="R643" s="123" t="s">
        <v>119</v>
      </c>
      <c r="S643" s="2"/>
      <c r="T643" s="2"/>
    </row>
    <row x14ac:dyDescent="0.25" r="644" customHeight="1" ht="13.5">
      <c r="A644" s="2"/>
      <c r="B644" s="2"/>
      <c r="C644" s="2"/>
      <c r="D644" s="2"/>
      <c r="E644" s="123" t="s">
        <v>111</v>
      </c>
      <c r="F644" s="123" t="s">
        <v>112</v>
      </c>
      <c r="G644" s="124">
        <v>834</v>
      </c>
      <c r="H644" s="123" t="s">
        <v>113</v>
      </c>
      <c r="I644" s="124">
        <v>5419</v>
      </c>
      <c r="J644" s="123" t="s">
        <v>122</v>
      </c>
      <c r="K644" s="125" t="s">
        <v>252</v>
      </c>
      <c r="L644" s="123" t="s">
        <v>253</v>
      </c>
      <c r="M644" s="124">
        <v>2018</v>
      </c>
      <c r="N644" s="124">
        <v>2018</v>
      </c>
      <c r="O644" s="123" t="s">
        <v>123</v>
      </c>
      <c r="P644" s="124">
        <v>128318</v>
      </c>
      <c r="Q644" s="123" t="s">
        <v>118</v>
      </c>
      <c r="R644" s="123" t="s">
        <v>119</v>
      </c>
      <c r="S644" s="2"/>
      <c r="T644" s="2"/>
    </row>
    <row x14ac:dyDescent="0.25" r="645" customHeight="1" ht="13.5">
      <c r="A645" s="2"/>
      <c r="B645" s="2"/>
      <c r="C645" s="2"/>
      <c r="D645" s="2"/>
      <c r="E645" s="123" t="s">
        <v>111</v>
      </c>
      <c r="F645" s="123" t="s">
        <v>112</v>
      </c>
      <c r="G645" s="124">
        <v>834</v>
      </c>
      <c r="H645" s="123" t="s">
        <v>113</v>
      </c>
      <c r="I645" s="124">
        <v>5419</v>
      </c>
      <c r="J645" s="123" t="s">
        <v>122</v>
      </c>
      <c r="K645" s="125" t="s">
        <v>252</v>
      </c>
      <c r="L645" s="123" t="s">
        <v>253</v>
      </c>
      <c r="M645" s="124">
        <v>2019</v>
      </c>
      <c r="N645" s="124">
        <v>2019</v>
      </c>
      <c r="O645" s="123" t="s">
        <v>123</v>
      </c>
      <c r="P645" s="124">
        <v>127133</v>
      </c>
      <c r="Q645" s="123" t="s">
        <v>118</v>
      </c>
      <c r="R645" s="123" t="s">
        <v>119</v>
      </c>
      <c r="S645" s="2"/>
      <c r="T645" s="2"/>
    </row>
    <row x14ac:dyDescent="0.25" r="646" customHeight="1" ht="13.5">
      <c r="A646" s="2"/>
      <c r="B646" s="2"/>
      <c r="C646" s="2"/>
      <c r="D646" s="2"/>
      <c r="E646" s="123" t="s">
        <v>111</v>
      </c>
      <c r="F646" s="123" t="s">
        <v>112</v>
      </c>
      <c r="G646" s="124">
        <v>834</v>
      </c>
      <c r="H646" s="123" t="s">
        <v>113</v>
      </c>
      <c r="I646" s="124">
        <v>5419</v>
      </c>
      <c r="J646" s="123" t="s">
        <v>122</v>
      </c>
      <c r="K646" s="125" t="s">
        <v>252</v>
      </c>
      <c r="L646" s="123" t="s">
        <v>253</v>
      </c>
      <c r="M646" s="124">
        <v>2020</v>
      </c>
      <c r="N646" s="124">
        <v>2020</v>
      </c>
      <c r="O646" s="123" t="s">
        <v>123</v>
      </c>
      <c r="P646" s="124">
        <v>127538</v>
      </c>
      <c r="Q646" s="123" t="s">
        <v>118</v>
      </c>
      <c r="R646" s="123" t="s">
        <v>119</v>
      </c>
      <c r="S646" s="2"/>
      <c r="T646" s="2"/>
    </row>
    <row x14ac:dyDescent="0.25" r="647" customHeight="1" ht="13.5">
      <c r="A647" s="2"/>
      <c r="B647" s="2"/>
      <c r="C647" s="2"/>
      <c r="D647" s="2"/>
      <c r="E647" s="123" t="s">
        <v>111</v>
      </c>
      <c r="F647" s="123" t="s">
        <v>112</v>
      </c>
      <c r="G647" s="124">
        <v>834</v>
      </c>
      <c r="H647" s="123" t="s">
        <v>113</v>
      </c>
      <c r="I647" s="124">
        <v>5419</v>
      </c>
      <c r="J647" s="123" t="s">
        <v>122</v>
      </c>
      <c r="K647" s="125" t="s">
        <v>252</v>
      </c>
      <c r="L647" s="123" t="s">
        <v>253</v>
      </c>
      <c r="M647" s="124">
        <v>2021</v>
      </c>
      <c r="N647" s="124">
        <v>2021</v>
      </c>
      <c r="O647" s="123" t="s">
        <v>123</v>
      </c>
      <c r="P647" s="124">
        <v>127663</v>
      </c>
      <c r="Q647" s="123" t="s">
        <v>118</v>
      </c>
      <c r="R647" s="123" t="s">
        <v>119</v>
      </c>
      <c r="S647" s="2"/>
      <c r="T647" s="2"/>
    </row>
    <row x14ac:dyDescent="0.25" r="648" customHeight="1" ht="13.5">
      <c r="A648" s="2"/>
      <c r="B648" s="2"/>
      <c r="C648" s="2"/>
      <c r="D648" s="2"/>
      <c r="E648" s="123" t="s">
        <v>111</v>
      </c>
      <c r="F648" s="123" t="s">
        <v>112</v>
      </c>
      <c r="G648" s="124">
        <v>834</v>
      </c>
      <c r="H648" s="123" t="s">
        <v>113</v>
      </c>
      <c r="I648" s="124">
        <v>5312</v>
      </c>
      <c r="J648" s="123" t="s">
        <v>114</v>
      </c>
      <c r="K648" s="125" t="s">
        <v>254</v>
      </c>
      <c r="L648" s="123" t="s">
        <v>255</v>
      </c>
      <c r="M648" s="124">
        <v>2017</v>
      </c>
      <c r="N648" s="124">
        <v>2017</v>
      </c>
      <c r="O648" s="123" t="s">
        <v>117</v>
      </c>
      <c r="P648" s="124">
        <v>73738</v>
      </c>
      <c r="Q648" s="123" t="s">
        <v>120</v>
      </c>
      <c r="R648" s="123" t="s">
        <v>121</v>
      </c>
      <c r="S648" s="2"/>
      <c r="T648" s="2"/>
    </row>
    <row x14ac:dyDescent="0.25" r="649" customHeight="1" ht="13.5">
      <c r="A649" s="2"/>
      <c r="B649" s="2"/>
      <c r="C649" s="2"/>
      <c r="D649" s="2"/>
      <c r="E649" s="123" t="s">
        <v>111</v>
      </c>
      <c r="F649" s="123" t="s">
        <v>112</v>
      </c>
      <c r="G649" s="124">
        <v>834</v>
      </c>
      <c r="H649" s="123" t="s">
        <v>113</v>
      </c>
      <c r="I649" s="124">
        <v>5312</v>
      </c>
      <c r="J649" s="123" t="s">
        <v>114</v>
      </c>
      <c r="K649" s="125" t="s">
        <v>254</v>
      </c>
      <c r="L649" s="123" t="s">
        <v>255</v>
      </c>
      <c r="M649" s="124">
        <v>2018</v>
      </c>
      <c r="N649" s="124">
        <v>2018</v>
      </c>
      <c r="O649" s="123" t="s">
        <v>117</v>
      </c>
      <c r="P649" s="124">
        <v>71564</v>
      </c>
      <c r="Q649" s="123" t="s">
        <v>120</v>
      </c>
      <c r="R649" s="123" t="s">
        <v>121</v>
      </c>
      <c r="S649" s="2"/>
      <c r="T649" s="2"/>
    </row>
    <row x14ac:dyDescent="0.25" r="650" customHeight="1" ht="13.5">
      <c r="A650" s="2"/>
      <c r="B650" s="2"/>
      <c r="C650" s="2"/>
      <c r="D650" s="2"/>
      <c r="E650" s="123" t="s">
        <v>111</v>
      </c>
      <c r="F650" s="123" t="s">
        <v>112</v>
      </c>
      <c r="G650" s="124">
        <v>834</v>
      </c>
      <c r="H650" s="123" t="s">
        <v>113</v>
      </c>
      <c r="I650" s="124">
        <v>5312</v>
      </c>
      <c r="J650" s="123" t="s">
        <v>114</v>
      </c>
      <c r="K650" s="125" t="s">
        <v>254</v>
      </c>
      <c r="L650" s="123" t="s">
        <v>255</v>
      </c>
      <c r="M650" s="124">
        <v>2019</v>
      </c>
      <c r="N650" s="124">
        <v>2019</v>
      </c>
      <c r="O650" s="123" t="s">
        <v>117</v>
      </c>
      <c r="P650" s="124">
        <v>109689</v>
      </c>
      <c r="Q650" s="123" t="s">
        <v>120</v>
      </c>
      <c r="R650" s="123" t="s">
        <v>121</v>
      </c>
      <c r="S650" s="2"/>
      <c r="T650" s="2"/>
    </row>
    <row x14ac:dyDescent="0.25" r="651" customHeight="1" ht="13.5">
      <c r="A651" s="2"/>
      <c r="B651" s="2"/>
      <c r="C651" s="2"/>
      <c r="D651" s="2"/>
      <c r="E651" s="123" t="s">
        <v>111</v>
      </c>
      <c r="F651" s="123" t="s">
        <v>112</v>
      </c>
      <c r="G651" s="124">
        <v>834</v>
      </c>
      <c r="H651" s="123" t="s">
        <v>113</v>
      </c>
      <c r="I651" s="124">
        <v>5312</v>
      </c>
      <c r="J651" s="123" t="s">
        <v>114</v>
      </c>
      <c r="K651" s="125" t="s">
        <v>254</v>
      </c>
      <c r="L651" s="123" t="s">
        <v>255</v>
      </c>
      <c r="M651" s="124">
        <v>2020</v>
      </c>
      <c r="N651" s="124">
        <v>2020</v>
      </c>
      <c r="O651" s="123" t="s">
        <v>117</v>
      </c>
      <c r="P651" s="124">
        <v>60782</v>
      </c>
      <c r="Q651" s="123" t="s">
        <v>120</v>
      </c>
      <c r="R651" s="123" t="s">
        <v>121</v>
      </c>
      <c r="S651" s="2"/>
      <c r="T651" s="2"/>
    </row>
    <row x14ac:dyDescent="0.25" r="652" customHeight="1" ht="13.5">
      <c r="A652" s="2"/>
      <c r="B652" s="2"/>
      <c r="C652" s="2"/>
      <c r="D652" s="2"/>
      <c r="E652" s="123" t="s">
        <v>111</v>
      </c>
      <c r="F652" s="123" t="s">
        <v>112</v>
      </c>
      <c r="G652" s="124">
        <v>834</v>
      </c>
      <c r="H652" s="123" t="s">
        <v>113</v>
      </c>
      <c r="I652" s="124">
        <v>5312</v>
      </c>
      <c r="J652" s="123" t="s">
        <v>114</v>
      </c>
      <c r="K652" s="125" t="s">
        <v>254</v>
      </c>
      <c r="L652" s="123" t="s">
        <v>255</v>
      </c>
      <c r="M652" s="124">
        <v>2021</v>
      </c>
      <c r="N652" s="124">
        <v>2021</v>
      </c>
      <c r="O652" s="123" t="s">
        <v>117</v>
      </c>
      <c r="P652" s="124">
        <v>98630</v>
      </c>
      <c r="Q652" s="123" t="s">
        <v>120</v>
      </c>
      <c r="R652" s="123" t="s">
        <v>121</v>
      </c>
      <c r="S652" s="2"/>
      <c r="T652" s="2"/>
    </row>
    <row x14ac:dyDescent="0.25" r="653" customHeight="1" ht="13.5">
      <c r="A653" s="2"/>
      <c r="B653" s="2"/>
      <c r="C653" s="2"/>
      <c r="D653" s="2"/>
      <c r="E653" s="123" t="s">
        <v>111</v>
      </c>
      <c r="F653" s="123" t="s">
        <v>112</v>
      </c>
      <c r="G653" s="124">
        <v>834</v>
      </c>
      <c r="H653" s="123" t="s">
        <v>113</v>
      </c>
      <c r="I653" s="124">
        <v>5419</v>
      </c>
      <c r="J653" s="123" t="s">
        <v>122</v>
      </c>
      <c r="K653" s="125" t="s">
        <v>254</v>
      </c>
      <c r="L653" s="123" t="s">
        <v>255</v>
      </c>
      <c r="M653" s="124">
        <v>2017</v>
      </c>
      <c r="N653" s="124">
        <v>2017</v>
      </c>
      <c r="O653" s="123" t="s">
        <v>123</v>
      </c>
      <c r="P653" s="124">
        <v>7952</v>
      </c>
      <c r="Q653" s="123" t="s">
        <v>118</v>
      </c>
      <c r="R653" s="123" t="s">
        <v>119</v>
      </c>
      <c r="S653" s="2"/>
      <c r="T653" s="2"/>
    </row>
    <row x14ac:dyDescent="0.25" r="654" customHeight="1" ht="13.5">
      <c r="A654" s="2"/>
      <c r="B654" s="2"/>
      <c r="C654" s="2"/>
      <c r="D654" s="2"/>
      <c r="E654" s="123" t="s">
        <v>111</v>
      </c>
      <c r="F654" s="123" t="s">
        <v>112</v>
      </c>
      <c r="G654" s="124">
        <v>834</v>
      </c>
      <c r="H654" s="123" t="s">
        <v>113</v>
      </c>
      <c r="I654" s="124">
        <v>5419</v>
      </c>
      <c r="J654" s="123" t="s">
        <v>122</v>
      </c>
      <c r="K654" s="125" t="s">
        <v>254</v>
      </c>
      <c r="L654" s="123" t="s">
        <v>255</v>
      </c>
      <c r="M654" s="124">
        <v>2018</v>
      </c>
      <c r="N654" s="124">
        <v>2018</v>
      </c>
      <c r="O654" s="123" t="s">
        <v>123</v>
      </c>
      <c r="P654" s="124">
        <v>7060</v>
      </c>
      <c r="Q654" s="123" t="s">
        <v>118</v>
      </c>
      <c r="R654" s="123" t="s">
        <v>119</v>
      </c>
      <c r="S654" s="2"/>
      <c r="T654" s="2"/>
    </row>
    <row x14ac:dyDescent="0.25" r="655" customHeight="1" ht="13.5">
      <c r="A655" s="2"/>
      <c r="B655" s="2"/>
      <c r="C655" s="2"/>
      <c r="D655" s="2"/>
      <c r="E655" s="123" t="s">
        <v>111</v>
      </c>
      <c r="F655" s="123" t="s">
        <v>112</v>
      </c>
      <c r="G655" s="124">
        <v>834</v>
      </c>
      <c r="H655" s="123" t="s">
        <v>113</v>
      </c>
      <c r="I655" s="124">
        <v>5419</v>
      </c>
      <c r="J655" s="123" t="s">
        <v>122</v>
      </c>
      <c r="K655" s="125" t="s">
        <v>254</v>
      </c>
      <c r="L655" s="123" t="s">
        <v>255</v>
      </c>
      <c r="M655" s="124">
        <v>2019</v>
      </c>
      <c r="N655" s="124">
        <v>2019</v>
      </c>
      <c r="O655" s="123" t="s">
        <v>123</v>
      </c>
      <c r="P655" s="124">
        <v>6457</v>
      </c>
      <c r="Q655" s="123" t="s">
        <v>118</v>
      </c>
      <c r="R655" s="123" t="s">
        <v>119</v>
      </c>
      <c r="S655" s="2"/>
      <c r="T655" s="2"/>
    </row>
    <row x14ac:dyDescent="0.25" r="656" customHeight="1" ht="13.5">
      <c r="A656" s="2"/>
      <c r="B656" s="2"/>
      <c r="C656" s="2"/>
      <c r="D656" s="2"/>
      <c r="E656" s="123" t="s">
        <v>111</v>
      </c>
      <c r="F656" s="123" t="s">
        <v>112</v>
      </c>
      <c r="G656" s="124">
        <v>834</v>
      </c>
      <c r="H656" s="123" t="s">
        <v>113</v>
      </c>
      <c r="I656" s="124">
        <v>5419</v>
      </c>
      <c r="J656" s="123" t="s">
        <v>122</v>
      </c>
      <c r="K656" s="125" t="s">
        <v>254</v>
      </c>
      <c r="L656" s="123" t="s">
        <v>255</v>
      </c>
      <c r="M656" s="124">
        <v>2020</v>
      </c>
      <c r="N656" s="124">
        <v>2020</v>
      </c>
      <c r="O656" s="123" t="s">
        <v>123</v>
      </c>
      <c r="P656" s="124">
        <v>6177</v>
      </c>
      <c r="Q656" s="123" t="s">
        <v>118</v>
      </c>
      <c r="R656" s="123" t="s">
        <v>119</v>
      </c>
      <c r="S656" s="2"/>
      <c r="T656" s="2"/>
    </row>
    <row x14ac:dyDescent="0.25" r="657" customHeight="1" ht="13.5">
      <c r="A657" s="2"/>
      <c r="B657" s="2"/>
      <c r="C657" s="2"/>
      <c r="D657" s="2"/>
      <c r="E657" s="123" t="s">
        <v>111</v>
      </c>
      <c r="F657" s="123" t="s">
        <v>112</v>
      </c>
      <c r="G657" s="124">
        <v>834</v>
      </c>
      <c r="H657" s="123" t="s">
        <v>113</v>
      </c>
      <c r="I657" s="124">
        <v>5419</v>
      </c>
      <c r="J657" s="123" t="s">
        <v>122</v>
      </c>
      <c r="K657" s="125" t="s">
        <v>254</v>
      </c>
      <c r="L657" s="123" t="s">
        <v>255</v>
      </c>
      <c r="M657" s="124">
        <v>2021</v>
      </c>
      <c r="N657" s="124">
        <v>2021</v>
      </c>
      <c r="O657" s="123" t="s">
        <v>123</v>
      </c>
      <c r="P657" s="124">
        <v>5932</v>
      </c>
      <c r="Q657" s="123" t="s">
        <v>118</v>
      </c>
      <c r="R657" s="123" t="s">
        <v>119</v>
      </c>
      <c r="S657" s="2"/>
      <c r="T657" s="2"/>
    </row>
    <row x14ac:dyDescent="0.25" r="658" customHeight="1" ht="13.5">
      <c r="A658" s="2"/>
      <c r="B658" s="2"/>
      <c r="C658" s="2"/>
      <c r="D658" s="2"/>
      <c r="E658" s="123" t="s">
        <v>111</v>
      </c>
      <c r="F658" s="123" t="s">
        <v>112</v>
      </c>
      <c r="G658" s="124">
        <v>834</v>
      </c>
      <c r="H658" s="123" t="s">
        <v>113</v>
      </c>
      <c r="I658" s="124">
        <v>5312</v>
      </c>
      <c r="J658" s="123" t="s">
        <v>114</v>
      </c>
      <c r="K658" s="125" t="s">
        <v>256</v>
      </c>
      <c r="L658" s="123" t="s">
        <v>257</v>
      </c>
      <c r="M658" s="124">
        <v>2017</v>
      </c>
      <c r="N658" s="124">
        <v>2017</v>
      </c>
      <c r="O658" s="123" t="s">
        <v>117</v>
      </c>
      <c r="P658" s="124">
        <v>3804</v>
      </c>
      <c r="Q658" s="123" t="s">
        <v>120</v>
      </c>
      <c r="R658" s="123" t="s">
        <v>121</v>
      </c>
      <c r="S658" s="2"/>
      <c r="T658" s="2"/>
    </row>
    <row x14ac:dyDescent="0.25" r="659" customHeight="1" ht="13.5">
      <c r="A659" s="2"/>
      <c r="B659" s="2"/>
      <c r="C659" s="2"/>
      <c r="D659" s="2"/>
      <c r="E659" s="123" t="s">
        <v>111</v>
      </c>
      <c r="F659" s="123" t="s">
        <v>112</v>
      </c>
      <c r="G659" s="124">
        <v>834</v>
      </c>
      <c r="H659" s="123" t="s">
        <v>113</v>
      </c>
      <c r="I659" s="124">
        <v>5312</v>
      </c>
      <c r="J659" s="123" t="s">
        <v>114</v>
      </c>
      <c r="K659" s="125" t="s">
        <v>256</v>
      </c>
      <c r="L659" s="123" t="s">
        <v>257</v>
      </c>
      <c r="M659" s="124">
        <v>2018</v>
      </c>
      <c r="N659" s="124">
        <v>2018</v>
      </c>
      <c r="O659" s="123" t="s">
        <v>117</v>
      </c>
      <c r="P659" s="124">
        <v>3552</v>
      </c>
      <c r="Q659" s="123" t="s">
        <v>118</v>
      </c>
      <c r="R659" s="123" t="s">
        <v>119</v>
      </c>
      <c r="S659" s="2"/>
      <c r="T659" s="2"/>
    </row>
    <row x14ac:dyDescent="0.25" r="660" customHeight="1" ht="13.5">
      <c r="A660" s="2"/>
      <c r="B660" s="2"/>
      <c r="C660" s="2"/>
      <c r="D660" s="2"/>
      <c r="E660" s="123" t="s">
        <v>111</v>
      </c>
      <c r="F660" s="123" t="s">
        <v>112</v>
      </c>
      <c r="G660" s="124">
        <v>834</v>
      </c>
      <c r="H660" s="123" t="s">
        <v>113</v>
      </c>
      <c r="I660" s="124">
        <v>5312</v>
      </c>
      <c r="J660" s="123" t="s">
        <v>114</v>
      </c>
      <c r="K660" s="125" t="s">
        <v>256</v>
      </c>
      <c r="L660" s="123" t="s">
        <v>257</v>
      </c>
      <c r="M660" s="124">
        <v>2019</v>
      </c>
      <c r="N660" s="124">
        <v>2019</v>
      </c>
      <c r="O660" s="123" t="s">
        <v>117</v>
      </c>
      <c r="P660" s="124">
        <v>3681</v>
      </c>
      <c r="Q660" s="123" t="s">
        <v>118</v>
      </c>
      <c r="R660" s="123" t="s">
        <v>119</v>
      </c>
      <c r="S660" s="2"/>
      <c r="T660" s="2"/>
    </row>
    <row x14ac:dyDescent="0.25" r="661" customHeight="1" ht="13.5">
      <c r="A661" s="2"/>
      <c r="B661" s="2"/>
      <c r="C661" s="2"/>
      <c r="D661" s="2"/>
      <c r="E661" s="123" t="s">
        <v>111</v>
      </c>
      <c r="F661" s="123" t="s">
        <v>112</v>
      </c>
      <c r="G661" s="124">
        <v>834</v>
      </c>
      <c r="H661" s="123" t="s">
        <v>113</v>
      </c>
      <c r="I661" s="124">
        <v>5312</v>
      </c>
      <c r="J661" s="123" t="s">
        <v>114</v>
      </c>
      <c r="K661" s="125" t="s">
        <v>256</v>
      </c>
      <c r="L661" s="123" t="s">
        <v>257</v>
      </c>
      <c r="M661" s="124">
        <v>2020</v>
      </c>
      <c r="N661" s="124">
        <v>2020</v>
      </c>
      <c r="O661" s="123" t="s">
        <v>117</v>
      </c>
      <c r="P661" s="124">
        <v>3679</v>
      </c>
      <c r="Q661" s="123" t="s">
        <v>118</v>
      </c>
      <c r="R661" s="123" t="s">
        <v>119</v>
      </c>
      <c r="S661" s="2"/>
      <c r="T661" s="2"/>
    </row>
    <row x14ac:dyDescent="0.25" r="662" customHeight="1" ht="13.5">
      <c r="A662" s="2"/>
      <c r="B662" s="2"/>
      <c r="C662" s="2"/>
      <c r="D662" s="2"/>
      <c r="E662" s="123" t="s">
        <v>111</v>
      </c>
      <c r="F662" s="123" t="s">
        <v>112</v>
      </c>
      <c r="G662" s="124">
        <v>834</v>
      </c>
      <c r="H662" s="123" t="s">
        <v>113</v>
      </c>
      <c r="I662" s="124">
        <v>5312</v>
      </c>
      <c r="J662" s="123" t="s">
        <v>114</v>
      </c>
      <c r="K662" s="125" t="s">
        <v>256</v>
      </c>
      <c r="L662" s="123" t="s">
        <v>257</v>
      </c>
      <c r="M662" s="124">
        <v>2021</v>
      </c>
      <c r="N662" s="124">
        <v>2021</v>
      </c>
      <c r="O662" s="123" t="s">
        <v>117</v>
      </c>
      <c r="P662" s="124">
        <v>3637</v>
      </c>
      <c r="Q662" s="123" t="s">
        <v>118</v>
      </c>
      <c r="R662" s="123" t="s">
        <v>119</v>
      </c>
      <c r="S662" s="2"/>
      <c r="T662" s="2"/>
    </row>
    <row x14ac:dyDescent="0.25" r="663" customHeight="1" ht="13.5">
      <c r="A663" s="2"/>
      <c r="B663" s="2"/>
      <c r="C663" s="2"/>
      <c r="D663" s="2"/>
      <c r="E663" s="123" t="s">
        <v>111</v>
      </c>
      <c r="F663" s="123" t="s">
        <v>112</v>
      </c>
      <c r="G663" s="124">
        <v>834</v>
      </c>
      <c r="H663" s="123" t="s">
        <v>113</v>
      </c>
      <c r="I663" s="124">
        <v>5419</v>
      </c>
      <c r="J663" s="123" t="s">
        <v>122</v>
      </c>
      <c r="K663" s="125" t="s">
        <v>256</v>
      </c>
      <c r="L663" s="123" t="s">
        <v>257</v>
      </c>
      <c r="M663" s="124">
        <v>2017</v>
      </c>
      <c r="N663" s="124">
        <v>2017</v>
      </c>
      <c r="O663" s="123" t="s">
        <v>123</v>
      </c>
      <c r="P663" s="124">
        <v>103039</v>
      </c>
      <c r="Q663" s="123" t="s">
        <v>118</v>
      </c>
      <c r="R663" s="123" t="s">
        <v>119</v>
      </c>
      <c r="S663" s="2"/>
      <c r="T663" s="2"/>
    </row>
    <row x14ac:dyDescent="0.25" r="664" customHeight="1" ht="13.5">
      <c r="A664" s="2"/>
      <c r="B664" s="2"/>
      <c r="C664" s="2"/>
      <c r="D664" s="2"/>
      <c r="E664" s="123" t="s">
        <v>111</v>
      </c>
      <c r="F664" s="123" t="s">
        <v>112</v>
      </c>
      <c r="G664" s="124">
        <v>834</v>
      </c>
      <c r="H664" s="123" t="s">
        <v>113</v>
      </c>
      <c r="I664" s="124">
        <v>5419</v>
      </c>
      <c r="J664" s="123" t="s">
        <v>122</v>
      </c>
      <c r="K664" s="125" t="s">
        <v>256</v>
      </c>
      <c r="L664" s="123" t="s">
        <v>257</v>
      </c>
      <c r="M664" s="124">
        <v>2018</v>
      </c>
      <c r="N664" s="124">
        <v>2018</v>
      </c>
      <c r="O664" s="123" t="s">
        <v>123</v>
      </c>
      <c r="P664" s="124">
        <v>101737</v>
      </c>
      <c r="Q664" s="123" t="s">
        <v>118</v>
      </c>
      <c r="R664" s="123" t="s">
        <v>119</v>
      </c>
      <c r="S664" s="2"/>
      <c r="T664" s="2"/>
    </row>
    <row x14ac:dyDescent="0.25" r="665" customHeight="1" ht="13.5">
      <c r="A665" s="2"/>
      <c r="B665" s="2"/>
      <c r="C665" s="2"/>
      <c r="D665" s="2"/>
      <c r="E665" s="123" t="s">
        <v>111</v>
      </c>
      <c r="F665" s="123" t="s">
        <v>112</v>
      </c>
      <c r="G665" s="124">
        <v>834</v>
      </c>
      <c r="H665" s="123" t="s">
        <v>113</v>
      </c>
      <c r="I665" s="124">
        <v>5419</v>
      </c>
      <c r="J665" s="123" t="s">
        <v>122</v>
      </c>
      <c r="K665" s="125" t="s">
        <v>256</v>
      </c>
      <c r="L665" s="123" t="s">
        <v>257</v>
      </c>
      <c r="M665" s="124">
        <v>2019</v>
      </c>
      <c r="N665" s="124">
        <v>2019</v>
      </c>
      <c r="O665" s="123" t="s">
        <v>123</v>
      </c>
      <c r="P665" s="124">
        <v>102461</v>
      </c>
      <c r="Q665" s="123" t="s">
        <v>118</v>
      </c>
      <c r="R665" s="123" t="s">
        <v>119</v>
      </c>
      <c r="S665" s="2"/>
      <c r="T665" s="2"/>
    </row>
    <row x14ac:dyDescent="0.25" r="666" customHeight="1" ht="13.5">
      <c r="A666" s="2"/>
      <c r="B666" s="2"/>
      <c r="C666" s="2"/>
      <c r="D666" s="2"/>
      <c r="E666" s="123" t="s">
        <v>111</v>
      </c>
      <c r="F666" s="123" t="s">
        <v>112</v>
      </c>
      <c r="G666" s="124">
        <v>834</v>
      </c>
      <c r="H666" s="123" t="s">
        <v>113</v>
      </c>
      <c r="I666" s="124">
        <v>5419</v>
      </c>
      <c r="J666" s="123" t="s">
        <v>122</v>
      </c>
      <c r="K666" s="125" t="s">
        <v>256</v>
      </c>
      <c r="L666" s="123" t="s">
        <v>257</v>
      </c>
      <c r="M666" s="124">
        <v>2020</v>
      </c>
      <c r="N666" s="124">
        <v>2020</v>
      </c>
      <c r="O666" s="123" t="s">
        <v>123</v>
      </c>
      <c r="P666" s="124">
        <v>102427</v>
      </c>
      <c r="Q666" s="123" t="s">
        <v>118</v>
      </c>
      <c r="R666" s="123" t="s">
        <v>119</v>
      </c>
      <c r="S666" s="2"/>
      <c r="T666" s="2"/>
    </row>
    <row x14ac:dyDescent="0.25" r="667" customHeight="1" ht="13.5">
      <c r="A667" s="2"/>
      <c r="B667" s="2"/>
      <c r="C667" s="2"/>
      <c r="D667" s="2"/>
      <c r="E667" s="123" t="s">
        <v>111</v>
      </c>
      <c r="F667" s="123" t="s">
        <v>112</v>
      </c>
      <c r="G667" s="124">
        <v>834</v>
      </c>
      <c r="H667" s="123" t="s">
        <v>113</v>
      </c>
      <c r="I667" s="124">
        <v>5419</v>
      </c>
      <c r="J667" s="123" t="s">
        <v>122</v>
      </c>
      <c r="K667" s="125" t="s">
        <v>256</v>
      </c>
      <c r="L667" s="123" t="s">
        <v>257</v>
      </c>
      <c r="M667" s="124">
        <v>2021</v>
      </c>
      <c r="N667" s="124">
        <v>2021</v>
      </c>
      <c r="O667" s="123" t="s">
        <v>123</v>
      </c>
      <c r="P667" s="124">
        <v>102214</v>
      </c>
      <c r="Q667" s="123" t="s">
        <v>118</v>
      </c>
      <c r="R667" s="123" t="s">
        <v>119</v>
      </c>
      <c r="S667" s="2"/>
      <c r="T667" s="2"/>
    </row>
    <row x14ac:dyDescent="0.25" r="668" customHeight="1" ht="13.5">
      <c r="A668" s="2"/>
      <c r="B668" s="2"/>
      <c r="C668" s="2"/>
      <c r="D668" s="2"/>
      <c r="E668" s="123" t="s">
        <v>111</v>
      </c>
      <c r="F668" s="123" t="s">
        <v>112</v>
      </c>
      <c r="G668" s="124">
        <v>834</v>
      </c>
      <c r="H668" s="123" t="s">
        <v>113</v>
      </c>
      <c r="I668" s="124">
        <v>5312</v>
      </c>
      <c r="J668" s="123" t="s">
        <v>114</v>
      </c>
      <c r="K668" s="125" t="s">
        <v>258</v>
      </c>
      <c r="L668" s="123" t="s">
        <v>259</v>
      </c>
      <c r="M668" s="124">
        <v>2017</v>
      </c>
      <c r="N668" s="124">
        <v>2017</v>
      </c>
      <c r="O668" s="123" t="s">
        <v>117</v>
      </c>
      <c r="P668" s="124">
        <v>42629</v>
      </c>
      <c r="Q668" s="123" t="s">
        <v>126</v>
      </c>
      <c r="R668" s="123" t="s">
        <v>127</v>
      </c>
      <c r="S668" s="2"/>
      <c r="T668" s="2"/>
    </row>
    <row x14ac:dyDescent="0.25" r="669" customHeight="1" ht="13.5">
      <c r="A669" s="2"/>
      <c r="B669" s="2"/>
      <c r="C669" s="2"/>
      <c r="D669" s="2"/>
      <c r="E669" s="123" t="s">
        <v>111</v>
      </c>
      <c r="F669" s="123" t="s">
        <v>112</v>
      </c>
      <c r="G669" s="124">
        <v>834</v>
      </c>
      <c r="H669" s="123" t="s">
        <v>113</v>
      </c>
      <c r="I669" s="124">
        <v>5312</v>
      </c>
      <c r="J669" s="123" t="s">
        <v>114</v>
      </c>
      <c r="K669" s="125" t="s">
        <v>258</v>
      </c>
      <c r="L669" s="123" t="s">
        <v>259</v>
      </c>
      <c r="M669" s="124">
        <v>2018</v>
      </c>
      <c r="N669" s="124">
        <v>2018</v>
      </c>
      <c r="O669" s="123" t="s">
        <v>117</v>
      </c>
      <c r="P669" s="124">
        <v>51968</v>
      </c>
      <c r="Q669" s="123" t="s">
        <v>126</v>
      </c>
      <c r="R669" s="123" t="s">
        <v>127</v>
      </c>
      <c r="S669" s="2"/>
      <c r="T669" s="2"/>
    </row>
    <row x14ac:dyDescent="0.25" r="670" customHeight="1" ht="13.5">
      <c r="A670" s="2"/>
      <c r="B670" s="2"/>
      <c r="C670" s="2"/>
      <c r="D670" s="2"/>
      <c r="E670" s="123" t="s">
        <v>111</v>
      </c>
      <c r="F670" s="123" t="s">
        <v>112</v>
      </c>
      <c r="G670" s="124">
        <v>834</v>
      </c>
      <c r="H670" s="123" t="s">
        <v>113</v>
      </c>
      <c r="I670" s="124">
        <v>5312</v>
      </c>
      <c r="J670" s="123" t="s">
        <v>114</v>
      </c>
      <c r="K670" s="125" t="s">
        <v>258</v>
      </c>
      <c r="L670" s="123" t="s">
        <v>259</v>
      </c>
      <c r="M670" s="124">
        <v>2019</v>
      </c>
      <c r="N670" s="124">
        <v>2019</v>
      </c>
      <c r="O670" s="123" t="s">
        <v>117</v>
      </c>
      <c r="P670" s="124">
        <v>42177</v>
      </c>
      <c r="Q670" s="123" t="s">
        <v>126</v>
      </c>
      <c r="R670" s="123" t="s">
        <v>127</v>
      </c>
      <c r="S670" s="2"/>
      <c r="T670" s="2"/>
    </row>
    <row x14ac:dyDescent="0.25" r="671" customHeight="1" ht="13.5">
      <c r="A671" s="2"/>
      <c r="B671" s="2"/>
      <c r="C671" s="2"/>
      <c r="D671" s="2"/>
      <c r="E671" s="123" t="s">
        <v>111</v>
      </c>
      <c r="F671" s="123" t="s">
        <v>112</v>
      </c>
      <c r="G671" s="124">
        <v>834</v>
      </c>
      <c r="H671" s="123" t="s">
        <v>113</v>
      </c>
      <c r="I671" s="124">
        <v>5312</v>
      </c>
      <c r="J671" s="123" t="s">
        <v>114</v>
      </c>
      <c r="K671" s="125" t="s">
        <v>258</v>
      </c>
      <c r="L671" s="123" t="s">
        <v>259</v>
      </c>
      <c r="M671" s="124">
        <v>2020</v>
      </c>
      <c r="N671" s="124">
        <v>2020</v>
      </c>
      <c r="O671" s="123" t="s">
        <v>117</v>
      </c>
      <c r="P671" s="124">
        <v>60000</v>
      </c>
      <c r="Q671" s="123" t="s">
        <v>144</v>
      </c>
      <c r="R671" s="123" t="s">
        <v>145</v>
      </c>
      <c r="S671" s="2"/>
      <c r="T671" s="2"/>
    </row>
    <row x14ac:dyDescent="0.25" r="672" customHeight="1" ht="13.5">
      <c r="A672" s="2"/>
      <c r="B672" s="2"/>
      <c r="C672" s="2"/>
      <c r="D672" s="2"/>
      <c r="E672" s="123" t="s">
        <v>111</v>
      </c>
      <c r="F672" s="123" t="s">
        <v>112</v>
      </c>
      <c r="G672" s="124">
        <v>834</v>
      </c>
      <c r="H672" s="123" t="s">
        <v>113</v>
      </c>
      <c r="I672" s="124">
        <v>5312</v>
      </c>
      <c r="J672" s="123" t="s">
        <v>114</v>
      </c>
      <c r="K672" s="125" t="s">
        <v>258</v>
      </c>
      <c r="L672" s="123" t="s">
        <v>259</v>
      </c>
      <c r="M672" s="124">
        <v>2021</v>
      </c>
      <c r="N672" s="124">
        <v>2021</v>
      </c>
      <c r="O672" s="123" t="s">
        <v>117</v>
      </c>
      <c r="P672" s="124">
        <v>70000</v>
      </c>
      <c r="Q672" s="123" t="s">
        <v>144</v>
      </c>
      <c r="R672" s="123" t="s">
        <v>145</v>
      </c>
      <c r="S672" s="2"/>
      <c r="T672" s="2"/>
    </row>
    <row x14ac:dyDescent="0.25" r="673" customHeight="1" ht="13.5">
      <c r="A673" s="2"/>
      <c r="B673" s="2"/>
      <c r="C673" s="2"/>
      <c r="D673" s="2"/>
      <c r="E673" s="123" t="s">
        <v>111</v>
      </c>
      <c r="F673" s="123" t="s">
        <v>112</v>
      </c>
      <c r="G673" s="124">
        <v>834</v>
      </c>
      <c r="H673" s="123" t="s">
        <v>113</v>
      </c>
      <c r="I673" s="124">
        <v>5419</v>
      </c>
      <c r="J673" s="123" t="s">
        <v>122</v>
      </c>
      <c r="K673" s="125" t="s">
        <v>258</v>
      </c>
      <c r="L673" s="123" t="s">
        <v>259</v>
      </c>
      <c r="M673" s="124">
        <v>2017</v>
      </c>
      <c r="N673" s="124">
        <v>2017</v>
      </c>
      <c r="O673" s="123" t="s">
        <v>123</v>
      </c>
      <c r="P673" s="124">
        <v>11839</v>
      </c>
      <c r="Q673" s="123" t="s">
        <v>126</v>
      </c>
      <c r="R673" s="123" t="s">
        <v>127</v>
      </c>
      <c r="S673" s="2"/>
      <c r="T673" s="2"/>
    </row>
    <row x14ac:dyDescent="0.25" r="674" customHeight="1" ht="13.5">
      <c r="A674" s="2"/>
      <c r="B674" s="2"/>
      <c r="C674" s="2"/>
      <c r="D674" s="2"/>
      <c r="E674" s="123" t="s">
        <v>111</v>
      </c>
      <c r="F674" s="123" t="s">
        <v>112</v>
      </c>
      <c r="G674" s="124">
        <v>834</v>
      </c>
      <c r="H674" s="123" t="s">
        <v>113</v>
      </c>
      <c r="I674" s="124">
        <v>5419</v>
      </c>
      <c r="J674" s="123" t="s">
        <v>122</v>
      </c>
      <c r="K674" s="125" t="s">
        <v>258</v>
      </c>
      <c r="L674" s="123" t="s">
        <v>259</v>
      </c>
      <c r="M674" s="124">
        <v>2018</v>
      </c>
      <c r="N674" s="124">
        <v>2018</v>
      </c>
      <c r="O674" s="123" t="s">
        <v>123</v>
      </c>
      <c r="P674" s="124">
        <v>10901</v>
      </c>
      <c r="Q674" s="123" t="s">
        <v>126</v>
      </c>
      <c r="R674" s="123" t="s">
        <v>127</v>
      </c>
      <c r="S674" s="2"/>
      <c r="T674" s="2"/>
    </row>
    <row x14ac:dyDescent="0.25" r="675" customHeight="1" ht="13.5">
      <c r="A675" s="2"/>
      <c r="B675" s="2"/>
      <c r="C675" s="2"/>
      <c r="D675" s="2"/>
      <c r="E675" s="123" t="s">
        <v>111</v>
      </c>
      <c r="F675" s="123" t="s">
        <v>112</v>
      </c>
      <c r="G675" s="124">
        <v>834</v>
      </c>
      <c r="H675" s="123" t="s">
        <v>113</v>
      </c>
      <c r="I675" s="124">
        <v>5419</v>
      </c>
      <c r="J675" s="123" t="s">
        <v>122</v>
      </c>
      <c r="K675" s="125" t="s">
        <v>258</v>
      </c>
      <c r="L675" s="123" t="s">
        <v>259</v>
      </c>
      <c r="M675" s="124">
        <v>2019</v>
      </c>
      <c r="N675" s="124">
        <v>2019</v>
      </c>
      <c r="O675" s="123" t="s">
        <v>123</v>
      </c>
      <c r="P675" s="124">
        <v>15029</v>
      </c>
      <c r="Q675" s="123" t="s">
        <v>126</v>
      </c>
      <c r="R675" s="123" t="s">
        <v>127</v>
      </c>
      <c r="S675" s="2"/>
      <c r="T675" s="2"/>
    </row>
    <row x14ac:dyDescent="0.25" r="676" customHeight="1" ht="13.5">
      <c r="A676" s="2"/>
      <c r="B676" s="2"/>
      <c r="C676" s="2"/>
      <c r="D676" s="2"/>
      <c r="E676" s="123" t="s">
        <v>111</v>
      </c>
      <c r="F676" s="123" t="s">
        <v>112</v>
      </c>
      <c r="G676" s="124">
        <v>834</v>
      </c>
      <c r="H676" s="123" t="s">
        <v>113</v>
      </c>
      <c r="I676" s="124">
        <v>5419</v>
      </c>
      <c r="J676" s="123" t="s">
        <v>122</v>
      </c>
      <c r="K676" s="125" t="s">
        <v>258</v>
      </c>
      <c r="L676" s="123" t="s">
        <v>259</v>
      </c>
      <c r="M676" s="124">
        <v>2020</v>
      </c>
      <c r="N676" s="124">
        <v>2020</v>
      </c>
      <c r="O676" s="123" t="s">
        <v>123</v>
      </c>
      <c r="P676" s="124">
        <v>12879</v>
      </c>
      <c r="Q676" s="123" t="s">
        <v>118</v>
      </c>
      <c r="R676" s="123" t="s">
        <v>119</v>
      </c>
      <c r="S676" s="2"/>
      <c r="T676" s="2"/>
    </row>
    <row x14ac:dyDescent="0.25" r="677" customHeight="1" ht="13.5">
      <c r="A677" s="2"/>
      <c r="B677" s="2"/>
      <c r="C677" s="2"/>
      <c r="D677" s="2"/>
      <c r="E677" s="123" t="s">
        <v>111</v>
      </c>
      <c r="F677" s="123" t="s">
        <v>112</v>
      </c>
      <c r="G677" s="124">
        <v>834</v>
      </c>
      <c r="H677" s="123" t="s">
        <v>113</v>
      </c>
      <c r="I677" s="124">
        <v>5419</v>
      </c>
      <c r="J677" s="123" t="s">
        <v>122</v>
      </c>
      <c r="K677" s="125" t="s">
        <v>258</v>
      </c>
      <c r="L677" s="123" t="s">
        <v>259</v>
      </c>
      <c r="M677" s="124">
        <v>2021</v>
      </c>
      <c r="N677" s="124">
        <v>2021</v>
      </c>
      <c r="O677" s="123" t="s">
        <v>123</v>
      </c>
      <c r="P677" s="124">
        <v>10000</v>
      </c>
      <c r="Q677" s="123" t="s">
        <v>118</v>
      </c>
      <c r="R677" s="123" t="s">
        <v>119</v>
      </c>
      <c r="S677" s="2"/>
      <c r="T677" s="2"/>
    </row>
    <row x14ac:dyDescent="0.25" r="678" customHeight="1" ht="13.5">
      <c r="A678" s="2"/>
      <c r="B678" s="2"/>
      <c r="C678" s="2"/>
      <c r="D678" s="2"/>
      <c r="E678" s="123" t="s">
        <v>111</v>
      </c>
      <c r="F678" s="123" t="s">
        <v>112</v>
      </c>
      <c r="G678" s="124">
        <v>834</v>
      </c>
      <c r="H678" s="123" t="s">
        <v>113</v>
      </c>
      <c r="I678" s="124">
        <v>5312</v>
      </c>
      <c r="J678" s="123" t="s">
        <v>114</v>
      </c>
      <c r="K678" s="125" t="s">
        <v>260</v>
      </c>
      <c r="L678" s="123" t="s">
        <v>261</v>
      </c>
      <c r="M678" s="124">
        <v>2017</v>
      </c>
      <c r="N678" s="124">
        <v>2017</v>
      </c>
      <c r="O678" s="123" t="s">
        <v>117</v>
      </c>
      <c r="P678" s="124">
        <v>1485</v>
      </c>
      <c r="Q678" s="123" t="s">
        <v>120</v>
      </c>
      <c r="R678" s="123" t="s">
        <v>121</v>
      </c>
      <c r="S678" s="2"/>
      <c r="T678" s="2"/>
    </row>
    <row x14ac:dyDescent="0.25" r="679" customHeight="1" ht="13.5">
      <c r="A679" s="2"/>
      <c r="B679" s="2"/>
      <c r="C679" s="2"/>
      <c r="D679" s="2"/>
      <c r="E679" s="123" t="s">
        <v>111</v>
      </c>
      <c r="F679" s="123" t="s">
        <v>112</v>
      </c>
      <c r="G679" s="124">
        <v>834</v>
      </c>
      <c r="H679" s="123" t="s">
        <v>113</v>
      </c>
      <c r="I679" s="124">
        <v>5312</v>
      </c>
      <c r="J679" s="123" t="s">
        <v>114</v>
      </c>
      <c r="K679" s="125" t="s">
        <v>260</v>
      </c>
      <c r="L679" s="123" t="s">
        <v>261</v>
      </c>
      <c r="M679" s="124">
        <v>2018</v>
      </c>
      <c r="N679" s="124">
        <v>2018</v>
      </c>
      <c r="O679" s="123" t="s">
        <v>117</v>
      </c>
      <c r="P679" s="124">
        <v>1465</v>
      </c>
      <c r="Q679" s="123" t="s">
        <v>118</v>
      </c>
      <c r="R679" s="123" t="s">
        <v>119</v>
      </c>
      <c r="S679" s="2"/>
      <c r="T679" s="2"/>
    </row>
    <row x14ac:dyDescent="0.25" r="680" customHeight="1" ht="13.5">
      <c r="A680" s="2"/>
      <c r="B680" s="2"/>
      <c r="C680" s="2"/>
      <c r="D680" s="2"/>
      <c r="E680" s="123" t="s">
        <v>111</v>
      </c>
      <c r="F680" s="123" t="s">
        <v>112</v>
      </c>
      <c r="G680" s="124">
        <v>834</v>
      </c>
      <c r="H680" s="123" t="s">
        <v>113</v>
      </c>
      <c r="I680" s="124">
        <v>5312</v>
      </c>
      <c r="J680" s="123" t="s">
        <v>114</v>
      </c>
      <c r="K680" s="125" t="s">
        <v>260</v>
      </c>
      <c r="L680" s="123" t="s">
        <v>261</v>
      </c>
      <c r="M680" s="124">
        <v>2019</v>
      </c>
      <c r="N680" s="124">
        <v>2019</v>
      </c>
      <c r="O680" s="123" t="s">
        <v>117</v>
      </c>
      <c r="P680" s="124">
        <v>1479</v>
      </c>
      <c r="Q680" s="123" t="s">
        <v>118</v>
      </c>
      <c r="R680" s="123" t="s">
        <v>119</v>
      </c>
      <c r="S680" s="2"/>
      <c r="T680" s="2"/>
    </row>
    <row x14ac:dyDescent="0.25" r="681" customHeight="1" ht="13.5">
      <c r="A681" s="2"/>
      <c r="B681" s="2"/>
      <c r="C681" s="2"/>
      <c r="D681" s="2"/>
      <c r="E681" s="123" t="s">
        <v>111</v>
      </c>
      <c r="F681" s="123" t="s">
        <v>112</v>
      </c>
      <c r="G681" s="124">
        <v>834</v>
      </c>
      <c r="H681" s="123" t="s">
        <v>113</v>
      </c>
      <c r="I681" s="124">
        <v>5312</v>
      </c>
      <c r="J681" s="123" t="s">
        <v>114</v>
      </c>
      <c r="K681" s="125" t="s">
        <v>260</v>
      </c>
      <c r="L681" s="123" t="s">
        <v>261</v>
      </c>
      <c r="M681" s="124">
        <v>2020</v>
      </c>
      <c r="N681" s="124">
        <v>2020</v>
      </c>
      <c r="O681" s="123" t="s">
        <v>117</v>
      </c>
      <c r="P681" s="124">
        <v>1476</v>
      </c>
      <c r="Q681" s="123" t="s">
        <v>118</v>
      </c>
      <c r="R681" s="123" t="s">
        <v>119</v>
      </c>
      <c r="S681" s="2"/>
      <c r="T681" s="2"/>
    </row>
    <row x14ac:dyDescent="0.25" r="682" customHeight="1" ht="13.5">
      <c r="A682" s="2"/>
      <c r="B682" s="2"/>
      <c r="C682" s="2"/>
      <c r="D682" s="2"/>
      <c r="E682" s="123" t="s">
        <v>111</v>
      </c>
      <c r="F682" s="123" t="s">
        <v>112</v>
      </c>
      <c r="G682" s="124">
        <v>834</v>
      </c>
      <c r="H682" s="123" t="s">
        <v>113</v>
      </c>
      <c r="I682" s="124">
        <v>5312</v>
      </c>
      <c r="J682" s="123" t="s">
        <v>114</v>
      </c>
      <c r="K682" s="125" t="s">
        <v>260</v>
      </c>
      <c r="L682" s="123" t="s">
        <v>261</v>
      </c>
      <c r="M682" s="124">
        <v>2021</v>
      </c>
      <c r="N682" s="124">
        <v>2021</v>
      </c>
      <c r="O682" s="123" t="s">
        <v>117</v>
      </c>
      <c r="P682" s="124">
        <v>1474</v>
      </c>
      <c r="Q682" s="123" t="s">
        <v>118</v>
      </c>
      <c r="R682" s="123" t="s">
        <v>119</v>
      </c>
      <c r="S682" s="2"/>
      <c r="T682" s="2"/>
    </row>
    <row x14ac:dyDescent="0.25" r="683" customHeight="1" ht="13.5">
      <c r="A683" s="2"/>
      <c r="B683" s="2"/>
      <c r="C683" s="2"/>
      <c r="D683" s="2"/>
      <c r="E683" s="123" t="s">
        <v>111</v>
      </c>
      <c r="F683" s="123" t="s">
        <v>112</v>
      </c>
      <c r="G683" s="124">
        <v>834</v>
      </c>
      <c r="H683" s="123" t="s">
        <v>113</v>
      </c>
      <c r="I683" s="124">
        <v>5419</v>
      </c>
      <c r="J683" s="123" t="s">
        <v>122</v>
      </c>
      <c r="K683" s="125" t="s">
        <v>260</v>
      </c>
      <c r="L683" s="123" t="s">
        <v>261</v>
      </c>
      <c r="M683" s="124">
        <v>2017</v>
      </c>
      <c r="N683" s="124">
        <v>2017</v>
      </c>
      <c r="O683" s="123" t="s">
        <v>123</v>
      </c>
      <c r="P683" s="124">
        <v>66249</v>
      </c>
      <c r="Q683" s="123" t="s">
        <v>118</v>
      </c>
      <c r="R683" s="123" t="s">
        <v>119</v>
      </c>
      <c r="S683" s="2"/>
      <c r="T683" s="2"/>
    </row>
    <row x14ac:dyDescent="0.25" r="684" customHeight="1" ht="13.5">
      <c r="A684" s="2"/>
      <c r="B684" s="2"/>
      <c r="C684" s="2"/>
      <c r="D684" s="2"/>
      <c r="E684" s="123" t="s">
        <v>111</v>
      </c>
      <c r="F684" s="123" t="s">
        <v>112</v>
      </c>
      <c r="G684" s="124">
        <v>834</v>
      </c>
      <c r="H684" s="123" t="s">
        <v>113</v>
      </c>
      <c r="I684" s="124">
        <v>5419</v>
      </c>
      <c r="J684" s="123" t="s">
        <v>122</v>
      </c>
      <c r="K684" s="125" t="s">
        <v>260</v>
      </c>
      <c r="L684" s="123" t="s">
        <v>261</v>
      </c>
      <c r="M684" s="124">
        <v>2018</v>
      </c>
      <c r="N684" s="124">
        <v>2018</v>
      </c>
      <c r="O684" s="123" t="s">
        <v>123</v>
      </c>
      <c r="P684" s="124">
        <v>63369</v>
      </c>
      <c r="Q684" s="123" t="s">
        <v>118</v>
      </c>
      <c r="R684" s="123" t="s">
        <v>119</v>
      </c>
      <c r="S684" s="2"/>
      <c r="T684" s="2"/>
    </row>
    <row x14ac:dyDescent="0.25" r="685" customHeight="1" ht="13.5">
      <c r="A685" s="2"/>
      <c r="B685" s="2"/>
      <c r="C685" s="2"/>
      <c r="D685" s="2"/>
      <c r="E685" s="123" t="s">
        <v>111</v>
      </c>
      <c r="F685" s="123" t="s">
        <v>112</v>
      </c>
      <c r="G685" s="124">
        <v>834</v>
      </c>
      <c r="H685" s="123" t="s">
        <v>113</v>
      </c>
      <c r="I685" s="124">
        <v>5419</v>
      </c>
      <c r="J685" s="123" t="s">
        <v>122</v>
      </c>
      <c r="K685" s="125" t="s">
        <v>260</v>
      </c>
      <c r="L685" s="123" t="s">
        <v>261</v>
      </c>
      <c r="M685" s="124">
        <v>2019</v>
      </c>
      <c r="N685" s="124">
        <v>2019</v>
      </c>
      <c r="O685" s="123" t="s">
        <v>123</v>
      </c>
      <c r="P685" s="124">
        <v>65006</v>
      </c>
      <c r="Q685" s="123" t="s">
        <v>118</v>
      </c>
      <c r="R685" s="123" t="s">
        <v>119</v>
      </c>
      <c r="S685" s="2"/>
      <c r="T685" s="2"/>
    </row>
    <row x14ac:dyDescent="0.25" r="686" customHeight="1" ht="13.5">
      <c r="A686" s="2"/>
      <c r="B686" s="2"/>
      <c r="C686" s="2"/>
      <c r="D686" s="2"/>
      <c r="E686" s="123" t="s">
        <v>111</v>
      </c>
      <c r="F686" s="123" t="s">
        <v>112</v>
      </c>
      <c r="G686" s="124">
        <v>834</v>
      </c>
      <c r="H686" s="123" t="s">
        <v>113</v>
      </c>
      <c r="I686" s="124">
        <v>5419</v>
      </c>
      <c r="J686" s="123" t="s">
        <v>122</v>
      </c>
      <c r="K686" s="125" t="s">
        <v>260</v>
      </c>
      <c r="L686" s="123" t="s">
        <v>261</v>
      </c>
      <c r="M686" s="124">
        <v>2020</v>
      </c>
      <c r="N686" s="124">
        <v>2020</v>
      </c>
      <c r="O686" s="123" t="s">
        <v>123</v>
      </c>
      <c r="P686" s="124">
        <v>64881</v>
      </c>
      <c r="Q686" s="123" t="s">
        <v>118</v>
      </c>
      <c r="R686" s="123" t="s">
        <v>119</v>
      </c>
      <c r="S686" s="2"/>
      <c r="T686" s="2"/>
    </row>
    <row x14ac:dyDescent="0.25" r="687" customHeight="1" ht="13.5">
      <c r="A687" s="2"/>
      <c r="B687" s="2"/>
      <c r="C687" s="2"/>
      <c r="D687" s="2"/>
      <c r="E687" s="123" t="s">
        <v>111</v>
      </c>
      <c r="F687" s="123" t="s">
        <v>112</v>
      </c>
      <c r="G687" s="124">
        <v>834</v>
      </c>
      <c r="H687" s="123" t="s">
        <v>113</v>
      </c>
      <c r="I687" s="124">
        <v>5419</v>
      </c>
      <c r="J687" s="123" t="s">
        <v>122</v>
      </c>
      <c r="K687" s="125" t="s">
        <v>260</v>
      </c>
      <c r="L687" s="123" t="s">
        <v>261</v>
      </c>
      <c r="M687" s="124">
        <v>2021</v>
      </c>
      <c r="N687" s="124">
        <v>2021</v>
      </c>
      <c r="O687" s="123" t="s">
        <v>123</v>
      </c>
      <c r="P687" s="124">
        <v>64422</v>
      </c>
      <c r="Q687" s="123" t="s">
        <v>118</v>
      </c>
      <c r="R687" s="123" t="s">
        <v>119</v>
      </c>
      <c r="S687" s="2"/>
      <c r="T687" s="2"/>
    </row>
    <row x14ac:dyDescent="0.25" r="688" customHeight="1" ht="13.5">
      <c r="A688" s="2"/>
      <c r="B688" s="2"/>
      <c r="C688" s="2"/>
      <c r="D688" s="2"/>
      <c r="E688" s="123" t="s">
        <v>111</v>
      </c>
      <c r="F688" s="123" t="s">
        <v>112</v>
      </c>
      <c r="G688" s="124">
        <v>834</v>
      </c>
      <c r="H688" s="123" t="s">
        <v>113</v>
      </c>
      <c r="I688" s="124">
        <v>5312</v>
      </c>
      <c r="J688" s="123" t="s">
        <v>114</v>
      </c>
      <c r="K688" s="125" t="s">
        <v>262</v>
      </c>
      <c r="L688" s="123" t="s">
        <v>263</v>
      </c>
      <c r="M688" s="124">
        <v>2017</v>
      </c>
      <c r="N688" s="124">
        <v>2017</v>
      </c>
      <c r="O688" s="123" t="s">
        <v>117</v>
      </c>
      <c r="P688" s="124">
        <v>0</v>
      </c>
      <c r="Q688" s="123" t="s">
        <v>264</v>
      </c>
      <c r="R688" s="123" t="s">
        <v>265</v>
      </c>
      <c r="S688" s="2"/>
      <c r="T688" s="2"/>
    </row>
    <row x14ac:dyDescent="0.25" r="689" customHeight="1" ht="13.5">
      <c r="A689" s="2"/>
      <c r="B689" s="2"/>
      <c r="C689" s="2"/>
      <c r="D689" s="2"/>
      <c r="E689" s="123" t="s">
        <v>111</v>
      </c>
      <c r="F689" s="123" t="s">
        <v>112</v>
      </c>
      <c r="G689" s="124">
        <v>834</v>
      </c>
      <c r="H689" s="123" t="s">
        <v>113</v>
      </c>
      <c r="I689" s="124">
        <v>5312</v>
      </c>
      <c r="J689" s="123" t="s">
        <v>114</v>
      </c>
      <c r="K689" s="125" t="s">
        <v>262</v>
      </c>
      <c r="L689" s="123" t="s">
        <v>263</v>
      </c>
      <c r="M689" s="124">
        <v>2018</v>
      </c>
      <c r="N689" s="124">
        <v>2018</v>
      </c>
      <c r="O689" s="123" t="s">
        <v>117</v>
      </c>
      <c r="P689" s="124">
        <v>0</v>
      </c>
      <c r="Q689" s="123" t="s">
        <v>264</v>
      </c>
      <c r="R689" s="123" t="s">
        <v>265</v>
      </c>
      <c r="S689" s="2"/>
      <c r="T689" s="2"/>
    </row>
    <row x14ac:dyDescent="0.25" r="690" customHeight="1" ht="13.5">
      <c r="A690" s="2"/>
      <c r="B690" s="2"/>
      <c r="C690" s="2"/>
      <c r="D690" s="2"/>
      <c r="E690" s="123" t="s">
        <v>111</v>
      </c>
      <c r="F690" s="123" t="s">
        <v>112</v>
      </c>
      <c r="G690" s="124">
        <v>834</v>
      </c>
      <c r="H690" s="123" t="s">
        <v>113</v>
      </c>
      <c r="I690" s="124">
        <v>5312</v>
      </c>
      <c r="J690" s="123" t="s">
        <v>114</v>
      </c>
      <c r="K690" s="125" t="s">
        <v>262</v>
      </c>
      <c r="L690" s="123" t="s">
        <v>263</v>
      </c>
      <c r="M690" s="124">
        <v>2019</v>
      </c>
      <c r="N690" s="124">
        <v>2019</v>
      </c>
      <c r="O690" s="123" t="s">
        <v>117</v>
      </c>
      <c r="P690" s="124">
        <v>0</v>
      </c>
      <c r="Q690" s="123" t="s">
        <v>264</v>
      </c>
      <c r="R690" s="123" t="s">
        <v>265</v>
      </c>
      <c r="S690" s="2"/>
      <c r="T690" s="2"/>
    </row>
    <row x14ac:dyDescent="0.25" r="691" customHeight="1" ht="13.5">
      <c r="A691" s="2"/>
      <c r="B691" s="2"/>
      <c r="C691" s="2"/>
      <c r="D691" s="2"/>
      <c r="E691" s="123" t="s">
        <v>111</v>
      </c>
      <c r="F691" s="123" t="s">
        <v>112</v>
      </c>
      <c r="G691" s="124">
        <v>834</v>
      </c>
      <c r="H691" s="123" t="s">
        <v>113</v>
      </c>
      <c r="I691" s="124">
        <v>5312</v>
      </c>
      <c r="J691" s="123" t="s">
        <v>114</v>
      </c>
      <c r="K691" s="125" t="s">
        <v>262</v>
      </c>
      <c r="L691" s="123" t="s">
        <v>263</v>
      </c>
      <c r="M691" s="124">
        <v>2020</v>
      </c>
      <c r="N691" s="124">
        <v>2020</v>
      </c>
      <c r="O691" s="123" t="s">
        <v>117</v>
      </c>
      <c r="P691" s="124">
        <v>0</v>
      </c>
      <c r="Q691" s="123" t="s">
        <v>264</v>
      </c>
      <c r="R691" s="123" t="s">
        <v>265</v>
      </c>
      <c r="S691" s="2"/>
      <c r="T691" s="2"/>
    </row>
    <row x14ac:dyDescent="0.25" r="692" customHeight="1" ht="13.5">
      <c r="A692" s="2"/>
      <c r="B692" s="2"/>
      <c r="C692" s="2"/>
      <c r="D692" s="2"/>
      <c r="E692" s="123" t="s">
        <v>111</v>
      </c>
      <c r="F692" s="123" t="s">
        <v>112</v>
      </c>
      <c r="G692" s="124">
        <v>834</v>
      </c>
      <c r="H692" s="123" t="s">
        <v>113</v>
      </c>
      <c r="I692" s="124">
        <v>5312</v>
      </c>
      <c r="J692" s="123" t="s">
        <v>114</v>
      </c>
      <c r="K692" s="125" t="s">
        <v>262</v>
      </c>
      <c r="L692" s="123" t="s">
        <v>263</v>
      </c>
      <c r="M692" s="124">
        <v>2021</v>
      </c>
      <c r="N692" s="124">
        <v>2021</v>
      </c>
      <c r="O692" s="123" t="s">
        <v>117</v>
      </c>
      <c r="P692" s="124">
        <v>0</v>
      </c>
      <c r="Q692" s="123" t="s">
        <v>264</v>
      </c>
      <c r="R692" s="123" t="s">
        <v>265</v>
      </c>
      <c r="S692" s="2"/>
      <c r="T692"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80"/>
  <sheetViews>
    <sheetView workbookViewId="0">
      <pane state="frozen" activePane="bottomLeft" topLeftCell="A4" ySplit="3" xSplit="0"/>
    </sheetView>
  </sheetViews>
  <sheetFormatPr defaultRowHeight="15" x14ac:dyDescent="0.25"/>
  <cols>
    <col min="1" max="1" style="99" width="3.5764285714285715" customWidth="1" bestFit="1"/>
    <col min="2" max="2" style="100" width="10.43357142857143" customWidth="1" bestFit="1"/>
    <col min="3" max="3" style="100" width="10.43357142857143" customWidth="1" bestFit="1"/>
    <col min="4" max="4" style="100" width="18.576428571428572" customWidth="1" bestFit="1"/>
    <col min="5" max="5" style="101" width="13.147857142857141" customWidth="1" bestFit="1"/>
    <col min="6" max="6" style="101" width="13.147857142857141" customWidth="1" bestFit="1"/>
    <col min="7" max="7" style="101" width="12.576428571428572" customWidth="1" bestFit="1"/>
    <col min="8" max="8" style="101" width="12.576428571428572" customWidth="1" bestFit="1"/>
    <col min="9" max="9" style="101" width="12.576428571428572" customWidth="1" bestFit="1"/>
    <col min="10" max="10" style="101" width="12.576428571428572" customWidth="1" bestFit="1"/>
    <col min="11" max="11" style="101" width="12.576428571428572" customWidth="1" bestFit="1"/>
    <col min="12" max="12" style="101" width="10.43357142857143" customWidth="1" bestFit="1"/>
    <col min="13" max="13" style="101" width="12.576428571428572" customWidth="1" bestFit="1"/>
    <col min="14" max="14" style="101" width="8.43357142857143" customWidth="1" bestFit="1"/>
    <col min="15" max="15" style="102" width="14.43357142857143" customWidth="1" bestFit="1"/>
    <col min="16" max="16" style="99" width="1.4335714285714287" customWidth="1" bestFit="1"/>
    <col min="17" max="17" style="101" width="11.862142857142858" customWidth="1" bestFit="1"/>
    <col min="18" max="18" style="101" width="14.147857142857141" customWidth="1" bestFit="1"/>
    <col min="19" max="19" style="101" width="12.147857142857141" customWidth="1" bestFit="1"/>
    <col min="20" max="20" style="101" width="14.005" customWidth="1" bestFit="1"/>
    <col min="21" max="21" style="103" width="11.862142857142858" customWidth="1" bestFit="1"/>
    <col min="22" max="22" style="101" width="10.005" customWidth="1" bestFit="1"/>
    <col min="23" max="23" style="100" width="13.576428571428572" customWidth="1" bestFit="1"/>
    <col min="24" max="24" style="101" width="13.576428571428572" customWidth="1" bestFit="1"/>
    <col min="25" max="25" style="101" width="13.576428571428572" customWidth="1" bestFit="1"/>
  </cols>
  <sheetData>
    <row x14ac:dyDescent="0.25" r="1" customHeight="1" ht="18.75">
      <c r="A1" s="1"/>
      <c r="B1" s="2"/>
      <c r="C1" s="2"/>
      <c r="D1" s="2"/>
      <c r="E1" s="3"/>
      <c r="F1" s="4"/>
      <c r="G1" s="5" t="s">
        <v>0</v>
      </c>
      <c r="H1" s="6"/>
      <c r="I1" s="6"/>
      <c r="J1" s="6"/>
      <c r="K1" s="6"/>
      <c r="L1" s="6"/>
      <c r="M1" s="6"/>
      <c r="N1" s="6"/>
      <c r="O1" s="3"/>
      <c r="P1" s="1"/>
      <c r="Q1" s="3"/>
      <c r="R1" s="3"/>
      <c r="S1" s="3"/>
      <c r="T1" s="3"/>
      <c r="U1" s="7"/>
      <c r="V1" s="8"/>
      <c r="W1" s="2"/>
      <c r="X1" s="3"/>
      <c r="Y1" s="3"/>
    </row>
    <row x14ac:dyDescent="0.25" r="2" customHeight="1" ht="14.5" customFormat="1" s="9">
      <c r="A2" s="10"/>
      <c r="B2" s="10"/>
      <c r="C2" s="10"/>
      <c r="D2" s="10"/>
      <c r="E2" s="11" t="s">
        <v>1</v>
      </c>
      <c r="F2" s="12" t="s">
        <v>2</v>
      </c>
      <c r="G2" s="13" t="s">
        <v>3</v>
      </c>
      <c r="H2" s="14"/>
      <c r="I2" s="14"/>
      <c r="J2" s="14"/>
      <c r="K2" s="14"/>
      <c r="L2" s="14"/>
      <c r="M2" s="14"/>
      <c r="N2" s="14"/>
      <c r="O2" s="12" t="s">
        <v>4</v>
      </c>
      <c r="P2" s="10"/>
      <c r="Q2" s="15"/>
      <c r="R2" s="15"/>
      <c r="S2" s="15"/>
      <c r="T2" s="15"/>
      <c r="U2" s="16"/>
      <c r="V2" s="15"/>
      <c r="W2" s="10"/>
      <c r="X2" s="15"/>
      <c r="Y2" s="15"/>
    </row>
    <row x14ac:dyDescent="0.25" r="3" customHeight="1" ht="64.5" customFormat="1" s="9">
      <c r="A3" s="10"/>
      <c r="B3" s="17" t="s">
        <v>5</v>
      </c>
      <c r="C3" s="17" t="s">
        <v>6</v>
      </c>
      <c r="D3" s="18" t="s">
        <v>7</v>
      </c>
      <c r="E3" s="19"/>
      <c r="F3" s="20"/>
      <c r="G3" s="21" t="s">
        <v>8</v>
      </c>
      <c r="H3" s="22" t="s">
        <v>9</v>
      </c>
      <c r="I3" s="23" t="s">
        <v>10</v>
      </c>
      <c r="J3" s="23" t="s">
        <v>11</v>
      </c>
      <c r="K3" s="23" t="s">
        <v>12</v>
      </c>
      <c r="L3" s="23" t="s">
        <v>13</v>
      </c>
      <c r="M3" s="23" t="s">
        <v>14</v>
      </c>
      <c r="N3" s="24" t="s">
        <v>15</v>
      </c>
      <c r="O3" s="20"/>
      <c r="P3" s="25"/>
      <c r="Q3" s="26" t="s">
        <v>16</v>
      </c>
      <c r="R3" s="27" t="s">
        <v>17</v>
      </c>
      <c r="S3" s="27" t="s">
        <v>18</v>
      </c>
      <c r="T3" s="26" t="s">
        <v>19</v>
      </c>
      <c r="U3" s="28" t="s">
        <v>20</v>
      </c>
      <c r="V3" s="27" t="s">
        <v>21</v>
      </c>
      <c r="W3" s="10"/>
      <c r="X3" s="29" t="s">
        <v>22</v>
      </c>
      <c r="Y3" s="29" t="s">
        <v>23</v>
      </c>
    </row>
    <row x14ac:dyDescent="0.25" r="4" customHeight="1" ht="18.75">
      <c r="A4" s="1"/>
      <c r="B4" s="30" t="s">
        <v>24</v>
      </c>
      <c r="C4" s="30" t="s">
        <v>25</v>
      </c>
      <c r="D4" s="31" t="s">
        <v>25</v>
      </c>
      <c r="E4" s="32">
        <v>99900</v>
      </c>
      <c r="F4" s="33">
        <v>41728.11499999999</v>
      </c>
      <c r="G4" s="34">
        <f>+SUM(H4:N4)</f>
      </c>
      <c r="H4" s="35"/>
      <c r="I4" s="36">
        <v>2690</v>
      </c>
      <c r="J4" s="36">
        <v>5440</v>
      </c>
      <c r="K4" s="36">
        <v>8750</v>
      </c>
      <c r="L4" s="36">
        <v>14200</v>
      </c>
      <c r="M4" s="36">
        <v>17300</v>
      </c>
      <c r="N4" s="37">
        <v>16100</v>
      </c>
      <c r="O4" s="38">
        <f>G4+F4</f>
      </c>
      <c r="P4" s="1"/>
      <c r="Q4" s="39">
        <v>63858.87</v>
      </c>
      <c r="R4" s="40">
        <f>30000</f>
      </c>
      <c r="S4" s="41"/>
      <c r="T4" s="41">
        <f>Q4+R4+S4-G4</f>
      </c>
      <c r="U4" s="42">
        <v>506</v>
      </c>
      <c r="V4" s="41">
        <v>60</v>
      </c>
      <c r="W4" s="2"/>
      <c r="X4" s="6">
        <f>O4-T4</f>
      </c>
      <c r="Y4" s="6">
        <f>X4-16060</f>
      </c>
    </row>
    <row x14ac:dyDescent="0.25" r="5" customHeight="1" ht="18.75">
      <c r="A5" s="1"/>
      <c r="B5" s="30" t="s">
        <v>24</v>
      </c>
      <c r="C5" s="30" t="s">
        <v>26</v>
      </c>
      <c r="D5" s="31" t="s">
        <v>27</v>
      </c>
      <c r="E5" s="43">
        <v>0</v>
      </c>
      <c r="F5" s="44">
        <v>9997.510000000006</v>
      </c>
      <c r="G5" s="45">
        <f>+SUM(H5:N5)</f>
      </c>
      <c r="H5" s="46"/>
      <c r="I5" s="41">
        <v>2000</v>
      </c>
      <c r="J5" s="41">
        <v>2000</v>
      </c>
      <c r="K5" s="41">
        <v>3000</v>
      </c>
      <c r="L5" s="41">
        <v>5000</v>
      </c>
      <c r="M5" s="41">
        <v>5000</v>
      </c>
      <c r="N5" s="47">
        <v>8000</v>
      </c>
      <c r="O5" s="48">
        <f>+SUM(H5:N5)+F5</f>
      </c>
      <c r="P5" s="1"/>
      <c r="Q5" s="39">
        <v>29379.32</v>
      </c>
      <c r="R5" s="49">
        <v>15000</v>
      </c>
      <c r="S5" s="41"/>
      <c r="T5" s="41">
        <f>Q5+R5+S5-G5</f>
      </c>
      <c r="U5" s="50">
        <v>419</v>
      </c>
      <c r="V5" s="41">
        <v>60</v>
      </c>
      <c r="W5" s="2"/>
      <c r="X5" s="6">
        <f>O5-T5</f>
      </c>
      <c r="Y5" s="6">
        <f>X5</f>
      </c>
    </row>
    <row x14ac:dyDescent="0.25" r="6" customHeight="1" ht="18.75">
      <c r="A6" s="1"/>
      <c r="B6" s="30" t="s">
        <v>24</v>
      </c>
      <c r="C6" s="30" t="s">
        <v>26</v>
      </c>
      <c r="D6" s="31" t="s">
        <v>28</v>
      </c>
      <c r="E6" s="43">
        <v>0</v>
      </c>
      <c r="F6" s="44">
        <v>10394.330000000004</v>
      </c>
      <c r="G6" s="45">
        <f>+SUM(H6:N6)</f>
      </c>
      <c r="H6" s="46"/>
      <c r="I6" s="46">
        <v>1500</v>
      </c>
      <c r="J6" s="46">
        <v>3000</v>
      </c>
      <c r="K6" s="46">
        <v>4000</v>
      </c>
      <c r="L6" s="46">
        <v>3000</v>
      </c>
      <c r="M6" s="46">
        <v>5000</v>
      </c>
      <c r="N6" s="46">
        <v>7000</v>
      </c>
      <c r="O6" s="48">
        <f>+SUM(H6:N6)+F6</f>
      </c>
      <c r="P6" s="1"/>
      <c r="Q6" s="39">
        <v>28645.36</v>
      </c>
      <c r="R6" s="41">
        <v>8000</v>
      </c>
      <c r="S6" s="41"/>
      <c r="T6" s="41">
        <f>Q6+R6+S6-G6</f>
      </c>
      <c r="U6" s="50">
        <v>379</v>
      </c>
      <c r="V6" s="41">
        <v>60</v>
      </c>
      <c r="W6" s="2"/>
      <c r="X6" s="6">
        <f>O6-T6</f>
      </c>
      <c r="Y6" s="6">
        <f>X6</f>
      </c>
    </row>
    <row x14ac:dyDescent="0.25" r="7" customHeight="1" ht="18.75">
      <c r="A7" s="1"/>
      <c r="B7" s="30" t="s">
        <v>24</v>
      </c>
      <c r="C7" s="30" t="s">
        <v>29</v>
      </c>
      <c r="D7" s="31" t="s">
        <v>30</v>
      </c>
      <c r="E7" s="43">
        <v>0</v>
      </c>
      <c r="F7" s="44">
        <v>2475.25</v>
      </c>
      <c r="G7" s="45">
        <f>+SUM(H7:N7)</f>
      </c>
      <c r="H7" s="46"/>
      <c r="I7" s="46">
        <v>1000</v>
      </c>
      <c r="J7" s="46">
        <v>1000</v>
      </c>
      <c r="K7" s="46">
        <v>500</v>
      </c>
      <c r="L7" s="46">
        <v>500</v>
      </c>
      <c r="M7" s="46">
        <v>1000</v>
      </c>
      <c r="N7" s="46">
        <v>1000</v>
      </c>
      <c r="O7" s="48">
        <f>+SUM(H7:N7)+F7</f>
      </c>
      <c r="P7" s="1"/>
      <c r="Q7" s="39">
        <v>6632.5</v>
      </c>
      <c r="R7" s="41"/>
      <c r="S7" s="41"/>
      <c r="T7" s="41">
        <f>Q7+R7+S7-G7</f>
      </c>
      <c r="U7" s="42"/>
      <c r="V7" s="41"/>
      <c r="W7" s="2"/>
      <c r="X7" s="6">
        <f>O7-T7</f>
      </c>
      <c r="Y7" s="6">
        <f>X7</f>
      </c>
    </row>
    <row x14ac:dyDescent="0.25" r="8" customHeight="1" ht="18.75">
      <c r="A8" s="1"/>
      <c r="B8" s="30" t="s">
        <v>24</v>
      </c>
      <c r="C8" s="30" t="s">
        <v>29</v>
      </c>
      <c r="D8" s="31" t="s">
        <v>31</v>
      </c>
      <c r="E8" s="43">
        <v>0</v>
      </c>
      <c r="F8" s="44">
        <v>0</v>
      </c>
      <c r="G8" s="45">
        <f>+SUM(H8:N8)</f>
      </c>
      <c r="H8" s="46"/>
      <c r="I8" s="46"/>
      <c r="J8" s="46"/>
      <c r="K8" s="46"/>
      <c r="L8" s="46"/>
      <c r="M8" s="46"/>
      <c r="N8" s="46"/>
      <c r="O8" s="48">
        <f>+SUM(H8:N8)+F8</f>
      </c>
      <c r="P8" s="1"/>
      <c r="Q8" s="39">
        <v>0</v>
      </c>
      <c r="R8" s="41"/>
      <c r="S8" s="41"/>
      <c r="T8" s="41">
        <f>Q8+R8+S8-G8</f>
      </c>
      <c r="U8" s="42"/>
      <c r="V8" s="41"/>
      <c r="W8" s="2"/>
      <c r="X8" s="6">
        <f>O8-T8</f>
      </c>
      <c r="Y8" s="6">
        <f>X8</f>
      </c>
    </row>
    <row x14ac:dyDescent="0.25" r="9" customHeight="1" ht="18.75">
      <c r="A9" s="1"/>
      <c r="B9" s="30" t="s">
        <v>24</v>
      </c>
      <c r="C9" s="30" t="s">
        <v>32</v>
      </c>
      <c r="D9" s="31" t="s">
        <v>32</v>
      </c>
      <c r="E9" s="43">
        <v>2600</v>
      </c>
      <c r="F9" s="44">
        <v>6640.979999999998</v>
      </c>
      <c r="G9" s="45">
        <f>+SUM(H9:N9)</f>
      </c>
      <c r="H9" s="46"/>
      <c r="I9" s="41">
        <v>220</v>
      </c>
      <c r="J9" s="41">
        <v>0</v>
      </c>
      <c r="K9" s="41">
        <v>0</v>
      </c>
      <c r="L9" s="41">
        <v>0</v>
      </c>
      <c r="M9" s="41">
        <v>0</v>
      </c>
      <c r="N9" s="47">
        <v>0</v>
      </c>
      <c r="O9" s="48">
        <f>+SUM(H9:N9)+F9</f>
      </c>
      <c r="P9" s="1"/>
      <c r="Q9" s="39">
        <v>219.65</v>
      </c>
      <c r="R9" s="51"/>
      <c r="S9" s="52"/>
      <c r="T9" s="41">
        <f>Q9+R9+S9-G9</f>
      </c>
      <c r="U9" s="42"/>
      <c r="V9" s="41"/>
      <c r="W9" s="2"/>
      <c r="X9" s="3"/>
      <c r="Y9" s="3"/>
    </row>
    <row x14ac:dyDescent="0.25" r="10" customHeight="1" ht="18.75">
      <c r="A10" s="1"/>
      <c r="B10" s="30" t="s">
        <v>24</v>
      </c>
      <c r="C10" s="30" t="s">
        <v>33</v>
      </c>
      <c r="D10" s="31" t="s">
        <v>33</v>
      </c>
      <c r="E10" s="43">
        <v>7300</v>
      </c>
      <c r="F10" s="44">
        <v>1.05</v>
      </c>
      <c r="G10" s="45">
        <f>+SUM(H10:N10)</f>
      </c>
      <c r="H10" s="46"/>
      <c r="I10" s="41">
        <v>0</v>
      </c>
      <c r="J10" s="41">
        <v>0</v>
      </c>
      <c r="K10" s="41">
        <v>0</v>
      </c>
      <c r="L10" s="41">
        <v>0</v>
      </c>
      <c r="M10" s="41">
        <v>0</v>
      </c>
      <c r="N10" s="47">
        <v>0</v>
      </c>
      <c r="O10" s="48">
        <f>+SUM(H10:N10)+F10</f>
      </c>
      <c r="P10" s="1"/>
      <c r="Q10" s="39">
        <v>8.3</v>
      </c>
      <c r="R10" s="51"/>
      <c r="S10" s="52"/>
      <c r="T10" s="41">
        <f>Q10+R10+S10-G10</f>
      </c>
      <c r="U10" s="42"/>
      <c r="V10" s="41"/>
      <c r="W10" s="2"/>
      <c r="X10" s="3"/>
      <c r="Y10" s="3"/>
    </row>
    <row x14ac:dyDescent="0.25" r="11" customHeight="1" ht="18.75">
      <c r="A11" s="1"/>
      <c r="B11" s="30" t="s">
        <v>24</v>
      </c>
      <c r="C11" s="30" t="s">
        <v>34</v>
      </c>
      <c r="D11" s="31" t="s">
        <v>34</v>
      </c>
      <c r="E11" s="43">
        <v>7300</v>
      </c>
      <c r="F11" s="44">
        <v>16204.474999999999</v>
      </c>
      <c r="G11" s="45">
        <f>+SUM(H11:N11)</f>
      </c>
      <c r="H11" s="46"/>
      <c r="I11" s="41">
        <v>0</v>
      </c>
      <c r="J11" s="41">
        <v>0</v>
      </c>
      <c r="K11" s="41">
        <v>0</v>
      </c>
      <c r="L11" s="41">
        <v>0</v>
      </c>
      <c r="M11" s="41">
        <v>0</v>
      </c>
      <c r="N11" s="47">
        <v>0</v>
      </c>
      <c r="O11" s="48">
        <f>+SUM(H11:N11)+F11</f>
      </c>
      <c r="P11" s="1"/>
      <c r="Q11" s="39">
        <v>163.97</v>
      </c>
      <c r="R11" s="51"/>
      <c r="S11" s="52"/>
      <c r="T11" s="41">
        <f>Q11+R11+S11-G11</f>
      </c>
      <c r="U11" s="42"/>
      <c r="V11" s="41"/>
      <c r="W11" s="2"/>
      <c r="X11" s="3"/>
      <c r="Y11" s="3"/>
    </row>
    <row x14ac:dyDescent="0.25" r="12" customHeight="1" ht="18.75">
      <c r="A12" s="1"/>
      <c r="B12" s="30" t="s">
        <v>24</v>
      </c>
      <c r="C12" s="30" t="s">
        <v>35</v>
      </c>
      <c r="D12" s="31" t="s">
        <v>35</v>
      </c>
      <c r="E12" s="43">
        <v>1000</v>
      </c>
      <c r="F12" s="44">
        <v>12.399999999999999</v>
      </c>
      <c r="G12" s="45">
        <f>+SUM(H12:N12)</f>
      </c>
      <c r="H12" s="46"/>
      <c r="I12" s="41">
        <v>0</v>
      </c>
      <c r="J12" s="41">
        <v>0</v>
      </c>
      <c r="K12" s="41">
        <v>0</v>
      </c>
      <c r="L12" s="41">
        <v>0</v>
      </c>
      <c r="M12" s="41">
        <v>0</v>
      </c>
      <c r="N12" s="47">
        <v>0</v>
      </c>
      <c r="O12" s="48">
        <f>+SUM(H12:N12)+F12</f>
      </c>
      <c r="P12" s="1"/>
      <c r="Q12" s="39">
        <v>6.15</v>
      </c>
      <c r="R12" s="51"/>
      <c r="S12" s="52"/>
      <c r="T12" s="41">
        <f>Q12+R12+S12-G12</f>
      </c>
      <c r="U12" s="42"/>
      <c r="V12" s="41"/>
      <c r="W12" s="2"/>
      <c r="X12" s="3"/>
      <c r="Y12" s="3"/>
    </row>
    <row x14ac:dyDescent="0.25" r="13" customHeight="1" ht="18.75">
      <c r="A13" s="1"/>
      <c r="B13" s="53" t="s">
        <v>36</v>
      </c>
      <c r="C13" s="53" t="s">
        <v>25</v>
      </c>
      <c r="D13" s="54" t="s">
        <v>25</v>
      </c>
      <c r="E13" s="55">
        <v>115000</v>
      </c>
      <c r="F13" s="56">
        <v>32848</v>
      </c>
      <c r="G13" s="57">
        <f>+SUM(H13:N13)</f>
      </c>
      <c r="H13" s="58">
        <v>901.25</v>
      </c>
      <c r="I13" s="59">
        <v>9700</v>
      </c>
      <c r="J13" s="59">
        <v>7524.765437787995</v>
      </c>
      <c r="K13" s="59">
        <v>10000</v>
      </c>
      <c r="L13" s="59">
        <v>23200</v>
      </c>
      <c r="M13" s="59">
        <v>15500</v>
      </c>
      <c r="N13" s="60">
        <v>2000</v>
      </c>
      <c r="O13" s="61">
        <f>+SUM(H13:N13)+F13</f>
      </c>
      <c r="P13" s="1"/>
      <c r="Q13" s="39">
        <v>92650</v>
      </c>
      <c r="R13" s="52"/>
      <c r="S13" s="41"/>
      <c r="T13" s="41">
        <f>Q13+R13+S13-G13</f>
      </c>
      <c r="U13" s="62"/>
      <c r="V13" s="41"/>
      <c r="W13" s="2"/>
      <c r="X13" s="3"/>
      <c r="Y13" s="3"/>
    </row>
    <row x14ac:dyDescent="0.25" r="14" customHeight="1" ht="18.75">
      <c r="A14" s="1"/>
      <c r="B14" s="53" t="s">
        <v>36</v>
      </c>
      <c r="C14" s="53" t="s">
        <v>26</v>
      </c>
      <c r="D14" s="54" t="s">
        <v>37</v>
      </c>
      <c r="E14" s="55">
        <v>40000</v>
      </c>
      <c r="F14" s="56">
        <v>4959</v>
      </c>
      <c r="G14" s="57">
        <f>+SUM(H14:N14)</f>
      </c>
      <c r="H14" s="58">
        <v>172.25</v>
      </c>
      <c r="I14" s="59">
        <v>3000</v>
      </c>
      <c r="J14" s="59">
        <v>5000</v>
      </c>
      <c r="K14" s="59">
        <v>14000</v>
      </c>
      <c r="L14" s="59">
        <v>2000</v>
      </c>
      <c r="M14" s="59">
        <v>12000</v>
      </c>
      <c r="N14" s="60">
        <v>1000</v>
      </c>
      <c r="O14" s="61">
        <f>+SUM(H14:N14)+F14</f>
      </c>
      <c r="P14" s="1"/>
      <c r="Q14" s="39">
        <v>44201</v>
      </c>
      <c r="R14" s="52"/>
      <c r="S14" s="41"/>
      <c r="T14" s="41">
        <f>Q14+R14+S14-G14</f>
      </c>
      <c r="U14" s="62"/>
      <c r="V14" s="41"/>
      <c r="W14" s="2"/>
      <c r="X14" s="3"/>
      <c r="Y14" s="3"/>
    </row>
    <row x14ac:dyDescent="0.25" r="15" customHeight="1" ht="18.75">
      <c r="A15" s="1"/>
      <c r="B15" s="53" t="s">
        <v>36</v>
      </c>
      <c r="C15" s="53" t="s">
        <v>38</v>
      </c>
      <c r="D15" s="54" t="s">
        <v>38</v>
      </c>
      <c r="E15" s="55">
        <v>3000</v>
      </c>
      <c r="F15" s="56">
        <v>232</v>
      </c>
      <c r="G15" s="57">
        <f>+SUM(H15:N15)</f>
      </c>
      <c r="H15" s="58">
        <v>34</v>
      </c>
      <c r="I15" s="59">
        <v>2000</v>
      </c>
      <c r="J15" s="59">
        <v>2500</v>
      </c>
      <c r="K15" s="59">
        <v>1400</v>
      </c>
      <c r="L15" s="59">
        <v>500</v>
      </c>
      <c r="M15" s="59">
        <v>530</v>
      </c>
      <c r="N15" s="60">
        <v>500</v>
      </c>
      <c r="O15" s="61">
        <f>+SUM(H15:N15)+F15</f>
      </c>
      <c r="P15" s="1"/>
      <c r="Q15" s="39">
        <v>18631</v>
      </c>
      <c r="R15" s="52"/>
      <c r="S15" s="41"/>
      <c r="T15" s="41">
        <f>Q15+R15+S15-G15</f>
      </c>
      <c r="U15" s="62"/>
      <c r="V15" s="63"/>
      <c r="W15" s="2"/>
      <c r="X15" s="3"/>
      <c r="Y15" s="3"/>
    </row>
    <row x14ac:dyDescent="0.25" r="16" customHeight="1" ht="18.75">
      <c r="A16" s="1"/>
      <c r="B16" s="53" t="s">
        <v>36</v>
      </c>
      <c r="C16" s="53" t="s">
        <v>33</v>
      </c>
      <c r="D16" s="54" t="s">
        <v>33</v>
      </c>
      <c r="E16" s="55">
        <v>10000</v>
      </c>
      <c r="F16" s="56"/>
      <c r="G16" s="57">
        <f>+SUM(H16:N16)</f>
      </c>
      <c r="H16" s="58"/>
      <c r="I16" s="59"/>
      <c r="J16" s="59"/>
      <c r="K16" s="59"/>
      <c r="L16" s="59"/>
      <c r="M16" s="59"/>
      <c r="N16" s="60"/>
      <c r="O16" s="61">
        <f>+SUM(H16:N16)+F16</f>
      </c>
      <c r="P16" s="1"/>
      <c r="Q16" s="39"/>
      <c r="R16" s="41"/>
      <c r="S16" s="52"/>
      <c r="T16" s="41">
        <f>Q16+R16+S16-G16</f>
      </c>
      <c r="U16" s="62"/>
      <c r="V16" s="41"/>
      <c r="W16" s="2"/>
      <c r="X16" s="3"/>
      <c r="Y16" s="3"/>
    </row>
    <row x14ac:dyDescent="0.25" r="17" customHeight="1" ht="17.25">
      <c r="A17" s="1"/>
      <c r="B17" s="53" t="s">
        <v>36</v>
      </c>
      <c r="C17" s="53" t="s">
        <v>34</v>
      </c>
      <c r="D17" s="54" t="s">
        <v>34</v>
      </c>
      <c r="E17" s="55">
        <v>7000</v>
      </c>
      <c r="F17" s="56"/>
      <c r="G17" s="57">
        <f>+SUM(H17:N17)</f>
      </c>
      <c r="H17" s="58"/>
      <c r="I17" s="59"/>
      <c r="J17" s="59"/>
      <c r="K17" s="59"/>
      <c r="L17" s="59"/>
      <c r="M17" s="59"/>
      <c r="N17" s="60"/>
      <c r="O17" s="61">
        <f>+SUM(H17:N17)+F17</f>
      </c>
      <c r="P17" s="1"/>
      <c r="Q17" s="39"/>
      <c r="R17" s="41"/>
      <c r="S17" s="52"/>
      <c r="T17" s="41">
        <f>Q17+R17+S17-G17</f>
      </c>
      <c r="U17" s="62"/>
      <c r="V17" s="41"/>
      <c r="W17" s="2"/>
      <c r="X17" s="3"/>
      <c r="Y17" s="3"/>
    </row>
    <row x14ac:dyDescent="0.25" r="18" customHeight="1" ht="17.25">
      <c r="A18" s="1"/>
      <c r="B18" s="30" t="s">
        <v>39</v>
      </c>
      <c r="C18" s="30" t="s">
        <v>29</v>
      </c>
      <c r="D18" s="64" t="s">
        <v>40</v>
      </c>
      <c r="E18" s="43">
        <v>100000</v>
      </c>
      <c r="F18" s="44"/>
      <c r="G18" s="45">
        <f>+SUM(H18:N18)</f>
      </c>
      <c r="H18" s="46"/>
      <c r="I18" s="41"/>
      <c r="J18" s="41"/>
      <c r="K18" s="41"/>
      <c r="L18" s="41"/>
      <c r="M18" s="41"/>
      <c r="N18" s="47"/>
      <c r="O18" s="48">
        <f>+SUM(H18:N18)+F18</f>
      </c>
      <c r="P18" s="1"/>
      <c r="Q18" s="39"/>
      <c r="R18" s="41"/>
      <c r="S18" s="41"/>
      <c r="T18" s="41">
        <f>Q18+R18+S18-G18</f>
      </c>
      <c r="U18" s="62"/>
      <c r="V18" s="41"/>
      <c r="W18" s="2"/>
      <c r="X18" s="3"/>
      <c r="Y18" s="3"/>
    </row>
    <row x14ac:dyDescent="0.25" r="19" customHeight="1" ht="17.25">
      <c r="A19" s="1"/>
      <c r="B19" s="30" t="s">
        <v>39</v>
      </c>
      <c r="C19" s="30" t="s">
        <v>41</v>
      </c>
      <c r="D19" s="64" t="s">
        <v>42</v>
      </c>
      <c r="E19" s="43">
        <v>125000</v>
      </c>
      <c r="F19" s="44"/>
      <c r="G19" s="45">
        <f>+SUM(H19:N19)</f>
      </c>
      <c r="H19" s="46"/>
      <c r="I19" s="41">
        <f>10000/3</f>
      </c>
      <c r="J19" s="41">
        <f>+I19</f>
      </c>
      <c r="K19" s="41">
        <f>+J19</f>
      </c>
      <c r="L19" s="41"/>
      <c r="M19" s="41"/>
      <c r="N19" s="47"/>
      <c r="O19" s="48">
        <f>+SUM(H19:N19)+F19</f>
      </c>
      <c r="P19" s="1"/>
      <c r="Q19" s="39">
        <v>0</v>
      </c>
      <c r="R19" s="41">
        <v>10000</v>
      </c>
      <c r="S19" s="41"/>
      <c r="T19" s="41">
        <f>Q19+R19+S19-G19</f>
      </c>
      <c r="U19" s="62">
        <v>567</v>
      </c>
      <c r="V19" s="41">
        <v>70</v>
      </c>
      <c r="W19" s="2"/>
      <c r="X19" s="3"/>
      <c r="Y19" s="3"/>
    </row>
    <row x14ac:dyDescent="0.25" r="20" customHeight="1" ht="18.75">
      <c r="A20" s="1"/>
      <c r="B20" s="65" t="s">
        <v>43</v>
      </c>
      <c r="C20" s="65" t="s">
        <v>26</v>
      </c>
      <c r="D20" s="64" t="s">
        <v>44</v>
      </c>
      <c r="E20" s="43">
        <v>10000</v>
      </c>
      <c r="F20" s="44"/>
      <c r="G20" s="45">
        <f>+SUM(H20:N20)</f>
      </c>
      <c r="H20" s="46"/>
      <c r="I20" s="41"/>
      <c r="J20" s="41"/>
      <c r="K20" s="41"/>
      <c r="L20" s="41">
        <v>1000</v>
      </c>
      <c r="M20" s="41">
        <v>1000</v>
      </c>
      <c r="N20" s="47">
        <v>2000</v>
      </c>
      <c r="O20" s="48">
        <f>+SUM(H20:N20)+F20</f>
      </c>
      <c r="P20" s="1"/>
      <c r="Q20" s="39"/>
      <c r="R20" s="66"/>
      <c r="S20" s="41"/>
      <c r="T20" s="41">
        <f>Q20+R20+S20-G20</f>
      </c>
      <c r="U20" s="67"/>
      <c r="V20" s="51"/>
      <c r="W20" s="68" t="s">
        <v>45</v>
      </c>
      <c r="X20" s="3"/>
      <c r="Y20" s="3"/>
    </row>
    <row x14ac:dyDescent="0.25" r="21" customHeight="1" ht="18.75">
      <c r="A21" s="1"/>
      <c r="B21" s="65" t="s">
        <v>43</v>
      </c>
      <c r="C21" s="65" t="s">
        <v>26</v>
      </c>
      <c r="D21" s="64" t="s">
        <v>46</v>
      </c>
      <c r="E21" s="43">
        <v>10000</v>
      </c>
      <c r="F21" s="44"/>
      <c r="G21" s="45">
        <f>+SUM(H21:N21)</f>
      </c>
      <c r="H21" s="46"/>
      <c r="I21" s="41"/>
      <c r="J21" s="41"/>
      <c r="K21" s="41"/>
      <c r="L21" s="41">
        <v>1500</v>
      </c>
      <c r="M21" s="41">
        <v>2500</v>
      </c>
      <c r="N21" s="47">
        <v>4500</v>
      </c>
      <c r="O21" s="48">
        <f>+SUM(H21:N21)+F21</f>
      </c>
      <c r="P21" s="1"/>
      <c r="Q21" s="39"/>
      <c r="R21" s="66"/>
      <c r="S21" s="41"/>
      <c r="T21" s="41">
        <f>Q21+R21+S21-G21</f>
      </c>
      <c r="U21" s="67"/>
      <c r="V21" s="51"/>
      <c r="W21" s="2"/>
      <c r="X21" s="3"/>
      <c r="Y21" s="3"/>
    </row>
    <row x14ac:dyDescent="0.25" r="22" customHeight="1" ht="18.75">
      <c r="A22" s="1"/>
      <c r="B22" s="65" t="s">
        <v>43</v>
      </c>
      <c r="C22" s="65" t="s">
        <v>26</v>
      </c>
      <c r="D22" s="64" t="s">
        <v>47</v>
      </c>
      <c r="E22" s="43">
        <v>10000</v>
      </c>
      <c r="F22" s="44"/>
      <c r="G22" s="45">
        <f>+SUM(H22:N22)</f>
      </c>
      <c r="H22" s="46"/>
      <c r="I22" s="41"/>
      <c r="J22" s="41"/>
      <c r="K22" s="41"/>
      <c r="L22" s="41">
        <v>500</v>
      </c>
      <c r="M22" s="41">
        <v>500</v>
      </c>
      <c r="N22" s="47"/>
      <c r="O22" s="48">
        <f>+SUM(H22:N22)+F22</f>
      </c>
      <c r="P22" s="1"/>
      <c r="Q22" s="39"/>
      <c r="R22" s="66"/>
      <c r="S22" s="41"/>
      <c r="T22" s="41">
        <f>Q22+R22+S22-G22</f>
      </c>
      <c r="U22" s="67"/>
      <c r="V22" s="51"/>
      <c r="W22" s="2"/>
      <c r="X22" s="3"/>
      <c r="Y22" s="3"/>
    </row>
    <row x14ac:dyDescent="0.25" r="23" customHeight="1" ht="18.75">
      <c r="A23" s="1"/>
      <c r="B23" s="65" t="s">
        <v>43</v>
      </c>
      <c r="C23" s="65" t="s">
        <v>26</v>
      </c>
      <c r="D23" s="64" t="s">
        <v>48</v>
      </c>
      <c r="E23" s="43">
        <v>3500</v>
      </c>
      <c r="F23" s="44"/>
      <c r="G23" s="45">
        <f>+SUM(H23:N23)</f>
      </c>
      <c r="H23" s="46"/>
      <c r="I23" s="41"/>
      <c r="J23" s="41"/>
      <c r="K23" s="41"/>
      <c r="L23" s="41"/>
      <c r="M23" s="41"/>
      <c r="N23" s="47"/>
      <c r="O23" s="48">
        <f>+SUM(H23:N23)+F23</f>
      </c>
      <c r="P23" s="1"/>
      <c r="Q23" s="39"/>
      <c r="R23" s="41"/>
      <c r="S23" s="41"/>
      <c r="T23" s="41">
        <f>Q23+R23+S23-G23</f>
      </c>
      <c r="U23" s="67"/>
      <c r="V23" s="51"/>
      <c r="W23" s="2"/>
      <c r="X23" s="3"/>
      <c r="Y23" s="3"/>
    </row>
    <row x14ac:dyDescent="0.25" r="24" customHeight="1" ht="18.75">
      <c r="A24" s="1"/>
      <c r="B24" s="65" t="s">
        <v>43</v>
      </c>
      <c r="C24" s="65" t="s">
        <v>26</v>
      </c>
      <c r="D24" s="64" t="s">
        <v>49</v>
      </c>
      <c r="E24" s="43">
        <v>12000</v>
      </c>
      <c r="F24" s="44"/>
      <c r="G24" s="45">
        <f>+SUM(H24:N24)</f>
      </c>
      <c r="H24" s="46"/>
      <c r="I24" s="41"/>
      <c r="J24" s="41"/>
      <c r="K24" s="41"/>
      <c r="L24" s="41"/>
      <c r="M24" s="41"/>
      <c r="N24" s="47"/>
      <c r="O24" s="48">
        <f>+SUM(H24:N24)+F24</f>
      </c>
      <c r="P24" s="1"/>
      <c r="Q24" s="39"/>
      <c r="R24" s="41"/>
      <c r="S24" s="41"/>
      <c r="T24" s="41">
        <f>Q24+R24+S24-G24</f>
      </c>
      <c r="U24" s="67"/>
      <c r="V24" s="51"/>
      <c r="W24" s="2"/>
      <c r="X24" s="3"/>
      <c r="Y24" s="3"/>
    </row>
    <row x14ac:dyDescent="0.25" r="25" customHeight="1" ht="18.75">
      <c r="A25" s="1"/>
      <c r="B25" s="65" t="s">
        <v>43</v>
      </c>
      <c r="C25" s="65" t="s">
        <v>26</v>
      </c>
      <c r="D25" s="64" t="s">
        <v>50</v>
      </c>
      <c r="E25" s="43">
        <v>4500</v>
      </c>
      <c r="F25" s="44"/>
      <c r="G25" s="45">
        <f>+SUM(H25:N25)</f>
      </c>
      <c r="H25" s="46"/>
      <c r="I25" s="41"/>
      <c r="J25" s="41"/>
      <c r="K25" s="41"/>
      <c r="L25" s="41"/>
      <c r="M25" s="41"/>
      <c r="N25" s="47"/>
      <c r="O25" s="48">
        <f>+SUM(H25:N25)+F25</f>
      </c>
      <c r="P25" s="1"/>
      <c r="Q25" s="39"/>
      <c r="R25" s="41"/>
      <c r="S25" s="41"/>
      <c r="T25" s="41">
        <f>Q25+R25+S25-G25</f>
      </c>
      <c r="U25" s="67"/>
      <c r="V25" s="51"/>
      <c r="W25" s="2"/>
      <c r="X25" s="3"/>
      <c r="Y25" s="3"/>
    </row>
    <row x14ac:dyDescent="0.25" r="26" customHeight="1" ht="18.75">
      <c r="A26" s="1"/>
      <c r="B26" s="65" t="s">
        <v>51</v>
      </c>
      <c r="C26" s="65" t="s">
        <v>25</v>
      </c>
      <c r="D26" s="64" t="s">
        <v>25</v>
      </c>
      <c r="E26" s="43">
        <v>16200</v>
      </c>
      <c r="F26" s="44">
        <v>2009.9</v>
      </c>
      <c r="G26" s="45">
        <f>+SUM(H26:N26)</f>
      </c>
      <c r="H26" s="46">
        <v>500</v>
      </c>
      <c r="I26" s="41">
        <v>500</v>
      </c>
      <c r="J26" s="41">
        <v>1000</v>
      </c>
      <c r="K26" s="41">
        <v>1500</v>
      </c>
      <c r="L26" s="41">
        <v>1000</v>
      </c>
      <c r="M26" s="41">
        <v>1000</v>
      </c>
      <c r="N26" s="47">
        <v>1000</v>
      </c>
      <c r="O26" s="48">
        <f>+SUM(H26:N26)+F26</f>
      </c>
      <c r="P26" s="1"/>
      <c r="Q26" s="39">
        <v>1327.1999999999998</v>
      </c>
      <c r="R26" s="69"/>
      <c r="S26" s="41"/>
      <c r="T26" s="41">
        <f>Q26+R26+S26-G26</f>
      </c>
      <c r="U26" s="67"/>
      <c r="V26" s="41"/>
      <c r="W26" s="2"/>
      <c r="X26" s="3"/>
      <c r="Y26" s="3"/>
    </row>
    <row x14ac:dyDescent="0.25" r="27" customHeight="1" ht="18.75">
      <c r="A27" s="1"/>
      <c r="B27" s="65" t="s">
        <v>51</v>
      </c>
      <c r="C27" s="30" t="s">
        <v>34</v>
      </c>
      <c r="D27" s="64" t="s">
        <v>34</v>
      </c>
      <c r="E27" s="43">
        <v>4200</v>
      </c>
      <c r="F27" s="44">
        <v>922.25</v>
      </c>
      <c r="G27" s="45">
        <f>+SUM(H27:N27)</f>
      </c>
      <c r="H27" s="46">
        <v>200</v>
      </c>
      <c r="I27" s="41"/>
      <c r="J27" s="41"/>
      <c r="K27" s="41"/>
      <c r="L27" s="41">
        <v>200</v>
      </c>
      <c r="M27" s="41">
        <v>1000</v>
      </c>
      <c r="N27" s="47">
        <v>1000</v>
      </c>
      <c r="O27" s="48">
        <f>+SUM(H27:N27)+F27</f>
      </c>
      <c r="P27" s="1"/>
      <c r="Q27" s="70">
        <v>991</v>
      </c>
      <c r="R27" s="41"/>
      <c r="S27" s="66"/>
      <c r="T27" s="41">
        <f>Q27+R27+S27-G27</f>
      </c>
      <c r="U27" s="67"/>
      <c r="V27" s="41"/>
      <c r="W27" s="2"/>
      <c r="X27" s="3"/>
      <c r="Y27" s="3"/>
    </row>
    <row x14ac:dyDescent="0.25" r="28" customHeight="1" ht="18.75">
      <c r="A28" s="1"/>
      <c r="B28" s="65" t="s">
        <v>51</v>
      </c>
      <c r="C28" s="65" t="s">
        <v>29</v>
      </c>
      <c r="D28" s="64" t="s">
        <v>52</v>
      </c>
      <c r="E28" s="43">
        <v>3000</v>
      </c>
      <c r="F28" s="44"/>
      <c r="G28" s="45">
        <f>+SUM(H28:N28)</f>
      </c>
      <c r="H28" s="46"/>
      <c r="I28" s="41"/>
      <c r="J28" s="41"/>
      <c r="K28" s="41"/>
      <c r="L28" s="41"/>
      <c r="M28" s="41"/>
      <c r="N28" s="47"/>
      <c r="O28" s="48">
        <f>+SUM(H28:N28)+F28</f>
      </c>
      <c r="P28" s="1"/>
      <c r="Q28" s="70"/>
      <c r="R28" s="71"/>
      <c r="S28" s="39"/>
      <c r="T28" s="41">
        <f>Q28+R28+S28-G28</f>
      </c>
      <c r="U28" s="67"/>
      <c r="V28" s="41"/>
      <c r="W28" s="2"/>
      <c r="X28" s="3"/>
      <c r="Y28" s="3"/>
    </row>
    <row x14ac:dyDescent="0.25" r="29" customHeight="1" ht="18.75">
      <c r="A29" s="1"/>
      <c r="B29" s="65" t="s">
        <v>51</v>
      </c>
      <c r="C29" s="65" t="s">
        <v>29</v>
      </c>
      <c r="D29" s="64" t="s">
        <v>53</v>
      </c>
      <c r="E29" s="43">
        <v>1900</v>
      </c>
      <c r="F29" s="44"/>
      <c r="G29" s="45">
        <f>+SUM(H29:N29)</f>
      </c>
      <c r="H29" s="46"/>
      <c r="I29" s="41"/>
      <c r="J29" s="41"/>
      <c r="K29" s="41"/>
      <c r="L29" s="41"/>
      <c r="M29" s="41"/>
      <c r="N29" s="47"/>
      <c r="O29" s="48">
        <f>+SUM(H29:N29)+F29</f>
      </c>
      <c r="P29" s="1"/>
      <c r="Q29" s="70"/>
      <c r="R29" s="71"/>
      <c r="S29" s="39"/>
      <c r="T29" s="41">
        <f>Q29+R29+S29-G29</f>
      </c>
      <c r="U29" s="67"/>
      <c r="V29" s="41"/>
      <c r="W29" s="2"/>
      <c r="X29" s="3"/>
      <c r="Y29" s="3"/>
    </row>
    <row x14ac:dyDescent="0.25" r="30" customHeight="1" ht="18.75">
      <c r="A30" s="1"/>
      <c r="B30" s="65" t="s">
        <v>51</v>
      </c>
      <c r="C30" s="65" t="s">
        <v>26</v>
      </c>
      <c r="D30" s="64" t="s">
        <v>54</v>
      </c>
      <c r="E30" s="43">
        <v>3920</v>
      </c>
      <c r="F30" s="44"/>
      <c r="G30" s="45">
        <f>+SUM(H30:N30)</f>
      </c>
      <c r="H30" s="46"/>
      <c r="I30" s="41"/>
      <c r="J30" s="41"/>
      <c r="K30" s="41"/>
      <c r="L30" s="41"/>
      <c r="M30" s="41"/>
      <c r="N30" s="47"/>
      <c r="O30" s="48">
        <f>+SUM(H30:N30)+F30</f>
      </c>
      <c r="P30" s="1"/>
      <c r="Q30" s="70"/>
      <c r="R30" s="71"/>
      <c r="S30" s="39"/>
      <c r="T30" s="41">
        <f>Q30+R30+S30-G30</f>
      </c>
      <c r="U30" s="67"/>
      <c r="V30" s="41"/>
      <c r="W30" s="2"/>
      <c r="X30" s="3"/>
      <c r="Y30" s="3"/>
    </row>
    <row x14ac:dyDescent="0.25" r="31" customHeight="1" ht="18.75">
      <c r="A31" s="1"/>
      <c r="B31" s="65" t="s">
        <v>51</v>
      </c>
      <c r="C31" s="65" t="s">
        <v>29</v>
      </c>
      <c r="D31" s="64" t="s">
        <v>55</v>
      </c>
      <c r="E31" s="43">
        <v>3000</v>
      </c>
      <c r="F31" s="44"/>
      <c r="G31" s="45">
        <f>+SUM(H31:N31)</f>
      </c>
      <c r="H31" s="46"/>
      <c r="I31" s="41"/>
      <c r="J31" s="41"/>
      <c r="K31" s="41"/>
      <c r="L31" s="41"/>
      <c r="M31" s="41"/>
      <c r="N31" s="47">
        <v>1000</v>
      </c>
      <c r="O31" s="48">
        <f>+SUM(H31:N31)+F31</f>
      </c>
      <c r="P31" s="1"/>
      <c r="Q31" s="70"/>
      <c r="R31" s="71"/>
      <c r="S31" s="39"/>
      <c r="T31" s="41">
        <f>Q31+R31+S31-G31</f>
      </c>
      <c r="U31" s="67"/>
      <c r="V31" s="41"/>
      <c r="W31" s="2"/>
      <c r="X31" s="3"/>
      <c r="Y31" s="3"/>
    </row>
    <row x14ac:dyDescent="0.25" r="32" customHeight="1" ht="18.75">
      <c r="A32" s="1"/>
      <c r="B32" s="65" t="s">
        <v>51</v>
      </c>
      <c r="C32" s="65" t="s">
        <v>26</v>
      </c>
      <c r="D32" s="64" t="s">
        <v>56</v>
      </c>
      <c r="E32" s="43">
        <v>4680</v>
      </c>
      <c r="F32" s="44"/>
      <c r="G32" s="45">
        <f>+SUM(H32:N32)</f>
      </c>
      <c r="H32" s="46"/>
      <c r="I32" s="41"/>
      <c r="J32" s="41"/>
      <c r="K32" s="41"/>
      <c r="L32" s="41"/>
      <c r="M32" s="41"/>
      <c r="N32" s="47"/>
      <c r="O32" s="48">
        <f>+SUM(H32:N32)+F32</f>
      </c>
      <c r="P32" s="1"/>
      <c r="Q32" s="70"/>
      <c r="R32" s="71"/>
      <c r="S32" s="39"/>
      <c r="T32" s="41">
        <f>Q32+R32+S32-G32</f>
      </c>
      <c r="U32" s="67"/>
      <c r="V32" s="41"/>
      <c r="W32" s="2"/>
      <c r="X32" s="3"/>
      <c r="Y32" s="3"/>
    </row>
    <row x14ac:dyDescent="0.25" r="33" customHeight="1" ht="18.75">
      <c r="A33" s="1"/>
      <c r="B33" s="72" t="s">
        <v>51</v>
      </c>
      <c r="C33" s="72" t="s">
        <v>29</v>
      </c>
      <c r="D33" s="73" t="s">
        <v>57</v>
      </c>
      <c r="E33" s="74">
        <v>3000</v>
      </c>
      <c r="F33" s="75"/>
      <c r="G33" s="76">
        <f>+SUM(H33:N33)</f>
      </c>
      <c r="H33" s="77"/>
      <c r="I33" s="78"/>
      <c r="J33" s="78"/>
      <c r="K33" s="78"/>
      <c r="L33" s="78"/>
      <c r="M33" s="78">
        <v>1000</v>
      </c>
      <c r="N33" s="79">
        <v>1000</v>
      </c>
      <c r="O33" s="80">
        <f>+SUM(H33:N33)+F33</f>
      </c>
      <c r="P33" s="1"/>
      <c r="Q33" s="70"/>
      <c r="R33" s="81"/>
      <c r="S33" s="82"/>
      <c r="T33" s="78">
        <f>Q33+R33+S33-G33</f>
      </c>
      <c r="U33" s="83"/>
      <c r="V33" s="78"/>
      <c r="W33" s="2"/>
      <c r="X33" s="3"/>
      <c r="Y33" s="3"/>
    </row>
    <row x14ac:dyDescent="0.25" r="34" customHeight="1" ht="18.75">
      <c r="A34" s="1"/>
      <c r="B34" s="30" t="s">
        <v>58</v>
      </c>
      <c r="C34" s="30" t="s">
        <v>29</v>
      </c>
      <c r="D34" s="84" t="s">
        <v>59</v>
      </c>
      <c r="E34" s="85">
        <v>19500</v>
      </c>
      <c r="F34" s="86">
        <v>10047</v>
      </c>
      <c r="G34" s="87">
        <f>SUM(H34:N34)</f>
      </c>
      <c r="H34" s="46">
        <v>920</v>
      </c>
      <c r="I34" s="88">
        <v>9000</v>
      </c>
      <c r="J34" s="41">
        <v>0</v>
      </c>
      <c r="K34" s="41">
        <v>0</v>
      </c>
      <c r="L34" s="41">
        <v>2500</v>
      </c>
      <c r="M34" s="41">
        <v>2500</v>
      </c>
      <c r="N34" s="41">
        <v>3000</v>
      </c>
      <c r="O34" s="89">
        <f>+SUM(H34:N34)+F34</f>
      </c>
      <c r="P34" s="1"/>
      <c r="Q34" s="41">
        <v>164.9</v>
      </c>
      <c r="R34" s="81"/>
      <c r="S34" s="82"/>
      <c r="T34" s="78">
        <f>Q34+R34+S34-G34</f>
      </c>
      <c r="U34" s="83"/>
      <c r="V34" s="78"/>
      <c r="W34" s="2"/>
      <c r="X34" s="3"/>
      <c r="Y34" s="3"/>
    </row>
    <row x14ac:dyDescent="0.25" r="35" customHeight="1" ht="18.75">
      <c r="A35" s="1"/>
      <c r="B35" s="30" t="s">
        <v>58</v>
      </c>
      <c r="C35" s="30" t="s">
        <v>29</v>
      </c>
      <c r="D35" s="84" t="s">
        <v>60</v>
      </c>
      <c r="E35" s="85">
        <v>12075</v>
      </c>
      <c r="F35" s="90">
        <v>44126</v>
      </c>
      <c r="G35" s="87">
        <f>SUM(H35:N35)</f>
      </c>
      <c r="H35" s="46">
        <v>3000</v>
      </c>
      <c r="I35" s="88">
        <f>5000+5040</f>
      </c>
      <c r="J35" s="41">
        <v>0</v>
      </c>
      <c r="K35" s="41">
        <v>0</v>
      </c>
      <c r="L35" s="41">
        <v>1075</v>
      </c>
      <c r="M35" s="41">
        <v>0</v>
      </c>
      <c r="N35" s="41">
        <v>0</v>
      </c>
      <c r="O35" s="89">
        <f>+SUM(H35:N35)+F35</f>
      </c>
      <c r="P35" s="1"/>
      <c r="Q35" s="41">
        <v>33426.280000000006</v>
      </c>
      <c r="R35" s="81"/>
      <c r="S35" s="82"/>
      <c r="T35" s="78">
        <f>Q35+R35+S35-G35</f>
      </c>
      <c r="U35" s="83"/>
      <c r="V35" s="78"/>
      <c r="W35" s="2"/>
      <c r="X35" s="3"/>
      <c r="Y35" s="3"/>
    </row>
    <row x14ac:dyDescent="0.25" r="36" customHeight="1" ht="18.75">
      <c r="A36" s="1"/>
      <c r="B36" s="30" t="s">
        <v>58</v>
      </c>
      <c r="C36" s="30" t="s">
        <v>29</v>
      </c>
      <c r="D36" s="84" t="s">
        <v>55</v>
      </c>
      <c r="E36" s="85">
        <v>25300</v>
      </c>
      <c r="F36" s="90">
        <v>12609</v>
      </c>
      <c r="G36" s="87">
        <f>SUM(H36:N36)</f>
      </c>
      <c r="H36" s="46">
        <v>4265.517</v>
      </c>
      <c r="I36" s="88">
        <v>8000</v>
      </c>
      <c r="J36" s="88">
        <f>7700+3000</f>
      </c>
      <c r="K36" s="41">
        <v>0</v>
      </c>
      <c r="L36" s="41">
        <v>0</v>
      </c>
      <c r="M36" s="41">
        <v>10300</v>
      </c>
      <c r="N36" s="41">
        <v>0</v>
      </c>
      <c r="O36" s="89">
        <f>+SUM(H36:N36)+F36</f>
      </c>
      <c r="P36" s="1"/>
      <c r="Q36" s="41">
        <v>28415.805</v>
      </c>
      <c r="R36" s="81"/>
      <c r="S36" s="82"/>
      <c r="T36" s="78">
        <f>Q36+R36+S36-G36</f>
      </c>
      <c r="U36" s="83"/>
      <c r="V36" s="78"/>
      <c r="W36" s="2"/>
      <c r="X36" s="3"/>
      <c r="Y36" s="3"/>
    </row>
    <row x14ac:dyDescent="0.25" r="37" customHeight="1" ht="18.75">
      <c r="A37" s="1"/>
      <c r="B37" s="30" t="s">
        <v>58</v>
      </c>
      <c r="C37" s="30" t="s">
        <v>61</v>
      </c>
      <c r="D37" s="84" t="s">
        <v>61</v>
      </c>
      <c r="E37" s="85">
        <v>2300</v>
      </c>
      <c r="F37" s="90"/>
      <c r="G37" s="87">
        <f>SUM(H37:N37)</f>
      </c>
      <c r="H37" s="46"/>
      <c r="I37" s="88">
        <v>3000</v>
      </c>
      <c r="J37" s="88">
        <v>5000</v>
      </c>
      <c r="K37" s="41">
        <v>0</v>
      </c>
      <c r="L37" s="41">
        <v>300</v>
      </c>
      <c r="M37" s="41">
        <v>400</v>
      </c>
      <c r="N37" s="41">
        <v>0</v>
      </c>
      <c r="O37" s="89">
        <f>+SUM(H37:N37)+F37</f>
      </c>
      <c r="P37" s="1"/>
      <c r="Q37" s="41">
        <v>144.958</v>
      </c>
      <c r="R37" s="81"/>
      <c r="S37" s="82"/>
      <c r="T37" s="78">
        <f>Q37+R37+S37-G37</f>
      </c>
      <c r="U37" s="83"/>
      <c r="V37" s="78"/>
      <c r="W37" s="2"/>
      <c r="X37" s="3"/>
      <c r="Y37" s="3"/>
    </row>
    <row x14ac:dyDescent="0.25" r="38" customHeight="1" ht="18.75">
      <c r="A38" s="1"/>
      <c r="B38" s="30" t="s">
        <v>58</v>
      </c>
      <c r="C38" s="30" t="s">
        <v>34</v>
      </c>
      <c r="D38" s="84" t="s">
        <v>62</v>
      </c>
      <c r="E38" s="85">
        <v>5750</v>
      </c>
      <c r="F38" s="90"/>
      <c r="G38" s="87">
        <f>SUM(H38:N38)</f>
      </c>
      <c r="H38" s="46">
        <v>120</v>
      </c>
      <c r="I38" s="88">
        <v>4000</v>
      </c>
      <c r="J38" s="41">
        <v>0</v>
      </c>
      <c r="K38" s="41">
        <v>0</v>
      </c>
      <c r="L38" s="41">
        <v>850</v>
      </c>
      <c r="M38" s="41">
        <v>400</v>
      </c>
      <c r="N38" s="41">
        <v>0</v>
      </c>
      <c r="O38" s="89">
        <f>+SUM(H38:N38)+F38</f>
      </c>
      <c r="P38" s="1"/>
      <c r="Q38" s="41">
        <v>22168.7</v>
      </c>
      <c r="R38" s="81"/>
      <c r="S38" s="82"/>
      <c r="T38" s="78">
        <f>Q38+R38+S38-G38</f>
      </c>
      <c r="U38" s="83"/>
      <c r="V38" s="78"/>
      <c r="W38" s="2"/>
      <c r="X38" s="3"/>
      <c r="Y38" s="3"/>
    </row>
    <row x14ac:dyDescent="0.25" r="39" customHeight="1" ht="18.75">
      <c r="A39" s="1"/>
      <c r="B39" s="30" t="s">
        <v>58</v>
      </c>
      <c r="C39" s="30" t="s">
        <v>63</v>
      </c>
      <c r="D39" s="84" t="s">
        <v>64</v>
      </c>
      <c r="E39" s="85">
        <v>2875</v>
      </c>
      <c r="F39" s="90"/>
      <c r="G39" s="87">
        <f>SUM(H39:N39)</f>
      </c>
      <c r="H39" s="46"/>
      <c r="I39" s="41">
        <v>300</v>
      </c>
      <c r="J39" s="41">
        <v>0</v>
      </c>
      <c r="K39" s="41">
        <v>100</v>
      </c>
      <c r="L39" s="41">
        <v>300</v>
      </c>
      <c r="M39" s="41">
        <v>500</v>
      </c>
      <c r="N39" s="41">
        <v>0</v>
      </c>
      <c r="O39" s="89">
        <f>+SUM(H39:N39)+F39</f>
      </c>
      <c r="P39" s="1"/>
      <c r="Q39" s="41">
        <v>58.15</v>
      </c>
      <c r="R39" s="81"/>
      <c r="S39" s="82"/>
      <c r="T39" s="78">
        <f>Q39+R39+S39-G39</f>
      </c>
      <c r="U39" s="83"/>
      <c r="V39" s="78"/>
      <c r="W39" s="2"/>
      <c r="X39" s="3"/>
      <c r="Y39" s="3"/>
    </row>
    <row x14ac:dyDescent="0.25" r="40" customHeight="1" ht="18.75">
      <c r="A40" s="1"/>
      <c r="B40" s="30" t="s">
        <v>58</v>
      </c>
      <c r="C40" s="30" t="s">
        <v>29</v>
      </c>
      <c r="D40" s="84" t="s">
        <v>65</v>
      </c>
      <c r="E40" s="85">
        <v>11700</v>
      </c>
      <c r="F40" s="90"/>
      <c r="G40" s="87">
        <f>SUM(H40:N40)</f>
      </c>
      <c r="H40" s="46"/>
      <c r="I40" s="41">
        <v>500</v>
      </c>
      <c r="J40" s="41">
        <v>500</v>
      </c>
      <c r="K40" s="41"/>
      <c r="L40" s="41">
        <v>1000</v>
      </c>
      <c r="M40" s="41">
        <v>1700</v>
      </c>
      <c r="N40" s="41">
        <v>1000</v>
      </c>
      <c r="O40" s="89">
        <f>+SUM(H40:N40)+F40</f>
      </c>
      <c r="P40" s="1"/>
      <c r="Q40" s="41"/>
      <c r="R40" s="81"/>
      <c r="S40" s="82"/>
      <c r="T40" s="78">
        <f>Q40+R40+S40-G40</f>
      </c>
      <c r="U40" s="83"/>
      <c r="V40" s="78"/>
      <c r="W40" s="2"/>
      <c r="X40" s="3"/>
      <c r="Y40" s="3"/>
    </row>
    <row x14ac:dyDescent="0.25" r="41" customHeight="1" ht="18.75">
      <c r="A41" s="1"/>
      <c r="B41" s="30" t="s">
        <v>58</v>
      </c>
      <c r="C41" s="30" t="s">
        <v>66</v>
      </c>
      <c r="D41" s="84" t="s">
        <v>66</v>
      </c>
      <c r="E41" s="85">
        <v>0</v>
      </c>
      <c r="F41" s="90"/>
      <c r="G41" s="87">
        <f>SUM(H41:N41)</f>
      </c>
      <c r="H41" s="46"/>
      <c r="I41" s="41">
        <v>0</v>
      </c>
      <c r="J41" s="41">
        <v>0</v>
      </c>
      <c r="K41" s="41">
        <v>0</v>
      </c>
      <c r="L41" s="41">
        <v>0</v>
      </c>
      <c r="M41" s="41">
        <v>0</v>
      </c>
      <c r="N41" s="41">
        <v>0</v>
      </c>
      <c r="O41" s="89">
        <f>+SUM(H41:N41)+F41</f>
      </c>
      <c r="P41" s="1"/>
      <c r="Q41" s="41"/>
      <c r="R41" s="81"/>
      <c r="S41" s="82"/>
      <c r="T41" s="78">
        <f>Q41+R41+S41-G41</f>
      </c>
      <c r="U41" s="83"/>
      <c r="V41" s="78"/>
      <c r="W41" s="2"/>
      <c r="X41" s="3"/>
      <c r="Y41" s="3"/>
    </row>
    <row x14ac:dyDescent="0.25" r="42" customHeight="1" ht="18.75">
      <c r="A42" s="1"/>
      <c r="B42" s="30" t="s">
        <v>58</v>
      </c>
      <c r="C42" s="30" t="s">
        <v>67</v>
      </c>
      <c r="D42" s="84" t="s">
        <v>68</v>
      </c>
      <c r="E42" s="85">
        <v>4600</v>
      </c>
      <c r="F42" s="90">
        <v>75</v>
      </c>
      <c r="G42" s="87">
        <f>SUM(H42:N42)</f>
      </c>
      <c r="H42" s="46"/>
      <c r="I42" s="41">
        <v>0</v>
      </c>
      <c r="J42" s="41">
        <v>500</v>
      </c>
      <c r="K42" s="41">
        <v>500</v>
      </c>
      <c r="L42" s="41">
        <v>500</v>
      </c>
      <c r="M42" s="41">
        <v>0</v>
      </c>
      <c r="N42" s="41">
        <v>0</v>
      </c>
      <c r="O42" s="89">
        <f>+SUM(H42:N42)+F42</f>
      </c>
      <c r="P42" s="1"/>
      <c r="Q42" s="78">
        <v>7313.877</v>
      </c>
      <c r="R42" s="81"/>
      <c r="S42" s="82"/>
      <c r="T42" s="78">
        <f>Q42+R42+S42-G42</f>
      </c>
      <c r="U42" s="83"/>
      <c r="V42" s="78"/>
      <c r="W42" s="2"/>
      <c r="X42" s="3"/>
      <c r="Y42" s="3"/>
    </row>
    <row x14ac:dyDescent="0.25" r="43" customHeight="1" ht="18.75">
      <c r="A43" s="1"/>
      <c r="B43" s="30" t="s">
        <v>58</v>
      </c>
      <c r="C43" s="30" t="s">
        <v>25</v>
      </c>
      <c r="D43" s="84" t="s">
        <v>25</v>
      </c>
      <c r="E43" s="85">
        <v>5750</v>
      </c>
      <c r="F43" s="90">
        <v>3805</v>
      </c>
      <c r="G43" s="87">
        <f>SUM(H43:N43)</f>
      </c>
      <c r="H43" s="46">
        <v>0</v>
      </c>
      <c r="I43" s="88">
        <f>8000+4000</f>
      </c>
      <c r="J43" s="88">
        <f>4000+5000</f>
      </c>
      <c r="K43" s="41">
        <v>0</v>
      </c>
      <c r="L43" s="41">
        <v>0</v>
      </c>
      <c r="M43" s="41">
        <v>1000</v>
      </c>
      <c r="N43" s="41">
        <v>0</v>
      </c>
      <c r="O43" s="89">
        <f>+SUM(H43:N43)+F43</f>
      </c>
      <c r="P43" s="1"/>
      <c r="Q43" s="41">
        <v>20148.256</v>
      </c>
      <c r="R43" s="52"/>
      <c r="S43" s="39"/>
      <c r="T43" s="41">
        <f>Q43+R43+S43-G43</f>
      </c>
      <c r="U43" s="67"/>
      <c r="V43" s="41"/>
      <c r="W43" s="2"/>
      <c r="X43" s="3"/>
      <c r="Y43" s="3"/>
    </row>
    <row x14ac:dyDescent="0.25" r="44" customHeight="1" ht="18.75">
      <c r="A44" s="1"/>
      <c r="B44" s="30" t="s">
        <v>58</v>
      </c>
      <c r="C44" s="30" t="s">
        <v>38</v>
      </c>
      <c r="D44" s="84" t="s">
        <v>38</v>
      </c>
      <c r="E44" s="85">
        <v>2300</v>
      </c>
      <c r="F44" s="90">
        <v>1000</v>
      </c>
      <c r="G44" s="87">
        <f>SUM(H44:N44)</f>
      </c>
      <c r="H44" s="46">
        <v>0</v>
      </c>
      <c r="I44" s="41">
        <v>0</v>
      </c>
      <c r="J44" s="88">
        <v>5000</v>
      </c>
      <c r="K44" s="41">
        <v>0</v>
      </c>
      <c r="L44" s="41">
        <v>1000</v>
      </c>
      <c r="M44" s="41">
        <v>0</v>
      </c>
      <c r="N44" s="41">
        <v>0</v>
      </c>
      <c r="O44" s="89">
        <f>+SUM(H44:N44)+F44</f>
      </c>
      <c r="P44" s="1"/>
      <c r="Q44" s="41">
        <v>11077.545</v>
      </c>
      <c r="R44" s="52"/>
      <c r="S44" s="39"/>
      <c r="T44" s="41">
        <f>Q44+R44+S44-G44</f>
      </c>
      <c r="U44" s="67"/>
      <c r="V44" s="41"/>
      <c r="W44" s="2"/>
      <c r="X44" s="3"/>
      <c r="Y44" s="3"/>
    </row>
    <row x14ac:dyDescent="0.25" r="45" customHeight="1" ht="18.75">
      <c r="A45" s="1"/>
      <c r="B45" s="30" t="s">
        <v>69</v>
      </c>
      <c r="C45" s="91" t="s">
        <v>29</v>
      </c>
      <c r="D45" s="92" t="s">
        <v>70</v>
      </c>
      <c r="E45" s="85">
        <v>35000</v>
      </c>
      <c r="F45" s="85">
        <v>2235</v>
      </c>
      <c r="G45" s="87">
        <f>SUM(H45:N45)</f>
      </c>
      <c r="H45" s="93">
        <v>0</v>
      </c>
      <c r="I45" s="85">
        <v>3500</v>
      </c>
      <c r="J45" s="85">
        <v>3000</v>
      </c>
      <c r="K45" s="85">
        <v>3000</v>
      </c>
      <c r="L45" s="85">
        <v>2500</v>
      </c>
      <c r="M45" s="85">
        <v>700</v>
      </c>
      <c r="N45" s="85">
        <v>100</v>
      </c>
      <c r="O45" s="89">
        <f>+SUM(H45:N45)+F45</f>
      </c>
      <c r="P45" s="1"/>
      <c r="Q45" s="41">
        <v>24966</v>
      </c>
      <c r="R45" s="41"/>
      <c r="S45" s="51"/>
      <c r="T45" s="41">
        <f>Q45+R45+S45-G45</f>
      </c>
      <c r="U45" s="50"/>
      <c r="V45" s="41"/>
      <c r="W45" s="2"/>
      <c r="X45" s="3"/>
      <c r="Y45" s="3"/>
    </row>
    <row x14ac:dyDescent="0.25" r="46" customHeight="1" ht="18.75">
      <c r="A46" s="1"/>
      <c r="B46" s="30" t="s">
        <v>69</v>
      </c>
      <c r="C46" s="91" t="s">
        <v>29</v>
      </c>
      <c r="D46" s="92" t="s">
        <v>71</v>
      </c>
      <c r="E46" s="85">
        <v>10000</v>
      </c>
      <c r="F46" s="85"/>
      <c r="G46" s="87">
        <f>SUM(H46:N46)</f>
      </c>
      <c r="H46" s="93">
        <v>0</v>
      </c>
      <c r="I46" s="85">
        <v>0</v>
      </c>
      <c r="J46" s="85">
        <v>0</v>
      </c>
      <c r="K46" s="85">
        <v>0</v>
      </c>
      <c r="L46" s="85"/>
      <c r="M46" s="85"/>
      <c r="N46" s="85"/>
      <c r="O46" s="89">
        <f>+SUM(H46:N46)+F46</f>
      </c>
      <c r="P46" s="1"/>
      <c r="Q46" s="41"/>
      <c r="R46" s="41"/>
      <c r="S46" s="51"/>
      <c r="T46" s="41">
        <f>Q46+R46+S46-G46</f>
      </c>
      <c r="U46" s="50"/>
      <c r="V46" s="41"/>
      <c r="W46" s="2"/>
      <c r="X46" s="3"/>
      <c r="Y46" s="3"/>
    </row>
    <row x14ac:dyDescent="0.25" r="47" customHeight="1" ht="18.75">
      <c r="A47" s="1"/>
      <c r="B47" s="30" t="s">
        <v>69</v>
      </c>
      <c r="C47" s="91" t="s">
        <v>41</v>
      </c>
      <c r="D47" s="92" t="s">
        <v>41</v>
      </c>
      <c r="E47" s="85">
        <v>20000</v>
      </c>
      <c r="F47" s="85"/>
      <c r="G47" s="87">
        <f>SUM(H47:N47)</f>
      </c>
      <c r="H47" s="93">
        <v>0</v>
      </c>
      <c r="I47" s="85">
        <v>1000</v>
      </c>
      <c r="J47" s="85">
        <v>1000</v>
      </c>
      <c r="K47" s="85">
        <v>1000</v>
      </c>
      <c r="L47" s="85"/>
      <c r="M47" s="85"/>
      <c r="N47" s="85"/>
      <c r="O47" s="89">
        <f>+SUM(H47:N47)+F47</f>
      </c>
      <c r="P47" s="1"/>
      <c r="Q47" s="41">
        <v>13672</v>
      </c>
      <c r="R47" s="41"/>
      <c r="S47" s="51"/>
      <c r="T47" s="41">
        <f>Q47+R47+S47-G47</f>
      </c>
      <c r="U47" s="50"/>
      <c r="V47" s="41"/>
      <c r="W47" s="2"/>
      <c r="X47" s="3"/>
      <c r="Y47" s="3"/>
    </row>
    <row x14ac:dyDescent="0.25" r="48" customHeight="1" ht="18.75">
      <c r="A48" s="1"/>
      <c r="B48" s="30" t="s">
        <v>69</v>
      </c>
      <c r="C48" s="91" t="s">
        <v>63</v>
      </c>
      <c r="D48" s="92" t="s">
        <v>72</v>
      </c>
      <c r="E48" s="85">
        <v>1000</v>
      </c>
      <c r="F48" s="85"/>
      <c r="G48" s="87">
        <f>SUM(H48:N48)</f>
      </c>
      <c r="H48" s="93">
        <v>0</v>
      </c>
      <c r="I48" s="85"/>
      <c r="J48" s="85"/>
      <c r="K48" s="85"/>
      <c r="L48" s="85"/>
      <c r="M48" s="85"/>
      <c r="N48" s="85"/>
      <c r="O48" s="89">
        <f>+SUM(H48:N48)+F48</f>
      </c>
      <c r="P48" s="1"/>
      <c r="Q48" s="41"/>
      <c r="R48" s="41"/>
      <c r="S48" s="51"/>
      <c r="T48" s="41">
        <f>Q48+R48+S48-G48</f>
      </c>
      <c r="U48" s="50"/>
      <c r="V48" s="41"/>
      <c r="W48" s="2"/>
      <c r="X48" s="3"/>
      <c r="Y48" s="3"/>
    </row>
    <row x14ac:dyDescent="0.25" r="49" customHeight="1" ht="18.75">
      <c r="A49" s="1"/>
      <c r="B49" s="30" t="s">
        <v>69</v>
      </c>
      <c r="C49" s="91" t="s">
        <v>26</v>
      </c>
      <c r="D49" s="92" t="s">
        <v>73</v>
      </c>
      <c r="E49" s="85">
        <v>3000</v>
      </c>
      <c r="F49" s="85"/>
      <c r="G49" s="87">
        <f>SUM(H49:N49)</f>
      </c>
      <c r="H49" s="93">
        <v>0</v>
      </c>
      <c r="I49" s="85">
        <v>0</v>
      </c>
      <c r="J49" s="85">
        <v>0</v>
      </c>
      <c r="K49" s="85"/>
      <c r="L49" s="85"/>
      <c r="M49" s="85"/>
      <c r="N49" s="85"/>
      <c r="O49" s="89">
        <f>+SUM(H49:N49)+F49</f>
      </c>
      <c r="P49" s="1"/>
      <c r="Q49" s="41"/>
      <c r="R49" s="41"/>
      <c r="S49" s="51"/>
      <c r="T49" s="41">
        <f>Q49+R49+S49-G49</f>
      </c>
      <c r="U49" s="50"/>
      <c r="V49" s="41"/>
      <c r="W49" s="2"/>
      <c r="X49" s="3"/>
      <c r="Y49" s="3"/>
    </row>
    <row x14ac:dyDescent="0.25" r="50" customHeight="1" ht="18.75">
      <c r="A50" s="1"/>
      <c r="B50" s="30" t="s">
        <v>69</v>
      </c>
      <c r="C50" s="91" t="s">
        <v>34</v>
      </c>
      <c r="D50" s="92" t="s">
        <v>74</v>
      </c>
      <c r="E50" s="85">
        <v>5000</v>
      </c>
      <c r="F50" s="85"/>
      <c r="G50" s="87">
        <f>SUM(H50:N50)</f>
      </c>
      <c r="H50" s="93">
        <v>0</v>
      </c>
      <c r="I50" s="85">
        <v>1000</v>
      </c>
      <c r="J50" s="85">
        <v>500</v>
      </c>
      <c r="K50" s="85">
        <v>500</v>
      </c>
      <c r="L50" s="85"/>
      <c r="M50" s="85"/>
      <c r="N50" s="85"/>
      <c r="O50" s="89">
        <f>+SUM(H50:N50)+F50</f>
      </c>
      <c r="P50" s="1"/>
      <c r="Q50" s="41"/>
      <c r="R50" s="41"/>
      <c r="S50" s="51"/>
      <c r="T50" s="41">
        <f>Q50+R50+S50-G50</f>
      </c>
      <c r="U50" s="50">
        <v>535</v>
      </c>
      <c r="V50" s="41">
        <v>25</v>
      </c>
      <c r="W50" s="2"/>
      <c r="X50" s="3"/>
      <c r="Y50" s="3"/>
    </row>
    <row x14ac:dyDescent="0.25" r="51" customHeight="1" ht="18.75">
      <c r="A51" s="1"/>
      <c r="B51" s="30" t="s">
        <v>69</v>
      </c>
      <c r="C51" s="30" t="s">
        <v>29</v>
      </c>
      <c r="D51" s="84" t="s">
        <v>75</v>
      </c>
      <c r="E51" s="85">
        <v>5000</v>
      </c>
      <c r="F51" s="86"/>
      <c r="G51" s="87">
        <f>SUM(H51:N51)</f>
      </c>
      <c r="H51" s="94">
        <v>0</v>
      </c>
      <c r="I51" s="39">
        <v>0</v>
      </c>
      <c r="J51" s="39">
        <v>0</v>
      </c>
      <c r="K51" s="39">
        <v>0</v>
      </c>
      <c r="L51" s="39"/>
      <c r="M51" s="39"/>
      <c r="N51" s="39"/>
      <c r="O51" s="89">
        <f>+SUM(H51:N51)+F51</f>
      </c>
      <c r="P51" s="1"/>
      <c r="Q51" s="41"/>
      <c r="R51" s="41"/>
      <c r="S51" s="51"/>
      <c r="T51" s="41">
        <f>Q51+R51+S51-G51</f>
      </c>
      <c r="U51" s="50"/>
      <c r="V51" s="41"/>
      <c r="W51" s="2"/>
      <c r="X51" s="3"/>
      <c r="Y51" s="3"/>
    </row>
    <row x14ac:dyDescent="0.25" r="52" customHeight="1" ht="18.75">
      <c r="A52" s="1"/>
      <c r="B52" s="30" t="s">
        <v>69</v>
      </c>
      <c r="C52" s="30" t="s">
        <v>41</v>
      </c>
      <c r="D52" s="84" t="s">
        <v>76</v>
      </c>
      <c r="E52" s="85">
        <v>48</v>
      </c>
      <c r="F52" s="86">
        <v>8.325</v>
      </c>
      <c r="G52" s="87">
        <v>39.675</v>
      </c>
      <c r="H52" s="94">
        <v>2</v>
      </c>
      <c r="I52" s="39">
        <v>5</v>
      </c>
      <c r="J52" s="39">
        <v>5</v>
      </c>
      <c r="K52" s="39">
        <v>5</v>
      </c>
      <c r="L52" s="39">
        <v>6</v>
      </c>
      <c r="M52" s="39">
        <v>5</v>
      </c>
      <c r="N52" s="39">
        <v>4</v>
      </c>
      <c r="O52" s="89">
        <f>+SUM(H52:N52)+F52</f>
      </c>
      <c r="P52" s="1"/>
      <c r="Q52" s="41">
        <v>39.675</v>
      </c>
      <c r="R52" s="41"/>
      <c r="S52" s="51"/>
      <c r="T52" s="41">
        <f>Q52+R52+S52-G52</f>
      </c>
      <c r="U52" s="50"/>
      <c r="V52" s="41"/>
      <c r="W52" s="2"/>
      <c r="X52" s="3"/>
      <c r="Y52" s="3"/>
    </row>
    <row x14ac:dyDescent="0.25" r="53" customHeight="1" ht="18.75">
      <c r="A53" s="1"/>
      <c r="B53" s="30" t="s">
        <v>69</v>
      </c>
      <c r="C53" s="30" t="s">
        <v>35</v>
      </c>
      <c r="D53" s="84" t="s">
        <v>35</v>
      </c>
      <c r="E53" s="85">
        <v>0</v>
      </c>
      <c r="F53" s="86">
        <v>23</v>
      </c>
      <c r="G53" s="87">
        <f>SUM(H53:N53)</f>
      </c>
      <c r="H53" s="94"/>
      <c r="I53" s="39"/>
      <c r="J53" s="39"/>
      <c r="K53" s="39"/>
      <c r="L53" s="39"/>
      <c r="M53" s="39"/>
      <c r="N53" s="39"/>
      <c r="O53" s="89">
        <f>+SUM(H53:N53)+F53</f>
      </c>
      <c r="P53" s="1"/>
      <c r="Q53" s="41">
        <v>487</v>
      </c>
      <c r="R53" s="41"/>
      <c r="S53" s="51"/>
      <c r="T53" s="41">
        <f>Q53+R53+S53-G53</f>
      </c>
      <c r="U53" s="50"/>
      <c r="V53" s="41"/>
      <c r="W53" s="2"/>
      <c r="X53" s="3"/>
      <c r="Y53" s="3"/>
    </row>
    <row x14ac:dyDescent="0.25" r="54" customHeight="1" ht="18.75">
      <c r="A54" s="1"/>
      <c r="B54" s="30" t="s">
        <v>69</v>
      </c>
      <c r="C54" s="30" t="s">
        <v>38</v>
      </c>
      <c r="D54" s="84" t="s">
        <v>38</v>
      </c>
      <c r="E54" s="85">
        <v>0</v>
      </c>
      <c r="F54" s="86">
        <v>1378</v>
      </c>
      <c r="G54" s="87">
        <f>SUM(H54:N54)</f>
      </c>
      <c r="H54" s="94">
        <v>100</v>
      </c>
      <c r="I54" s="39">
        <v>500</v>
      </c>
      <c r="J54" s="39">
        <v>500</v>
      </c>
      <c r="K54" s="39">
        <v>500</v>
      </c>
      <c r="L54" s="39">
        <v>250</v>
      </c>
      <c r="M54" s="39">
        <v>250</v>
      </c>
      <c r="N54" s="39"/>
      <c r="O54" s="89">
        <f>+SUM(H54:N54)+F54</f>
      </c>
      <c r="P54" s="1"/>
      <c r="Q54" s="41">
        <v>7475</v>
      </c>
      <c r="R54" s="41"/>
      <c r="S54" s="51"/>
      <c r="T54" s="41">
        <f>Q54+R54+S54-G54</f>
      </c>
      <c r="U54" s="50"/>
      <c r="V54" s="41"/>
      <c r="W54" s="2"/>
      <c r="X54" s="3"/>
      <c r="Y54" s="3"/>
    </row>
    <row x14ac:dyDescent="0.25" r="55" customHeight="1" ht="18.75">
      <c r="A55" s="1"/>
      <c r="B55" s="30" t="s">
        <v>69</v>
      </c>
      <c r="C55" s="30" t="s">
        <v>29</v>
      </c>
      <c r="D55" s="84" t="s">
        <v>77</v>
      </c>
      <c r="E55" s="85"/>
      <c r="F55" s="86"/>
      <c r="G55" s="87">
        <f>SUM(H55:N55)</f>
      </c>
      <c r="H55" s="94"/>
      <c r="I55" s="39">
        <v>200</v>
      </c>
      <c r="J55" s="39">
        <v>200</v>
      </c>
      <c r="K55" s="39">
        <v>200</v>
      </c>
      <c r="L55" s="39">
        <v>168</v>
      </c>
      <c r="M55" s="39"/>
      <c r="N55" s="39"/>
      <c r="O55" s="89">
        <f>SUM(H55:N55)</f>
      </c>
      <c r="P55" s="1"/>
      <c r="Q55" s="41">
        <v>768</v>
      </c>
      <c r="R55" s="41"/>
      <c r="S55" s="51"/>
      <c r="T55" s="41">
        <f>Q55+R55+S55-G55</f>
      </c>
      <c r="U55" s="50"/>
      <c r="V55" s="41"/>
      <c r="W55" s="2"/>
      <c r="X55" s="3"/>
      <c r="Y55" s="3"/>
    </row>
    <row x14ac:dyDescent="0.25" r="56" customHeight="1" ht="18.75">
      <c r="A56" s="1"/>
      <c r="B56" s="30" t="s">
        <v>69</v>
      </c>
      <c r="C56" s="30" t="s">
        <v>25</v>
      </c>
      <c r="D56" s="84" t="s">
        <v>25</v>
      </c>
      <c r="E56" s="85"/>
      <c r="F56" s="86"/>
      <c r="G56" s="87"/>
      <c r="H56" s="94"/>
      <c r="I56" s="39"/>
      <c r="J56" s="39"/>
      <c r="K56" s="39"/>
      <c r="L56" s="39"/>
      <c r="M56" s="39"/>
      <c r="N56" s="39"/>
      <c r="O56" s="89"/>
      <c r="P56" s="1"/>
      <c r="Q56" s="41">
        <v>5500</v>
      </c>
      <c r="R56" s="41"/>
      <c r="S56" s="51"/>
      <c r="T56" s="41">
        <f>Q56+R56+S56-G56</f>
      </c>
      <c r="U56" s="50"/>
      <c r="V56" s="41"/>
      <c r="W56" s="2"/>
      <c r="X56" s="3"/>
      <c r="Y56" s="3"/>
    </row>
    <row x14ac:dyDescent="0.25" r="57" customHeight="1" ht="18.75">
      <c r="A57" s="1"/>
      <c r="B57" s="30" t="s">
        <v>69</v>
      </c>
      <c r="C57" s="30" t="s">
        <v>78</v>
      </c>
      <c r="D57" s="84" t="s">
        <v>79</v>
      </c>
      <c r="E57" s="85">
        <v>54</v>
      </c>
      <c r="F57" s="86"/>
      <c r="G57" s="87">
        <f>SUM(H57:N57)</f>
      </c>
      <c r="H57" s="94"/>
      <c r="I57" s="39">
        <v>5</v>
      </c>
      <c r="J57" s="39">
        <v>10</v>
      </c>
      <c r="K57" s="39">
        <v>10</v>
      </c>
      <c r="L57" s="39">
        <v>20</v>
      </c>
      <c r="M57" s="39">
        <v>5</v>
      </c>
      <c r="N57" s="39">
        <v>4</v>
      </c>
      <c r="O57" s="89">
        <f>+SUM(H57:N57)+F57</f>
      </c>
      <c r="P57" s="1"/>
      <c r="Q57" s="41"/>
      <c r="R57" s="41"/>
      <c r="S57" s="51"/>
      <c r="T57" s="41">
        <f>Q57+R57+S57-G57</f>
      </c>
      <c r="U57" s="50">
        <v>550</v>
      </c>
      <c r="V57" s="41">
        <v>30</v>
      </c>
      <c r="W57" s="2"/>
      <c r="X57" s="3"/>
      <c r="Y57" s="3"/>
    </row>
    <row x14ac:dyDescent="0.25" r="58" customHeight="1" ht="18.75">
      <c r="A58" s="1"/>
      <c r="B58" s="65" t="s">
        <v>80</v>
      </c>
      <c r="C58" s="30" t="s">
        <v>29</v>
      </c>
      <c r="D58" s="95" t="s">
        <v>70</v>
      </c>
      <c r="E58" s="85">
        <v>44729</v>
      </c>
      <c r="F58" s="90">
        <v>27604.55</v>
      </c>
      <c r="G58" s="41"/>
      <c r="H58" s="41"/>
      <c r="I58" s="41">
        <v>4279</v>
      </c>
      <c r="J58" s="41">
        <v>4500</v>
      </c>
      <c r="K58" s="41"/>
      <c r="L58" s="41">
        <v>1500</v>
      </c>
      <c r="M58" s="41">
        <v>2000</v>
      </c>
      <c r="N58" s="41">
        <v>2000</v>
      </c>
      <c r="O58" s="89">
        <f>+SUM(H58:N58)+F58</f>
      </c>
      <c r="P58" s="1"/>
      <c r="Q58" s="41">
        <v>15460.480000000001</v>
      </c>
      <c r="R58" s="41"/>
      <c r="S58" s="51"/>
      <c r="T58" s="41">
        <f>Q58+R58+S58-G58</f>
      </c>
      <c r="U58" s="39">
        <v>545.8105290422845</v>
      </c>
      <c r="V58" s="39">
        <v>28.256556368581233</v>
      </c>
      <c r="W58" s="2"/>
      <c r="X58" s="3"/>
      <c r="Y58" s="3"/>
    </row>
    <row x14ac:dyDescent="0.25" r="59" customHeight="1" ht="18.75">
      <c r="A59" s="1"/>
      <c r="B59" s="65" t="s">
        <v>80</v>
      </c>
      <c r="C59" s="30" t="s">
        <v>29</v>
      </c>
      <c r="D59" s="95" t="s">
        <v>81</v>
      </c>
      <c r="E59" s="85">
        <v>16055</v>
      </c>
      <c r="F59" s="90">
        <v>5000</v>
      </c>
      <c r="G59" s="41"/>
      <c r="H59" s="41"/>
      <c r="I59" s="41">
        <v>3833</v>
      </c>
      <c r="J59" s="41">
        <v>2200</v>
      </c>
      <c r="K59" s="41">
        <v>0</v>
      </c>
      <c r="L59" s="41">
        <v>0</v>
      </c>
      <c r="M59" s="41">
        <v>0</v>
      </c>
      <c r="N59" s="41">
        <v>0</v>
      </c>
      <c r="O59" s="89">
        <f>+SUM(H59:N59)+F59</f>
      </c>
      <c r="P59" s="1"/>
      <c r="Q59" s="41">
        <v>6445.35</v>
      </c>
      <c r="R59" s="41"/>
      <c r="S59" s="51"/>
      <c r="T59" s="41">
        <f>Q59+R59+S59-G59</f>
      </c>
      <c r="U59" s="67">
        <v>467.72718851320053</v>
      </c>
      <c r="V59" s="39">
        <v>24.88966794972129</v>
      </c>
      <c r="W59" s="2"/>
      <c r="X59" s="3"/>
      <c r="Y59" s="3"/>
    </row>
    <row x14ac:dyDescent="0.25" r="60" customHeight="1" ht="18.75">
      <c r="A60" s="1"/>
      <c r="B60" s="65" t="s">
        <v>80</v>
      </c>
      <c r="C60" s="30" t="s">
        <v>25</v>
      </c>
      <c r="D60" s="95" t="s">
        <v>25</v>
      </c>
      <c r="E60" s="85">
        <v>18672</v>
      </c>
      <c r="F60" s="90">
        <v>836.5</v>
      </c>
      <c r="G60" s="41"/>
      <c r="H60" s="41"/>
      <c r="I60" s="41">
        <v>0</v>
      </c>
      <c r="J60" s="41">
        <v>0</v>
      </c>
      <c r="K60" s="41">
        <v>1000</v>
      </c>
      <c r="L60" s="41">
        <v>3208</v>
      </c>
      <c r="M60" s="41">
        <v>3000</v>
      </c>
      <c r="N60" s="41">
        <v>1940</v>
      </c>
      <c r="O60" s="89">
        <f>+SUM(H60:N60)+F60</f>
      </c>
      <c r="P60" s="1"/>
      <c r="Q60" s="41">
        <v>10606.499999999998</v>
      </c>
      <c r="R60" s="41"/>
      <c r="S60" s="51"/>
      <c r="T60" s="41">
        <f>Q60+R60+S60-G60</f>
      </c>
      <c r="U60" s="67">
        <v>688.2938824259423</v>
      </c>
      <c r="V60" s="39">
        <v>27.433355698603595</v>
      </c>
      <c r="W60" s="2"/>
      <c r="X60" s="3"/>
      <c r="Y60" s="3"/>
    </row>
    <row x14ac:dyDescent="0.25" r="61" customHeight="1" ht="18.75">
      <c r="A61" s="1"/>
      <c r="B61" s="65" t="s">
        <v>80</v>
      </c>
      <c r="C61" s="30" t="s">
        <v>41</v>
      </c>
      <c r="D61" s="95" t="s">
        <v>82</v>
      </c>
      <c r="E61" s="85">
        <v>800</v>
      </c>
      <c r="F61" s="90">
        <v>0</v>
      </c>
      <c r="G61" s="41"/>
      <c r="H61" s="41"/>
      <c r="I61" s="41">
        <v>0</v>
      </c>
      <c r="J61" s="41">
        <v>400</v>
      </c>
      <c r="K61" s="41">
        <v>0</v>
      </c>
      <c r="L61" s="41">
        <v>0</v>
      </c>
      <c r="M61" s="41">
        <v>0</v>
      </c>
      <c r="N61" s="41">
        <v>0</v>
      </c>
      <c r="O61" s="89">
        <f>+SUM(H61:N61)+F61</f>
      </c>
      <c r="P61" s="1"/>
      <c r="Q61" s="41"/>
      <c r="R61" s="41"/>
      <c r="S61" s="51"/>
      <c r="T61" s="41">
        <f>Q61+R61+S61-G61</f>
      </c>
      <c r="U61" s="96">
        <v>1200</v>
      </c>
      <c r="V61" s="97"/>
      <c r="W61" s="2"/>
      <c r="X61" s="3"/>
      <c r="Y61" s="3"/>
    </row>
    <row x14ac:dyDescent="0.25" r="62" customHeight="1" ht="18.75">
      <c r="A62" s="1"/>
      <c r="B62" s="65" t="s">
        <v>80</v>
      </c>
      <c r="C62" s="30" t="s">
        <v>41</v>
      </c>
      <c r="D62" s="95" t="s">
        <v>78</v>
      </c>
      <c r="E62" s="85">
        <v>500</v>
      </c>
      <c r="F62" s="90">
        <v>0</v>
      </c>
      <c r="G62" s="41"/>
      <c r="H62" s="41"/>
      <c r="I62" s="41">
        <v>0</v>
      </c>
      <c r="J62" s="41">
        <v>300</v>
      </c>
      <c r="K62" s="41">
        <v>0</v>
      </c>
      <c r="L62" s="41">
        <v>0</v>
      </c>
      <c r="M62" s="41">
        <v>0</v>
      </c>
      <c r="N62" s="41">
        <v>0</v>
      </c>
      <c r="O62" s="89">
        <f>+SUM(H62:N62)+F62</f>
      </c>
      <c r="P62" s="1"/>
      <c r="Q62" s="41"/>
      <c r="R62" s="41"/>
      <c r="S62" s="51"/>
      <c r="T62" s="41">
        <f>Q62+R62+S62-G62</f>
      </c>
      <c r="U62" s="96">
        <v>639</v>
      </c>
      <c r="V62" s="97"/>
      <c r="W62" s="2"/>
      <c r="X62" s="3"/>
      <c r="Y62" s="3"/>
    </row>
    <row x14ac:dyDescent="0.25" r="63" customHeight="1" ht="18.75">
      <c r="A63" s="1"/>
      <c r="B63" s="65" t="s">
        <v>80</v>
      </c>
      <c r="C63" s="30" t="s">
        <v>29</v>
      </c>
      <c r="D63" s="95" t="s">
        <v>74</v>
      </c>
      <c r="E63" s="85">
        <v>5000</v>
      </c>
      <c r="F63" s="90">
        <v>0</v>
      </c>
      <c r="G63" s="41"/>
      <c r="H63" s="41"/>
      <c r="I63" s="41">
        <v>5000</v>
      </c>
      <c r="J63" s="41">
        <v>30000</v>
      </c>
      <c r="K63" s="41"/>
      <c r="L63" s="41"/>
      <c r="M63" s="41"/>
      <c r="N63" s="41">
        <v>0</v>
      </c>
      <c r="O63" s="89">
        <f>+SUM(H63:N63)+F63</f>
      </c>
      <c r="P63" s="1"/>
      <c r="Q63" s="41"/>
      <c r="R63" s="41"/>
      <c r="S63" s="52">
        <v>35000</v>
      </c>
      <c r="T63" s="41">
        <f>Q63+R63+S63-G63</f>
      </c>
      <c r="U63" s="96">
        <v>570</v>
      </c>
      <c r="V63" s="97"/>
      <c r="W63" s="2"/>
      <c r="X63" s="3"/>
      <c r="Y63" s="3"/>
    </row>
    <row x14ac:dyDescent="0.25" r="64" customHeight="1" ht="18.75">
      <c r="A64" s="1"/>
      <c r="B64" s="65" t="s">
        <v>80</v>
      </c>
      <c r="C64" s="30" t="s">
        <v>41</v>
      </c>
      <c r="D64" s="95" t="s">
        <v>83</v>
      </c>
      <c r="E64" s="85">
        <v>1503</v>
      </c>
      <c r="F64" s="90">
        <v>11.15</v>
      </c>
      <c r="G64" s="41"/>
      <c r="H64" s="41"/>
      <c r="I64" s="41">
        <v>7000</v>
      </c>
      <c r="J64" s="41">
        <v>280</v>
      </c>
      <c r="K64" s="41">
        <v>0</v>
      </c>
      <c r="L64" s="41">
        <v>0</v>
      </c>
      <c r="M64" s="41">
        <v>0</v>
      </c>
      <c r="N64" s="41">
        <v>0</v>
      </c>
      <c r="O64" s="89">
        <f>+SUM(H64:N64)+F64</f>
      </c>
      <c r="P64" s="1"/>
      <c r="Q64" s="41">
        <v>7274</v>
      </c>
      <c r="R64" s="41"/>
      <c r="S64" s="51"/>
      <c r="T64" s="41">
        <f>Q64+R64+S64-G64</f>
      </c>
      <c r="U64" s="67">
        <v>878.91</v>
      </c>
      <c r="V64" s="39">
        <v>29.3</v>
      </c>
      <c r="W64" s="2"/>
      <c r="X64" s="3"/>
      <c r="Y64" s="3"/>
    </row>
    <row x14ac:dyDescent="0.25" r="65" customHeight="1" ht="18.75">
      <c r="A65" s="1"/>
      <c r="B65" s="65" t="s">
        <v>80</v>
      </c>
      <c r="C65" s="30" t="s">
        <v>78</v>
      </c>
      <c r="D65" s="95" t="s">
        <v>84</v>
      </c>
      <c r="E65" s="85">
        <v>1512</v>
      </c>
      <c r="F65" s="90">
        <v>0</v>
      </c>
      <c r="G65" s="41"/>
      <c r="H65" s="41"/>
      <c r="I65" s="41">
        <v>0</v>
      </c>
      <c r="J65" s="41">
        <v>0</v>
      </c>
      <c r="K65" s="41">
        <v>0</v>
      </c>
      <c r="L65" s="41">
        <v>0</v>
      </c>
      <c r="M65" s="41">
        <v>0</v>
      </c>
      <c r="N65" s="41">
        <v>0</v>
      </c>
      <c r="O65" s="89">
        <f>+SUM(H65:N65)+F65</f>
      </c>
      <c r="P65" s="1"/>
      <c r="Q65" s="41"/>
      <c r="R65" s="41"/>
      <c r="S65" s="51"/>
      <c r="T65" s="41">
        <f>Q65+R65+S65-G65</f>
      </c>
      <c r="U65" s="96">
        <v>220</v>
      </c>
      <c r="V65" s="97"/>
      <c r="W65" s="2"/>
      <c r="X65" s="3"/>
      <c r="Y65" s="3"/>
    </row>
    <row x14ac:dyDescent="0.25" r="66" customHeight="1" ht="18.75">
      <c r="A66" s="1"/>
      <c r="B66" s="30" t="s">
        <v>85</v>
      </c>
      <c r="C66" s="30" t="s">
        <v>25</v>
      </c>
      <c r="D66" s="84" t="s">
        <v>86</v>
      </c>
      <c r="E66" s="85">
        <v>300000</v>
      </c>
      <c r="F66" s="90"/>
      <c r="G66" s="87">
        <f>SUM(H66:N66)</f>
      </c>
      <c r="H66" s="46"/>
      <c r="I66" s="41"/>
      <c r="J66" s="41"/>
      <c r="K66" s="41"/>
      <c r="L66" s="41"/>
      <c r="M66" s="41"/>
      <c r="N66" s="41"/>
      <c r="O66" s="89">
        <f>+SUM(H66:N66)+F66</f>
      </c>
      <c r="P66" s="1"/>
      <c r="Q66" s="41"/>
      <c r="R66" s="41"/>
      <c r="S66" s="41"/>
      <c r="T66" s="41">
        <f>Q66+R66+S66-G66</f>
      </c>
      <c r="U66" s="36">
        <v>419</v>
      </c>
      <c r="V66" s="50"/>
      <c r="W66" s="2"/>
      <c r="X66" s="3"/>
      <c r="Y66" s="3"/>
    </row>
    <row x14ac:dyDescent="0.25" r="67" customHeight="1" ht="18.75">
      <c r="A67" s="1"/>
      <c r="B67" s="30" t="s">
        <v>85</v>
      </c>
      <c r="C67" s="30" t="s">
        <v>25</v>
      </c>
      <c r="D67" s="84" t="s">
        <v>87</v>
      </c>
      <c r="E67" s="85"/>
      <c r="F67" s="90">
        <v>3201.1200000000003</v>
      </c>
      <c r="G67" s="87"/>
      <c r="H67" s="46"/>
      <c r="I67" s="41"/>
      <c r="J67" s="41"/>
      <c r="K67" s="41"/>
      <c r="L67" s="41"/>
      <c r="M67" s="41"/>
      <c r="N67" s="41"/>
      <c r="O67" s="89">
        <f>+SUM(H67:N67)+F67</f>
      </c>
      <c r="P67" s="1"/>
      <c r="Q67" s="41">
        <v>506.504</v>
      </c>
      <c r="R67" s="41"/>
      <c r="S67" s="41"/>
      <c r="T67" s="41">
        <f>Q67+R67+S67-G67</f>
      </c>
      <c r="U67" s="36"/>
      <c r="V67" s="50"/>
      <c r="W67" s="2"/>
      <c r="X67" s="3"/>
      <c r="Y67" s="3"/>
    </row>
    <row x14ac:dyDescent="0.25" r="68" customHeight="1" ht="18.75">
      <c r="A68" s="1"/>
      <c r="B68" s="30" t="s">
        <v>85</v>
      </c>
      <c r="C68" s="30" t="s">
        <v>29</v>
      </c>
      <c r="D68" s="84" t="s">
        <v>88</v>
      </c>
      <c r="E68" s="85">
        <v>130000</v>
      </c>
      <c r="F68" s="90">
        <v>19987.550000000003</v>
      </c>
      <c r="G68" s="87">
        <f>SUM(H68:N68)</f>
      </c>
      <c r="H68" s="46"/>
      <c r="I68" s="41">
        <v>6650</v>
      </c>
      <c r="J68" s="41">
        <v>4000</v>
      </c>
      <c r="K68" s="41">
        <v>2000</v>
      </c>
      <c r="L68" s="41"/>
      <c r="M68" s="41">
        <v>3000</v>
      </c>
      <c r="N68" s="41">
        <v>3000</v>
      </c>
      <c r="O68" s="89">
        <f>+SUM(H68:N68)+F68</f>
      </c>
      <c r="P68" s="1"/>
      <c r="Q68" s="41"/>
      <c r="R68" s="41"/>
      <c r="S68" s="41">
        <v>18650</v>
      </c>
      <c r="T68" s="41">
        <f>Q68+R68+S68-G68</f>
      </c>
      <c r="U68" s="36"/>
      <c r="V68" s="50"/>
      <c r="W68" s="2"/>
      <c r="X68" s="3"/>
      <c r="Y68" s="3"/>
    </row>
    <row x14ac:dyDescent="0.25" r="69" customHeight="1" ht="18.75">
      <c r="A69" s="1"/>
      <c r="B69" s="30" t="s">
        <v>85</v>
      </c>
      <c r="C69" s="30" t="s">
        <v>29</v>
      </c>
      <c r="D69" s="84" t="s">
        <v>89</v>
      </c>
      <c r="E69" s="85">
        <v>20000</v>
      </c>
      <c r="F69" s="90">
        <v>1085</v>
      </c>
      <c r="G69" s="87">
        <f>SUM(H69:N69)</f>
      </c>
      <c r="H69" s="46"/>
      <c r="I69" s="41">
        <v>800</v>
      </c>
      <c r="J69" s="41">
        <v>500</v>
      </c>
      <c r="K69" s="41">
        <v>400</v>
      </c>
      <c r="L69" s="41">
        <v>0</v>
      </c>
      <c r="M69" s="41">
        <v>500</v>
      </c>
      <c r="N69" s="41">
        <v>500</v>
      </c>
      <c r="O69" s="89">
        <f>+SUM(H69:N69)+F69</f>
      </c>
      <c r="P69" s="1"/>
      <c r="Q69" s="41">
        <v>1448.25</v>
      </c>
      <c r="R69" s="41"/>
      <c r="S69" s="41">
        <v>1251.75</v>
      </c>
      <c r="T69" s="41">
        <f>Q69+R69+S69-G69</f>
      </c>
      <c r="U69" s="36"/>
      <c r="V69" s="50"/>
      <c r="W69" s="2"/>
      <c r="X69" s="3"/>
      <c r="Y69" s="3"/>
    </row>
    <row x14ac:dyDescent="0.25" r="70" customHeight="1" ht="18.75">
      <c r="A70" s="1"/>
      <c r="B70" s="30" t="s">
        <v>85</v>
      </c>
      <c r="C70" s="30" t="s">
        <v>90</v>
      </c>
      <c r="D70" s="84" t="s">
        <v>91</v>
      </c>
      <c r="E70" s="85">
        <v>500</v>
      </c>
      <c r="F70" s="90">
        <v>139</v>
      </c>
      <c r="G70" s="87">
        <f>SUM(H70:N70)</f>
      </c>
      <c r="H70" s="46"/>
      <c r="I70" s="41">
        <v>100</v>
      </c>
      <c r="J70" s="41">
        <v>100</v>
      </c>
      <c r="K70" s="41">
        <v>100</v>
      </c>
      <c r="L70" s="41">
        <v>100</v>
      </c>
      <c r="M70" s="41">
        <v>100</v>
      </c>
      <c r="N70" s="41"/>
      <c r="O70" s="89">
        <f>+SUM(H70:N70)+F70</f>
      </c>
      <c r="P70" s="1"/>
      <c r="Q70" s="41">
        <v>286</v>
      </c>
      <c r="R70" s="41">
        <v>400</v>
      </c>
      <c r="S70" s="41"/>
      <c r="T70" s="41">
        <f>Q70+R70+S70-G70</f>
      </c>
      <c r="U70" s="36">
        <v>1100</v>
      </c>
      <c r="V70" s="41">
        <v>75</v>
      </c>
      <c r="W70" s="2"/>
      <c r="X70" s="3"/>
      <c r="Y70" s="3"/>
    </row>
    <row x14ac:dyDescent="0.25" r="71" customHeight="1" ht="18.75">
      <c r="A71" s="1"/>
      <c r="B71" s="30" t="s">
        <v>85</v>
      </c>
      <c r="C71" s="30" t="s">
        <v>78</v>
      </c>
      <c r="D71" s="84" t="s">
        <v>78</v>
      </c>
      <c r="E71" s="85">
        <v>500</v>
      </c>
      <c r="F71" s="90">
        <v>200</v>
      </c>
      <c r="G71" s="87">
        <f>SUM(H71:N71)</f>
      </c>
      <c r="H71" s="46"/>
      <c r="I71" s="41"/>
      <c r="J71" s="41"/>
      <c r="K71" s="41">
        <v>100</v>
      </c>
      <c r="L71" s="41">
        <v>100</v>
      </c>
      <c r="M71" s="41">
        <v>100</v>
      </c>
      <c r="N71" s="41"/>
      <c r="O71" s="89">
        <f>+SUM(H71:N71)+F71</f>
      </c>
      <c r="P71" s="1"/>
      <c r="Q71" s="41">
        <v>200</v>
      </c>
      <c r="R71" s="41">
        <v>200</v>
      </c>
      <c r="S71" s="41"/>
      <c r="T71" s="41">
        <f>Q71+R71+S71-G71</f>
      </c>
      <c r="U71" s="36">
        <v>1055</v>
      </c>
      <c r="V71" s="41">
        <v>75</v>
      </c>
      <c r="W71" s="2"/>
      <c r="X71" s="3"/>
      <c r="Y71" s="3"/>
    </row>
    <row x14ac:dyDescent="0.25" r="72" customHeight="1" ht="18.75">
      <c r="A72" s="1"/>
      <c r="B72" s="30" t="s">
        <v>85</v>
      </c>
      <c r="C72" s="30" t="s">
        <v>34</v>
      </c>
      <c r="D72" s="84" t="s">
        <v>34</v>
      </c>
      <c r="E72" s="85"/>
      <c r="F72" s="90">
        <v>165</v>
      </c>
      <c r="G72" s="87">
        <f>SUM(H72:N72)</f>
      </c>
      <c r="H72" s="46"/>
      <c r="I72" s="41">
        <v>350</v>
      </c>
      <c r="J72" s="41"/>
      <c r="K72" s="41"/>
      <c r="L72" s="41"/>
      <c r="M72" s="41"/>
      <c r="N72" s="41">
        <v>100</v>
      </c>
      <c r="O72" s="89">
        <f>+SUM(H72:N72)+F72</f>
      </c>
      <c r="P72" s="1"/>
      <c r="Q72" s="41">
        <v>134</v>
      </c>
      <c r="R72" s="41"/>
      <c r="S72" s="41">
        <v>450</v>
      </c>
      <c r="T72" s="41">
        <f>Q72+R72+S72-G72</f>
      </c>
      <c r="U72" s="36"/>
      <c r="V72" s="50"/>
      <c r="W72" s="2"/>
      <c r="X72" s="3"/>
      <c r="Y72" s="3"/>
    </row>
    <row x14ac:dyDescent="0.25" r="73" customHeight="1" ht="18.75">
      <c r="A73" s="1"/>
      <c r="B73" s="30" t="s">
        <v>85</v>
      </c>
      <c r="C73" s="30" t="s">
        <v>29</v>
      </c>
      <c r="D73" s="84" t="s">
        <v>57</v>
      </c>
      <c r="E73" s="85"/>
      <c r="F73" s="90">
        <v>450</v>
      </c>
      <c r="G73" s="87">
        <f>SUM(H73:N73)</f>
      </c>
      <c r="H73" s="46"/>
      <c r="I73" s="41">
        <v>300</v>
      </c>
      <c r="J73" s="41"/>
      <c r="K73" s="41"/>
      <c r="L73" s="41"/>
      <c r="M73" s="41">
        <v>100</v>
      </c>
      <c r="N73" s="41">
        <v>100</v>
      </c>
      <c r="O73" s="89">
        <f>+SUM(H73:N73)+F73</f>
      </c>
      <c r="P73" s="1"/>
      <c r="Q73" s="41"/>
      <c r="R73" s="41"/>
      <c r="S73" s="41">
        <v>500</v>
      </c>
      <c r="T73" s="41">
        <f>Q73+R73+S73-G73</f>
      </c>
      <c r="U73" s="36"/>
      <c r="V73" s="50"/>
      <c r="W73" s="2"/>
      <c r="X73" s="3"/>
      <c r="Y73" s="3"/>
    </row>
    <row x14ac:dyDescent="0.25" r="74" customHeight="1" ht="18.75">
      <c r="A74" s="1"/>
      <c r="B74" s="30" t="s">
        <v>85</v>
      </c>
      <c r="C74" s="30" t="s">
        <v>92</v>
      </c>
      <c r="D74" s="84" t="s">
        <v>92</v>
      </c>
      <c r="E74" s="98">
        <v>500</v>
      </c>
      <c r="F74" s="90"/>
      <c r="G74" s="87">
        <f>SUM(H74:N74)</f>
      </c>
      <c r="H74" s="46"/>
      <c r="I74" s="41">
        <v>17</v>
      </c>
      <c r="J74" s="41"/>
      <c r="K74" s="41"/>
      <c r="L74" s="41"/>
      <c r="M74" s="41"/>
      <c r="N74" s="41"/>
      <c r="O74" s="89">
        <f>+SUM(H74:N74)+F74</f>
      </c>
      <c r="P74" s="1"/>
      <c r="Q74" s="41">
        <v>17</v>
      </c>
      <c r="R74" s="41"/>
      <c r="S74" s="41"/>
      <c r="T74" s="41">
        <f>Q74+R74+S74-G74</f>
      </c>
      <c r="U74" s="36"/>
      <c r="V74" s="50"/>
      <c r="W74" s="2"/>
      <c r="X74" s="3"/>
      <c r="Y74" s="3"/>
    </row>
    <row x14ac:dyDescent="0.25" r="75" customHeight="1" ht="18.75">
      <c r="A75" s="1"/>
      <c r="B75" s="65" t="s">
        <v>93</v>
      </c>
      <c r="C75" s="30" t="s">
        <v>29</v>
      </c>
      <c r="D75" s="95" t="s">
        <v>94</v>
      </c>
      <c r="E75" s="85">
        <v>102000</v>
      </c>
      <c r="F75" s="90">
        <v>1366</v>
      </c>
      <c r="G75" s="87">
        <f>SUM(H75:N75)</f>
      </c>
      <c r="H75" s="46"/>
      <c r="I75" s="41">
        <v>7000</v>
      </c>
      <c r="J75" s="41">
        <v>10000</v>
      </c>
      <c r="K75" s="41">
        <v>8000</v>
      </c>
      <c r="L75" s="41">
        <v>3000</v>
      </c>
      <c r="M75" s="41">
        <v>5000</v>
      </c>
      <c r="N75" s="41">
        <v>5000</v>
      </c>
      <c r="O75" s="89">
        <f>+SUM(H75:N75)+F75</f>
      </c>
      <c r="P75" s="1"/>
      <c r="Q75" s="41">
        <v>12644</v>
      </c>
      <c r="R75" s="41">
        <v>25000</v>
      </c>
      <c r="S75" s="41"/>
      <c r="T75" s="41">
        <f>Q75+R75+S75-G75</f>
      </c>
      <c r="U75" s="50">
        <v>450</v>
      </c>
      <c r="V75" s="39">
        <v>30</v>
      </c>
      <c r="W75" s="2"/>
      <c r="X75" s="3"/>
      <c r="Y75" s="3"/>
    </row>
    <row x14ac:dyDescent="0.25" r="76" customHeight="1" ht="18.75">
      <c r="A76" s="1"/>
      <c r="B76" s="65" t="s">
        <v>93</v>
      </c>
      <c r="C76" s="30" t="s">
        <v>25</v>
      </c>
      <c r="D76" s="95" t="s">
        <v>95</v>
      </c>
      <c r="E76" s="85">
        <v>13000</v>
      </c>
      <c r="F76" s="90">
        <v>35</v>
      </c>
      <c r="G76" s="87">
        <f>SUM(H76:N76)</f>
      </c>
      <c r="H76" s="46"/>
      <c r="I76" s="41"/>
      <c r="J76" s="41">
        <v>1000</v>
      </c>
      <c r="K76" s="41">
        <v>1000</v>
      </c>
      <c r="L76" s="41">
        <v>1000</v>
      </c>
      <c r="M76" s="41">
        <v>1000</v>
      </c>
      <c r="N76" s="41">
        <v>1000</v>
      </c>
      <c r="O76" s="89">
        <f>+SUM(H76:N76)+F76</f>
      </c>
      <c r="P76" s="1"/>
      <c r="Q76" s="41">
        <v>5775</v>
      </c>
      <c r="R76" s="41"/>
      <c r="S76" s="41"/>
      <c r="T76" s="41">
        <f>Q76+R76+S76-G76</f>
      </c>
      <c r="U76" s="50"/>
      <c r="V76" s="39"/>
      <c r="W76" s="2"/>
      <c r="X76" s="3"/>
      <c r="Y76" s="3"/>
    </row>
    <row x14ac:dyDescent="0.25" r="77" customHeight="1" ht="18.75">
      <c r="A77" s="1"/>
      <c r="B77" s="65" t="s">
        <v>93</v>
      </c>
      <c r="C77" s="30" t="s">
        <v>90</v>
      </c>
      <c r="D77" s="95" t="s">
        <v>90</v>
      </c>
      <c r="E77" s="85">
        <v>1000</v>
      </c>
      <c r="F77" s="90">
        <v>25</v>
      </c>
      <c r="G77" s="87">
        <f>SUM(H77:N77)</f>
      </c>
      <c r="H77" s="46"/>
      <c r="I77" s="41">
        <v>0</v>
      </c>
      <c r="J77" s="41">
        <v>50</v>
      </c>
      <c r="K77" s="41"/>
      <c r="L77" s="41">
        <v>50</v>
      </c>
      <c r="M77" s="41">
        <v>0</v>
      </c>
      <c r="N77" s="41">
        <v>50</v>
      </c>
      <c r="O77" s="89">
        <f>+SUM(H77:N77)+F77</f>
      </c>
      <c r="P77" s="1"/>
      <c r="Q77" s="41"/>
      <c r="R77" s="41">
        <v>100</v>
      </c>
      <c r="S77" s="41"/>
      <c r="T77" s="41">
        <f>Q77+R77+S77-G77</f>
      </c>
      <c r="U77" s="50">
        <v>535</v>
      </c>
      <c r="V77" s="39">
        <v>50</v>
      </c>
      <c r="W77" s="2"/>
      <c r="X77" s="3"/>
      <c r="Y77" s="3"/>
    </row>
    <row x14ac:dyDescent="0.25" r="78" customHeight="1" ht="18.75">
      <c r="A78" s="1"/>
      <c r="B78" s="65" t="s">
        <v>93</v>
      </c>
      <c r="C78" s="30" t="s">
        <v>34</v>
      </c>
      <c r="D78" s="95" t="s">
        <v>62</v>
      </c>
      <c r="E78" s="85">
        <v>8500</v>
      </c>
      <c r="F78" s="90"/>
      <c r="G78" s="87">
        <f>SUM(H78:N78)</f>
      </c>
      <c r="H78" s="46"/>
      <c r="I78" s="41"/>
      <c r="J78" s="41"/>
      <c r="K78" s="41"/>
      <c r="L78" s="41"/>
      <c r="M78" s="41"/>
      <c r="N78" s="41"/>
      <c r="O78" s="89">
        <f>+SUM(H78:N78)+F78</f>
      </c>
      <c r="P78" s="1"/>
      <c r="Q78" s="41"/>
      <c r="R78" s="41"/>
      <c r="S78" s="41"/>
      <c r="T78" s="41">
        <f>Q78+R78+S78-G78</f>
      </c>
      <c r="U78" s="50"/>
      <c r="V78" s="39"/>
      <c r="W78" s="2"/>
      <c r="X78" s="3"/>
      <c r="Y78" s="3"/>
    </row>
    <row x14ac:dyDescent="0.25" r="79" customHeight="1" ht="18.75">
      <c r="A79" s="1"/>
      <c r="B79" s="65" t="s">
        <v>93</v>
      </c>
      <c r="C79" s="30" t="s">
        <v>61</v>
      </c>
      <c r="D79" s="95" t="s">
        <v>61</v>
      </c>
      <c r="E79" s="85">
        <v>3800</v>
      </c>
      <c r="F79" s="90"/>
      <c r="G79" s="87">
        <f>SUM(H79:N79)</f>
      </c>
      <c r="H79" s="46"/>
      <c r="I79" s="41">
        <v>0</v>
      </c>
      <c r="J79" s="41">
        <v>0</v>
      </c>
      <c r="K79" s="41"/>
      <c r="L79" s="41"/>
      <c r="M79" s="41"/>
      <c r="N79" s="41">
        <v>0</v>
      </c>
      <c r="O79" s="89">
        <f>+SUM(H79:N79)+F79</f>
      </c>
      <c r="P79" s="1"/>
      <c r="Q79" s="41"/>
      <c r="R79" s="41"/>
      <c r="S79" s="41"/>
      <c r="T79" s="41">
        <f>Q79+R79+S79-G79</f>
      </c>
      <c r="U79" s="50"/>
      <c r="V79" s="39"/>
      <c r="W79" s="2"/>
      <c r="X79" s="3"/>
      <c r="Y79" s="3"/>
    </row>
    <row x14ac:dyDescent="0.25" r="80" customHeight="1" ht="18.75">
      <c r="A80" s="1"/>
      <c r="B80" s="2"/>
      <c r="C80" s="2"/>
      <c r="D80" s="2"/>
      <c r="E80" s="3"/>
      <c r="F80" s="3"/>
      <c r="G80" s="3"/>
      <c r="H80" s="3"/>
      <c r="I80" s="3"/>
      <c r="J80" s="3"/>
      <c r="K80" s="3"/>
      <c r="L80" s="3"/>
      <c r="M80" s="3"/>
      <c r="N80" s="3"/>
      <c r="O80" s="63">
        <f>SUM(O4:O79)</f>
      </c>
      <c r="P80" s="1"/>
      <c r="Q80" s="3"/>
      <c r="R80" s="3"/>
      <c r="S80" s="3"/>
      <c r="T80" s="3"/>
      <c r="U80" s="7"/>
      <c r="V80" s="3"/>
      <c r="W80" s="2"/>
      <c r="X80" s="3"/>
      <c r="Y80" s="3"/>
    </row>
  </sheetData>
  <mergeCells count="8">
    <mergeCell ref="E2:E3"/>
    <mergeCell ref="F2:F3"/>
    <mergeCell ref="G2:N2"/>
    <mergeCell ref="O2:O3"/>
    <mergeCell ref="U61:V61"/>
    <mergeCell ref="U62:V62"/>
    <mergeCell ref="U63:V63"/>
    <mergeCell ref="U65:V6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202"/>
  <sheetViews>
    <sheetView workbookViewId="0">
      <pane state="frozen" activePane="topRight" topLeftCell="B1" ySplit="0" xSplit="1"/>
    </sheetView>
  </sheetViews>
  <sheetFormatPr defaultRowHeight="15" x14ac:dyDescent="0.25"/>
  <cols>
    <col min="1" max="1" style="100" width="1.719285714285714" customWidth="1" bestFit="1"/>
    <col min="2" max="2" style="101" width="2.7192857142857143" customWidth="1" bestFit="1"/>
    <col min="3" max="3" style="100" width="2.005" customWidth="1" bestFit="1"/>
    <col min="4" max="4" style="126" width="53.43357142857143" customWidth="1" bestFit="1"/>
    <col min="5" max="5" style="101" width="20.290714285714284" customWidth="1" bestFit="1"/>
    <col min="6" max="6" style="101" width="35.005" customWidth="1" bestFit="1"/>
    <col min="7" max="7" style="101" width="20.290714285714284" customWidth="1" bestFit="1"/>
    <col min="8" max="8" style="101" width="13.862142857142858" customWidth="1" bestFit="1"/>
    <col min="9" max="9" style="101" width="20.290714285714284" customWidth="1" bestFit="1"/>
    <col min="10" max="10" style="101" width="20.290714285714284" customWidth="1" bestFit="1"/>
    <col min="11" max="11" style="101" width="20.290714285714284" customWidth="1" bestFit="1"/>
    <col min="12" max="12" style="101" width="20.290714285714284" customWidth="1" bestFit="1"/>
    <col min="13" max="13" style="101" width="20.290714285714284" customWidth="1" bestFit="1"/>
    <col min="14" max="14" style="137" width="9.290714285714287" customWidth="1" bestFit="1"/>
    <col min="15" max="15" style="101" width="32.43357142857143" customWidth="1" bestFit="1"/>
    <col min="16" max="16" style="101" width="24.862142857142857" customWidth="1" bestFit="1"/>
    <col min="17" max="17" style="101" width="34.57642857142857" customWidth="1" bestFit="1"/>
    <col min="18" max="18" style="101" width="48.71928571428572" customWidth="1" bestFit="1"/>
    <col min="19" max="19" style="101" width="35.86214285714286" customWidth="1" bestFit="1"/>
    <col min="20" max="20" style="101" width="30.576428571428572" customWidth="1" bestFit="1"/>
    <col min="21" max="21" style="101" width="9.290714285714287" customWidth="1" bestFit="1"/>
    <col min="22" max="22" style="102" width="9.290714285714287" customWidth="1" bestFit="1"/>
    <col min="23" max="23" style="102" width="9.290714285714287" customWidth="1" bestFit="1"/>
    <col min="24" max="24" style="102" width="13.576428571428572" customWidth="1" bestFit="1"/>
    <col min="25" max="25" style="100" width="13.576428571428572" customWidth="1" bestFit="1"/>
    <col min="26" max="26" style="137" width="13.576428571428572" customWidth="1" bestFit="1"/>
  </cols>
  <sheetData>
    <row x14ac:dyDescent="0.25" r="1" customHeight="1" ht="13.5">
      <c r="A1" s="104"/>
      <c r="B1" s="186"/>
      <c r="C1" s="104"/>
      <c r="D1" s="105"/>
      <c r="E1" s="193"/>
      <c r="F1" s="3"/>
      <c r="G1" s="3"/>
      <c r="H1" s="3"/>
      <c r="I1" s="3"/>
      <c r="J1" s="3"/>
      <c r="K1" s="3"/>
      <c r="L1" s="3"/>
      <c r="M1" s="3"/>
      <c r="N1" s="108"/>
      <c r="O1" s="3"/>
      <c r="P1" s="3"/>
      <c r="Q1" s="3"/>
      <c r="R1" s="3"/>
      <c r="S1" s="3"/>
      <c r="T1" s="3"/>
      <c r="U1" s="3"/>
      <c r="V1" s="108"/>
      <c r="W1" s="108"/>
      <c r="X1" s="108"/>
      <c r="Y1" s="2"/>
      <c r="Z1" s="108"/>
    </row>
    <row x14ac:dyDescent="0.25" r="2" customHeight="1" ht="13.5">
      <c r="A2" s="104"/>
      <c r="B2" s="186"/>
      <c r="C2" s="104"/>
      <c r="D2" s="105"/>
      <c r="E2" s="188">
        <f>Title</f>
      </c>
      <c r="F2" s="3"/>
      <c r="G2" s="3"/>
      <c r="H2" s="3"/>
      <c r="I2" s="3"/>
      <c r="J2" s="3"/>
      <c r="K2" s="3"/>
      <c r="L2" s="3"/>
      <c r="M2" s="3"/>
      <c r="N2" s="108"/>
      <c r="O2" s="3"/>
      <c r="P2" s="3"/>
      <c r="Q2" s="3"/>
      <c r="R2" s="3"/>
      <c r="S2" s="3"/>
      <c r="T2" s="3"/>
      <c r="U2" s="3"/>
      <c r="V2" s="108"/>
      <c r="W2" s="108"/>
      <c r="X2" s="108"/>
      <c r="Y2" s="2"/>
      <c r="Z2" s="108"/>
    </row>
    <row x14ac:dyDescent="0.25" r="3" customHeight="1" ht="13.5">
      <c r="A3" s="104"/>
      <c r="B3" s="186"/>
      <c r="C3" s="104"/>
      <c r="D3" s="105"/>
      <c r="E3" s="191">
        <f>MID(CELL("filename",E3),FIND("]",CELL("filename",E3))+1,256)</f>
      </c>
      <c r="F3" s="3"/>
      <c r="G3" s="3"/>
      <c r="H3" s="3"/>
      <c r="I3" s="3"/>
      <c r="J3" s="3"/>
      <c r="K3" s="3"/>
      <c r="L3" s="3"/>
      <c r="M3" s="3"/>
      <c r="N3" s="108"/>
      <c r="O3" s="3"/>
      <c r="P3" s="3"/>
      <c r="Q3" s="3"/>
      <c r="R3" s="3"/>
      <c r="S3" s="3"/>
      <c r="T3" s="3"/>
      <c r="U3" s="3"/>
      <c r="V3" s="108"/>
      <c r="W3" s="108"/>
      <c r="X3" s="108"/>
      <c r="Y3" s="2"/>
      <c r="Z3" s="108"/>
    </row>
    <row x14ac:dyDescent="0.25" r="4" customHeight="1" ht="13.5">
      <c r="A4" s="104"/>
      <c r="B4" s="186"/>
      <c r="C4" s="104"/>
      <c r="D4" s="105"/>
      <c r="E4" s="193"/>
      <c r="F4" s="3"/>
      <c r="G4" s="3"/>
      <c r="H4" s="3"/>
      <c r="I4" s="3"/>
      <c r="J4" s="3"/>
      <c r="K4" s="3"/>
      <c r="L4" s="3"/>
      <c r="M4" s="3"/>
      <c r="N4" s="108"/>
      <c r="O4" s="3"/>
      <c r="P4" s="3"/>
      <c r="Q4" s="3"/>
      <c r="R4" s="3"/>
      <c r="S4" s="3"/>
      <c r="T4" s="3"/>
      <c r="U4" s="3"/>
      <c r="V4" s="108"/>
      <c r="W4" s="108"/>
      <c r="X4" s="108"/>
      <c r="Y4" s="2"/>
      <c r="Z4" s="108"/>
    </row>
    <row x14ac:dyDescent="0.25" r="5" customHeight="1" ht="13.5">
      <c r="A5" s="112"/>
      <c r="B5" s="194"/>
      <c r="C5" s="112"/>
      <c r="D5" s="113"/>
      <c r="E5" s="114"/>
      <c r="F5" s="3"/>
      <c r="G5" s="3"/>
      <c r="H5" s="3"/>
      <c r="I5" s="3"/>
      <c r="J5" s="3"/>
      <c r="K5" s="3"/>
      <c r="L5" s="3"/>
      <c r="M5" s="3"/>
      <c r="N5" s="108"/>
      <c r="O5" s="3"/>
      <c r="P5" s="3"/>
      <c r="Q5" s="3"/>
      <c r="R5" s="3"/>
      <c r="S5" s="3"/>
      <c r="T5" s="3"/>
      <c r="U5" s="3"/>
      <c r="V5" s="108"/>
      <c r="W5" s="108"/>
      <c r="X5" s="108"/>
      <c r="Y5" s="2"/>
      <c r="Z5" s="108"/>
    </row>
    <row x14ac:dyDescent="0.25" r="6" customHeight="1" ht="13.5">
      <c r="A6" s="2"/>
      <c r="B6" s="3"/>
      <c r="C6" s="2"/>
      <c r="D6" s="107"/>
      <c r="E6" s="3"/>
      <c r="F6" s="115"/>
      <c r="G6" s="115"/>
      <c r="H6" s="136"/>
      <c r="I6" s="136"/>
      <c r="J6" s="3"/>
      <c r="K6" s="3"/>
      <c r="L6" s="3"/>
      <c r="M6" s="3"/>
      <c r="N6" s="108"/>
      <c r="O6" s="3"/>
      <c r="P6" s="3"/>
      <c r="Q6" s="3"/>
      <c r="R6" s="3"/>
      <c r="S6" s="3"/>
      <c r="T6" s="3"/>
      <c r="U6" s="3"/>
      <c r="V6" s="108"/>
      <c r="W6" s="108"/>
      <c r="X6" s="108"/>
      <c r="Y6" s="2"/>
      <c r="Z6" s="108"/>
    </row>
    <row x14ac:dyDescent="0.25" r="7" customHeight="1" ht="13.5">
      <c r="A7" s="2"/>
      <c r="B7" s="198">
        <v>1</v>
      </c>
      <c r="C7" s="2"/>
      <c r="D7" s="275" t="s">
        <v>531</v>
      </c>
      <c r="E7" s="3"/>
      <c r="F7" s="405"/>
      <c r="G7" s="406"/>
      <c r="H7" s="407" t="s">
        <v>532</v>
      </c>
      <c r="I7" s="408"/>
      <c r="J7" s="3"/>
      <c r="K7" s="3"/>
      <c r="L7" s="409" t="s">
        <v>533</v>
      </c>
      <c r="M7" s="3"/>
      <c r="N7" s="108"/>
      <c r="O7" s="3"/>
      <c r="P7" s="3"/>
      <c r="Q7" s="3"/>
      <c r="R7" s="3"/>
      <c r="S7" s="3"/>
      <c r="T7" s="3"/>
      <c r="U7" s="3"/>
      <c r="V7" s="108"/>
      <c r="W7" s="108"/>
      <c r="X7" s="108"/>
      <c r="Y7" s="2"/>
      <c r="Z7" s="108"/>
    </row>
    <row x14ac:dyDescent="0.25" r="8" customHeight="1" ht="13.5">
      <c r="A8" s="2"/>
      <c r="B8" s="3"/>
      <c r="C8" s="2"/>
      <c r="D8" s="107"/>
      <c r="E8" s="3"/>
      <c r="F8" s="410" t="s">
        <v>534</v>
      </c>
      <c r="G8" s="411" t="s">
        <v>535</v>
      </c>
      <c r="H8" s="222">
        <f>M34</f>
      </c>
      <c r="I8" s="412">
        <f>M62</f>
      </c>
      <c r="J8" s="3"/>
      <c r="K8" s="413" t="s">
        <v>445</v>
      </c>
      <c r="L8" s="372">
        <f>P34</f>
      </c>
      <c r="M8" s="3"/>
      <c r="N8" s="108"/>
      <c r="O8" s="3"/>
      <c r="P8" s="3"/>
      <c r="Q8" s="3"/>
      <c r="R8" s="3"/>
      <c r="S8" s="3"/>
      <c r="T8" s="3"/>
      <c r="U8" s="3"/>
      <c r="V8" s="108"/>
      <c r="W8" s="108"/>
      <c r="X8" s="108"/>
      <c r="Y8" s="2"/>
      <c r="Z8" s="108"/>
    </row>
    <row x14ac:dyDescent="0.25" r="9" customHeight="1" ht="13.5">
      <c r="A9" s="2"/>
      <c r="B9" s="3"/>
      <c r="C9" s="2"/>
      <c r="D9" s="240" t="s">
        <v>536</v>
      </c>
      <c r="E9" s="115"/>
      <c r="F9" s="414" t="s">
        <v>503</v>
      </c>
      <c r="G9" s="415" t="s">
        <v>535</v>
      </c>
      <c r="H9" s="416">
        <f>M35</f>
      </c>
      <c r="I9" s="417">
        <f>M63</f>
      </c>
      <c r="J9" s="3"/>
      <c r="K9" s="418" t="s">
        <v>537</v>
      </c>
      <c r="L9" s="35">
        <f>P62</f>
      </c>
      <c r="M9" s="3"/>
      <c r="N9" s="108"/>
      <c r="O9" s="3"/>
      <c r="P9" s="3"/>
      <c r="Q9" s="3"/>
      <c r="R9" s="3"/>
      <c r="S9" s="3"/>
      <c r="T9" s="3"/>
      <c r="U9" s="3"/>
      <c r="V9" s="108"/>
      <c r="W9" s="108"/>
      <c r="X9" s="108"/>
      <c r="Y9" s="2"/>
      <c r="Z9" s="108"/>
    </row>
    <row x14ac:dyDescent="0.25" r="10" customHeight="1" ht="13.5">
      <c r="A10" s="2"/>
      <c r="B10" s="3"/>
      <c r="C10" s="2"/>
      <c r="D10" s="241" t="s">
        <v>538</v>
      </c>
      <c r="E10" s="115"/>
      <c r="F10" s="115"/>
      <c r="G10" s="115"/>
      <c r="H10" s="115"/>
      <c r="I10" s="115"/>
      <c r="J10" s="3"/>
      <c r="K10" s="3"/>
      <c r="L10" s="3"/>
      <c r="M10" s="3"/>
      <c r="N10" s="108"/>
      <c r="O10" s="3"/>
      <c r="P10" s="3"/>
      <c r="Q10" s="3"/>
      <c r="R10" s="3"/>
      <c r="S10" s="3"/>
      <c r="T10" s="3"/>
      <c r="U10" s="3"/>
      <c r="V10" s="108"/>
      <c r="W10" s="108"/>
      <c r="X10" s="108"/>
      <c r="Y10" s="2"/>
      <c r="Z10" s="108"/>
    </row>
    <row x14ac:dyDescent="0.25" r="11" customHeight="1" ht="13.5">
      <c r="A11" s="2"/>
      <c r="B11" s="3"/>
      <c r="C11" s="2"/>
      <c r="D11" s="107"/>
      <c r="E11" s="115"/>
      <c r="F11" s="115"/>
      <c r="G11" s="115"/>
      <c r="H11" s="115"/>
      <c r="I11" s="115"/>
      <c r="J11" s="3"/>
      <c r="K11" s="3"/>
      <c r="L11" s="3"/>
      <c r="M11" s="3"/>
      <c r="N11" s="108"/>
      <c r="O11" s="3"/>
      <c r="P11" s="3"/>
      <c r="Q11" s="3"/>
      <c r="R11" s="3"/>
      <c r="S11" s="3"/>
      <c r="T11" s="3"/>
      <c r="U11" s="3"/>
      <c r="V11" s="108"/>
      <c r="W11" s="108"/>
      <c r="X11" s="108"/>
      <c r="Y11" s="2"/>
      <c r="Z11" s="108"/>
    </row>
    <row x14ac:dyDescent="0.25" r="12" customHeight="1" ht="13.5">
      <c r="A12" s="2"/>
      <c r="B12" s="3"/>
      <c r="C12" s="2"/>
      <c r="D12" s="256"/>
      <c r="E12" s="257">
        <v>2017</v>
      </c>
      <c r="F12" s="257">
        <v>2018</v>
      </c>
      <c r="G12" s="257">
        <v>2019</v>
      </c>
      <c r="H12" s="257">
        <v>2020</v>
      </c>
      <c r="I12" s="257">
        <v>2021</v>
      </c>
      <c r="J12" s="257">
        <v>2022</v>
      </c>
      <c r="K12" s="257">
        <v>2023</v>
      </c>
      <c r="L12" s="257">
        <v>2024</v>
      </c>
      <c r="M12" s="257">
        <v>2025</v>
      </c>
      <c r="N12" s="108"/>
      <c r="O12" s="280" t="s">
        <v>539</v>
      </c>
      <c r="P12" s="280" t="s">
        <v>540</v>
      </c>
      <c r="Q12" s="3"/>
      <c r="R12" s="232" t="s">
        <v>541</v>
      </c>
      <c r="S12" s="3"/>
      <c r="T12" s="3"/>
      <c r="U12" s="3"/>
      <c r="V12" s="108"/>
      <c r="W12" s="108"/>
      <c r="X12" s="108"/>
      <c r="Y12" s="2"/>
      <c r="Z12" s="108"/>
    </row>
    <row x14ac:dyDescent="0.25" r="13" customHeight="1" ht="13.5">
      <c r="A13" s="2"/>
      <c r="B13" s="3"/>
      <c r="C13" s="2"/>
      <c r="D13" s="292">
        <f>D72</f>
      </c>
      <c r="E13" s="267">
        <f>(E72*E101)/1000000</f>
      </c>
      <c r="F13" s="267">
        <f>(F72*F101)/1000000</f>
      </c>
      <c r="G13" s="267">
        <f>(G72*G101)/1000000</f>
      </c>
      <c r="H13" s="267">
        <f>(H72*H101)/1000000</f>
      </c>
      <c r="I13" s="267">
        <f>(I72*I101)/1000000</f>
      </c>
      <c r="J13" s="419">
        <f>(J72*J101)/1000000</f>
      </c>
      <c r="K13" s="419">
        <f>(K72*K101)/1000000</f>
      </c>
      <c r="L13" s="419">
        <f>(L72*L101)/1000000</f>
      </c>
      <c r="M13" s="419">
        <f>(M72*M101)/1000000</f>
      </c>
      <c r="N13" s="108"/>
      <c r="O13" s="420">
        <f>IFERROR(_xlfn.RRI($I$12-$E$12,E13,I13),0)</f>
      </c>
      <c r="P13" s="420">
        <f>IFERROR(_xlfn.RRI($M$12-$J$12,J13,M13),0)</f>
      </c>
      <c r="Q13" s="3"/>
      <c r="R13" s="124">
        <f>M13-J13</f>
      </c>
      <c r="S13" s="124"/>
      <c r="T13" s="3"/>
      <c r="U13" s="124"/>
      <c r="V13" s="108"/>
      <c r="W13" s="108"/>
      <c r="X13" s="108"/>
      <c r="Y13" s="2"/>
      <c r="Z13" s="108"/>
    </row>
    <row x14ac:dyDescent="0.25" r="14" customHeight="1" ht="13.5">
      <c r="A14" s="2"/>
      <c r="B14" s="3"/>
      <c r="C14" s="2"/>
      <c r="D14" s="292">
        <f>D73</f>
      </c>
      <c r="E14" s="267">
        <f>(E73*E102)/1000000</f>
      </c>
      <c r="F14" s="267">
        <f>(F73*F102)/1000000</f>
      </c>
      <c r="G14" s="267">
        <f>(G73*G102)/1000000</f>
      </c>
      <c r="H14" s="267">
        <f>(H73*H102)/1000000</f>
      </c>
      <c r="I14" s="267">
        <f>(I73*I102)/1000000</f>
      </c>
      <c r="J14" s="419">
        <f>(J73*J102)/1000000</f>
      </c>
      <c r="K14" s="419">
        <f>(K73*K102)/1000000</f>
      </c>
      <c r="L14" s="419">
        <f>(L73*L102)/1000000</f>
      </c>
      <c r="M14" s="419">
        <f>(M73*M102)/1000000</f>
      </c>
      <c r="N14" s="108"/>
      <c r="O14" s="420">
        <f>IFERROR(_xlfn.RRI($I$12-$E$12,E14,I14),0)</f>
      </c>
      <c r="P14" s="420">
        <f>IFERROR(_xlfn.RRI($M$12-$J$12,J14,M14),0)</f>
      </c>
      <c r="Q14" s="3"/>
      <c r="R14" s="124">
        <f>M14-J14</f>
      </c>
      <c r="S14" s="124"/>
      <c r="T14" s="3"/>
      <c r="U14" s="124"/>
      <c r="V14" s="108"/>
      <c r="W14" s="108"/>
      <c r="X14" s="108"/>
      <c r="Y14" s="2"/>
      <c r="Z14" s="108"/>
    </row>
    <row x14ac:dyDescent="0.25" r="15" customHeight="1" ht="13.5">
      <c r="A15" s="2"/>
      <c r="B15" s="3"/>
      <c r="C15" s="2"/>
      <c r="D15" s="292">
        <f>D74</f>
      </c>
      <c r="E15" s="267">
        <f>(E74*E103)/1000000</f>
      </c>
      <c r="F15" s="267">
        <f>(F74*F103)/1000000</f>
      </c>
      <c r="G15" s="267">
        <f>(G74*G103)/1000000</f>
      </c>
      <c r="H15" s="267">
        <f>(H74*H103)/1000000</f>
      </c>
      <c r="I15" s="267">
        <f>(I74*I103)/1000000</f>
      </c>
      <c r="J15" s="419">
        <f>(J74*J103)/1000000</f>
      </c>
      <c r="K15" s="419">
        <f>(K74*K103)/1000000</f>
      </c>
      <c r="L15" s="419">
        <f>(L74*L103)/1000000</f>
      </c>
      <c r="M15" s="419">
        <f>(M74*M103)/1000000</f>
      </c>
      <c r="N15" s="108"/>
      <c r="O15" s="420">
        <f>IFERROR(_xlfn.RRI($I$12-$E$12,E15,I15),0)</f>
      </c>
      <c r="P15" s="420">
        <f>IFERROR(_xlfn.RRI($M$12-$J$12,J15,M15),0)</f>
      </c>
      <c r="Q15" s="3"/>
      <c r="R15" s="124">
        <f>M15-J15</f>
      </c>
      <c r="S15" s="124"/>
      <c r="T15" s="3"/>
      <c r="U15" s="124"/>
      <c r="V15" s="108"/>
      <c r="W15" s="108"/>
      <c r="X15" s="108"/>
      <c r="Y15" s="2"/>
      <c r="Z15" s="108"/>
    </row>
    <row x14ac:dyDescent="0.25" r="16" customHeight="1" ht="13.5">
      <c r="A16" s="2"/>
      <c r="B16" s="3"/>
      <c r="C16" s="2"/>
      <c r="D16" s="292">
        <f>D75</f>
      </c>
      <c r="E16" s="267">
        <f>(E75*E104)/1000000</f>
      </c>
      <c r="F16" s="267">
        <f>(F75*F104)/1000000</f>
      </c>
      <c r="G16" s="267">
        <f>(G75*G104)/1000000</f>
      </c>
      <c r="H16" s="267">
        <f>(H75*H104)/1000000</f>
      </c>
      <c r="I16" s="267">
        <f>(I75*I104)/1000000</f>
      </c>
      <c r="J16" s="419">
        <f>(J75*J104)/1000000</f>
      </c>
      <c r="K16" s="419">
        <f>(K75*K104)/1000000</f>
      </c>
      <c r="L16" s="419">
        <f>(L75*L104)/1000000</f>
      </c>
      <c r="M16" s="419">
        <f>(M75*M104)/1000000</f>
      </c>
      <c r="N16" s="108"/>
      <c r="O16" s="420">
        <f>IFERROR(_xlfn.RRI($I$12-$E$12,E16,I16),0)</f>
      </c>
      <c r="P16" s="420">
        <f>IFERROR(_xlfn.RRI($M$12-$J$12,J16,M16),0)</f>
      </c>
      <c r="Q16" s="3"/>
      <c r="R16" s="124">
        <f>M16-J16</f>
      </c>
      <c r="S16" s="124"/>
      <c r="T16" s="3"/>
      <c r="U16" s="124"/>
      <c r="V16" s="108"/>
      <c r="W16" s="108"/>
      <c r="X16" s="108"/>
      <c r="Y16" s="2"/>
      <c r="Z16" s="108"/>
    </row>
    <row x14ac:dyDescent="0.25" r="17" customHeight="1" ht="13.5">
      <c r="A17" s="2"/>
      <c r="B17" s="3"/>
      <c r="C17" s="2"/>
      <c r="D17" s="292">
        <f>D76</f>
      </c>
      <c r="E17" s="267">
        <f>(E76*E105)/1000000</f>
      </c>
      <c r="F17" s="267">
        <f>(F76*F105)/1000000</f>
      </c>
      <c r="G17" s="267">
        <f>(G76*G105)/1000000</f>
      </c>
      <c r="H17" s="267">
        <f>(H76*H105)/1000000</f>
      </c>
      <c r="I17" s="267">
        <f>(I76*I105)/1000000</f>
      </c>
      <c r="J17" s="419">
        <f>(J76*J105)/1000000</f>
      </c>
      <c r="K17" s="419">
        <f>(K76*K105)/1000000</f>
      </c>
      <c r="L17" s="419">
        <f>(L76*L105)/1000000</f>
      </c>
      <c r="M17" s="419">
        <f>(M76*M105)/1000000</f>
      </c>
      <c r="N17" s="108"/>
      <c r="O17" s="420">
        <f>IFERROR(_xlfn.RRI($I$12-$E$12,E17,I17),0)</f>
      </c>
      <c r="P17" s="420">
        <f>IFERROR(_xlfn.RRI($M$12-$J$12,J17,M17),0)</f>
      </c>
      <c r="Q17" s="3"/>
      <c r="R17" s="124">
        <f>M17-J17</f>
      </c>
      <c r="S17" s="124"/>
      <c r="T17" s="3"/>
      <c r="U17" s="124"/>
      <c r="V17" s="108"/>
      <c r="W17" s="108"/>
      <c r="X17" s="108"/>
      <c r="Y17" s="2"/>
      <c r="Z17" s="108"/>
    </row>
    <row x14ac:dyDescent="0.25" r="18" customHeight="1" ht="13.5">
      <c r="A18" s="2"/>
      <c r="B18" s="3"/>
      <c r="C18" s="2"/>
      <c r="D18" s="292">
        <f>D77</f>
      </c>
      <c r="E18" s="267">
        <f>(E77*E106)/1000000</f>
      </c>
      <c r="F18" s="267">
        <f>(F77*F106)/1000000</f>
      </c>
      <c r="G18" s="267">
        <f>(G77*G106)/1000000</f>
      </c>
      <c r="H18" s="267">
        <f>(H77*H106)/1000000</f>
      </c>
      <c r="I18" s="267">
        <f>(I77*I106)/1000000</f>
      </c>
      <c r="J18" s="419">
        <f>(J77*J106)/1000000</f>
      </c>
      <c r="K18" s="419">
        <f>(K77*K106)/1000000</f>
      </c>
      <c r="L18" s="419">
        <f>(L77*L106)/1000000</f>
      </c>
      <c r="M18" s="419">
        <f>(M77*M106)/1000000</f>
      </c>
      <c r="N18" s="108"/>
      <c r="O18" s="420">
        <f>IFERROR(_xlfn.RRI($I$12-$E$12,E18,I18),0)</f>
      </c>
      <c r="P18" s="420">
        <f>IFERROR(_xlfn.RRI($M$12-$J$12,J18,M18),0)</f>
      </c>
      <c r="Q18" s="3"/>
      <c r="R18" s="124">
        <f>M18-J18</f>
      </c>
      <c r="S18" s="124"/>
      <c r="T18" s="3"/>
      <c r="U18" s="124"/>
      <c r="V18" s="108"/>
      <c r="W18" s="108"/>
      <c r="X18" s="108"/>
      <c r="Y18" s="2"/>
      <c r="Z18" s="108"/>
    </row>
    <row x14ac:dyDescent="0.25" r="19" customHeight="1" ht="13.5">
      <c r="A19" s="2"/>
      <c r="B19" s="3"/>
      <c r="C19" s="2"/>
      <c r="D19" s="292">
        <f>D78</f>
      </c>
      <c r="E19" s="267">
        <f>(E78*E107)/1000000</f>
      </c>
      <c r="F19" s="267">
        <f>(F78*F107)/1000000</f>
      </c>
      <c r="G19" s="267">
        <f>(G78*G107)/1000000</f>
      </c>
      <c r="H19" s="267">
        <f>(H78*H107)/1000000</f>
      </c>
      <c r="I19" s="267">
        <f>(I78*I107)/1000000</f>
      </c>
      <c r="J19" s="419">
        <f>(J78*J107)/1000000</f>
      </c>
      <c r="K19" s="419">
        <f>(K78*K107)/1000000</f>
      </c>
      <c r="L19" s="419">
        <f>(L78*L107)/1000000</f>
      </c>
      <c r="M19" s="419">
        <f>(M78*M107)/1000000</f>
      </c>
      <c r="N19" s="108"/>
      <c r="O19" s="420">
        <f>IFERROR(_xlfn.RRI($I$12-$E$12,E19,I19),0)</f>
      </c>
      <c r="P19" s="420">
        <f>IFERROR(_xlfn.RRI($M$12-$J$12,J19,M19),0)</f>
      </c>
      <c r="Q19" s="3"/>
      <c r="R19" s="124">
        <f>M19-J19</f>
      </c>
      <c r="S19" s="124"/>
      <c r="T19" s="3"/>
      <c r="U19" s="124"/>
      <c r="V19" s="108"/>
      <c r="W19" s="108"/>
      <c r="X19" s="108"/>
      <c r="Y19" s="2"/>
      <c r="Z19" s="108"/>
    </row>
    <row x14ac:dyDescent="0.25" r="20" customHeight="1" ht="13.5">
      <c r="A20" s="2"/>
      <c r="B20" s="3"/>
      <c r="C20" s="2"/>
      <c r="D20" s="292">
        <f>D79</f>
      </c>
      <c r="E20" s="267">
        <f>(E79*E108)/1000000</f>
      </c>
      <c r="F20" s="267">
        <f>(F79*F108)/1000000</f>
      </c>
      <c r="G20" s="267">
        <f>(G79*G108)/1000000</f>
      </c>
      <c r="H20" s="267">
        <f>(H79*H108)/1000000</f>
      </c>
      <c r="I20" s="267">
        <f>(I79*I108)/1000000</f>
      </c>
      <c r="J20" s="419">
        <f>(J79*J108)/1000000</f>
      </c>
      <c r="K20" s="419">
        <f>(K79*K108)/1000000</f>
      </c>
      <c r="L20" s="419">
        <f>(L79*L108)/1000000</f>
      </c>
      <c r="M20" s="419">
        <f>(M79*M108)/1000000</f>
      </c>
      <c r="N20" s="108"/>
      <c r="O20" s="420">
        <f>IFERROR(_xlfn.RRI($I$12-$E$12,E20,I20),0)</f>
      </c>
      <c r="P20" s="420">
        <f>IFERROR(_xlfn.RRI($M$12-$J$12,J20,M20),0)</f>
      </c>
      <c r="Q20" s="3"/>
      <c r="R20" s="124">
        <f>M20-J20</f>
      </c>
      <c r="S20" s="124"/>
      <c r="T20" s="3"/>
      <c r="U20" s="124"/>
      <c r="V20" s="108"/>
      <c r="W20" s="108"/>
      <c r="X20" s="108"/>
      <c r="Y20" s="2"/>
      <c r="Z20" s="108"/>
    </row>
    <row x14ac:dyDescent="0.25" r="21" customHeight="1" ht="13.5">
      <c r="A21" s="2"/>
      <c r="B21" s="3"/>
      <c r="C21" s="2"/>
      <c r="D21" s="292">
        <f>D80</f>
      </c>
      <c r="E21" s="267">
        <f>(E80*E109)/1000000</f>
      </c>
      <c r="F21" s="267">
        <f>(F80*F109)/1000000</f>
      </c>
      <c r="G21" s="267">
        <f>(G80*G109)/1000000</f>
      </c>
      <c r="H21" s="267">
        <f>(H80*H109)/1000000</f>
      </c>
      <c r="I21" s="267">
        <f>(I80*I109)/1000000</f>
      </c>
      <c r="J21" s="419">
        <f>(J80*J109)/1000000</f>
      </c>
      <c r="K21" s="419">
        <f>(K80*K109)/1000000</f>
      </c>
      <c r="L21" s="419">
        <f>(L80*L109)/1000000</f>
      </c>
      <c r="M21" s="419">
        <f>(M80*M109)/1000000</f>
      </c>
      <c r="N21" s="108"/>
      <c r="O21" s="420">
        <f>IFERROR(_xlfn.RRI($I$12-$E$12,E21,I21),0)</f>
      </c>
      <c r="P21" s="420">
        <f>IFERROR(_xlfn.RRI($M$12-$J$12,J21,M21),0)</f>
      </c>
      <c r="Q21" s="3"/>
      <c r="R21" s="124">
        <f>M21-J21</f>
      </c>
      <c r="S21" s="124"/>
      <c r="T21" s="3"/>
      <c r="U21" s="124"/>
      <c r="V21" s="108"/>
      <c r="W21" s="108"/>
      <c r="X21" s="108"/>
      <c r="Y21" s="2"/>
      <c r="Z21" s="108"/>
    </row>
    <row x14ac:dyDescent="0.25" r="22" customHeight="1" ht="13.5">
      <c r="A22" s="2"/>
      <c r="B22" s="3"/>
      <c r="C22" s="2"/>
      <c r="D22" s="292">
        <f>D81</f>
      </c>
      <c r="E22" s="267">
        <f>(E81*E110)/1000000</f>
      </c>
      <c r="F22" s="267">
        <f>(F81*F110)/1000000</f>
      </c>
      <c r="G22" s="267">
        <f>(G81*G110)/1000000</f>
      </c>
      <c r="H22" s="267">
        <f>(H81*H110)/1000000</f>
      </c>
      <c r="I22" s="267">
        <f>(I81*I110)/1000000</f>
      </c>
      <c r="J22" s="419">
        <f>(J81*J110)/1000000</f>
      </c>
      <c r="K22" s="419">
        <f>(K81*K110)/1000000</f>
      </c>
      <c r="L22" s="419">
        <f>(L81*L110)/1000000</f>
      </c>
      <c r="M22" s="419">
        <f>(M81*M110)/1000000</f>
      </c>
      <c r="N22" s="108"/>
      <c r="O22" s="420">
        <f>IFERROR(_xlfn.RRI($I$12-$E$12,E22,I22),0)</f>
      </c>
      <c r="P22" s="420">
        <f>IFERROR(_xlfn.RRI($M$12-$J$12,J22,M22),0)</f>
      </c>
      <c r="Q22" s="3"/>
      <c r="R22" s="124">
        <f>M22-J22</f>
      </c>
      <c r="S22" s="124"/>
      <c r="T22" s="3"/>
      <c r="U22" s="124"/>
      <c r="V22" s="108"/>
      <c r="W22" s="108"/>
      <c r="X22" s="108"/>
      <c r="Y22" s="2"/>
      <c r="Z22" s="108"/>
    </row>
    <row x14ac:dyDescent="0.25" r="23" customHeight="1" ht="13.5">
      <c r="A23" s="2"/>
      <c r="B23" s="3"/>
      <c r="C23" s="2"/>
      <c r="D23" s="292">
        <f>D82</f>
      </c>
      <c r="E23" s="267">
        <f>(E82*E111)/1000000</f>
      </c>
      <c r="F23" s="267">
        <f>(F82*F111)/1000000</f>
      </c>
      <c r="G23" s="267">
        <f>(G82*G111)/1000000</f>
      </c>
      <c r="H23" s="267">
        <f>(H82*H111)/1000000</f>
      </c>
      <c r="I23" s="267">
        <f>(I82*I111)/1000000</f>
      </c>
      <c r="J23" s="419">
        <f>(J82*J111)/1000000</f>
      </c>
      <c r="K23" s="419">
        <f>(K82*K111)/1000000</f>
      </c>
      <c r="L23" s="419">
        <f>(L82*L111)/1000000</f>
      </c>
      <c r="M23" s="419">
        <f>(M82*M111)/1000000</f>
      </c>
      <c r="N23" s="108"/>
      <c r="O23" s="420">
        <f>IFERROR(_xlfn.RRI($I$12-$E$12,E23,I23),0)</f>
      </c>
      <c r="P23" s="420">
        <f>IFERROR(_xlfn.RRI($M$12-$J$12,J23,M23),0)</f>
      </c>
      <c r="Q23" s="3"/>
      <c r="R23" s="124">
        <f>M23-J23</f>
      </c>
      <c r="S23" s="124"/>
      <c r="T23" s="3"/>
      <c r="U23" s="124"/>
      <c r="V23" s="108"/>
      <c r="W23" s="108"/>
      <c r="X23" s="108"/>
      <c r="Y23" s="2"/>
      <c r="Z23" s="108"/>
    </row>
    <row x14ac:dyDescent="0.25" r="24" customHeight="1" ht="13.5">
      <c r="A24" s="2"/>
      <c r="B24" s="3"/>
      <c r="C24" s="2"/>
      <c r="D24" s="292">
        <f>D83</f>
      </c>
      <c r="E24" s="267">
        <f>(E83*E112)/1000000</f>
      </c>
      <c r="F24" s="267">
        <f>(F83*F112)/1000000</f>
      </c>
      <c r="G24" s="267">
        <f>(G83*G112)/1000000</f>
      </c>
      <c r="H24" s="267">
        <f>(H83*H112)/1000000</f>
      </c>
      <c r="I24" s="267">
        <f>(I83*I112)/1000000</f>
      </c>
      <c r="J24" s="419">
        <f>(J83*J112)/1000000</f>
      </c>
      <c r="K24" s="419">
        <f>(K83*K112)/1000000</f>
      </c>
      <c r="L24" s="419">
        <f>(L83*L112)/1000000</f>
      </c>
      <c r="M24" s="419">
        <f>(M83*M112)/1000000</f>
      </c>
      <c r="N24" s="108"/>
      <c r="O24" s="420">
        <f>IFERROR(_xlfn.RRI($I$12-$E$12,E24,I24),0)</f>
      </c>
      <c r="P24" s="420">
        <f>IFERROR(_xlfn.RRI($M$12-$J$12,J24,M24),0)</f>
      </c>
      <c r="Q24" s="3"/>
      <c r="R24" s="124">
        <f>M24-J24</f>
      </c>
      <c r="S24" s="124"/>
      <c r="T24" s="3"/>
      <c r="U24" s="124"/>
      <c r="V24" s="108"/>
      <c r="W24" s="108"/>
      <c r="X24" s="108"/>
      <c r="Y24" s="2"/>
      <c r="Z24" s="108"/>
    </row>
    <row x14ac:dyDescent="0.25" r="25" customHeight="1" ht="13.5">
      <c r="A25" s="2"/>
      <c r="B25" s="3"/>
      <c r="C25" s="2"/>
      <c r="D25" s="292">
        <f>D84</f>
      </c>
      <c r="E25" s="267">
        <f>(E84*E113)/1000000</f>
      </c>
      <c r="F25" s="267">
        <f>(F84*F113)/1000000</f>
      </c>
      <c r="G25" s="267">
        <f>(G84*G113)/1000000</f>
      </c>
      <c r="H25" s="267">
        <f>(H84*H113)/1000000</f>
      </c>
      <c r="I25" s="267">
        <f>(I84*I113)/1000000</f>
      </c>
      <c r="J25" s="419">
        <f>(J84*J113)/1000000</f>
      </c>
      <c r="K25" s="419">
        <f>(K84*K113)/1000000</f>
      </c>
      <c r="L25" s="419">
        <f>(L84*L113)/1000000</f>
      </c>
      <c r="M25" s="419">
        <f>(M84*M113)/1000000</f>
      </c>
      <c r="N25" s="108"/>
      <c r="O25" s="420">
        <f>IFERROR(_xlfn.RRI($I$12-$E$12,E25,I25),0)</f>
      </c>
      <c r="P25" s="420">
        <f>IFERROR(_xlfn.RRI($M$12-$J$12,J25,M25),0)</f>
      </c>
      <c r="Q25" s="3"/>
      <c r="R25" s="124">
        <f>M25-J25</f>
      </c>
      <c r="S25" s="124"/>
      <c r="T25" s="3"/>
      <c r="U25" s="124"/>
      <c r="V25" s="108"/>
      <c r="W25" s="108"/>
      <c r="X25" s="108"/>
      <c r="Y25" s="2"/>
      <c r="Z25" s="108"/>
    </row>
    <row x14ac:dyDescent="0.25" r="26" customHeight="1" ht="13.5">
      <c r="A26" s="2"/>
      <c r="B26" s="3"/>
      <c r="C26" s="2"/>
      <c r="D26" s="292">
        <f>D85</f>
      </c>
      <c r="E26" s="267">
        <f>(E85*E114)/1000000</f>
      </c>
      <c r="F26" s="267">
        <f>(F85*F114)/1000000</f>
      </c>
      <c r="G26" s="267">
        <f>(G85*G114)/1000000</f>
      </c>
      <c r="H26" s="267">
        <f>(H85*H114)/1000000</f>
      </c>
      <c r="I26" s="267">
        <f>(I85*I114)/1000000</f>
      </c>
      <c r="J26" s="419">
        <f>(J85*J114)/1000000</f>
      </c>
      <c r="K26" s="419">
        <f>(K85*K114)/1000000</f>
      </c>
      <c r="L26" s="419">
        <f>(L85*L114)/1000000</f>
      </c>
      <c r="M26" s="419">
        <f>(M85*M114)/1000000</f>
      </c>
      <c r="N26" s="108"/>
      <c r="O26" s="420">
        <f>IFERROR(_xlfn.RRI($I$12-$E$12,E26,I26),0)</f>
      </c>
      <c r="P26" s="420">
        <f>IFERROR(_xlfn.RRI($M$12-$J$12,J26,M26),0)</f>
      </c>
      <c r="Q26" s="3"/>
      <c r="R26" s="124">
        <f>M26-J26</f>
      </c>
      <c r="S26" s="124"/>
      <c r="T26" s="3"/>
      <c r="U26" s="124"/>
      <c r="V26" s="108"/>
      <c r="W26" s="108"/>
      <c r="X26" s="108"/>
      <c r="Y26" s="2"/>
      <c r="Z26" s="108"/>
    </row>
    <row x14ac:dyDescent="0.25" r="27" customHeight="1" ht="13.5">
      <c r="A27" s="2"/>
      <c r="B27" s="3"/>
      <c r="C27" s="2"/>
      <c r="D27" s="292">
        <f>D86</f>
      </c>
      <c r="E27" s="267">
        <f>(E86*E115)/1000000</f>
      </c>
      <c r="F27" s="267">
        <f>(F86*F115)/1000000</f>
      </c>
      <c r="G27" s="267">
        <f>(G86*G115)/1000000</f>
      </c>
      <c r="H27" s="267">
        <f>(H86*H115)/1000000</f>
      </c>
      <c r="I27" s="267">
        <f>(I86*I115)/1000000</f>
      </c>
      <c r="J27" s="419">
        <f>(J86*J115)/1000000</f>
      </c>
      <c r="K27" s="419">
        <f>(K86*K115)/1000000</f>
      </c>
      <c r="L27" s="419">
        <f>(L86*L115)/1000000</f>
      </c>
      <c r="M27" s="419">
        <f>(M86*M115)/1000000</f>
      </c>
      <c r="N27" s="108"/>
      <c r="O27" s="420">
        <f>IFERROR(_xlfn.RRI($I$12-$E$12,E27,I27),0)</f>
      </c>
      <c r="P27" s="420">
        <f>IFERROR(_xlfn.RRI($M$12-$J$12,J27,M27),0)</f>
      </c>
      <c r="Q27" s="3"/>
      <c r="R27" s="124">
        <f>M27-J27</f>
      </c>
      <c r="S27" s="124"/>
      <c r="T27" s="3"/>
      <c r="U27" s="124"/>
      <c r="V27" s="108"/>
      <c r="W27" s="108"/>
      <c r="X27" s="108"/>
      <c r="Y27" s="2"/>
      <c r="Z27" s="108"/>
    </row>
    <row x14ac:dyDescent="0.25" r="28" customHeight="1" ht="13.5">
      <c r="A28" s="2"/>
      <c r="B28" s="3"/>
      <c r="C28" s="2"/>
      <c r="D28" s="292">
        <f>D87</f>
      </c>
      <c r="E28" s="267">
        <f>(E87*E116)/1000000</f>
      </c>
      <c r="F28" s="267">
        <f>(F87*F116)/1000000</f>
      </c>
      <c r="G28" s="267">
        <f>(G87*G116)/1000000</f>
      </c>
      <c r="H28" s="267">
        <f>(H87*H116)/1000000</f>
      </c>
      <c r="I28" s="267">
        <f>(I87*I116)/1000000</f>
      </c>
      <c r="J28" s="419">
        <f>(J87*J116)/1000000</f>
      </c>
      <c r="K28" s="419">
        <f>(K87*K116)/1000000</f>
      </c>
      <c r="L28" s="419">
        <f>(L87*L116)/1000000</f>
      </c>
      <c r="M28" s="419">
        <f>(M87*M116)/1000000</f>
      </c>
      <c r="N28" s="108"/>
      <c r="O28" s="420">
        <f>IFERROR(_xlfn.RRI($I$12-$E$12,E28,I28),0)</f>
      </c>
      <c r="P28" s="420">
        <f>IFERROR(_xlfn.RRI($M$12-$J$12,J28,M28),0)</f>
      </c>
      <c r="Q28" s="3"/>
      <c r="R28" s="124">
        <f>M28-J28</f>
      </c>
      <c r="S28" s="124"/>
      <c r="T28" s="3"/>
      <c r="U28" s="124"/>
      <c r="V28" s="108"/>
      <c r="W28" s="108"/>
      <c r="X28" s="108"/>
      <c r="Y28" s="2"/>
      <c r="Z28" s="108"/>
    </row>
    <row x14ac:dyDescent="0.25" r="29" customHeight="1" ht="13.5">
      <c r="A29" s="2"/>
      <c r="B29" s="3"/>
      <c r="C29" s="2"/>
      <c r="D29" s="292">
        <f>D88</f>
      </c>
      <c r="E29" s="267">
        <f>(E88*E117)/1000000</f>
      </c>
      <c r="F29" s="267">
        <f>(F88*F117)/1000000</f>
      </c>
      <c r="G29" s="267">
        <f>(G88*G117)/1000000</f>
      </c>
      <c r="H29" s="267">
        <f>(H88*H117)/1000000</f>
      </c>
      <c r="I29" s="267">
        <f>(I88*I117)/1000000</f>
      </c>
      <c r="J29" s="419">
        <f>(J88*J117)/1000000</f>
      </c>
      <c r="K29" s="419">
        <f>(K88*K117)/1000000</f>
      </c>
      <c r="L29" s="419">
        <f>(L88*L117)/1000000</f>
      </c>
      <c r="M29" s="419">
        <f>(M88*M117)/1000000</f>
      </c>
      <c r="N29" s="108"/>
      <c r="O29" s="420">
        <f>IFERROR(_xlfn.RRI($I$12-$E$12,E29,I29),0)</f>
      </c>
      <c r="P29" s="420">
        <f>IFERROR(_xlfn.RRI($M$12-$J$12,J29,M29),0)</f>
      </c>
      <c r="Q29" s="3"/>
      <c r="R29" s="124">
        <f>M29-J29</f>
      </c>
      <c r="S29" s="124"/>
      <c r="T29" s="3"/>
      <c r="U29" s="124"/>
      <c r="V29" s="108"/>
      <c r="W29" s="108"/>
      <c r="X29" s="108"/>
      <c r="Y29" s="2"/>
      <c r="Z29" s="108"/>
    </row>
    <row x14ac:dyDescent="0.25" r="30" customHeight="1" ht="13.5">
      <c r="A30" s="2"/>
      <c r="B30" s="3"/>
      <c r="C30" s="2"/>
      <c r="D30" s="292">
        <f>D89</f>
      </c>
      <c r="E30" s="267">
        <f>(E89*E118)/1000000</f>
      </c>
      <c r="F30" s="267">
        <f>(F89*F118)/1000000</f>
      </c>
      <c r="G30" s="267">
        <f>(G89*G118)/1000000</f>
      </c>
      <c r="H30" s="267">
        <f>(H89*H118)/1000000</f>
      </c>
      <c r="I30" s="267">
        <f>(I89*I118)/1000000</f>
      </c>
      <c r="J30" s="419">
        <f>(J89*J118)/1000000</f>
      </c>
      <c r="K30" s="419">
        <f>(K89*K118)/1000000</f>
      </c>
      <c r="L30" s="419">
        <f>(L89*L118)/1000000</f>
      </c>
      <c r="M30" s="419">
        <f>(M89*M118)/1000000</f>
      </c>
      <c r="N30" s="108"/>
      <c r="O30" s="420">
        <f>IFERROR(_xlfn.RRI($I$12-$E$12,E30,I30),0)</f>
      </c>
      <c r="P30" s="420">
        <f>IFERROR(_xlfn.RRI($M$12-$J$12,J30,M30),0)</f>
      </c>
      <c r="Q30" s="3"/>
      <c r="R30" s="124">
        <f>M30-J30</f>
      </c>
      <c r="S30" s="124"/>
      <c r="T30" s="3"/>
      <c r="U30" s="124"/>
      <c r="V30" s="108"/>
      <c r="W30" s="108"/>
      <c r="X30" s="108"/>
      <c r="Y30" s="2"/>
      <c r="Z30" s="108"/>
    </row>
    <row x14ac:dyDescent="0.25" r="31" customHeight="1" ht="13.5">
      <c r="A31" s="2"/>
      <c r="B31" s="3"/>
      <c r="C31" s="2"/>
      <c r="D31" s="292">
        <f>D90</f>
      </c>
      <c r="E31" s="267">
        <f>(E90*E119)/1000000</f>
      </c>
      <c r="F31" s="267">
        <f>(F90*F119)/1000000</f>
      </c>
      <c r="G31" s="267">
        <f>(G90*G119)/1000000</f>
      </c>
      <c r="H31" s="267">
        <f>(H90*H119)/1000000</f>
      </c>
      <c r="I31" s="267">
        <f>(I90*I119)/1000000</f>
      </c>
      <c r="J31" s="419">
        <f>(J90*J119)/1000000</f>
      </c>
      <c r="K31" s="419">
        <f>(K90*K119)/1000000</f>
      </c>
      <c r="L31" s="419">
        <f>(L90*L119)/1000000</f>
      </c>
      <c r="M31" s="419">
        <f>(M90*M119)/1000000</f>
      </c>
      <c r="N31" s="108"/>
      <c r="O31" s="420">
        <f>IFERROR(_xlfn.RRI($I$12-$E$12,E31,I31),0)</f>
      </c>
      <c r="P31" s="420">
        <f>IFERROR(_xlfn.RRI($M$12-$J$12,J31,M31),0)</f>
      </c>
      <c r="Q31" s="3"/>
      <c r="R31" s="124">
        <f>M31-J31</f>
      </c>
      <c r="S31" s="124"/>
      <c r="T31" s="3"/>
      <c r="U31" s="124"/>
      <c r="V31" s="108"/>
      <c r="W31" s="108"/>
      <c r="X31" s="108"/>
      <c r="Y31" s="2"/>
      <c r="Z31" s="108"/>
    </row>
    <row x14ac:dyDescent="0.25" r="32" customHeight="1" ht="13.5">
      <c r="A32" s="2"/>
      <c r="B32" s="3"/>
      <c r="C32" s="2"/>
      <c r="D32" s="292">
        <f>D91</f>
      </c>
      <c r="E32" s="267">
        <f>(E91*E120)/1000000</f>
      </c>
      <c r="F32" s="267">
        <f>(F91*F120)/1000000</f>
      </c>
      <c r="G32" s="267">
        <f>(G91*G120)/1000000</f>
      </c>
      <c r="H32" s="267">
        <f>(H91*H120)/1000000</f>
      </c>
      <c r="I32" s="267">
        <f>(I91*I120)/1000000</f>
      </c>
      <c r="J32" s="419">
        <f>(J91*J120)/1000000</f>
      </c>
      <c r="K32" s="419">
        <f>(K91*K120)/1000000</f>
      </c>
      <c r="L32" s="419">
        <f>(L91*L120)/1000000</f>
      </c>
      <c r="M32" s="419">
        <f>(M91*M120)/1000000</f>
      </c>
      <c r="N32" s="108"/>
      <c r="O32" s="420">
        <f>IFERROR(_xlfn.RRI($I$12-$E$12,E32,I32),0)</f>
      </c>
      <c r="P32" s="420">
        <f>IFERROR(_xlfn.RRI($M$12-$J$12,J32,M32),0)</f>
      </c>
      <c r="Q32" s="3"/>
      <c r="R32" s="124">
        <f>M32-J32</f>
      </c>
      <c r="S32" s="124"/>
      <c r="T32" s="3"/>
      <c r="U32" s="124"/>
      <c r="V32" s="108"/>
      <c r="W32" s="108"/>
      <c r="X32" s="108"/>
      <c r="Y32" s="2"/>
      <c r="Z32" s="108"/>
    </row>
    <row x14ac:dyDescent="0.25" r="33" customHeight="1" ht="13.5">
      <c r="A33" s="2"/>
      <c r="B33" s="3"/>
      <c r="C33" s="2"/>
      <c r="D33" s="292">
        <f>D92</f>
      </c>
      <c r="E33" s="267">
        <f>(E92*E121)/1000000</f>
      </c>
      <c r="F33" s="267">
        <f>(F92*F121)/1000000</f>
      </c>
      <c r="G33" s="267">
        <f>(G92*G121)/1000000</f>
      </c>
      <c r="H33" s="267">
        <f>(H92*H121)/1000000</f>
      </c>
      <c r="I33" s="267">
        <f>(I92*I121)/1000000</f>
      </c>
      <c r="J33" s="419">
        <f>(J92*J121)/1000000</f>
      </c>
      <c r="K33" s="419">
        <f>(K92*K121)/1000000</f>
      </c>
      <c r="L33" s="419">
        <f>(L92*L121)/1000000</f>
      </c>
      <c r="M33" s="419">
        <f>(M92*M121)/1000000</f>
      </c>
      <c r="N33" s="108"/>
      <c r="O33" s="420">
        <f>IFERROR(_xlfn.RRI($I$12-$E$12,E33,I33),0)</f>
      </c>
      <c r="P33" s="420">
        <f>IFERROR(_xlfn.RRI($M$12-$J$12,J33,M33),0)</f>
      </c>
      <c r="Q33" s="3"/>
      <c r="R33" s="124">
        <f>M33-J33</f>
      </c>
      <c r="S33" s="124"/>
      <c r="T33" s="3"/>
      <c r="U33" s="124"/>
      <c r="V33" s="108"/>
      <c r="W33" s="108"/>
      <c r="X33" s="108"/>
      <c r="Y33" s="2"/>
      <c r="Z33" s="108"/>
    </row>
    <row x14ac:dyDescent="0.25" r="34" customHeight="1" ht="13.5">
      <c r="A34" s="2"/>
      <c r="B34" s="3"/>
      <c r="C34" s="2"/>
      <c r="D34" s="268" t="s">
        <v>534</v>
      </c>
      <c r="E34" s="421">
        <f>SUM(E13:E33)</f>
      </c>
      <c r="F34" s="421">
        <f>SUM(F13:F33)</f>
      </c>
      <c r="G34" s="421">
        <f>SUM(G13:G33)</f>
      </c>
      <c r="H34" s="421">
        <f>SUM(H13:H33)</f>
      </c>
      <c r="I34" s="421">
        <f>SUM(I13:I33)</f>
      </c>
      <c r="J34" s="253">
        <f>SUM(J13:J33)</f>
      </c>
      <c r="K34" s="253">
        <f>SUM(K13:K33)</f>
      </c>
      <c r="L34" s="253">
        <f>SUM(L13:L33)</f>
      </c>
      <c r="M34" s="253">
        <f>SUM(M13:M33)</f>
      </c>
      <c r="N34" s="422"/>
      <c r="O34" s="423">
        <f>IFERROR(_xlfn.RRI($I$71-$E$71,E34,I34),0)</f>
      </c>
      <c r="P34" s="423">
        <f>IFERROR(_xlfn.RRI($M$12-$J$12,J34,M34),0)</f>
      </c>
      <c r="Q34" s="3"/>
      <c r="R34" s="3"/>
      <c r="S34" s="3"/>
      <c r="T34" s="3"/>
      <c r="U34" s="3"/>
      <c r="V34" s="108"/>
      <c r="W34" s="108"/>
      <c r="X34" s="108"/>
      <c r="Y34" s="2"/>
      <c r="Z34" s="108"/>
    </row>
    <row x14ac:dyDescent="0.25" r="35" customHeight="1" ht="13.5">
      <c r="A35" s="2"/>
      <c r="B35" s="3"/>
      <c r="C35" s="2"/>
      <c r="D35" s="270" t="s">
        <v>503</v>
      </c>
      <c r="E35" s="424">
        <f>E34/46%</f>
      </c>
      <c r="F35" s="424">
        <f>F34/46%</f>
      </c>
      <c r="G35" s="424">
        <f>G34/46%</f>
      </c>
      <c r="H35" s="424">
        <f>H34/46%</f>
      </c>
      <c r="I35" s="424">
        <f>I34/46%</f>
      </c>
      <c r="J35" s="425">
        <f>J34/46%</f>
      </c>
      <c r="K35" s="425">
        <f>K34/46%</f>
      </c>
      <c r="L35" s="425">
        <f>L34/46%</f>
      </c>
      <c r="M35" s="425">
        <f>M34/46%</f>
      </c>
      <c r="N35" s="108"/>
      <c r="O35" s="426">
        <f>IFERROR(_xlfn.RRI($I$71-$E$71,E35,I35),0)</f>
      </c>
      <c r="P35" s="426">
        <f>IFERROR(_xlfn.RRI($M$12-$J$12,J35,M35),0)</f>
      </c>
      <c r="Q35" s="290"/>
      <c r="R35" s="3"/>
      <c r="S35" s="3"/>
      <c r="T35" s="3"/>
      <c r="U35" s="3"/>
      <c r="V35" s="108"/>
      <c r="W35" s="108"/>
      <c r="X35" s="108"/>
      <c r="Y35" s="2"/>
      <c r="Z35" s="108"/>
    </row>
    <row x14ac:dyDescent="0.25" r="36" customHeight="1" ht="13.5">
      <c r="A36" s="2"/>
      <c r="B36" s="3"/>
      <c r="C36" s="2"/>
      <c r="D36" s="107"/>
      <c r="E36" s="255"/>
      <c r="F36" s="255"/>
      <c r="G36" s="255"/>
      <c r="H36" s="255"/>
      <c r="I36" s="255"/>
      <c r="J36" s="124"/>
      <c r="K36" s="255"/>
      <c r="L36" s="255"/>
      <c r="M36" s="8"/>
      <c r="N36" s="422"/>
      <c r="O36" s="3"/>
      <c r="P36" s="3"/>
      <c r="Q36" s="3"/>
      <c r="R36" s="3"/>
      <c r="S36" s="3"/>
      <c r="T36" s="3"/>
      <c r="U36" s="3"/>
      <c r="V36" s="108"/>
      <c r="W36" s="108"/>
      <c r="X36" s="108"/>
      <c r="Y36" s="2"/>
      <c r="Z36" s="108"/>
    </row>
    <row x14ac:dyDescent="0.25" r="37" customHeight="1" ht="13.5">
      <c r="A37" s="2"/>
      <c r="B37" s="3"/>
      <c r="C37" s="2"/>
      <c r="D37" s="240" t="s">
        <v>542</v>
      </c>
      <c r="E37" s="3"/>
      <c r="F37" s="121"/>
      <c r="G37" s="115"/>
      <c r="H37" s="115"/>
      <c r="I37" s="115"/>
      <c r="J37" s="3"/>
      <c r="K37" s="3"/>
      <c r="L37" s="3"/>
      <c r="M37" s="8"/>
      <c r="N37" s="108"/>
      <c r="O37" s="3"/>
      <c r="P37" s="3"/>
      <c r="Q37" s="3"/>
      <c r="R37" s="3"/>
      <c r="S37" s="3"/>
      <c r="T37" s="3"/>
      <c r="U37" s="3"/>
      <c r="V37" s="108"/>
      <c r="W37" s="108"/>
      <c r="X37" s="108"/>
      <c r="Y37" s="2"/>
      <c r="Z37" s="108"/>
    </row>
    <row x14ac:dyDescent="0.25" r="38" customHeight="1" ht="13.5">
      <c r="A38" s="2"/>
      <c r="B38" s="3"/>
      <c r="C38" s="2"/>
      <c r="D38" s="241" t="s">
        <v>538</v>
      </c>
      <c r="E38" s="3"/>
      <c r="F38" s="427"/>
      <c r="G38" s="115"/>
      <c r="H38" s="115"/>
      <c r="I38" s="115"/>
      <c r="J38" s="3"/>
      <c r="K38" s="124"/>
      <c r="L38" s="3"/>
      <c r="M38" s="3"/>
      <c r="N38" s="108"/>
      <c r="O38" s="3"/>
      <c r="P38" s="3"/>
      <c r="Q38" s="3"/>
      <c r="R38" s="3"/>
      <c r="S38" s="3"/>
      <c r="T38" s="3"/>
      <c r="U38" s="3"/>
      <c r="V38" s="108"/>
      <c r="W38" s="108"/>
      <c r="X38" s="108"/>
      <c r="Y38" s="2"/>
      <c r="Z38" s="108"/>
    </row>
    <row x14ac:dyDescent="0.25" r="39" customHeight="1" ht="13.5">
      <c r="A39" s="2"/>
      <c r="B39" s="3"/>
      <c r="C39" s="2"/>
      <c r="D39" s="107"/>
      <c r="E39" s="428" t="s">
        <v>533</v>
      </c>
      <c r="F39" s="429">
        <f>_xlfn.RRI(M40-I40,I62,M62)</f>
      </c>
      <c r="G39" s="115"/>
      <c r="H39" s="115"/>
      <c r="I39" s="115"/>
      <c r="J39" s="3"/>
      <c r="K39" s="3"/>
      <c r="L39" s="3"/>
      <c r="M39" s="3"/>
      <c r="N39" s="108"/>
      <c r="O39" s="3"/>
      <c r="P39" s="3"/>
      <c r="Q39" s="3"/>
      <c r="R39" s="290"/>
      <c r="S39" s="3"/>
      <c r="T39" s="3"/>
      <c r="U39" s="3"/>
      <c r="V39" s="108"/>
      <c r="W39" s="108"/>
      <c r="X39" s="108"/>
      <c r="Y39" s="2"/>
      <c r="Z39" s="108"/>
    </row>
    <row x14ac:dyDescent="0.25" r="40" customHeight="1" ht="13.5">
      <c r="A40" s="2"/>
      <c r="B40" s="3"/>
      <c r="C40" s="2"/>
      <c r="D40" s="256"/>
      <c r="E40" s="257">
        <v>2017</v>
      </c>
      <c r="F40" s="257">
        <v>2018</v>
      </c>
      <c r="G40" s="257">
        <v>2019</v>
      </c>
      <c r="H40" s="257">
        <v>2020</v>
      </c>
      <c r="I40" s="257">
        <v>2021</v>
      </c>
      <c r="J40" s="257">
        <v>2022</v>
      </c>
      <c r="K40" s="257">
        <v>2023</v>
      </c>
      <c r="L40" s="257">
        <v>2024</v>
      </c>
      <c r="M40" s="257">
        <v>2025</v>
      </c>
      <c r="N40" s="108"/>
      <c r="O40" s="280" t="s">
        <v>539</v>
      </c>
      <c r="P40" s="280" t="s">
        <v>540</v>
      </c>
      <c r="Q40" s="3"/>
      <c r="R40" s="232" t="s">
        <v>541</v>
      </c>
      <c r="S40" s="212" t="s">
        <v>543</v>
      </c>
      <c r="T40" s="3"/>
      <c r="U40" s="3"/>
      <c r="V40" s="108"/>
      <c r="W40" s="108"/>
      <c r="X40" s="108"/>
      <c r="Y40" s="2"/>
      <c r="Z40" s="108"/>
    </row>
    <row x14ac:dyDescent="0.25" r="41" customHeight="1" ht="13.5">
      <c r="A41" s="2"/>
      <c r="B41" s="3"/>
      <c r="C41" s="2"/>
      <c r="D41" s="430">
        <f>D72</f>
      </c>
      <c r="E41" s="431">
        <f>(E72*E138)/1000000</f>
      </c>
      <c r="F41" s="431">
        <f>(F72*F138)/1000000</f>
      </c>
      <c r="G41" s="431">
        <f>(G72*G138)/1000000</f>
      </c>
      <c r="H41" s="431">
        <f>(H72*H138)/1000000</f>
      </c>
      <c r="I41" s="431">
        <f>(I72*I138)/1000000</f>
      </c>
      <c r="J41" s="251">
        <f>(J72*J138)/1000000</f>
      </c>
      <c r="K41" s="251">
        <f>(K72*K138)/1000000</f>
      </c>
      <c r="L41" s="251">
        <f>(L72*L138)/1000000</f>
      </c>
      <c r="M41" s="419">
        <f>(M72*M138)/1000000</f>
      </c>
      <c r="N41" s="108"/>
      <c r="O41" s="420">
        <f>IFERROR(_xlfn.RRI($I$12-$E$12,E41,I41),0)</f>
      </c>
      <c r="P41" s="420">
        <f>IFERROR(_xlfn.RRI($M$12-$J$12,J41,M41),0)</f>
      </c>
      <c r="Q41" s="3"/>
      <c r="R41" s="124">
        <f>M41-J41</f>
      </c>
      <c r="S41" s="124">
        <f>R41-R13</f>
      </c>
      <c r="T41" s="3"/>
      <c r="U41" s="124"/>
      <c r="V41" s="108"/>
      <c r="W41" s="108"/>
      <c r="X41" s="108"/>
      <c r="Y41" s="2"/>
      <c r="Z41" s="108"/>
    </row>
    <row x14ac:dyDescent="0.25" r="42" customHeight="1" ht="13.5">
      <c r="A42" s="2"/>
      <c r="B42" s="3"/>
      <c r="C42" s="2"/>
      <c r="D42" s="432">
        <f>D73</f>
      </c>
      <c r="E42" s="431">
        <f>(E73*E139)/1000000</f>
      </c>
      <c r="F42" s="431">
        <f>(F73*F139)/1000000</f>
      </c>
      <c r="G42" s="431">
        <f>(G73*G139)/1000000</f>
      </c>
      <c r="H42" s="431">
        <f>(H73*H139)/1000000</f>
      </c>
      <c r="I42" s="431">
        <f>(I73*I139)/1000000</f>
      </c>
      <c r="J42" s="251">
        <f>(J73*J139)/1000000</f>
      </c>
      <c r="K42" s="251">
        <f>(K73*K139)/1000000</f>
      </c>
      <c r="L42" s="251">
        <f>(L73*L139)/1000000</f>
      </c>
      <c r="M42" s="419">
        <f>(M73*M139)/1000000</f>
      </c>
      <c r="N42" s="108"/>
      <c r="O42" s="420">
        <f>IFERROR(_xlfn.RRI($I$12-$E$12,E42,I42),0)</f>
      </c>
      <c r="P42" s="420">
        <f>IFERROR(_xlfn.RRI($M$12-$J$12,J42,M42),0)</f>
      </c>
      <c r="Q42" s="3"/>
      <c r="R42" s="124">
        <f>M42-J42</f>
      </c>
      <c r="S42" s="124">
        <f>R42-R14</f>
      </c>
      <c r="T42" s="3"/>
      <c r="U42" s="124"/>
      <c r="V42" s="108"/>
      <c r="W42" s="108"/>
      <c r="X42" s="108"/>
      <c r="Y42" s="2"/>
      <c r="Z42" s="108"/>
    </row>
    <row x14ac:dyDescent="0.25" r="43" customHeight="1" ht="13.5">
      <c r="A43" s="2"/>
      <c r="B43" s="3"/>
      <c r="C43" s="2"/>
      <c r="D43" s="430">
        <f>D74</f>
      </c>
      <c r="E43" s="431">
        <f>(E74*E140)/1000000</f>
      </c>
      <c r="F43" s="431">
        <f>(F74*F140)/1000000</f>
      </c>
      <c r="G43" s="431">
        <f>(G74*G140)/1000000</f>
      </c>
      <c r="H43" s="431">
        <f>(H74*H140)/1000000</f>
      </c>
      <c r="I43" s="431">
        <f>(I74*I140)/1000000</f>
      </c>
      <c r="J43" s="251">
        <f>(J74*J140)/1000000</f>
      </c>
      <c r="K43" s="251">
        <f>(K74*K140)/1000000</f>
      </c>
      <c r="L43" s="251">
        <f>(L74*L140)/1000000</f>
      </c>
      <c r="M43" s="419">
        <f>(M74*M140)/1000000</f>
      </c>
      <c r="N43" s="108"/>
      <c r="O43" s="420">
        <f>IFERROR(_xlfn.RRI($I$12-$E$12,E43,I43),0)</f>
      </c>
      <c r="P43" s="420">
        <f>IFERROR(_xlfn.RRI($M$12-$J$12,J43,M43),0)</f>
      </c>
      <c r="Q43" s="3"/>
      <c r="R43" s="124">
        <f>M43-J43</f>
      </c>
      <c r="S43" s="124">
        <f>R43-R15</f>
      </c>
      <c r="T43" s="3"/>
      <c r="U43" s="124"/>
      <c r="V43" s="108"/>
      <c r="W43" s="108"/>
      <c r="X43" s="108"/>
      <c r="Y43" s="2"/>
      <c r="Z43" s="108"/>
    </row>
    <row x14ac:dyDescent="0.25" r="44" customHeight="1" ht="13.5">
      <c r="A44" s="2"/>
      <c r="B44" s="3"/>
      <c r="C44" s="2"/>
      <c r="D44" s="432">
        <f>D75</f>
      </c>
      <c r="E44" s="431">
        <f>(E75*E141)/1000000</f>
      </c>
      <c r="F44" s="431">
        <f>(F75*F141)/1000000</f>
      </c>
      <c r="G44" s="431">
        <f>(G75*G141)/1000000</f>
      </c>
      <c r="H44" s="431">
        <f>(H75*H141)/1000000</f>
      </c>
      <c r="I44" s="431">
        <f>(I75*I141)/1000000</f>
      </c>
      <c r="J44" s="251">
        <f>(J75*J141)/1000000</f>
      </c>
      <c r="K44" s="251">
        <f>(K75*K141)/1000000</f>
      </c>
      <c r="L44" s="251">
        <f>(L75*L141)/1000000</f>
      </c>
      <c r="M44" s="419">
        <f>(M75*M141)/1000000</f>
      </c>
      <c r="N44" s="108"/>
      <c r="O44" s="420">
        <f>IFERROR(_xlfn.RRI($I$12-$E$12,E44,I44),0)</f>
      </c>
      <c r="P44" s="420">
        <f>IFERROR(_xlfn.RRI($M$12-$J$12,J44,M44),0)</f>
      </c>
      <c r="Q44" s="3"/>
      <c r="R44" s="124">
        <f>M44-J44</f>
      </c>
      <c r="S44" s="124">
        <f>R44-R16</f>
      </c>
      <c r="T44" s="3"/>
      <c r="U44" s="124"/>
      <c r="V44" s="108"/>
      <c r="W44" s="108"/>
      <c r="X44" s="108"/>
      <c r="Y44" s="2"/>
      <c r="Z44" s="108"/>
    </row>
    <row x14ac:dyDescent="0.25" r="45" customHeight="1" ht="13.5">
      <c r="A45" s="2"/>
      <c r="B45" s="3"/>
      <c r="C45" s="2"/>
      <c r="D45" s="432">
        <f>D76</f>
      </c>
      <c r="E45" s="431">
        <f>(E76*E142)/1000000</f>
      </c>
      <c r="F45" s="431">
        <f>(F76*F142)/1000000</f>
      </c>
      <c r="G45" s="431">
        <f>(G76*G142)/1000000</f>
      </c>
      <c r="H45" s="431">
        <f>(H76*H142)/1000000</f>
      </c>
      <c r="I45" s="431">
        <f>(I76*I142)/1000000</f>
      </c>
      <c r="J45" s="251">
        <f>(J76*J142)/1000000</f>
      </c>
      <c r="K45" s="251">
        <f>(K76*K142)/1000000</f>
      </c>
      <c r="L45" s="251">
        <f>(L76*L142)/1000000</f>
      </c>
      <c r="M45" s="419">
        <f>(M76*M142)/1000000</f>
      </c>
      <c r="N45" s="108"/>
      <c r="O45" s="420">
        <f>IFERROR(_xlfn.RRI($I$12-$E$12,E45,I45),0)</f>
      </c>
      <c r="P45" s="420">
        <f>IFERROR(_xlfn.RRI($M$12-$J$12,J45,M45),0)</f>
      </c>
      <c r="Q45" s="3"/>
      <c r="R45" s="124">
        <f>M45-J45</f>
      </c>
      <c r="S45" s="124">
        <f>R45-R17</f>
      </c>
      <c r="T45" s="3"/>
      <c r="U45" s="124"/>
      <c r="V45" s="108"/>
      <c r="W45" s="108"/>
      <c r="X45" s="108"/>
      <c r="Y45" s="2"/>
      <c r="Z45" s="108"/>
    </row>
    <row x14ac:dyDescent="0.25" r="46" customHeight="1" ht="13.5">
      <c r="A46" s="2"/>
      <c r="B46" s="3"/>
      <c r="C46" s="2"/>
      <c r="D46" s="432">
        <f>D77</f>
      </c>
      <c r="E46" s="431">
        <f>(E77*E143)/1000000</f>
      </c>
      <c r="F46" s="431">
        <f>(F77*F143)/1000000</f>
      </c>
      <c r="G46" s="431">
        <f>(G77*G143)/1000000</f>
      </c>
      <c r="H46" s="431">
        <f>(H77*H143)/1000000</f>
      </c>
      <c r="I46" s="431">
        <f>(I77*I143)/1000000</f>
      </c>
      <c r="J46" s="251">
        <f>(J77*J143)/1000000</f>
      </c>
      <c r="K46" s="251">
        <f>(K77*K143)/1000000</f>
      </c>
      <c r="L46" s="251">
        <f>(L77*L143)/1000000</f>
      </c>
      <c r="M46" s="419">
        <f>(M77*M143)/1000000</f>
      </c>
      <c r="N46" s="108"/>
      <c r="O46" s="420">
        <f>IFERROR(_xlfn.RRI($I$12-$E$12,E46,I46),0)</f>
      </c>
      <c r="P46" s="420">
        <f>IFERROR(_xlfn.RRI($M$12-$J$12,J46,M46),0)</f>
      </c>
      <c r="Q46" s="3"/>
      <c r="R46" s="124">
        <f>M46-J46</f>
      </c>
      <c r="S46" s="124">
        <f>R46-R18</f>
      </c>
      <c r="T46" s="3"/>
      <c r="U46" s="124"/>
      <c r="V46" s="108"/>
      <c r="W46" s="108"/>
      <c r="X46" s="108"/>
      <c r="Y46" s="2"/>
      <c r="Z46" s="108"/>
    </row>
    <row x14ac:dyDescent="0.25" r="47" customHeight="1" ht="13.5">
      <c r="A47" s="2"/>
      <c r="B47" s="3"/>
      <c r="C47" s="2"/>
      <c r="D47" s="432">
        <f>D78</f>
      </c>
      <c r="E47" s="431">
        <f>(E78*E144)/1000000</f>
      </c>
      <c r="F47" s="431">
        <f>(F78*F144)/1000000</f>
      </c>
      <c r="G47" s="431">
        <f>(G78*G144)/1000000</f>
      </c>
      <c r="H47" s="431">
        <f>(H78*H144)/1000000</f>
      </c>
      <c r="I47" s="431">
        <f>(I78*I144)/1000000</f>
      </c>
      <c r="J47" s="251">
        <f>(J78*J144)/1000000</f>
      </c>
      <c r="K47" s="251">
        <f>(K78*K144)/1000000</f>
      </c>
      <c r="L47" s="251">
        <f>(L78*L144)/1000000</f>
      </c>
      <c r="M47" s="419">
        <f>(M78*M144)/1000000</f>
      </c>
      <c r="N47" s="108"/>
      <c r="O47" s="420">
        <f>IFERROR(_xlfn.RRI($I$12-$E$12,E47,I47),0)</f>
      </c>
      <c r="P47" s="420">
        <f>IFERROR(_xlfn.RRI($M$12-$J$12,J47,M47),0)</f>
      </c>
      <c r="Q47" s="3"/>
      <c r="R47" s="124">
        <f>M47-J47</f>
      </c>
      <c r="S47" s="124">
        <f>R47-R19</f>
      </c>
      <c r="T47" s="3"/>
      <c r="U47" s="124"/>
      <c r="V47" s="108"/>
      <c r="W47" s="108"/>
      <c r="X47" s="108"/>
      <c r="Y47" s="2"/>
      <c r="Z47" s="108"/>
    </row>
    <row x14ac:dyDescent="0.25" r="48" customHeight="1" ht="13.5">
      <c r="A48" s="2"/>
      <c r="B48" s="3"/>
      <c r="C48" s="2"/>
      <c r="D48" s="432">
        <f>D79</f>
      </c>
      <c r="E48" s="431">
        <f>(E79*E145)/1000000</f>
      </c>
      <c r="F48" s="431">
        <f>(F79*F145)/1000000</f>
      </c>
      <c r="G48" s="431">
        <f>(G79*G145)/1000000</f>
      </c>
      <c r="H48" s="431">
        <f>(H79*H145)/1000000</f>
      </c>
      <c r="I48" s="431">
        <f>(I79*I145)/1000000</f>
      </c>
      <c r="J48" s="251">
        <f>(J79*J145)/1000000</f>
      </c>
      <c r="K48" s="251">
        <f>(K79*K145)/1000000</f>
      </c>
      <c r="L48" s="251">
        <f>(L79*L145)/1000000</f>
      </c>
      <c r="M48" s="419">
        <f>(M79*M145)/1000000</f>
      </c>
      <c r="N48" s="108"/>
      <c r="O48" s="420">
        <f>IFERROR(_xlfn.RRI($I$12-$E$12,E48,I48),0)</f>
      </c>
      <c r="P48" s="420">
        <f>IFERROR(_xlfn.RRI($M$12-$J$12,J48,M48),0)</f>
      </c>
      <c r="Q48" s="3"/>
      <c r="R48" s="124">
        <f>M48-J48</f>
      </c>
      <c r="S48" s="124">
        <f>R48-R20</f>
      </c>
      <c r="T48" s="3"/>
      <c r="U48" s="124"/>
      <c r="V48" s="108"/>
      <c r="W48" s="108"/>
      <c r="X48" s="108"/>
      <c r="Y48" s="2"/>
      <c r="Z48" s="108"/>
    </row>
    <row x14ac:dyDescent="0.25" r="49" customHeight="1" ht="13.5">
      <c r="A49" s="2"/>
      <c r="B49" s="3"/>
      <c r="C49" s="2"/>
      <c r="D49" s="430">
        <f>D80</f>
      </c>
      <c r="E49" s="431">
        <f>(E80*E146)/1000000</f>
      </c>
      <c r="F49" s="431">
        <f>(F80*F146)/1000000</f>
      </c>
      <c r="G49" s="431">
        <f>(G80*G146)/1000000</f>
      </c>
      <c r="H49" s="431">
        <f>(H80*H146)/1000000</f>
      </c>
      <c r="I49" s="431">
        <f>(I80*I146)/1000000</f>
      </c>
      <c r="J49" s="251">
        <f>(J80*J146)/1000000</f>
      </c>
      <c r="K49" s="251">
        <f>(K80*K146)/1000000</f>
      </c>
      <c r="L49" s="251">
        <f>(L80*L146)/1000000</f>
      </c>
      <c r="M49" s="419">
        <f>(M80*M146)/1000000</f>
      </c>
      <c r="N49" s="108"/>
      <c r="O49" s="420">
        <f>IFERROR(_xlfn.RRI($I$12-$E$12,E49,I49),0)</f>
      </c>
      <c r="P49" s="420">
        <f>IFERROR(_xlfn.RRI($M$12-$J$12,J49,M49),0)</f>
      </c>
      <c r="Q49" s="3"/>
      <c r="R49" s="124">
        <f>M49-J49</f>
      </c>
      <c r="S49" s="124">
        <f>R49-R21</f>
      </c>
      <c r="T49" s="3"/>
      <c r="U49" s="124"/>
      <c r="V49" s="108"/>
      <c r="W49" s="108"/>
      <c r="X49" s="108"/>
      <c r="Y49" s="2"/>
      <c r="Z49" s="108"/>
    </row>
    <row x14ac:dyDescent="0.25" r="50" customHeight="1" ht="13.5">
      <c r="A50" s="2"/>
      <c r="B50" s="3"/>
      <c r="C50" s="2"/>
      <c r="D50" s="292">
        <f>D81</f>
      </c>
      <c r="E50" s="431">
        <f>(E81*E147)/1000000</f>
      </c>
      <c r="F50" s="431">
        <f>(F81*F147)/1000000</f>
      </c>
      <c r="G50" s="431">
        <f>(G81*G147)/1000000</f>
      </c>
      <c r="H50" s="431">
        <f>(H81*H147)/1000000</f>
      </c>
      <c r="I50" s="431">
        <f>(I81*I147)/1000000</f>
      </c>
      <c r="J50" s="251">
        <f>(J81*J147)/1000000</f>
      </c>
      <c r="K50" s="251">
        <f>(K81*K147)/1000000</f>
      </c>
      <c r="L50" s="251">
        <f>(L81*L147)/1000000</f>
      </c>
      <c r="M50" s="419">
        <f>(M81*M147)/1000000</f>
      </c>
      <c r="N50" s="108"/>
      <c r="O50" s="420">
        <f>IFERROR(_xlfn.RRI($I$12-$E$12,E50,I50),0)</f>
      </c>
      <c r="P50" s="420">
        <f>IFERROR(_xlfn.RRI($M$12-$J$12,J50,M50),0)</f>
      </c>
      <c r="Q50" s="3"/>
      <c r="R50" s="124">
        <f>M50-J50</f>
      </c>
      <c r="S50" s="124">
        <f>R50-R22</f>
      </c>
      <c r="T50" s="3"/>
      <c r="U50" s="124"/>
      <c r="V50" s="108"/>
      <c r="W50" s="108"/>
      <c r="X50" s="108"/>
      <c r="Y50" s="2"/>
      <c r="Z50" s="108"/>
    </row>
    <row x14ac:dyDescent="0.25" r="51" customHeight="1" ht="13.5">
      <c r="A51" s="2"/>
      <c r="B51" s="3"/>
      <c r="C51" s="2"/>
      <c r="D51" s="292">
        <f>D82</f>
      </c>
      <c r="E51" s="431">
        <f>(E82*E148)/1000000</f>
      </c>
      <c r="F51" s="431">
        <f>(F82*F148)/1000000</f>
      </c>
      <c r="G51" s="431">
        <f>(G82*G148)/1000000</f>
      </c>
      <c r="H51" s="431">
        <f>(H82*H148)/1000000</f>
      </c>
      <c r="I51" s="431">
        <f>(I82*I148)/1000000</f>
      </c>
      <c r="J51" s="251">
        <f>(J82*J148)/1000000</f>
      </c>
      <c r="K51" s="251">
        <f>(K82*K148)/1000000</f>
      </c>
      <c r="L51" s="251">
        <f>(L82*L148)/1000000</f>
      </c>
      <c r="M51" s="419">
        <f>(M82*M148)/1000000</f>
      </c>
      <c r="N51" s="108"/>
      <c r="O51" s="420">
        <f>IFERROR(_xlfn.RRI($I$12-$E$12,E51,I51),0)</f>
      </c>
      <c r="P51" s="420">
        <f>IFERROR(_xlfn.RRI($M$12-$J$12,J51,M51),0)</f>
      </c>
      <c r="Q51" s="3"/>
      <c r="R51" s="124">
        <f>M51-J51</f>
      </c>
      <c r="S51" s="124">
        <f>R51-R23</f>
      </c>
      <c r="T51" s="3"/>
      <c r="U51" s="124"/>
      <c r="V51" s="108"/>
      <c r="W51" s="108"/>
      <c r="X51" s="108"/>
      <c r="Y51" s="2"/>
      <c r="Z51" s="108"/>
    </row>
    <row x14ac:dyDescent="0.25" r="52" customHeight="1" ht="13.5">
      <c r="A52" s="2"/>
      <c r="B52" s="3"/>
      <c r="C52" s="2"/>
      <c r="D52" s="292">
        <f>D83</f>
      </c>
      <c r="E52" s="431">
        <f>(E83*E149)/1000000</f>
      </c>
      <c r="F52" s="431">
        <f>(F83*F149)/1000000</f>
      </c>
      <c r="G52" s="431">
        <f>(G83*G149)/1000000</f>
      </c>
      <c r="H52" s="431">
        <f>(H83*H149)/1000000</f>
      </c>
      <c r="I52" s="431">
        <f>(I83*I149)/1000000</f>
      </c>
      <c r="J52" s="251">
        <f>(J83*J149)/1000000</f>
      </c>
      <c r="K52" s="251">
        <f>(K83*K149)/1000000</f>
      </c>
      <c r="L52" s="251">
        <f>(L83*L149)/1000000</f>
      </c>
      <c r="M52" s="419">
        <f>(M83*M149)/1000000</f>
      </c>
      <c r="N52" s="108"/>
      <c r="O52" s="420">
        <f>IFERROR(_xlfn.RRI($I$12-$E$12,E52,I52),0)</f>
      </c>
      <c r="P52" s="420">
        <f>IFERROR(_xlfn.RRI($M$12-$J$12,J52,M52),0)</f>
      </c>
      <c r="Q52" s="3"/>
      <c r="R52" s="124">
        <f>M52-J52</f>
      </c>
      <c r="S52" s="124">
        <f>R52-R24</f>
      </c>
      <c r="T52" s="3"/>
      <c r="U52" s="124"/>
      <c r="V52" s="108"/>
      <c r="W52" s="108"/>
      <c r="X52" s="108"/>
      <c r="Y52" s="2"/>
      <c r="Z52" s="108"/>
    </row>
    <row x14ac:dyDescent="0.25" r="53" customHeight="1" ht="13.5">
      <c r="A53" s="2"/>
      <c r="B53" s="3"/>
      <c r="C53" s="2"/>
      <c r="D53" s="292">
        <f>D84</f>
      </c>
      <c r="E53" s="431">
        <f>(E84*E150)/1000000</f>
      </c>
      <c r="F53" s="431">
        <f>(F84*F150)/1000000</f>
      </c>
      <c r="G53" s="431">
        <f>(G84*G150)/1000000</f>
      </c>
      <c r="H53" s="431">
        <f>(H84*H150)/1000000</f>
      </c>
      <c r="I53" s="431">
        <f>(I84*I150)/1000000</f>
      </c>
      <c r="J53" s="251">
        <f>(J84*J150)/1000000</f>
      </c>
      <c r="K53" s="251">
        <f>(K84*K150)/1000000</f>
      </c>
      <c r="L53" s="251">
        <f>(L84*L150)/1000000</f>
      </c>
      <c r="M53" s="419">
        <f>(M84*M150)/1000000</f>
      </c>
      <c r="N53" s="108"/>
      <c r="O53" s="420">
        <f>IFERROR(_xlfn.RRI($I$12-$E$12,E53,I53),0)</f>
      </c>
      <c r="P53" s="420">
        <f>IFERROR(_xlfn.RRI($M$12-$J$12,J53,M53),0)</f>
      </c>
      <c r="Q53" s="3"/>
      <c r="R53" s="124">
        <f>M53-J53</f>
      </c>
      <c r="S53" s="124">
        <f>R53-R25</f>
      </c>
      <c r="T53" s="3"/>
      <c r="U53" s="124"/>
      <c r="V53" s="108"/>
      <c r="W53" s="108"/>
      <c r="X53" s="108"/>
      <c r="Y53" s="2"/>
      <c r="Z53" s="108"/>
    </row>
    <row x14ac:dyDescent="0.25" r="54" customHeight="1" ht="13.5">
      <c r="A54" s="2"/>
      <c r="B54" s="3"/>
      <c r="C54" s="2"/>
      <c r="D54" s="292">
        <f>D85</f>
      </c>
      <c r="E54" s="431">
        <f>(E85*E151)/1000000</f>
      </c>
      <c r="F54" s="431">
        <f>(F85*F151)/1000000</f>
      </c>
      <c r="G54" s="431">
        <f>(G85*G151)/1000000</f>
      </c>
      <c r="H54" s="431">
        <f>(H85*H151)/1000000</f>
      </c>
      <c r="I54" s="431">
        <f>(I85*I151)/1000000</f>
      </c>
      <c r="J54" s="251">
        <f>(J85*J151)/1000000</f>
      </c>
      <c r="K54" s="251">
        <f>(K85*K151)/1000000</f>
      </c>
      <c r="L54" s="251">
        <f>(L85*L151)/1000000</f>
      </c>
      <c r="M54" s="419">
        <f>(M85*M151)/1000000</f>
      </c>
      <c r="N54" s="108"/>
      <c r="O54" s="420">
        <f>IFERROR(_xlfn.RRI($I$12-$E$12,E54,I54),0)</f>
      </c>
      <c r="P54" s="420">
        <f>IFERROR(_xlfn.RRI($M$12-$J$12,J54,M54),0)</f>
      </c>
      <c r="Q54" s="3"/>
      <c r="R54" s="124">
        <f>M54-J54</f>
      </c>
      <c r="S54" s="124">
        <f>R54-R26</f>
      </c>
      <c r="T54" s="3"/>
      <c r="U54" s="124"/>
      <c r="V54" s="108"/>
      <c r="W54" s="108"/>
      <c r="X54" s="108"/>
      <c r="Y54" s="2"/>
      <c r="Z54" s="108"/>
    </row>
    <row x14ac:dyDescent="0.25" r="55" customHeight="1" ht="13.5">
      <c r="A55" s="2"/>
      <c r="B55" s="3"/>
      <c r="C55" s="2"/>
      <c r="D55" s="292">
        <f>D86</f>
      </c>
      <c r="E55" s="431">
        <f>(E86*E152)/1000000</f>
      </c>
      <c r="F55" s="431">
        <f>(F86*F152)/1000000</f>
      </c>
      <c r="G55" s="431">
        <f>(G86*G152)/1000000</f>
      </c>
      <c r="H55" s="431">
        <f>(H86*H152)/1000000</f>
      </c>
      <c r="I55" s="431">
        <f>(I86*I152)/1000000</f>
      </c>
      <c r="J55" s="251">
        <f>(J86*J152)/1000000</f>
      </c>
      <c r="K55" s="251">
        <f>(K86*K152)/1000000</f>
      </c>
      <c r="L55" s="251">
        <f>(L86*L152)/1000000</f>
      </c>
      <c r="M55" s="419">
        <f>(M86*M152)/1000000</f>
      </c>
      <c r="N55" s="108"/>
      <c r="O55" s="420">
        <f>IFERROR(_xlfn.RRI($I$12-$E$12,E55,I55),0)</f>
      </c>
      <c r="P55" s="420">
        <f>IFERROR(_xlfn.RRI($M$12-$J$12,J55,M55),0)</f>
      </c>
      <c r="Q55" s="3"/>
      <c r="R55" s="124">
        <f>M55-J55</f>
      </c>
      <c r="S55" s="124">
        <f>R55-R27</f>
      </c>
      <c r="T55" s="3"/>
      <c r="U55" s="124"/>
      <c r="V55" s="108"/>
      <c r="W55" s="108"/>
      <c r="X55" s="108"/>
      <c r="Y55" s="2"/>
      <c r="Z55" s="108"/>
    </row>
    <row x14ac:dyDescent="0.25" r="56" customHeight="1" ht="13.5">
      <c r="A56" s="2"/>
      <c r="B56" s="3"/>
      <c r="C56" s="2"/>
      <c r="D56" s="430">
        <f>D87</f>
      </c>
      <c r="E56" s="431">
        <f>(E87*E153)/1000000</f>
      </c>
      <c r="F56" s="431">
        <f>(F87*F153)/1000000</f>
      </c>
      <c r="G56" s="431">
        <f>(G87*G153)/1000000</f>
      </c>
      <c r="H56" s="431">
        <f>(H87*H153)/1000000</f>
      </c>
      <c r="I56" s="431">
        <f>(I87*I153)/1000000</f>
      </c>
      <c r="J56" s="251">
        <f>(J87*J153)/1000000</f>
      </c>
      <c r="K56" s="251">
        <f>(K87*K153)/1000000</f>
      </c>
      <c r="L56" s="251">
        <f>(L87*L153)/1000000</f>
      </c>
      <c r="M56" s="419">
        <f>(M87*M153)/1000000</f>
      </c>
      <c r="N56" s="108"/>
      <c r="O56" s="420">
        <f>IFERROR(_xlfn.RRI($I$12-$E$12,E56,I56),0)</f>
      </c>
      <c r="P56" s="420">
        <f>IFERROR(_xlfn.RRI($M$12-$J$12,J56,M56),0)</f>
      </c>
      <c r="Q56" s="3"/>
      <c r="R56" s="124">
        <f>M56-J56</f>
      </c>
      <c r="S56" s="124">
        <f>R56-R28</f>
      </c>
      <c r="T56" s="3"/>
      <c r="U56" s="124"/>
      <c r="V56" s="108"/>
      <c r="W56" s="108"/>
      <c r="X56" s="108"/>
      <c r="Y56" s="2"/>
      <c r="Z56" s="108"/>
    </row>
    <row x14ac:dyDescent="0.25" r="57" customHeight="1" ht="13.5">
      <c r="A57" s="2"/>
      <c r="B57" s="3"/>
      <c r="C57" s="2"/>
      <c r="D57" s="292">
        <f>D88</f>
      </c>
      <c r="E57" s="431">
        <f>(E88*E154)/1000000</f>
      </c>
      <c r="F57" s="431">
        <f>(F88*F154)/1000000</f>
      </c>
      <c r="G57" s="431">
        <f>(G88*G154)/1000000</f>
      </c>
      <c r="H57" s="431">
        <f>(H88*H154)/1000000</f>
      </c>
      <c r="I57" s="431">
        <f>(I88*I154)/1000000</f>
      </c>
      <c r="J57" s="251">
        <f>(J88*J154)/1000000</f>
      </c>
      <c r="K57" s="251">
        <f>(K88*K154)/1000000</f>
      </c>
      <c r="L57" s="251">
        <f>(L88*L154)/1000000</f>
      </c>
      <c r="M57" s="419">
        <f>(M88*M154)/1000000</f>
      </c>
      <c r="N57" s="108"/>
      <c r="O57" s="420">
        <f>IFERROR(_xlfn.RRI($I$12-$E$12,E57,I57),0)</f>
      </c>
      <c r="P57" s="420">
        <f>IFERROR(_xlfn.RRI($M$12-$J$12,J57,M57),0)</f>
      </c>
      <c r="Q57" s="3"/>
      <c r="R57" s="124">
        <f>M57-J57</f>
      </c>
      <c r="S57" s="124">
        <f>R57-R29</f>
      </c>
      <c r="T57" s="3"/>
      <c r="U57" s="124"/>
      <c r="V57" s="108"/>
      <c r="W57" s="108"/>
      <c r="X57" s="108"/>
      <c r="Y57" s="2"/>
      <c r="Z57" s="108"/>
    </row>
    <row x14ac:dyDescent="0.25" r="58" customHeight="1" ht="13.5">
      <c r="A58" s="2"/>
      <c r="B58" s="3"/>
      <c r="C58" s="2"/>
      <c r="D58" s="292">
        <f>D89</f>
      </c>
      <c r="E58" s="431">
        <f>(E89*E155)/1000000</f>
      </c>
      <c r="F58" s="431">
        <f>(F89*F155)/1000000</f>
      </c>
      <c r="G58" s="431">
        <f>(G89*G155)/1000000</f>
      </c>
      <c r="H58" s="431">
        <f>(H89*H155)/1000000</f>
      </c>
      <c r="I58" s="431">
        <f>(I89*I155)/1000000</f>
      </c>
      <c r="J58" s="251">
        <f>(J89*J155)/1000000</f>
      </c>
      <c r="K58" s="251">
        <f>(K89*K155)/1000000</f>
      </c>
      <c r="L58" s="251">
        <f>(L89*L155)/1000000</f>
      </c>
      <c r="M58" s="419">
        <f>(M89*M155)/1000000</f>
      </c>
      <c r="N58" s="108"/>
      <c r="O58" s="420">
        <f>IFERROR(_xlfn.RRI($I$12-$E$12,E58,I58),0)</f>
      </c>
      <c r="P58" s="420">
        <f>IFERROR(_xlfn.RRI($M$12-$J$12,J58,M58),0)</f>
      </c>
      <c r="Q58" s="3"/>
      <c r="R58" s="124">
        <f>M58-J58</f>
      </c>
      <c r="S58" s="124">
        <f>R58-R30</f>
      </c>
      <c r="T58" s="3"/>
      <c r="U58" s="124"/>
      <c r="V58" s="108"/>
      <c r="W58" s="108"/>
      <c r="X58" s="108"/>
      <c r="Y58" s="2"/>
      <c r="Z58" s="108"/>
    </row>
    <row x14ac:dyDescent="0.25" r="59" customHeight="1" ht="13.5">
      <c r="A59" s="2"/>
      <c r="B59" s="3"/>
      <c r="C59" s="2"/>
      <c r="D59" s="292">
        <f>D90</f>
      </c>
      <c r="E59" s="431">
        <f>(E90*E156)/1000000</f>
      </c>
      <c r="F59" s="431">
        <f>(F90*F156)/1000000</f>
      </c>
      <c r="G59" s="431">
        <f>(G90*G156)/1000000</f>
      </c>
      <c r="H59" s="431">
        <f>(H90*H156)/1000000</f>
      </c>
      <c r="I59" s="431">
        <f>(I90*I156)/1000000</f>
      </c>
      <c r="J59" s="251">
        <f>(J90*J156)/1000000</f>
      </c>
      <c r="K59" s="251">
        <f>(K90*K156)/1000000</f>
      </c>
      <c r="L59" s="251">
        <f>(L90*L156)/1000000</f>
      </c>
      <c r="M59" s="419">
        <f>(M90*M156)/1000000</f>
      </c>
      <c r="N59" s="108"/>
      <c r="O59" s="420">
        <f>IFERROR(_xlfn.RRI($I$12-$E$12,E59,I59),0)</f>
      </c>
      <c r="P59" s="420">
        <f>IFERROR(_xlfn.RRI($M$12-$J$12,J59,M59),0)</f>
      </c>
      <c r="Q59" s="3"/>
      <c r="R59" s="124">
        <f>M59-J59</f>
      </c>
      <c r="S59" s="124">
        <f>R59-R31</f>
      </c>
      <c r="T59" s="3"/>
      <c r="U59" s="124"/>
      <c r="V59" s="108"/>
      <c r="W59" s="108"/>
      <c r="X59" s="108"/>
      <c r="Y59" s="2"/>
      <c r="Z59" s="108"/>
    </row>
    <row x14ac:dyDescent="0.25" r="60" customHeight="1" ht="13.5">
      <c r="A60" s="2"/>
      <c r="B60" s="3"/>
      <c r="C60" s="2"/>
      <c r="D60" s="292">
        <f>D91</f>
      </c>
      <c r="E60" s="431">
        <f>(E91*E157)/1000000</f>
      </c>
      <c r="F60" s="431">
        <f>(F91*F157)/1000000</f>
      </c>
      <c r="G60" s="431">
        <f>(G91*G157)/1000000</f>
      </c>
      <c r="H60" s="431">
        <f>(H91*H157)/1000000</f>
      </c>
      <c r="I60" s="431">
        <f>(I91*I157)/1000000</f>
      </c>
      <c r="J60" s="251">
        <f>(J91*J157)/1000000</f>
      </c>
      <c r="K60" s="251">
        <f>(K91*K157)/1000000</f>
      </c>
      <c r="L60" s="251">
        <f>(L91*L157)/1000000</f>
      </c>
      <c r="M60" s="419">
        <f>(M91*M157)/1000000</f>
      </c>
      <c r="N60" s="108"/>
      <c r="O60" s="420">
        <f>IFERROR(_xlfn.RRI($I$12-$E$12,E60,I60),0)</f>
      </c>
      <c r="P60" s="420">
        <f>IFERROR(_xlfn.RRI($M$12-$J$12,J60,M60),0)</f>
      </c>
      <c r="Q60" s="3"/>
      <c r="R60" s="124">
        <f>M60-J60</f>
      </c>
      <c r="S60" s="124">
        <f>R60-R32</f>
      </c>
      <c r="T60" s="3"/>
      <c r="U60" s="124"/>
      <c r="V60" s="108"/>
      <c r="W60" s="108"/>
      <c r="X60" s="108"/>
      <c r="Y60" s="2"/>
      <c r="Z60" s="108"/>
    </row>
    <row x14ac:dyDescent="0.25" r="61" customHeight="1" ht="13.5">
      <c r="A61" s="2"/>
      <c r="B61" s="3"/>
      <c r="C61" s="2"/>
      <c r="D61" s="430">
        <f>D92</f>
      </c>
      <c r="E61" s="431">
        <f>(E92*E158)/1000000</f>
      </c>
      <c r="F61" s="431">
        <f>(F92*F158)/1000000</f>
      </c>
      <c r="G61" s="431">
        <f>(G92*G158)/1000000</f>
      </c>
      <c r="H61" s="431">
        <f>(H92*H158)/1000000</f>
      </c>
      <c r="I61" s="431">
        <f>(I92*I158)/1000000</f>
      </c>
      <c r="J61" s="251">
        <f>(J92*J158)/1000000</f>
      </c>
      <c r="K61" s="251">
        <f>(K92*K158)/1000000</f>
      </c>
      <c r="L61" s="251">
        <f>(L92*L158)/1000000</f>
      </c>
      <c r="M61" s="419">
        <f>(M92*M158)/1000000</f>
      </c>
      <c r="N61" s="108"/>
      <c r="O61" s="420">
        <f>IFERROR(_xlfn.RRI($I$12-$E$12,E61,I61),0)</f>
      </c>
      <c r="P61" s="420">
        <f>IFERROR(_xlfn.RRI($M$12-$J$12,J61,M61),0)</f>
      </c>
      <c r="Q61" s="3"/>
      <c r="R61" s="124">
        <f>M61-J61</f>
      </c>
      <c r="S61" s="124">
        <f>R61-R33</f>
      </c>
      <c r="T61" s="3"/>
      <c r="U61" s="124"/>
      <c r="V61" s="108"/>
      <c r="W61" s="108"/>
      <c r="X61" s="108"/>
      <c r="Y61" s="2"/>
      <c r="Z61" s="108"/>
    </row>
    <row x14ac:dyDescent="0.25" r="62" customHeight="1" ht="13.5">
      <c r="A62" s="2"/>
      <c r="B62" s="3"/>
      <c r="C62" s="2"/>
      <c r="D62" s="268" t="s">
        <v>534</v>
      </c>
      <c r="E62" s="269">
        <f>SUM(E41:E61)</f>
      </c>
      <c r="F62" s="269">
        <f>SUM(F41:F61)</f>
      </c>
      <c r="G62" s="269">
        <f>SUM(G41:G61)</f>
      </c>
      <c r="H62" s="269">
        <f>SUM(H41:H61)</f>
      </c>
      <c r="I62" s="269">
        <f>SUM(I41:I61)</f>
      </c>
      <c r="J62" s="253">
        <f>SUM(J41:J61)</f>
      </c>
      <c r="K62" s="253">
        <f>SUM(K41:K61)</f>
      </c>
      <c r="L62" s="253">
        <f>SUM(L41:L61)</f>
      </c>
      <c r="M62" s="253">
        <f>SUM(M41:M61)</f>
      </c>
      <c r="N62" s="108"/>
      <c r="O62" s="423">
        <f>IFERROR(_xlfn.RRI($I$71-$E$71,E62,I62),0)</f>
      </c>
      <c r="P62" s="423">
        <f>IFERROR(_xlfn.RRI($M$12-$J$12,J62,M62),0)</f>
      </c>
      <c r="Q62" s="3"/>
      <c r="R62" s="3"/>
      <c r="S62" s="3"/>
      <c r="T62" s="3"/>
      <c r="U62" s="3"/>
      <c r="V62" s="108"/>
      <c r="W62" s="108"/>
      <c r="X62" s="108"/>
      <c r="Y62" s="2"/>
      <c r="Z62" s="108"/>
    </row>
    <row x14ac:dyDescent="0.25" r="63" customHeight="1" ht="13.5">
      <c r="A63" s="2"/>
      <c r="B63" s="3"/>
      <c r="C63" s="2"/>
      <c r="D63" s="270" t="s">
        <v>503</v>
      </c>
      <c r="E63" s="433">
        <f>E62/46%</f>
      </c>
      <c r="F63" s="433">
        <f>F62/46%</f>
      </c>
      <c r="G63" s="433">
        <f>G62/46%</f>
      </c>
      <c r="H63" s="433">
        <f>H62/46%</f>
      </c>
      <c r="I63" s="433">
        <f>I62/46%</f>
      </c>
      <c r="J63" s="434">
        <f>J62/46%</f>
      </c>
      <c r="K63" s="434">
        <f>K62/46%</f>
      </c>
      <c r="L63" s="434">
        <f>L62/46%</f>
      </c>
      <c r="M63" s="434">
        <f>M62/46%</f>
      </c>
      <c r="N63" s="108"/>
      <c r="O63" s="426">
        <f>IFERROR(_xlfn.RRI($I$71-$E$71,E63,I63),0)</f>
      </c>
      <c r="P63" s="426">
        <f>IFERROR(_xlfn.RRI($M$12-$J$12,J63,M63),0)</f>
      </c>
      <c r="Q63" s="3"/>
      <c r="R63" s="3"/>
      <c r="S63" s="3"/>
      <c r="T63" s="3"/>
      <c r="U63" s="3"/>
      <c r="V63" s="108"/>
      <c r="W63" s="108"/>
      <c r="X63" s="108"/>
      <c r="Y63" s="2"/>
      <c r="Z63" s="108"/>
    </row>
    <row x14ac:dyDescent="0.25" r="64" customHeight="1" ht="13.5">
      <c r="A64" s="2"/>
      <c r="B64" s="3"/>
      <c r="C64" s="2"/>
      <c r="D64" s="107"/>
      <c r="E64" s="8"/>
      <c r="F64" s="8"/>
      <c r="G64" s="8"/>
      <c r="H64" s="8"/>
      <c r="I64" s="8"/>
      <c r="J64" s="8"/>
      <c r="K64" s="8"/>
      <c r="L64" s="8"/>
      <c r="M64" s="8"/>
      <c r="N64" s="108"/>
      <c r="O64" s="3"/>
      <c r="P64" s="3"/>
      <c r="Q64" s="3"/>
      <c r="R64" s="3"/>
      <c r="S64" s="3"/>
      <c r="T64" s="3"/>
      <c r="U64" s="3"/>
      <c r="V64" s="108"/>
      <c r="W64" s="108"/>
      <c r="X64" s="108"/>
      <c r="Y64" s="2"/>
      <c r="Z64" s="108"/>
    </row>
    <row x14ac:dyDescent="0.25" r="65" customHeight="1" ht="18.75">
      <c r="A65" s="2"/>
      <c r="B65" s="3"/>
      <c r="C65" s="2"/>
      <c r="D65" s="107"/>
      <c r="E65" s="3"/>
      <c r="F65" s="3"/>
      <c r="G65" s="3"/>
      <c r="H65" s="3"/>
      <c r="I65" s="3"/>
      <c r="J65" s="3"/>
      <c r="K65" s="3"/>
      <c r="L65" s="3"/>
      <c r="M65" s="3"/>
      <c r="N65" s="108"/>
      <c r="O65" s="3"/>
      <c r="P65" s="3"/>
      <c r="Q65" s="3"/>
      <c r="R65" s="3"/>
      <c r="S65" s="3"/>
      <c r="T65" s="3"/>
      <c r="U65" s="3"/>
      <c r="V65" s="108"/>
      <c r="W65" s="108"/>
      <c r="X65" s="108"/>
      <c r="Y65" s="2"/>
      <c r="Z65" s="108"/>
    </row>
    <row x14ac:dyDescent="0.25" r="66" customHeight="1" ht="13.5">
      <c r="A66" s="2"/>
      <c r="B66" s="198">
        <v>2</v>
      </c>
      <c r="C66" s="2"/>
      <c r="D66" s="275" t="s">
        <v>544</v>
      </c>
      <c r="E66" s="3"/>
      <c r="F66" s="3"/>
      <c r="G66" s="3"/>
      <c r="H66" s="3"/>
      <c r="I66" s="3"/>
      <c r="J66" s="3"/>
      <c r="K66" s="3"/>
      <c r="L66" s="3"/>
      <c r="M66" s="3"/>
      <c r="N66" s="108"/>
      <c r="O66" s="3"/>
      <c r="P66" s="3"/>
      <c r="Q66" s="3"/>
      <c r="R66" s="3"/>
      <c r="S66" s="3"/>
      <c r="T66" s="3"/>
      <c r="U66" s="3"/>
      <c r="V66" s="108"/>
      <c r="W66" s="108"/>
      <c r="X66" s="108"/>
      <c r="Y66" s="2"/>
      <c r="Z66" s="108"/>
    </row>
    <row x14ac:dyDescent="0.25" r="67" customHeight="1" ht="18.75">
      <c r="A67" s="2"/>
      <c r="B67" s="3"/>
      <c r="C67" s="2"/>
      <c r="D67" s="107"/>
      <c r="E67" s="3"/>
      <c r="F67" s="3"/>
      <c r="G67" s="3"/>
      <c r="H67" s="3"/>
      <c r="I67" s="3"/>
      <c r="J67" s="3"/>
      <c r="K67" s="3"/>
      <c r="L67" s="3"/>
      <c r="M67" s="3"/>
      <c r="N67" s="108"/>
      <c r="O67" s="3"/>
      <c r="P67" s="3"/>
      <c r="Q67" s="3"/>
      <c r="R67" s="3"/>
      <c r="S67" s="3"/>
      <c r="T67" s="3"/>
      <c r="U67" s="3"/>
      <c r="V67" s="108"/>
      <c r="W67" s="108"/>
      <c r="X67" s="108"/>
      <c r="Y67" s="2"/>
      <c r="Z67" s="108"/>
    </row>
    <row x14ac:dyDescent="0.25" r="68" customHeight="1" ht="13.5">
      <c r="A68" s="2"/>
      <c r="B68" s="3"/>
      <c r="C68" s="2"/>
      <c r="D68" s="240" t="s">
        <v>545</v>
      </c>
      <c r="E68" s="3"/>
      <c r="F68" s="3"/>
      <c r="G68" s="3"/>
      <c r="H68" s="3"/>
      <c r="I68" s="3"/>
      <c r="J68" s="3"/>
      <c r="K68" s="3"/>
      <c r="L68" s="3"/>
      <c r="M68" s="3"/>
      <c r="N68" s="108"/>
      <c r="O68" s="3"/>
      <c r="P68" s="3"/>
      <c r="Q68" s="3"/>
      <c r="R68" s="3"/>
      <c r="S68" s="3"/>
      <c r="T68" s="3"/>
      <c r="U68" s="3"/>
      <c r="V68" s="108"/>
      <c r="W68" s="108"/>
      <c r="X68" s="108"/>
      <c r="Y68" s="2"/>
      <c r="Z68" s="108"/>
    </row>
    <row x14ac:dyDescent="0.25" r="69" customHeight="1" ht="13.5">
      <c r="A69" s="2"/>
      <c r="B69" s="3"/>
      <c r="C69" s="2"/>
      <c r="D69" s="241" t="s">
        <v>117</v>
      </c>
      <c r="E69" s="3"/>
      <c r="F69" s="3"/>
      <c r="G69" s="3"/>
      <c r="H69" s="3"/>
      <c r="I69" s="3"/>
      <c r="J69" s="3"/>
      <c r="K69" s="3"/>
      <c r="L69" s="3"/>
      <c r="M69" s="3"/>
      <c r="N69" s="108"/>
      <c r="O69" s="379" t="s">
        <v>546</v>
      </c>
      <c r="P69" s="3"/>
      <c r="Q69" s="3"/>
      <c r="R69" s="3"/>
      <c r="S69" s="3"/>
      <c r="T69" s="3"/>
      <c r="U69" s="3"/>
      <c r="V69" s="108"/>
      <c r="W69" s="108"/>
      <c r="X69" s="108"/>
      <c r="Y69" s="2"/>
      <c r="Z69" s="108"/>
    </row>
    <row x14ac:dyDescent="0.25" r="70" customHeight="1" ht="13.5">
      <c r="A70" s="2"/>
      <c r="B70" s="3"/>
      <c r="C70" s="2"/>
      <c r="D70" s="107"/>
      <c r="E70" s="435" t="s">
        <v>547</v>
      </c>
      <c r="F70" s="436"/>
      <c r="G70" s="436"/>
      <c r="H70" s="436"/>
      <c r="I70" s="437"/>
      <c r="J70" s="428" t="s">
        <v>548</v>
      </c>
      <c r="K70" s="181"/>
      <c r="L70" s="181"/>
      <c r="M70" s="375"/>
      <c r="N70" s="108"/>
      <c r="O70" s="3"/>
      <c r="P70" s="3"/>
      <c r="Q70" s="3"/>
      <c r="R70" s="290"/>
      <c r="S70" s="3"/>
      <c r="T70" s="3"/>
      <c r="U70" s="3"/>
      <c r="V70" s="108"/>
      <c r="W70" s="108"/>
      <c r="X70" s="108"/>
      <c r="Y70" s="2"/>
      <c r="Z70" s="108"/>
    </row>
    <row x14ac:dyDescent="0.25" r="71" customHeight="1" ht="13.5">
      <c r="A71" s="2"/>
      <c r="B71" s="3"/>
      <c r="C71" s="2"/>
      <c r="D71" s="249"/>
      <c r="E71" s="280">
        <v>2017</v>
      </c>
      <c r="F71" s="280">
        <v>2018</v>
      </c>
      <c r="G71" s="280">
        <v>2019</v>
      </c>
      <c r="H71" s="280">
        <v>2020</v>
      </c>
      <c r="I71" s="280">
        <v>2021</v>
      </c>
      <c r="J71" s="280">
        <v>2022</v>
      </c>
      <c r="K71" s="280">
        <v>2023</v>
      </c>
      <c r="L71" s="280">
        <v>2024</v>
      </c>
      <c r="M71" s="280">
        <v>2025</v>
      </c>
      <c r="N71" s="108"/>
      <c r="O71" s="280" t="s">
        <v>549</v>
      </c>
      <c r="P71" s="280" t="s">
        <v>550</v>
      </c>
      <c r="Q71" s="280" t="s">
        <v>551</v>
      </c>
      <c r="R71" s="280" t="s">
        <v>552</v>
      </c>
      <c r="S71" s="280" t="s">
        <v>553</v>
      </c>
      <c r="T71" s="280" t="s">
        <v>554</v>
      </c>
      <c r="U71" s="3"/>
      <c r="V71" s="108"/>
      <c r="W71" s="108"/>
      <c r="X71" s="108"/>
      <c r="Y71" s="2"/>
      <c r="Z71" s="108"/>
    </row>
    <row x14ac:dyDescent="0.25" r="72" customHeight="1" ht="13.5">
      <c r="A72" s="2"/>
      <c r="B72" s="3"/>
      <c r="C72" s="2"/>
      <c r="D72" s="250">
        <f>HarvestedAreas_TCD_Tanzania!A6</f>
      </c>
      <c r="E72" s="153">
        <f>HarvestedAreas_TCD_Tanzania!B6</f>
      </c>
      <c r="F72" s="153">
        <f>HarvestedAreas_TCD_Tanzania!C6</f>
      </c>
      <c r="G72" s="153">
        <f>HarvestedAreas_TCD_Tanzania!D6</f>
      </c>
      <c r="H72" s="153">
        <f>HarvestedAreas_TCD_Tanzania!E6</f>
      </c>
      <c r="I72" s="153">
        <f>HarvestedAreas_TCD_Tanzania!F6</f>
      </c>
      <c r="J72" s="438">
        <f>I72*(1+$Q72)</f>
      </c>
      <c r="K72" s="438">
        <f>J72*(1+$Q72)</f>
      </c>
      <c r="L72" s="438">
        <f>K72*(1+$Q72)</f>
      </c>
      <c r="M72" s="438">
        <f>L72*(1+$Q72)</f>
      </c>
      <c r="N72" s="108"/>
      <c r="O72" s="245">
        <f>IFERROR(_xlfn.RRI($I$71-$E$71,E72,I72),0)</f>
      </c>
      <c r="P72" s="245">
        <f>IFERROR(_xlfn.RRI($I$71-$H$71,H72,I72),0)</f>
      </c>
      <c r="Q72" s="439">
        <f>O72</f>
      </c>
      <c r="R72" s="440"/>
      <c r="S72" s="441"/>
      <c r="T72" s="442"/>
      <c r="U72" s="3"/>
      <c r="V72" s="108"/>
      <c r="W72" s="108"/>
      <c r="X72" s="108"/>
      <c r="Y72" s="2"/>
      <c r="Z72" s="108"/>
    </row>
    <row x14ac:dyDescent="0.25" r="73" customHeight="1" ht="13.5">
      <c r="A73" s="2"/>
      <c r="B73" s="3"/>
      <c r="C73" s="2"/>
      <c r="D73" s="250">
        <f>HarvestedAreas_TCD_Tanzania!A7</f>
      </c>
      <c r="E73" s="153">
        <f>HarvestedAreas_TCD_Tanzania!B7</f>
      </c>
      <c r="F73" s="153">
        <f>HarvestedAreas_TCD_Tanzania!C7</f>
      </c>
      <c r="G73" s="153">
        <f>HarvestedAreas_TCD_Tanzania!D7</f>
      </c>
      <c r="H73" s="153">
        <f>HarvestedAreas_TCD_Tanzania!E7</f>
      </c>
      <c r="I73" s="153">
        <f>HarvestedAreas_TCD_Tanzania!F7</f>
      </c>
      <c r="J73" s="438">
        <f>I73*(1+$Q73)</f>
      </c>
      <c r="K73" s="438">
        <f>J73*(1+$Q73)</f>
      </c>
      <c r="L73" s="438">
        <f>K73*(1+$Q73)</f>
      </c>
      <c r="M73" s="438">
        <f>L73*(1+$Q73)</f>
      </c>
      <c r="N73" s="108"/>
      <c r="O73" s="245">
        <f>IFERROR(_xlfn.RRI($I$71-$E$71,E73,I73),0)</f>
      </c>
      <c r="P73" s="245">
        <f>IFERROR(_xlfn.RRI($I$71-$H$71,H73,I73),0)</f>
      </c>
      <c r="Q73" s="439">
        <f>O73</f>
      </c>
      <c r="R73" s="440"/>
      <c r="S73" s="441"/>
      <c r="T73" s="442"/>
      <c r="U73" s="3"/>
      <c r="V73" s="108"/>
      <c r="W73" s="108"/>
      <c r="X73" s="108"/>
      <c r="Y73" s="2"/>
      <c r="Z73" s="108"/>
    </row>
    <row x14ac:dyDescent="0.25" r="74" customHeight="1" ht="13.5">
      <c r="A74" s="2"/>
      <c r="B74" s="3"/>
      <c r="C74" s="2"/>
      <c r="D74" s="250">
        <f>HarvestedAreas_TCD_Tanzania!A8</f>
      </c>
      <c r="E74" s="153">
        <f>HarvestedAreas_TCD_Tanzania!B8</f>
      </c>
      <c r="F74" s="153">
        <f>HarvestedAreas_TCD_Tanzania!C8</f>
      </c>
      <c r="G74" s="153">
        <f>HarvestedAreas_TCD_Tanzania!D8</f>
      </c>
      <c r="H74" s="153">
        <f>HarvestedAreas_TCD_Tanzania!E8</f>
      </c>
      <c r="I74" s="153">
        <f>HarvestedAreas_TCD_Tanzania!F8</f>
      </c>
      <c r="J74" s="438">
        <f>I74*(1+$Q74)</f>
      </c>
      <c r="K74" s="438">
        <f>J74*(1+$Q74)</f>
      </c>
      <c r="L74" s="438">
        <f>K74*(1+$Q74)</f>
      </c>
      <c r="M74" s="438">
        <f>L74*(1+$Q74)</f>
      </c>
      <c r="N74" s="108"/>
      <c r="O74" s="245">
        <f>IFERROR(_xlfn.RRI($I$71-$E$71,E74,I74),0)</f>
      </c>
      <c r="P74" s="245">
        <f>IFERROR(_xlfn.RRI($I$71-$H$71,H74,I74),0)</f>
      </c>
      <c r="Q74" s="439">
        <f>P74</f>
      </c>
      <c r="R74" s="440"/>
      <c r="S74" s="441"/>
      <c r="T74" s="442"/>
      <c r="U74" s="3"/>
      <c r="V74" s="108"/>
      <c r="W74" s="108"/>
      <c r="X74" s="108"/>
      <c r="Y74" s="2"/>
      <c r="Z74" s="108"/>
    </row>
    <row x14ac:dyDescent="0.25" r="75" customHeight="1" ht="13.5">
      <c r="A75" s="2"/>
      <c r="B75" s="3"/>
      <c r="C75" s="2"/>
      <c r="D75" s="250">
        <f>HarvestedAreas_TCD_Tanzania!A9</f>
      </c>
      <c r="E75" s="153">
        <f>HarvestedAreas_TCD_Tanzania!B9</f>
      </c>
      <c r="F75" s="153">
        <f>HarvestedAreas_TCD_Tanzania!C9</f>
      </c>
      <c r="G75" s="153">
        <f>HarvestedAreas_TCD_Tanzania!D9</f>
      </c>
      <c r="H75" s="153">
        <f>HarvestedAreas_TCD_Tanzania!E9</f>
      </c>
      <c r="I75" s="153">
        <f>HarvestedAreas_TCD_Tanzania!F9</f>
      </c>
      <c r="J75" s="438">
        <f>I75*(1+$Q75)</f>
      </c>
      <c r="K75" s="438">
        <f>J75*(1+$Q75)</f>
      </c>
      <c r="L75" s="438">
        <f>K75*(1+$Q75)</f>
      </c>
      <c r="M75" s="438">
        <f>L75*(1+$Q75)</f>
      </c>
      <c r="N75" s="108"/>
      <c r="O75" s="245">
        <f>IFERROR(_xlfn.RRI($I$71-$E$71,E75,I75),0)</f>
      </c>
      <c r="P75" s="245">
        <f>IFERROR(_xlfn.RRI($I$71-$H$71,H75,I75),0)</f>
      </c>
      <c r="Q75" s="439">
        <f>O75</f>
      </c>
      <c r="R75" s="440"/>
      <c r="S75" s="441"/>
      <c r="T75" s="442"/>
      <c r="U75" s="3"/>
      <c r="V75" s="108"/>
      <c r="W75" s="108"/>
      <c r="X75" s="108"/>
      <c r="Y75" s="2"/>
      <c r="Z75" s="108"/>
    </row>
    <row x14ac:dyDescent="0.25" r="76" customHeight="1" ht="13.5">
      <c r="A76" s="2"/>
      <c r="B76" s="3"/>
      <c r="C76" s="2"/>
      <c r="D76" s="250">
        <f>HarvestedAreas_TCD_Tanzania!A10</f>
      </c>
      <c r="E76" s="153">
        <f>HarvestedAreas_TCD_Tanzania!B10</f>
      </c>
      <c r="F76" s="153">
        <f>HarvestedAreas_TCD_Tanzania!C10</f>
      </c>
      <c r="G76" s="153">
        <f>HarvestedAreas_TCD_Tanzania!D10</f>
      </c>
      <c r="H76" s="153">
        <f>HarvestedAreas_TCD_Tanzania!E10</f>
      </c>
      <c r="I76" s="153">
        <f>HarvestedAreas_TCD_Tanzania!F10</f>
      </c>
      <c r="J76" s="438">
        <f>I76*(1+$Q76)</f>
      </c>
      <c r="K76" s="438">
        <f>J76*(1+$Q76)</f>
      </c>
      <c r="L76" s="438">
        <f>K76*(1+$Q76)</f>
      </c>
      <c r="M76" s="438">
        <f>L76*(1+$Q76)</f>
      </c>
      <c r="N76" s="108"/>
      <c r="O76" s="245">
        <f>IFERROR(_xlfn.RRI($I$71-$E$71,E76,I76),0)</f>
      </c>
      <c r="P76" s="245">
        <f>IFERROR(_xlfn.RRI($I$71-$H$71,H76,I76),0)</f>
      </c>
      <c r="Q76" s="439">
        <f>P76</f>
      </c>
      <c r="R76" s="440"/>
      <c r="S76" s="441"/>
      <c r="T76" s="442"/>
      <c r="U76" s="3"/>
      <c r="V76" s="108"/>
      <c r="W76" s="108"/>
      <c r="X76" s="108"/>
      <c r="Y76" s="2"/>
      <c r="Z76" s="108"/>
    </row>
    <row x14ac:dyDescent="0.25" r="77" customHeight="1" ht="13.5">
      <c r="A77" s="2"/>
      <c r="B77" s="3"/>
      <c r="C77" s="2"/>
      <c r="D77" s="250">
        <f>HarvestedAreas_TCD_Tanzania!A11</f>
      </c>
      <c r="E77" s="153">
        <f>HarvestedAreas_TCD_Tanzania!B11</f>
      </c>
      <c r="F77" s="153">
        <f>HarvestedAreas_TCD_Tanzania!C11</f>
      </c>
      <c r="G77" s="153">
        <f>HarvestedAreas_TCD_Tanzania!D11</f>
      </c>
      <c r="H77" s="153">
        <f>HarvestedAreas_TCD_Tanzania!E11</f>
      </c>
      <c r="I77" s="153">
        <f>HarvestedAreas_TCD_Tanzania!F11</f>
      </c>
      <c r="J77" s="438">
        <f>I77*(1+$Q77)</f>
      </c>
      <c r="K77" s="438">
        <f>J77*(1+$Q77)</f>
      </c>
      <c r="L77" s="438">
        <f>K77*(1+$Q77)</f>
      </c>
      <c r="M77" s="438">
        <f>L77*(1+$Q77)</f>
      </c>
      <c r="N77" s="108"/>
      <c r="O77" s="245">
        <f>IFERROR(_xlfn.RRI($I$71-$E$71,E77,I77),0)</f>
      </c>
      <c r="P77" s="245">
        <f>IFERROR(_xlfn.RRI($I$71-$H$71,H77,I77),0)</f>
      </c>
      <c r="Q77" s="439">
        <f>P77</f>
      </c>
      <c r="R77" s="440"/>
      <c r="S77" s="441"/>
      <c r="T77" s="442"/>
      <c r="U77" s="3"/>
      <c r="V77" s="108"/>
      <c r="W77" s="108"/>
      <c r="X77" s="108"/>
      <c r="Y77" s="2"/>
      <c r="Z77" s="108"/>
    </row>
    <row x14ac:dyDescent="0.25" r="78" customHeight="1" ht="13.5">
      <c r="A78" s="2"/>
      <c r="B78" s="3"/>
      <c r="C78" s="2"/>
      <c r="D78" s="250">
        <f>HarvestedAreas_TCD_Tanzania!A12</f>
      </c>
      <c r="E78" s="153">
        <f>HarvestedAreas_TCD_Tanzania!B12</f>
      </c>
      <c r="F78" s="153">
        <f>HarvestedAreas_TCD_Tanzania!C12</f>
      </c>
      <c r="G78" s="153">
        <f>HarvestedAreas_TCD_Tanzania!D12</f>
      </c>
      <c r="H78" s="153">
        <f>HarvestedAreas_TCD_Tanzania!E12</f>
      </c>
      <c r="I78" s="153">
        <f>HarvestedAreas_TCD_Tanzania!F12</f>
      </c>
      <c r="J78" s="438">
        <f>I78*(1+$Q78)</f>
      </c>
      <c r="K78" s="438">
        <f>J78*(1+$Q78)</f>
      </c>
      <c r="L78" s="438">
        <f>K78*(1+$Q78)</f>
      </c>
      <c r="M78" s="438">
        <f>L78*(1+$Q78)</f>
      </c>
      <c r="N78" s="108"/>
      <c r="O78" s="245">
        <f>IFERROR(_xlfn.RRI($I$71-$E$71,E78,I78),0)</f>
      </c>
      <c r="P78" s="245">
        <f>IFERROR(_xlfn.RRI($I$71-$H$71,H78,I78),0)</f>
      </c>
      <c r="Q78" s="439">
        <f>O78</f>
      </c>
      <c r="R78" s="440"/>
      <c r="S78" s="441"/>
      <c r="T78" s="442"/>
      <c r="U78" s="3"/>
      <c r="V78" s="108"/>
      <c r="W78" s="108"/>
      <c r="X78" s="108"/>
      <c r="Y78" s="2"/>
      <c r="Z78" s="108"/>
    </row>
    <row x14ac:dyDescent="0.25" r="79" customHeight="1" ht="13.5">
      <c r="A79" s="2"/>
      <c r="B79" s="3"/>
      <c r="C79" s="2"/>
      <c r="D79" s="250">
        <f>HarvestedAreas_TCD_Tanzania!A13</f>
      </c>
      <c r="E79" s="153">
        <f>HarvestedAreas_TCD_Tanzania!B13</f>
      </c>
      <c r="F79" s="153">
        <f>HarvestedAreas_TCD_Tanzania!C13</f>
      </c>
      <c r="G79" s="153">
        <f>HarvestedAreas_TCD_Tanzania!D13</f>
      </c>
      <c r="H79" s="153">
        <f>HarvestedAreas_TCD_Tanzania!E13</f>
      </c>
      <c r="I79" s="153">
        <f>HarvestedAreas_TCD_Tanzania!F13</f>
      </c>
      <c r="J79" s="438">
        <f>I79*(1+$Q79)</f>
      </c>
      <c r="K79" s="438">
        <f>J79*(1+$Q79)</f>
      </c>
      <c r="L79" s="438">
        <f>K79*(1+$Q79)</f>
      </c>
      <c r="M79" s="438">
        <f>L79*(1+$Q79)</f>
      </c>
      <c r="N79" s="108"/>
      <c r="O79" s="245">
        <f>IFERROR(_xlfn.RRI($I$71-$E$71,E79,I79),0)</f>
      </c>
      <c r="P79" s="245">
        <f>IFERROR(_xlfn.RRI($I$71-$H$71,H79,I79),0)</f>
      </c>
      <c r="Q79" s="439">
        <f>O79</f>
      </c>
      <c r="R79" s="443" t="s">
        <v>555</v>
      </c>
      <c r="S79" s="441"/>
      <c r="T79" s="442"/>
      <c r="U79" s="3"/>
      <c r="V79" s="108"/>
      <c r="W79" s="108"/>
      <c r="X79" s="108"/>
      <c r="Y79" s="2"/>
      <c r="Z79" s="108"/>
    </row>
    <row x14ac:dyDescent="0.25" r="80" customHeight="1" ht="13.5">
      <c r="A80" s="2"/>
      <c r="B80" s="3"/>
      <c r="C80" s="2"/>
      <c r="D80" s="250">
        <f>HarvestedAreas_TCD_Tanzania!A14</f>
      </c>
      <c r="E80" s="153">
        <f>HarvestedAreas_TCD_Tanzania!B14</f>
      </c>
      <c r="F80" s="153">
        <f>HarvestedAreas_TCD_Tanzania!C14</f>
      </c>
      <c r="G80" s="153">
        <f>HarvestedAreas_TCD_Tanzania!D14</f>
      </c>
      <c r="H80" s="153">
        <f>HarvestedAreas_TCD_Tanzania!E14</f>
      </c>
      <c r="I80" s="153">
        <f>HarvestedAreas_TCD_Tanzania!F14</f>
      </c>
      <c r="J80" s="438">
        <f>I80*(1+$Q80)</f>
      </c>
      <c r="K80" s="438">
        <f>J80*(1+$Q80)</f>
      </c>
      <c r="L80" s="438">
        <f>K80*(1+$Q80)</f>
      </c>
      <c r="M80" s="438">
        <f>L80*(1+$Q80)</f>
      </c>
      <c r="N80" s="108"/>
      <c r="O80" s="245">
        <f>IFERROR(_xlfn.RRI($I$71-$E$71,E80,I80),0)</f>
      </c>
      <c r="P80" s="245">
        <f>IFERROR(_xlfn.RRI($I$71-$H$71,H80,I80),0)</f>
      </c>
      <c r="Q80" s="439">
        <f>P80</f>
      </c>
      <c r="R80" s="440"/>
      <c r="S80" s="441"/>
      <c r="T80" s="442"/>
      <c r="U80" s="3"/>
      <c r="V80" s="108"/>
      <c r="W80" s="108"/>
      <c r="X80" s="108"/>
      <c r="Y80" s="2"/>
      <c r="Z80" s="108"/>
    </row>
    <row x14ac:dyDescent="0.25" r="81" customHeight="1" ht="13.5">
      <c r="A81" s="2"/>
      <c r="B81" s="3"/>
      <c r="C81" s="2"/>
      <c r="D81" s="250">
        <f>HarvestedAreas_TCD_Tanzania!A15</f>
      </c>
      <c r="E81" s="153">
        <f>HarvestedAreas_TCD_Tanzania!B15</f>
      </c>
      <c r="F81" s="153">
        <f>HarvestedAreas_TCD_Tanzania!C15</f>
      </c>
      <c r="G81" s="153">
        <f>HarvestedAreas_TCD_Tanzania!D15</f>
      </c>
      <c r="H81" s="153">
        <f>HarvestedAreas_TCD_Tanzania!E15</f>
      </c>
      <c r="I81" s="153">
        <f>HarvestedAreas_TCD_Tanzania!F15</f>
      </c>
      <c r="J81" s="438">
        <f>I81*(1+$Q81)</f>
      </c>
      <c r="K81" s="438">
        <f>J81*(1+$Q81)</f>
      </c>
      <c r="L81" s="438">
        <f>K81*(1+$Q81)</f>
      </c>
      <c r="M81" s="438">
        <f>L81*(1+$Q81)</f>
      </c>
      <c r="N81" s="108"/>
      <c r="O81" s="245">
        <f>IFERROR(_xlfn.RRI($I$71-$E$71,E81,I81),0)</f>
      </c>
      <c r="P81" s="245">
        <f>IFERROR(_xlfn.RRI($I$71-$H$71,H81,I81),0)</f>
      </c>
      <c r="Q81" s="439">
        <f>O81</f>
      </c>
      <c r="R81" s="440"/>
      <c r="S81" s="441"/>
      <c r="T81" s="442"/>
      <c r="U81" s="3"/>
      <c r="V81" s="108"/>
      <c r="W81" s="108"/>
      <c r="X81" s="108"/>
      <c r="Y81" s="2"/>
      <c r="Z81" s="108"/>
    </row>
    <row x14ac:dyDescent="0.25" r="82" customHeight="1" ht="13.5">
      <c r="A82" s="2"/>
      <c r="B82" s="3"/>
      <c r="C82" s="2"/>
      <c r="D82" s="250">
        <f>HarvestedAreas_TCD_Tanzania!A16</f>
      </c>
      <c r="E82" s="153">
        <f>HarvestedAreas_TCD_Tanzania!B16</f>
      </c>
      <c r="F82" s="153">
        <f>HarvestedAreas_TCD_Tanzania!C16</f>
      </c>
      <c r="G82" s="153">
        <f>HarvestedAreas_TCD_Tanzania!D16</f>
      </c>
      <c r="H82" s="153">
        <f>HarvestedAreas_TCD_Tanzania!E16</f>
      </c>
      <c r="I82" s="153">
        <f>HarvestedAreas_TCD_Tanzania!F16</f>
      </c>
      <c r="J82" s="438">
        <f>I82*(1+$Q82)</f>
      </c>
      <c r="K82" s="438">
        <f>J82*(1+$Q82)</f>
      </c>
      <c r="L82" s="438">
        <f>K82*(1+$Q82)</f>
      </c>
      <c r="M82" s="438">
        <f>L82*(1+$Q82)</f>
      </c>
      <c r="N82" s="108"/>
      <c r="O82" s="245">
        <f>IFERROR(_xlfn.RRI($I$71-$E$71,E82,I82),0)</f>
      </c>
      <c r="P82" s="245">
        <f>IFERROR(_xlfn.RRI($I$71-$H$71,H82,I82),0)</f>
      </c>
      <c r="Q82" s="439">
        <f>O82</f>
      </c>
      <c r="R82" s="443" t="s">
        <v>555</v>
      </c>
      <c r="S82" s="441"/>
      <c r="T82" s="442"/>
      <c r="U82" s="3"/>
      <c r="V82" s="108"/>
      <c r="W82" s="108"/>
      <c r="X82" s="108"/>
      <c r="Y82" s="2"/>
      <c r="Z82" s="108"/>
    </row>
    <row x14ac:dyDescent="0.25" r="83" customHeight="1" ht="13.5">
      <c r="A83" s="2"/>
      <c r="B83" s="3"/>
      <c r="C83" s="2"/>
      <c r="D83" s="250">
        <f>HarvestedAreas_TCD_Tanzania!A17</f>
      </c>
      <c r="E83" s="153">
        <f>HarvestedAreas_TCD_Tanzania!B17</f>
      </c>
      <c r="F83" s="153">
        <f>HarvestedAreas_TCD_Tanzania!C17</f>
      </c>
      <c r="G83" s="153">
        <f>HarvestedAreas_TCD_Tanzania!D17</f>
      </c>
      <c r="H83" s="153">
        <f>HarvestedAreas_TCD_Tanzania!E17</f>
      </c>
      <c r="I83" s="153">
        <f>HarvestedAreas_TCD_Tanzania!F17</f>
      </c>
      <c r="J83" s="438">
        <f>I83*(1+$Q83)</f>
      </c>
      <c r="K83" s="438">
        <f>J83*(1+$Q83)</f>
      </c>
      <c r="L83" s="438">
        <f>K83*(1+$Q83)</f>
      </c>
      <c r="M83" s="438">
        <f>L83*(1+$Q83)</f>
      </c>
      <c r="N83" s="108"/>
      <c r="O83" s="245">
        <f>IFERROR(_xlfn.RRI($I$71-$E$71,E83,I83),0)</f>
      </c>
      <c r="P83" s="245">
        <f>IFERROR(_xlfn.RRI($I$71-$H$71,H83,I83),0)</f>
      </c>
      <c r="Q83" s="439">
        <f>P83</f>
      </c>
      <c r="R83" s="440"/>
      <c r="S83" s="441"/>
      <c r="T83" s="442"/>
      <c r="U83" s="3"/>
      <c r="V83" s="108"/>
      <c r="W83" s="108"/>
      <c r="X83" s="108"/>
      <c r="Y83" s="2"/>
      <c r="Z83" s="108"/>
    </row>
    <row x14ac:dyDescent="0.25" r="84" customHeight="1" ht="13.5">
      <c r="A84" s="2"/>
      <c r="B84" s="3"/>
      <c r="C84" s="2"/>
      <c r="D84" s="250">
        <f>HarvestedAreas_TCD_Tanzania!A18</f>
      </c>
      <c r="E84" s="153">
        <f>HarvestedAreas_TCD_Tanzania!B18</f>
      </c>
      <c r="F84" s="153">
        <f>HarvestedAreas_TCD_Tanzania!C18</f>
      </c>
      <c r="G84" s="153">
        <f>HarvestedAreas_TCD_Tanzania!D18</f>
      </c>
      <c r="H84" s="153">
        <f>HarvestedAreas_TCD_Tanzania!E18</f>
      </c>
      <c r="I84" s="153">
        <f>HarvestedAreas_TCD_Tanzania!F18</f>
      </c>
      <c r="J84" s="438">
        <f>I84*(1+$Q84)</f>
      </c>
      <c r="K84" s="438">
        <f>J84*(1+$Q84)</f>
      </c>
      <c r="L84" s="438">
        <f>K84*(1+$Q84)</f>
      </c>
      <c r="M84" s="438">
        <f>L84*(1+$Q84)</f>
      </c>
      <c r="N84" s="108"/>
      <c r="O84" s="245">
        <f>IFERROR(_xlfn.RRI($I$71-$E$71,E84,I84),0)</f>
      </c>
      <c r="P84" s="245">
        <f>IFERROR(_xlfn.RRI($I$71-$H$71,H84,I84),0)</f>
      </c>
      <c r="Q84" s="439">
        <f>O84</f>
      </c>
      <c r="R84" s="440"/>
      <c r="S84" s="441"/>
      <c r="T84" s="442"/>
      <c r="U84" s="3"/>
      <c r="V84" s="108"/>
      <c r="W84" s="108"/>
      <c r="X84" s="108"/>
      <c r="Y84" s="2"/>
      <c r="Z84" s="108"/>
    </row>
    <row x14ac:dyDescent="0.25" r="85" customHeight="1" ht="13.5">
      <c r="A85" s="2"/>
      <c r="B85" s="3"/>
      <c r="C85" s="2"/>
      <c r="D85" s="250">
        <f>HarvestedAreas_TCD_Tanzania!A19</f>
      </c>
      <c r="E85" s="153">
        <f>HarvestedAreas_TCD_Tanzania!B19</f>
      </c>
      <c r="F85" s="153">
        <f>HarvestedAreas_TCD_Tanzania!C19</f>
      </c>
      <c r="G85" s="153">
        <f>HarvestedAreas_TCD_Tanzania!D19</f>
      </c>
      <c r="H85" s="153">
        <f>HarvestedAreas_TCD_Tanzania!E19</f>
      </c>
      <c r="I85" s="153">
        <f>HarvestedAreas_TCD_Tanzania!F19</f>
      </c>
      <c r="J85" s="438">
        <f>I85*(1+$Q85)</f>
      </c>
      <c r="K85" s="438">
        <f>J85*(1+$Q85)</f>
      </c>
      <c r="L85" s="438">
        <f>K85*(1+$Q85)</f>
      </c>
      <c r="M85" s="438">
        <f>L85*(1+$Q85)</f>
      </c>
      <c r="N85" s="108"/>
      <c r="O85" s="245">
        <f>IFERROR(_xlfn.RRI($I$71-$E$71,E85,I85),0)</f>
      </c>
      <c r="P85" s="245">
        <f>IFERROR(_xlfn.RRI($I$71-$H$71,H85,I85),0)</f>
      </c>
      <c r="Q85" s="439">
        <f>O85</f>
      </c>
      <c r="R85" s="440"/>
      <c r="S85" s="441"/>
      <c r="T85" s="442"/>
      <c r="U85" s="3"/>
      <c r="V85" s="108"/>
      <c r="W85" s="108"/>
      <c r="X85" s="108"/>
      <c r="Y85" s="2"/>
      <c r="Z85" s="108"/>
    </row>
    <row x14ac:dyDescent="0.25" r="86" customHeight="1" ht="13.5">
      <c r="A86" s="2"/>
      <c r="B86" s="3"/>
      <c r="C86" s="2"/>
      <c r="D86" s="250">
        <f>HarvestedAreas_TCD_Tanzania!A20</f>
      </c>
      <c r="E86" s="153">
        <f>HarvestedAreas_TCD_Tanzania!B20</f>
      </c>
      <c r="F86" s="153">
        <f>HarvestedAreas_TCD_Tanzania!C20</f>
      </c>
      <c r="G86" s="153">
        <f>HarvestedAreas_TCD_Tanzania!D20</f>
      </c>
      <c r="H86" s="153">
        <f>HarvestedAreas_TCD_Tanzania!E20</f>
      </c>
      <c r="I86" s="153">
        <f>HarvestedAreas_TCD_Tanzania!F20</f>
      </c>
      <c r="J86" s="438">
        <f>I86*(1+$Q86)</f>
      </c>
      <c r="K86" s="438">
        <f>J86*(1+$Q86)</f>
      </c>
      <c r="L86" s="438">
        <f>K86*(1+$Q86)</f>
      </c>
      <c r="M86" s="438">
        <f>L86*(1+$Q86)</f>
      </c>
      <c r="N86" s="108"/>
      <c r="O86" s="245">
        <f>IFERROR(_xlfn.RRI($I$71-$E$71,E86,I86),0)</f>
      </c>
      <c r="P86" s="245">
        <f>IFERROR(_xlfn.RRI($I$71-$H$71,H86,I86),0)</f>
      </c>
      <c r="Q86" s="439">
        <f>P86</f>
      </c>
      <c r="R86" s="440"/>
      <c r="S86" s="441"/>
      <c r="T86" s="442"/>
      <c r="U86" s="3"/>
      <c r="V86" s="108"/>
      <c r="W86" s="108"/>
      <c r="X86" s="108"/>
      <c r="Y86" s="2"/>
      <c r="Z86" s="108"/>
    </row>
    <row x14ac:dyDescent="0.25" r="87" customHeight="1" ht="13.5">
      <c r="A87" s="2"/>
      <c r="B87" s="3"/>
      <c r="C87" s="2"/>
      <c r="D87" s="250">
        <f>HarvestedAreas_TCD_Tanzania!A21</f>
      </c>
      <c r="E87" s="153">
        <f>HarvestedAreas_TCD_Tanzania!B21</f>
      </c>
      <c r="F87" s="153">
        <f>HarvestedAreas_TCD_Tanzania!C21</f>
      </c>
      <c r="G87" s="153">
        <f>HarvestedAreas_TCD_Tanzania!D21</f>
      </c>
      <c r="H87" s="153">
        <f>HarvestedAreas_TCD_Tanzania!E21</f>
      </c>
      <c r="I87" s="153">
        <f>HarvestedAreas_TCD_Tanzania!F21</f>
      </c>
      <c r="J87" s="438">
        <f>I87*(1+$Q87)</f>
      </c>
      <c r="K87" s="438">
        <f>J87*(1+$Q87)</f>
      </c>
      <c r="L87" s="438">
        <f>K87*(1+$Q87)</f>
      </c>
      <c r="M87" s="438">
        <f>L87*(1+$Q87)</f>
      </c>
      <c r="N87" s="108"/>
      <c r="O87" s="245">
        <f>IFERROR(_xlfn.RRI($I$71-$E$71,E87,I87),0)</f>
      </c>
      <c r="P87" s="245">
        <f>IFERROR(_xlfn.RRI($I$71-$H$71,H87,I87),0)</f>
      </c>
      <c r="Q87" s="439">
        <f>O87</f>
      </c>
      <c r="R87" s="443" t="s">
        <v>555</v>
      </c>
      <c r="S87" s="441"/>
      <c r="T87" s="442"/>
      <c r="U87" s="3"/>
      <c r="V87" s="108"/>
      <c r="W87" s="108"/>
      <c r="X87" s="108"/>
      <c r="Y87" s="2"/>
      <c r="Z87" s="108"/>
    </row>
    <row x14ac:dyDescent="0.25" r="88" customHeight="1" ht="13.5">
      <c r="A88" s="2"/>
      <c r="B88" s="3"/>
      <c r="C88" s="2"/>
      <c r="D88" s="250">
        <f>HarvestedAreas_TCD_Tanzania!A22</f>
      </c>
      <c r="E88" s="153">
        <f>HarvestedAreas_TCD_Tanzania!B22</f>
      </c>
      <c r="F88" s="153">
        <f>HarvestedAreas_TCD_Tanzania!C22</f>
      </c>
      <c r="G88" s="153">
        <f>HarvestedAreas_TCD_Tanzania!D22</f>
      </c>
      <c r="H88" s="153">
        <f>HarvestedAreas_TCD_Tanzania!E22</f>
      </c>
      <c r="I88" s="153">
        <f>HarvestedAreas_TCD_Tanzania!F22</f>
      </c>
      <c r="J88" s="438">
        <f>I88*(1+$Q88)</f>
      </c>
      <c r="K88" s="438">
        <f>J88*(1+$Q88)</f>
      </c>
      <c r="L88" s="438">
        <f>K88*(1+$Q88)</f>
      </c>
      <c r="M88" s="438">
        <f>L88*(1+$Q88)</f>
      </c>
      <c r="N88" s="108"/>
      <c r="O88" s="245">
        <f>IFERROR(_xlfn.RRI($I$71-$E$71,E88,I88),0)</f>
      </c>
      <c r="P88" s="245">
        <f>IFERROR(_xlfn.RRI($I$71-$H$71,H88,I88),0)</f>
      </c>
      <c r="Q88" s="439">
        <f>P88</f>
      </c>
      <c r="R88" s="440"/>
      <c r="S88" s="441"/>
      <c r="T88" s="442"/>
      <c r="U88" s="3"/>
      <c r="V88" s="108"/>
      <c r="W88" s="108"/>
      <c r="X88" s="108"/>
      <c r="Y88" s="2"/>
      <c r="Z88" s="108"/>
    </row>
    <row x14ac:dyDescent="0.25" r="89" customHeight="1" ht="13.5">
      <c r="A89" s="2"/>
      <c r="B89" s="3"/>
      <c r="C89" s="2"/>
      <c r="D89" s="250">
        <f>HarvestedAreas_TCD_Tanzania!A23</f>
      </c>
      <c r="E89" s="153">
        <f>HarvestedAreas_TCD_Tanzania!B23</f>
      </c>
      <c r="F89" s="153">
        <f>HarvestedAreas_TCD_Tanzania!C23</f>
      </c>
      <c r="G89" s="153">
        <f>HarvestedAreas_TCD_Tanzania!D23</f>
      </c>
      <c r="H89" s="153">
        <f>HarvestedAreas_TCD_Tanzania!E23</f>
      </c>
      <c r="I89" s="153">
        <f>HarvestedAreas_TCD_Tanzania!F23</f>
      </c>
      <c r="J89" s="438">
        <f>I89*(1+$Q89)</f>
      </c>
      <c r="K89" s="438">
        <f>J89*(1+$Q89)</f>
      </c>
      <c r="L89" s="438">
        <f>K89*(1+$Q89)</f>
      </c>
      <c r="M89" s="438">
        <f>L89*(1+$Q89)</f>
      </c>
      <c r="N89" s="108"/>
      <c r="O89" s="245">
        <f>IFERROR(_xlfn.RRI($I$71-$E$71,E89,I89),0)</f>
      </c>
      <c r="P89" s="245">
        <f>IFERROR(_xlfn.RRI($I$71-$H$71,H89,I89),0)</f>
      </c>
      <c r="Q89" s="439">
        <f>O89</f>
      </c>
      <c r="R89" s="440"/>
      <c r="S89" s="441"/>
      <c r="T89" s="442"/>
      <c r="U89" s="3"/>
      <c r="V89" s="108"/>
      <c r="W89" s="108"/>
      <c r="X89" s="108"/>
      <c r="Y89" s="2"/>
      <c r="Z89" s="108"/>
    </row>
    <row x14ac:dyDescent="0.25" r="90" customHeight="1" ht="13.5">
      <c r="A90" s="2"/>
      <c r="B90" s="3"/>
      <c r="C90" s="2"/>
      <c r="D90" s="250">
        <f>HarvestedAreas_TCD_Tanzania!A24</f>
      </c>
      <c r="E90" s="153">
        <f>HarvestedAreas_TCD_Tanzania!B24</f>
      </c>
      <c r="F90" s="153">
        <f>HarvestedAreas_TCD_Tanzania!C24</f>
      </c>
      <c r="G90" s="153">
        <f>HarvestedAreas_TCD_Tanzania!D24</f>
      </c>
      <c r="H90" s="153">
        <f>HarvestedAreas_TCD_Tanzania!E24</f>
      </c>
      <c r="I90" s="153">
        <f>HarvestedAreas_TCD_Tanzania!F24</f>
      </c>
      <c r="J90" s="438">
        <f>I90*(1+$Q90)</f>
      </c>
      <c r="K90" s="438">
        <f>J90*(1+$Q90)</f>
      </c>
      <c r="L90" s="438">
        <f>K90*(1+$Q90)</f>
      </c>
      <c r="M90" s="438">
        <f>L90*(1+$Q90)</f>
      </c>
      <c r="N90" s="108"/>
      <c r="O90" s="245">
        <f>IFERROR(_xlfn.RRI($I$71-$E$71,E90,I90),0)</f>
      </c>
      <c r="P90" s="245">
        <f>IFERROR(_xlfn.RRI($I$71-$H$71,H90,I90),0)</f>
      </c>
      <c r="Q90" s="439">
        <f>O90</f>
      </c>
      <c r="R90" s="440"/>
      <c r="S90" s="441"/>
      <c r="T90" s="442"/>
      <c r="U90" s="3"/>
      <c r="V90" s="108"/>
      <c r="W90" s="108"/>
      <c r="X90" s="108"/>
      <c r="Y90" s="2"/>
      <c r="Z90" s="108"/>
    </row>
    <row x14ac:dyDescent="0.25" r="91" customHeight="1" ht="13.5">
      <c r="A91" s="2"/>
      <c r="B91" s="3"/>
      <c r="C91" s="2"/>
      <c r="D91" s="250">
        <f>HarvestedAreas_TCD_Tanzania!A25</f>
      </c>
      <c r="E91" s="153">
        <f>HarvestedAreas_TCD_Tanzania!B25</f>
      </c>
      <c r="F91" s="153">
        <f>HarvestedAreas_TCD_Tanzania!C25</f>
      </c>
      <c r="G91" s="153">
        <f>HarvestedAreas_TCD_Tanzania!D25</f>
      </c>
      <c r="H91" s="153">
        <f>HarvestedAreas_TCD_Tanzania!E25</f>
      </c>
      <c r="I91" s="153">
        <f>HarvestedAreas_TCD_Tanzania!F25</f>
      </c>
      <c r="J91" s="438">
        <f>I91*(1+$Q91)</f>
      </c>
      <c r="K91" s="438">
        <f>J91*(1+$Q91)</f>
      </c>
      <c r="L91" s="438">
        <f>K91*(1+$Q91)</f>
      </c>
      <c r="M91" s="438">
        <f>L91*(1+$Q91)</f>
      </c>
      <c r="N91" s="108"/>
      <c r="O91" s="245">
        <f>IFERROR(_xlfn.RRI($I$71-$E$71,E91,I91),0)</f>
      </c>
      <c r="P91" s="245">
        <f>IFERROR(_xlfn.RRI($I$71-$H$71,H91,I91),0)</f>
      </c>
      <c r="Q91" s="439">
        <f>P91</f>
      </c>
      <c r="R91" s="443" t="s">
        <v>556</v>
      </c>
      <c r="S91" s="441"/>
      <c r="T91" s="442"/>
      <c r="U91" s="3"/>
      <c r="V91" s="108"/>
      <c r="W91" s="108"/>
      <c r="X91" s="108"/>
      <c r="Y91" s="2"/>
      <c r="Z91" s="108"/>
    </row>
    <row x14ac:dyDescent="0.25" r="92" customHeight="1" ht="13.5">
      <c r="A92" s="2"/>
      <c r="B92" s="3"/>
      <c r="C92" s="2"/>
      <c r="D92" s="250">
        <f>HarvestedAreas_TCD_Tanzania!A26</f>
      </c>
      <c r="E92" s="153">
        <f>HarvestedAreas_TCD_Tanzania!B26</f>
      </c>
      <c r="F92" s="153">
        <f>HarvestedAreas_TCD_Tanzania!C26</f>
      </c>
      <c r="G92" s="153">
        <f>HarvestedAreas_TCD_Tanzania!D26</f>
      </c>
      <c r="H92" s="153">
        <f>HarvestedAreas_TCD_Tanzania!E26</f>
      </c>
      <c r="I92" s="153">
        <f>HarvestedAreas_TCD_Tanzania!F26</f>
      </c>
      <c r="J92" s="438">
        <f>I92*(1+$Q92)</f>
      </c>
      <c r="K92" s="438">
        <f>J92*(1+$Q92)</f>
      </c>
      <c r="L92" s="438">
        <f>K92*(1+$Q92)</f>
      </c>
      <c r="M92" s="438">
        <f>L92*(1+$Q92)</f>
      </c>
      <c r="N92" s="108"/>
      <c r="O92" s="245">
        <f>IFERROR(_xlfn.RRI($I$71-$E$71,E92,I92),0)</f>
      </c>
      <c r="P92" s="245">
        <f>IFERROR(_xlfn.RRI($I$71-$H$71,H92,I92),0)</f>
      </c>
      <c r="Q92" s="439">
        <f>O92</f>
      </c>
      <c r="R92" s="443" t="s">
        <v>555</v>
      </c>
      <c r="S92" s="441"/>
      <c r="T92" s="442"/>
      <c r="U92" s="3"/>
      <c r="V92" s="108"/>
      <c r="W92" s="108"/>
      <c r="X92" s="108"/>
      <c r="Y92" s="2"/>
      <c r="Z92" s="108"/>
    </row>
    <row x14ac:dyDescent="0.25" r="93" customHeight="1" ht="13.5">
      <c r="A93" s="2"/>
      <c r="B93" s="3"/>
      <c r="C93" s="2"/>
      <c r="D93" s="268" t="s">
        <v>446</v>
      </c>
      <c r="E93" s="444">
        <f>SUM(E72:E92)</f>
      </c>
      <c r="F93" s="444">
        <f>SUM(F72:F92)</f>
      </c>
      <c r="G93" s="444">
        <f>SUM(G72:G92)</f>
      </c>
      <c r="H93" s="444">
        <f>SUM(H72:H92)</f>
      </c>
      <c r="I93" s="444">
        <f>SUM(I72:I92)</f>
      </c>
      <c r="J93" s="445">
        <f>SUM(J72:J92)</f>
      </c>
      <c r="K93" s="445">
        <f>SUM(K72:K92)</f>
      </c>
      <c r="L93" s="445">
        <f>SUM(L72:L92)</f>
      </c>
      <c r="M93" s="445">
        <f>SUM(M72:M92)</f>
      </c>
      <c r="N93" s="108"/>
      <c r="O93" s="446">
        <f>IFERROR(_xlfn.RRI($I$71-$E$71,E93,I93),0)</f>
      </c>
      <c r="P93" s="446">
        <f>IFERROR(_xlfn.RRI($I$71-$H$71,H93,I93),0)</f>
      </c>
      <c r="Q93" s="447">
        <f>IFERROR(_xlfn.RRI($M$71-$I$71,I93,M93),0)</f>
      </c>
      <c r="R93" s="3"/>
      <c r="S93" s="3"/>
      <c r="T93" s="3"/>
      <c r="U93" s="3"/>
      <c r="V93" s="108"/>
      <c r="W93" s="108"/>
      <c r="X93" s="108"/>
      <c r="Y93" s="2"/>
      <c r="Z93" s="108"/>
    </row>
    <row x14ac:dyDescent="0.25" r="94" customHeight="1" ht="13.5">
      <c r="A94" s="2"/>
      <c r="B94" s="3"/>
      <c r="C94" s="2"/>
      <c r="D94" s="107"/>
      <c r="E94" s="124"/>
      <c r="F94" s="124"/>
      <c r="G94" s="124"/>
      <c r="H94" s="124"/>
      <c r="I94" s="124"/>
      <c r="J94" s="3"/>
      <c r="K94" s="3"/>
      <c r="L94" s="3"/>
      <c r="M94" s="3"/>
      <c r="N94" s="108"/>
      <c r="O94" s="3"/>
      <c r="P94" s="3"/>
      <c r="Q94" s="3"/>
      <c r="R94" s="3"/>
      <c r="S94" s="3"/>
      <c r="T94" s="3"/>
      <c r="U94" s="3"/>
      <c r="V94" s="108"/>
      <c r="W94" s="108"/>
      <c r="X94" s="108"/>
      <c r="Y94" s="2"/>
      <c r="Z94" s="108"/>
    </row>
    <row x14ac:dyDescent="0.25" r="95" customHeight="1" ht="13.5">
      <c r="A95" s="2"/>
      <c r="B95" s="198">
        <v>3</v>
      </c>
      <c r="C95" s="448" t="s">
        <v>557</v>
      </c>
      <c r="D95" s="275" t="s">
        <v>558</v>
      </c>
      <c r="E95" s="3"/>
      <c r="F95" s="3"/>
      <c r="G95" s="3"/>
      <c r="H95" s="3"/>
      <c r="I95" s="3"/>
      <c r="J95" s="3"/>
      <c r="K95" s="3"/>
      <c r="L95" s="3"/>
      <c r="M95" s="3"/>
      <c r="N95" s="108"/>
      <c r="O95" s="3"/>
      <c r="P95" s="3"/>
      <c r="Q95" s="3"/>
      <c r="R95" s="3"/>
      <c r="S95" s="3"/>
      <c r="T95" s="3"/>
      <c r="U95" s="3"/>
      <c r="V95" s="108"/>
      <c r="W95" s="108"/>
      <c r="X95" s="108"/>
      <c r="Y95" s="2"/>
      <c r="Z95" s="108"/>
    </row>
    <row x14ac:dyDescent="0.25" r="96" customHeight="1" ht="18.75">
      <c r="A96" s="2"/>
      <c r="B96" s="3"/>
      <c r="C96" s="2"/>
      <c r="D96" s="107"/>
      <c r="E96" s="3"/>
      <c r="F96" s="3"/>
      <c r="G96" s="3"/>
      <c r="H96" s="3"/>
      <c r="I96" s="3"/>
      <c r="J96" s="3"/>
      <c r="K96" s="3"/>
      <c r="L96" s="3"/>
      <c r="M96" s="3"/>
      <c r="N96" s="108"/>
      <c r="O96" s="3"/>
      <c r="P96" s="3"/>
      <c r="Q96" s="3"/>
      <c r="R96" s="3"/>
      <c r="S96" s="3"/>
      <c r="T96" s="3"/>
      <c r="U96" s="3"/>
      <c r="V96" s="108"/>
      <c r="W96" s="108"/>
      <c r="X96" s="108"/>
      <c r="Y96" s="2"/>
      <c r="Z96" s="108"/>
    </row>
    <row x14ac:dyDescent="0.25" r="97" customHeight="1" ht="13.5">
      <c r="A97" s="2"/>
      <c r="B97" s="3"/>
      <c r="C97" s="2"/>
      <c r="D97" s="240" t="s">
        <v>545</v>
      </c>
      <c r="E97" s="3"/>
      <c r="F97" s="3"/>
      <c r="G97" s="3"/>
      <c r="H97" s="3"/>
      <c r="I97" s="3"/>
      <c r="J97" s="3"/>
      <c r="K97" s="3"/>
      <c r="L97" s="3"/>
      <c r="M97" s="3"/>
      <c r="N97" s="108"/>
      <c r="O97" s="3"/>
      <c r="P97" s="3"/>
      <c r="Q97" s="3"/>
      <c r="R97" s="290"/>
      <c r="S97" s="3"/>
      <c r="T97" s="3"/>
      <c r="U97" s="3"/>
      <c r="V97" s="108"/>
      <c r="W97" s="108"/>
      <c r="X97" s="108"/>
      <c r="Y97" s="2"/>
      <c r="Z97" s="108"/>
    </row>
    <row x14ac:dyDescent="0.25" r="98" customHeight="1" ht="13.5">
      <c r="A98" s="2"/>
      <c r="B98" s="3"/>
      <c r="C98" s="2"/>
      <c r="D98" s="241" t="s">
        <v>559</v>
      </c>
      <c r="E98" s="3"/>
      <c r="F98" s="3"/>
      <c r="G98" s="3"/>
      <c r="H98" s="3"/>
      <c r="I98" s="3"/>
      <c r="J98" s="3"/>
      <c r="K98" s="3"/>
      <c r="L98" s="3"/>
      <c r="M98" s="3"/>
      <c r="N98" s="108"/>
      <c r="O98" s="379" t="s">
        <v>546</v>
      </c>
      <c r="P98" s="3"/>
      <c r="Q98" s="3"/>
      <c r="R98" s="3"/>
      <c r="S98" s="3"/>
      <c r="T98" s="3"/>
      <c r="U98" s="3"/>
      <c r="V98" s="108"/>
      <c r="W98" s="108"/>
      <c r="X98" s="108"/>
      <c r="Y98" s="2"/>
      <c r="Z98" s="108"/>
    </row>
    <row x14ac:dyDescent="0.25" r="99" customHeight="1" ht="13.5">
      <c r="A99" s="2"/>
      <c r="B99" s="3"/>
      <c r="C99" s="2"/>
      <c r="D99" s="107"/>
      <c r="E99" s="428" t="s">
        <v>547</v>
      </c>
      <c r="F99" s="181"/>
      <c r="G99" s="181"/>
      <c r="H99" s="375"/>
      <c r="I99" s="179" t="s">
        <v>560</v>
      </c>
      <c r="J99" s="428" t="s">
        <v>561</v>
      </c>
      <c r="K99" s="181"/>
      <c r="L99" s="181"/>
      <c r="M99" s="375"/>
      <c r="N99" s="108"/>
      <c r="O99" s="3"/>
      <c r="P99" s="3"/>
      <c r="Q99" s="449"/>
      <c r="R99" s="3"/>
      <c r="S99" s="3"/>
      <c r="T99" s="3"/>
      <c r="U99" s="3"/>
      <c r="V99" s="108"/>
      <c r="W99" s="108"/>
      <c r="X99" s="108"/>
      <c r="Y99" s="2"/>
      <c r="Z99" s="108"/>
    </row>
    <row x14ac:dyDescent="0.25" r="100" customHeight="1" ht="13.5">
      <c r="A100" s="2"/>
      <c r="B100" s="3"/>
      <c r="C100" s="2"/>
      <c r="D100" s="249"/>
      <c r="E100" s="257">
        <v>2017</v>
      </c>
      <c r="F100" s="257">
        <v>2018</v>
      </c>
      <c r="G100" s="257">
        <v>2019</v>
      </c>
      <c r="H100" s="257">
        <v>2020</v>
      </c>
      <c r="I100" s="257">
        <v>2021</v>
      </c>
      <c r="J100" s="257">
        <v>2022</v>
      </c>
      <c r="K100" s="257">
        <v>2023</v>
      </c>
      <c r="L100" s="257">
        <v>2024</v>
      </c>
      <c r="M100" s="257">
        <v>2025</v>
      </c>
      <c r="N100" s="108"/>
      <c r="O100" s="280" t="s">
        <v>562</v>
      </c>
      <c r="P100" s="280" t="s">
        <v>550</v>
      </c>
      <c r="Q100" s="450" t="s">
        <v>551</v>
      </c>
      <c r="R100" s="450" t="s">
        <v>563</v>
      </c>
      <c r="S100" s="450" t="s">
        <v>493</v>
      </c>
      <c r="T100" s="121"/>
      <c r="U100" s="3"/>
      <c r="V100" s="108"/>
      <c r="W100" s="108"/>
      <c r="X100" s="108"/>
      <c r="Y100" s="2"/>
      <c r="Z100" s="108"/>
    </row>
    <row x14ac:dyDescent="0.25" r="101" customHeight="1" ht="13.5">
      <c r="A101" s="2"/>
      <c r="B101" s="3"/>
      <c r="C101" s="2"/>
      <c r="D101" s="451">
        <f>D72</f>
      </c>
      <c r="E101" s="452">
        <f>E$128*$R101</f>
      </c>
      <c r="F101" s="452">
        <f>F$128*$R101</f>
      </c>
      <c r="G101" s="452">
        <f>G$128*$R101</f>
      </c>
      <c r="H101" s="452">
        <f>H$128*$R101</f>
      </c>
      <c r="I101" s="452">
        <f>I$128*$R101</f>
      </c>
      <c r="J101" s="259">
        <f>I101*(1+$Q101)</f>
      </c>
      <c r="K101" s="259">
        <f>J101*(1+$Q101)</f>
      </c>
      <c r="L101" s="259">
        <f>K101*(1+$Q101)</f>
      </c>
      <c r="M101" s="259">
        <f>L101*(1+$Q101)</f>
      </c>
      <c r="N101" s="8"/>
      <c r="O101" s="244">
        <f>IFERROR(_xlfn.RRI($G$100-$E$100,E101,G101),0)</f>
      </c>
      <c r="P101" s="453">
        <f>IFERROR(_xlfn.RRI($I$100-$H$100,H101,I101),0)</f>
      </c>
      <c r="Q101" s="243">
        <f>O101</f>
      </c>
      <c r="R101" s="454">
        <v>1.2</v>
      </c>
      <c r="S101" s="140" t="s">
        <v>564</v>
      </c>
      <c r="T101" s="455"/>
      <c r="U101" s="3"/>
      <c r="V101" s="108"/>
      <c r="W101" s="108"/>
      <c r="X101" s="108"/>
      <c r="Y101" s="2"/>
      <c r="Z101" s="108"/>
    </row>
    <row x14ac:dyDescent="0.25" r="102" customHeight="1" ht="13.5">
      <c r="A102" s="2"/>
      <c r="B102" s="3"/>
      <c r="C102" s="2"/>
      <c r="D102" s="451">
        <f>D73</f>
      </c>
      <c r="E102" s="452">
        <f>E$128*$R102</f>
      </c>
      <c r="F102" s="452">
        <f>F$128*$R102</f>
      </c>
      <c r="G102" s="452">
        <f>G$128*$R102</f>
      </c>
      <c r="H102" s="452">
        <f>H$128*$R102</f>
      </c>
      <c r="I102" s="452">
        <f>I$128*$R102</f>
      </c>
      <c r="J102" s="259">
        <f>I102*(1+$Q102)</f>
      </c>
      <c r="K102" s="259">
        <f>J102*(1+$Q102)</f>
      </c>
      <c r="L102" s="259">
        <f>K102*(1+$Q102)</f>
      </c>
      <c r="M102" s="259">
        <f>L102*(1+$Q102)</f>
      </c>
      <c r="N102" s="8"/>
      <c r="O102" s="243">
        <f>IFERROR(_xlfn.RRI($G$100-$E$100,E102,G102),0)</f>
      </c>
      <c r="P102" s="453">
        <f>IFERROR(_xlfn.RRI($I$100-$H$100,H102,I102),0)</f>
      </c>
      <c r="Q102" s="243">
        <f>O102</f>
      </c>
      <c r="R102" s="454">
        <v>1.2</v>
      </c>
      <c r="S102" s="140" t="s">
        <v>565</v>
      </c>
      <c r="T102" s="455"/>
      <c r="U102" s="3"/>
      <c r="V102" s="108"/>
      <c r="W102" s="108"/>
      <c r="X102" s="108"/>
      <c r="Y102" s="2"/>
      <c r="Z102" s="108"/>
    </row>
    <row x14ac:dyDescent="0.25" r="103" customHeight="1" ht="13.5">
      <c r="A103" s="2"/>
      <c r="B103" s="3"/>
      <c r="C103" s="2"/>
      <c r="D103" s="451">
        <f>D74</f>
      </c>
      <c r="E103" s="452">
        <f>E$128*$R103</f>
      </c>
      <c r="F103" s="452">
        <f>F$128*$R103</f>
      </c>
      <c r="G103" s="452">
        <f>G$128*$R103</f>
      </c>
      <c r="H103" s="452">
        <f>H$128*$R103</f>
      </c>
      <c r="I103" s="452">
        <f>I$128*$R103</f>
      </c>
      <c r="J103" s="259">
        <f>I103*(1+$Q103)</f>
      </c>
      <c r="K103" s="259">
        <f>J103*(1+$Q103)</f>
      </c>
      <c r="L103" s="259">
        <f>K103*(1+$Q103)</f>
      </c>
      <c r="M103" s="259">
        <f>L103*(1+$Q103)</f>
      </c>
      <c r="N103" s="8"/>
      <c r="O103" s="243">
        <f>IFERROR(_xlfn.RRI($G$100-$E$100,E103,G103),0)</f>
      </c>
      <c r="P103" s="453">
        <f>IFERROR(_xlfn.RRI($I$100-$H$100,H103,I103),0)</f>
      </c>
      <c r="Q103" s="243">
        <f>O103</f>
      </c>
      <c r="R103" s="454">
        <v>0.3</v>
      </c>
      <c r="S103" s="140" t="s">
        <v>566</v>
      </c>
      <c r="T103" s="455"/>
      <c r="U103" s="3"/>
      <c r="V103" s="108"/>
      <c r="W103" s="108"/>
      <c r="X103" s="108"/>
      <c r="Y103" s="2"/>
      <c r="Z103" s="108"/>
    </row>
    <row x14ac:dyDescent="0.25" r="104" customHeight="1" ht="13.5">
      <c r="A104" s="2"/>
      <c r="B104" s="3"/>
      <c r="C104" s="2"/>
      <c r="D104" s="451">
        <f>D75</f>
      </c>
      <c r="E104" s="452">
        <f>E$128*$R104</f>
      </c>
      <c r="F104" s="452">
        <f>F$128*$R104</f>
      </c>
      <c r="G104" s="452">
        <f>G$128*$R104</f>
      </c>
      <c r="H104" s="452">
        <f>H$128*$R104</f>
      </c>
      <c r="I104" s="452">
        <f>I$128*$R104</f>
      </c>
      <c r="J104" s="259">
        <f>I104*(1+$Q104)</f>
      </c>
      <c r="K104" s="259">
        <f>J104*(1+$Q104)</f>
      </c>
      <c r="L104" s="259">
        <f>K104*(1+$Q104)</f>
      </c>
      <c r="M104" s="259">
        <f>L104*(1+$Q104)</f>
      </c>
      <c r="N104" s="8"/>
      <c r="O104" s="243">
        <f>IFERROR(_xlfn.RRI($G$100-$E$100,E104,G104),0)</f>
      </c>
      <c r="P104" s="453">
        <f>IFERROR(_xlfn.RRI($I$100-$H$100,H104,I104),0)</f>
      </c>
      <c r="Q104" s="243">
        <f>O104</f>
      </c>
      <c r="R104" s="454">
        <v>1</v>
      </c>
      <c r="S104" s="3"/>
      <c r="T104" s="455"/>
      <c r="U104" s="3"/>
      <c r="V104" s="108"/>
      <c r="W104" s="108"/>
      <c r="X104" s="108"/>
      <c r="Y104" s="2"/>
      <c r="Z104" s="108"/>
    </row>
    <row x14ac:dyDescent="0.25" r="105" customHeight="1" ht="13.5">
      <c r="A105" s="2"/>
      <c r="B105" s="3"/>
      <c r="C105" s="2"/>
      <c r="D105" s="451">
        <f>D76</f>
      </c>
      <c r="E105" s="452">
        <f>E$128*$R105</f>
      </c>
      <c r="F105" s="452">
        <f>F$128*$R105</f>
      </c>
      <c r="G105" s="452">
        <f>G$128*$R105</f>
      </c>
      <c r="H105" s="452">
        <f>H$128*$R105</f>
      </c>
      <c r="I105" s="452">
        <f>I$128*$R105</f>
      </c>
      <c r="J105" s="259">
        <f>I105*(1+$Q105)</f>
      </c>
      <c r="K105" s="259">
        <f>J105*(1+$Q105)</f>
      </c>
      <c r="L105" s="259">
        <f>K105*(1+$Q105)</f>
      </c>
      <c r="M105" s="259">
        <f>L105*(1+$Q105)</f>
      </c>
      <c r="N105" s="8"/>
      <c r="O105" s="243">
        <f>IFERROR(_xlfn.RRI($G$100-$E$100,E105,G105),0)</f>
      </c>
      <c r="P105" s="453">
        <f>IFERROR(_xlfn.RRI($I$100-$H$100,H105,I105),0)</f>
      </c>
      <c r="Q105" s="243">
        <f>O105</f>
      </c>
      <c r="R105" s="454">
        <v>1</v>
      </c>
      <c r="S105" s="3"/>
      <c r="T105" s="455"/>
      <c r="U105" s="3"/>
      <c r="V105" s="108"/>
      <c r="W105" s="108"/>
      <c r="X105" s="108"/>
      <c r="Y105" s="2"/>
      <c r="Z105" s="108"/>
    </row>
    <row x14ac:dyDescent="0.25" r="106" customHeight="1" ht="13.5">
      <c r="A106" s="2"/>
      <c r="B106" s="3"/>
      <c r="C106" s="2"/>
      <c r="D106" s="451">
        <f>D77</f>
      </c>
      <c r="E106" s="452">
        <f>E$128*$R106</f>
      </c>
      <c r="F106" s="452">
        <f>F$128*$R106</f>
      </c>
      <c r="G106" s="452">
        <f>G$128*$R106</f>
      </c>
      <c r="H106" s="452">
        <f>H$128*$R106</f>
      </c>
      <c r="I106" s="452">
        <f>I$128*$R106</f>
      </c>
      <c r="J106" s="259">
        <f>I106*(1+$Q106)</f>
      </c>
      <c r="K106" s="259">
        <f>J106*(1+$Q106)</f>
      </c>
      <c r="L106" s="259">
        <f>K106*(1+$Q106)</f>
      </c>
      <c r="M106" s="259">
        <f>L106*(1+$Q106)</f>
      </c>
      <c r="N106" s="8"/>
      <c r="O106" s="243">
        <f>IFERROR(_xlfn.RRI($G$100-$E$100,E106,G106),0)</f>
      </c>
      <c r="P106" s="453">
        <f>IFERROR(_xlfn.RRI($I$100-$H$100,H106,I106),0)</f>
      </c>
      <c r="Q106" s="243">
        <f>O106</f>
      </c>
      <c r="R106" s="454">
        <v>0.4</v>
      </c>
      <c r="S106" s="140" t="s">
        <v>566</v>
      </c>
      <c r="T106" s="455"/>
      <c r="U106" s="3"/>
      <c r="V106" s="108"/>
      <c r="W106" s="108"/>
      <c r="X106" s="108"/>
      <c r="Y106" s="2"/>
      <c r="Z106" s="108"/>
    </row>
    <row x14ac:dyDescent="0.25" r="107" customHeight="1" ht="13.5">
      <c r="A107" s="2"/>
      <c r="B107" s="3"/>
      <c r="C107" s="2"/>
      <c r="D107" s="451">
        <f>D78</f>
      </c>
      <c r="E107" s="452">
        <f>E$128*$R107</f>
      </c>
      <c r="F107" s="452">
        <f>F$128*$R107</f>
      </c>
      <c r="G107" s="452">
        <f>G$128*$R107</f>
      </c>
      <c r="H107" s="452">
        <f>H$128*$R107</f>
      </c>
      <c r="I107" s="452">
        <f>I$128*$R107</f>
      </c>
      <c r="J107" s="259">
        <f>I107*(1+$Q107)</f>
      </c>
      <c r="K107" s="259">
        <f>J107*(1+$Q107)</f>
      </c>
      <c r="L107" s="259">
        <f>K107*(1+$Q107)</f>
      </c>
      <c r="M107" s="259">
        <f>L107*(1+$Q107)</f>
      </c>
      <c r="N107" s="8"/>
      <c r="O107" s="243">
        <f>IFERROR(_xlfn.RRI($G$100-$E$100,E107,G107),0)</f>
      </c>
      <c r="P107" s="453">
        <f>IFERROR(_xlfn.RRI($I$100-$H$100,H107,I107),0)</f>
      </c>
      <c r="Q107" s="243">
        <f>O107</f>
      </c>
      <c r="R107" s="454">
        <v>1.3</v>
      </c>
      <c r="S107" s="140" t="s">
        <v>567</v>
      </c>
      <c r="T107" s="455"/>
      <c r="U107" s="3"/>
      <c r="V107" s="108"/>
      <c r="W107" s="108"/>
      <c r="X107" s="108"/>
      <c r="Y107" s="2"/>
      <c r="Z107" s="108"/>
    </row>
    <row x14ac:dyDescent="0.25" r="108" customHeight="1" ht="13.5">
      <c r="A108" s="2"/>
      <c r="B108" s="3"/>
      <c r="C108" s="2"/>
      <c r="D108" s="451">
        <f>D79</f>
      </c>
      <c r="E108" s="452">
        <f>E$128*$R108</f>
      </c>
      <c r="F108" s="452">
        <f>F$128*$R108</f>
      </c>
      <c r="G108" s="452">
        <f>G$128*$R108</f>
      </c>
      <c r="H108" s="452">
        <f>H$128*$R108</f>
      </c>
      <c r="I108" s="452">
        <f>I$128*$R108</f>
      </c>
      <c r="J108" s="259">
        <f>I108*(1+$Q108)</f>
      </c>
      <c r="K108" s="259">
        <f>J108*(1+$Q108)</f>
      </c>
      <c r="L108" s="259">
        <f>K108*(1+$Q108)</f>
      </c>
      <c r="M108" s="259">
        <f>L108*(1+$Q108)</f>
      </c>
      <c r="N108" s="8"/>
      <c r="O108" s="243">
        <f>IFERROR(_xlfn.RRI($G$100-$E$100,E108,G108),0)</f>
      </c>
      <c r="P108" s="453">
        <f>IFERROR(_xlfn.RRI($I$100-$H$100,H108,I108),0)</f>
      </c>
      <c r="Q108" s="243">
        <f>O108</f>
      </c>
      <c r="R108" s="454">
        <v>1.3</v>
      </c>
      <c r="S108" s="140" t="s">
        <v>567</v>
      </c>
      <c r="T108" s="455"/>
      <c r="U108" s="3"/>
      <c r="V108" s="108"/>
      <c r="W108" s="108"/>
      <c r="X108" s="108"/>
      <c r="Y108" s="2"/>
      <c r="Z108" s="108"/>
    </row>
    <row x14ac:dyDescent="0.25" r="109" customHeight="1" ht="13.5">
      <c r="A109" s="2"/>
      <c r="B109" s="3"/>
      <c r="C109" s="2"/>
      <c r="D109" s="451">
        <f>D80</f>
      </c>
      <c r="E109" s="452">
        <f>E$128*$R109</f>
      </c>
      <c r="F109" s="452">
        <f>F$128*$R109</f>
      </c>
      <c r="G109" s="452">
        <f>G$128*$R109</f>
      </c>
      <c r="H109" s="452">
        <f>H$128*$R109</f>
      </c>
      <c r="I109" s="452">
        <f>I$128*$R109</f>
      </c>
      <c r="J109" s="259">
        <f>I109*(1+$Q109)</f>
      </c>
      <c r="K109" s="259">
        <f>J109*(1+$Q109)</f>
      </c>
      <c r="L109" s="259">
        <f>K109*(1+$Q109)</f>
      </c>
      <c r="M109" s="259">
        <f>L109*(1+$Q109)</f>
      </c>
      <c r="N109" s="8"/>
      <c r="O109" s="243">
        <f>IFERROR(_xlfn.RRI($G$100-$E$100,E109,G109),0)</f>
      </c>
      <c r="P109" s="453">
        <f>IFERROR(_xlfn.RRI($I$100-$H$100,H109,I109),0)</f>
      </c>
      <c r="Q109" s="243">
        <f>O109</f>
      </c>
      <c r="R109" s="454">
        <v>0.3</v>
      </c>
      <c r="S109" s="140" t="s">
        <v>568</v>
      </c>
      <c r="T109" s="455"/>
      <c r="U109" s="3"/>
      <c r="V109" s="108"/>
      <c r="W109" s="108"/>
      <c r="X109" s="108"/>
      <c r="Y109" s="2"/>
      <c r="Z109" s="108"/>
    </row>
    <row x14ac:dyDescent="0.25" r="110" customHeight="1" ht="13.5">
      <c r="A110" s="2"/>
      <c r="B110" s="3"/>
      <c r="C110" s="2"/>
      <c r="D110" s="451">
        <f>D81</f>
      </c>
      <c r="E110" s="452">
        <f>E$128*$R110</f>
      </c>
      <c r="F110" s="452">
        <f>F$128*$R110</f>
      </c>
      <c r="G110" s="452">
        <f>G$128*$R110</f>
      </c>
      <c r="H110" s="452">
        <f>H$128*$R110</f>
      </c>
      <c r="I110" s="452">
        <f>I$128*$R110</f>
      </c>
      <c r="J110" s="259">
        <f>I110*(1+$Q110)</f>
      </c>
      <c r="K110" s="259">
        <f>J110*(1+$Q110)</f>
      </c>
      <c r="L110" s="259">
        <f>K110*(1+$Q110)</f>
      </c>
      <c r="M110" s="259">
        <f>L110*(1+$Q110)</f>
      </c>
      <c r="N110" s="8"/>
      <c r="O110" s="243">
        <f>IFERROR(_xlfn.RRI($G$100-$E$100,E110,G110),0)</f>
      </c>
      <c r="P110" s="453">
        <f>IFERROR(_xlfn.RRI($I$100-$H$100,H110,I110),0)</f>
      </c>
      <c r="Q110" s="243">
        <f>O110</f>
      </c>
      <c r="R110" s="454">
        <v>1.2</v>
      </c>
      <c r="S110" s="140" t="s">
        <v>569</v>
      </c>
      <c r="T110" s="455"/>
      <c r="U110" s="3"/>
      <c r="V110" s="108"/>
      <c r="W110" s="108"/>
      <c r="X110" s="108"/>
      <c r="Y110" s="2"/>
      <c r="Z110" s="108"/>
    </row>
    <row x14ac:dyDescent="0.25" r="111" customHeight="1" ht="13.5">
      <c r="A111" s="2"/>
      <c r="B111" s="3"/>
      <c r="C111" s="2"/>
      <c r="D111" s="451">
        <f>D82</f>
      </c>
      <c r="E111" s="452">
        <f>E$128*$R111</f>
      </c>
      <c r="F111" s="452">
        <f>F$128*$R111</f>
      </c>
      <c r="G111" s="452">
        <f>G$128*$R111</f>
      </c>
      <c r="H111" s="452">
        <f>H$128*$R111</f>
      </c>
      <c r="I111" s="452">
        <f>I$128*$R111</f>
      </c>
      <c r="J111" s="259">
        <f>I111*(1+$Q111)</f>
      </c>
      <c r="K111" s="259">
        <f>J111*(1+$Q111)</f>
      </c>
      <c r="L111" s="259">
        <f>K111*(1+$Q111)</f>
      </c>
      <c r="M111" s="259">
        <f>L111*(1+$Q111)</f>
      </c>
      <c r="N111" s="8"/>
      <c r="O111" s="243">
        <f>IFERROR(_xlfn.RRI($G$100-$E$100,E111,G111),0)</f>
      </c>
      <c r="P111" s="453">
        <f>IFERROR(_xlfn.RRI($I$100-$H$100,H111,I111),0)</f>
      </c>
      <c r="Q111" s="243">
        <f>O111</f>
      </c>
      <c r="R111" s="454">
        <v>1.4</v>
      </c>
      <c r="S111" s="140" t="s">
        <v>570</v>
      </c>
      <c r="T111" s="455"/>
      <c r="U111" s="3"/>
      <c r="V111" s="108"/>
      <c r="W111" s="108"/>
      <c r="X111" s="108"/>
      <c r="Y111" s="2"/>
      <c r="Z111" s="108"/>
    </row>
    <row x14ac:dyDescent="0.25" r="112" customHeight="1" ht="13.5">
      <c r="A112" s="2"/>
      <c r="B112" s="3"/>
      <c r="C112" s="2"/>
      <c r="D112" s="451">
        <f>D83</f>
      </c>
      <c r="E112" s="452">
        <f>E$128*$R112</f>
      </c>
      <c r="F112" s="452">
        <f>F$128*$R112</f>
      </c>
      <c r="G112" s="452">
        <f>G$128*$R112</f>
      </c>
      <c r="H112" s="452">
        <f>H$128*$R112</f>
      </c>
      <c r="I112" s="452">
        <f>I$128*$R112</f>
      </c>
      <c r="J112" s="259">
        <f>I112*(1+$Q112)</f>
      </c>
      <c r="K112" s="259">
        <f>J112*(1+$Q112)</f>
      </c>
      <c r="L112" s="259">
        <f>K112*(1+$Q112)</f>
      </c>
      <c r="M112" s="259">
        <f>L112*(1+$Q112)</f>
      </c>
      <c r="N112" s="8"/>
      <c r="O112" s="243">
        <f>IFERROR(_xlfn.RRI($G$100-$E$100,E112,G112),0)</f>
      </c>
      <c r="P112" s="453">
        <f>IFERROR(_xlfn.RRI($I$100-$H$100,H112,I112),0)</f>
      </c>
      <c r="Q112" s="243">
        <f>O112</f>
      </c>
      <c r="R112" s="454">
        <v>0.3</v>
      </c>
      <c r="S112" s="140" t="s">
        <v>566</v>
      </c>
      <c r="T112" s="455"/>
      <c r="U112" s="3"/>
      <c r="V112" s="108"/>
      <c r="W112" s="108"/>
      <c r="X112" s="108"/>
      <c r="Y112" s="2"/>
      <c r="Z112" s="108"/>
    </row>
    <row x14ac:dyDescent="0.25" r="113" customHeight="1" ht="13.5">
      <c r="A113" s="2"/>
      <c r="B113" s="3"/>
      <c r="C113" s="2"/>
      <c r="D113" s="451">
        <f>D84</f>
      </c>
      <c r="E113" s="452">
        <f>E$128*$R113</f>
      </c>
      <c r="F113" s="452">
        <f>F$128*$R113</f>
      </c>
      <c r="G113" s="452">
        <f>G$128*$R113</f>
      </c>
      <c r="H113" s="452">
        <f>H$128*$R113</f>
      </c>
      <c r="I113" s="452">
        <f>I$128*$R113</f>
      </c>
      <c r="J113" s="259">
        <f>I113*(1+$Q113)</f>
      </c>
      <c r="K113" s="259">
        <f>J113*(1+$Q113)</f>
      </c>
      <c r="L113" s="259">
        <f>K113*(1+$Q113)</f>
      </c>
      <c r="M113" s="259">
        <f>L113*(1+$Q113)</f>
      </c>
      <c r="N113" s="8"/>
      <c r="O113" s="243">
        <f>IFERROR(_xlfn.RRI($G$100-$E$100,E113,G113),0)</f>
      </c>
      <c r="P113" s="453">
        <f>IFERROR(_xlfn.RRI($I$100-$H$100,H113,I113),0)</f>
      </c>
      <c r="Q113" s="243">
        <f>O113</f>
      </c>
      <c r="R113" s="454">
        <v>1</v>
      </c>
      <c r="S113" s="3"/>
      <c r="T113" s="455"/>
      <c r="U113" s="3"/>
      <c r="V113" s="108"/>
      <c r="W113" s="108"/>
      <c r="X113" s="108"/>
      <c r="Y113" s="2"/>
      <c r="Z113" s="108"/>
    </row>
    <row x14ac:dyDescent="0.25" r="114" customHeight="1" ht="13.5">
      <c r="A114" s="2"/>
      <c r="B114" s="3"/>
      <c r="C114" s="2"/>
      <c r="D114" s="451">
        <f>D85</f>
      </c>
      <c r="E114" s="452">
        <f>E$128*$R114</f>
      </c>
      <c r="F114" s="452">
        <f>F$128*$R114</f>
      </c>
      <c r="G114" s="452">
        <f>G$128*$R114</f>
      </c>
      <c r="H114" s="452">
        <f>H$128*$R114</f>
      </c>
      <c r="I114" s="452">
        <f>I$128*$R114</f>
      </c>
      <c r="J114" s="259">
        <f>I114*(1+$Q114)</f>
      </c>
      <c r="K114" s="259">
        <f>J114*(1+$Q114)</f>
      </c>
      <c r="L114" s="259">
        <f>K114*(1+$Q114)</f>
      </c>
      <c r="M114" s="259">
        <f>L114*(1+$Q114)</f>
      </c>
      <c r="N114" s="8"/>
      <c r="O114" s="243">
        <f>IFERROR(_xlfn.RRI($G$100-$E$100,E114,G114),0)</f>
      </c>
      <c r="P114" s="453">
        <f>IFERROR(_xlfn.RRI($I$100-$H$100,H114,I114),0)</f>
      </c>
      <c r="Q114" s="243">
        <f>O114</f>
      </c>
      <c r="R114" s="454">
        <v>0.3</v>
      </c>
      <c r="S114" s="140" t="s">
        <v>566</v>
      </c>
      <c r="T114" s="455"/>
      <c r="U114" s="3"/>
      <c r="V114" s="108"/>
      <c r="W114" s="108"/>
      <c r="X114" s="108"/>
      <c r="Y114" s="2"/>
      <c r="Z114" s="108"/>
    </row>
    <row x14ac:dyDescent="0.25" r="115" customHeight="1" ht="13.5">
      <c r="A115" s="2"/>
      <c r="B115" s="3"/>
      <c r="C115" s="2"/>
      <c r="D115" s="451">
        <f>D86</f>
      </c>
      <c r="E115" s="452">
        <f>E$128*$R115</f>
      </c>
      <c r="F115" s="452">
        <f>F$128*$R115</f>
      </c>
      <c r="G115" s="452">
        <f>G$128*$R115</f>
      </c>
      <c r="H115" s="452">
        <f>H$128*$R115</f>
      </c>
      <c r="I115" s="452">
        <f>I$128*$R115</f>
      </c>
      <c r="J115" s="259">
        <f>I115*(1+$Q115)</f>
      </c>
      <c r="K115" s="259">
        <f>J115*(1+$Q115)</f>
      </c>
      <c r="L115" s="259">
        <f>K115*(1+$Q115)</f>
      </c>
      <c r="M115" s="259">
        <f>L115*(1+$Q115)</f>
      </c>
      <c r="N115" s="8"/>
      <c r="O115" s="243">
        <f>IFERROR(_xlfn.RRI($G$100-$E$100,E115,G115),0)</f>
      </c>
      <c r="P115" s="453">
        <f>IFERROR(_xlfn.RRI($I$100-$H$100,H115,I115),0)</f>
      </c>
      <c r="Q115" s="243">
        <f>O115</f>
      </c>
      <c r="R115" s="454">
        <v>0.5</v>
      </c>
      <c r="S115" s="140" t="s">
        <v>571</v>
      </c>
      <c r="T115" s="455"/>
      <c r="U115" s="3"/>
      <c r="V115" s="108"/>
      <c r="W115" s="108"/>
      <c r="X115" s="108"/>
      <c r="Y115" s="2"/>
      <c r="Z115" s="108"/>
    </row>
    <row x14ac:dyDescent="0.25" r="116" customHeight="1" ht="13.5">
      <c r="A116" s="2"/>
      <c r="B116" s="3"/>
      <c r="C116" s="2"/>
      <c r="D116" s="451">
        <f>D87</f>
      </c>
      <c r="E116" s="452">
        <f>E$128*$R116</f>
      </c>
      <c r="F116" s="452">
        <f>F$128*$R116</f>
      </c>
      <c r="G116" s="452">
        <f>G$128*$R116</f>
      </c>
      <c r="H116" s="452">
        <f>H$128*$R116</f>
      </c>
      <c r="I116" s="452">
        <f>I$128*$R116</f>
      </c>
      <c r="J116" s="259">
        <f>I116*(1+$Q116)</f>
      </c>
      <c r="K116" s="259">
        <f>J116*(1+$Q116)</f>
      </c>
      <c r="L116" s="259">
        <f>K116*(1+$Q116)</f>
      </c>
      <c r="M116" s="259">
        <f>L116*(1+$Q116)</f>
      </c>
      <c r="N116" s="8"/>
      <c r="O116" s="243">
        <f>IFERROR(_xlfn.RRI($G$100-$E$100,E116,G116),0)</f>
      </c>
      <c r="P116" s="453">
        <f>IFERROR(_xlfn.RRI($I$100-$H$100,H116,I116),0)</f>
      </c>
      <c r="Q116" s="243">
        <f>O116</f>
      </c>
      <c r="R116" s="454">
        <v>2.7</v>
      </c>
      <c r="S116" s="140" t="s">
        <v>572</v>
      </c>
      <c r="T116" s="455"/>
      <c r="U116" s="3"/>
      <c r="V116" s="108"/>
      <c r="W116" s="108"/>
      <c r="X116" s="108"/>
      <c r="Y116" s="2"/>
      <c r="Z116" s="108"/>
    </row>
    <row x14ac:dyDescent="0.25" r="117" customHeight="1" ht="13.5">
      <c r="A117" s="2"/>
      <c r="B117" s="3"/>
      <c r="C117" s="2"/>
      <c r="D117" s="451">
        <f>D88</f>
      </c>
      <c r="E117" s="452">
        <f>E$128*$R117</f>
      </c>
      <c r="F117" s="452">
        <f>F$128*$R117</f>
      </c>
      <c r="G117" s="452">
        <f>G$128*$R117</f>
      </c>
      <c r="H117" s="452">
        <f>H$128*$R117</f>
      </c>
      <c r="I117" s="452">
        <f>I$128*$R117</f>
      </c>
      <c r="J117" s="259">
        <f>I117*(1+$Q117)</f>
      </c>
      <c r="K117" s="259">
        <f>J117*(1+$Q117)</f>
      </c>
      <c r="L117" s="259">
        <f>K117*(1+$Q117)</f>
      </c>
      <c r="M117" s="259">
        <f>L117*(1+$Q117)</f>
      </c>
      <c r="N117" s="8"/>
      <c r="O117" s="243">
        <f>IFERROR(_xlfn.RRI($G$100-$E$100,E117,G117),0)</f>
      </c>
      <c r="P117" s="453">
        <f>IFERROR(_xlfn.RRI($I$100-$H$100,H117,I117),0)</f>
      </c>
      <c r="Q117" s="243">
        <f>O117</f>
      </c>
      <c r="R117" s="454">
        <v>0.4</v>
      </c>
      <c r="S117" s="140" t="s">
        <v>566</v>
      </c>
      <c r="T117" s="455"/>
      <c r="U117" s="3"/>
      <c r="V117" s="108"/>
      <c r="W117" s="108"/>
      <c r="X117" s="108"/>
      <c r="Y117" s="2"/>
      <c r="Z117" s="108"/>
    </row>
    <row x14ac:dyDescent="0.25" r="118" customHeight="1" ht="13.5">
      <c r="A118" s="2"/>
      <c r="B118" s="3"/>
      <c r="C118" s="2"/>
      <c r="D118" s="451">
        <f>D89</f>
      </c>
      <c r="E118" s="452">
        <f>E$128*$R118</f>
      </c>
      <c r="F118" s="452">
        <f>F$128*$R118</f>
      </c>
      <c r="G118" s="452">
        <f>G$128*$R118</f>
      </c>
      <c r="H118" s="452">
        <f>H$128*$R118</f>
      </c>
      <c r="I118" s="452">
        <f>I$128*$R118</f>
      </c>
      <c r="J118" s="259">
        <f>I118*(1+$Q118)</f>
      </c>
      <c r="K118" s="259">
        <f>J118*(1+$Q118)</f>
      </c>
      <c r="L118" s="259">
        <f>K118*(1+$Q118)</f>
      </c>
      <c r="M118" s="259">
        <f>L118*(1+$Q118)</f>
      </c>
      <c r="N118" s="8"/>
      <c r="O118" s="243">
        <f>IFERROR(_xlfn.RRI($G$100-$E$100,E118,G118),0)</f>
      </c>
      <c r="P118" s="453">
        <f>IFERROR(_xlfn.RRI($I$100-$H$100,H118,I118),0)</f>
      </c>
      <c r="Q118" s="243">
        <f>O118</f>
      </c>
      <c r="R118" s="454">
        <v>0.3</v>
      </c>
      <c r="S118" s="140" t="s">
        <v>566</v>
      </c>
      <c r="T118" s="455"/>
      <c r="U118" s="3"/>
      <c r="V118" s="108"/>
      <c r="W118" s="108"/>
      <c r="X118" s="108"/>
      <c r="Y118" s="2"/>
      <c r="Z118" s="108"/>
    </row>
    <row x14ac:dyDescent="0.25" r="119" customHeight="1" ht="13.5">
      <c r="A119" s="2"/>
      <c r="B119" s="3"/>
      <c r="C119" s="2"/>
      <c r="D119" s="451">
        <f>D90</f>
      </c>
      <c r="E119" s="452">
        <f>E$128*$R119</f>
      </c>
      <c r="F119" s="452">
        <f>F$128*$R119</f>
      </c>
      <c r="G119" s="452">
        <f>G$128*$R119</f>
      </c>
      <c r="H119" s="452">
        <f>H$128*$R119</f>
      </c>
      <c r="I119" s="452">
        <f>I$128*$R119</f>
      </c>
      <c r="J119" s="259">
        <f>I119*(1+$Q119)</f>
      </c>
      <c r="K119" s="259">
        <f>J119*(1+$Q119)</f>
      </c>
      <c r="L119" s="259">
        <f>K119*(1+$Q119)</f>
      </c>
      <c r="M119" s="259">
        <f>L119*(1+$Q119)</f>
      </c>
      <c r="N119" s="8"/>
      <c r="O119" s="243">
        <f>IFERROR(_xlfn.RRI($G$100-$E$100,E119,G119),0)</f>
      </c>
      <c r="P119" s="453">
        <f>IFERROR(_xlfn.RRI($I$100-$H$100,H119,I119),0)</f>
      </c>
      <c r="Q119" s="243">
        <f>O119</f>
      </c>
      <c r="R119" s="454">
        <v>0.5</v>
      </c>
      <c r="S119" s="3"/>
      <c r="T119" s="455"/>
      <c r="U119" s="3"/>
      <c r="V119" s="108"/>
      <c r="W119" s="108"/>
      <c r="X119" s="108"/>
      <c r="Y119" s="2"/>
      <c r="Z119" s="108"/>
    </row>
    <row x14ac:dyDescent="0.25" r="120" customHeight="1" ht="13.5">
      <c r="A120" s="2"/>
      <c r="B120" s="3"/>
      <c r="C120" s="2"/>
      <c r="D120" s="451">
        <f>D91</f>
      </c>
      <c r="E120" s="452">
        <f>E$128*$R120</f>
      </c>
      <c r="F120" s="452">
        <f>F$128*$R120</f>
      </c>
      <c r="G120" s="452">
        <f>G$128*$R120</f>
      </c>
      <c r="H120" s="452">
        <f>H$128*$R120</f>
      </c>
      <c r="I120" s="452">
        <f>I$128*$R120</f>
      </c>
      <c r="J120" s="259">
        <f>I120*(1+$Q120)</f>
      </c>
      <c r="K120" s="259">
        <f>J120*(1+$Q120)</f>
      </c>
      <c r="L120" s="259">
        <f>K120*(1+$Q120)</f>
      </c>
      <c r="M120" s="259">
        <f>L120*(1+$Q120)</f>
      </c>
      <c r="N120" s="8"/>
      <c r="O120" s="243">
        <f>IFERROR(_xlfn.RRI($G$100-$E$100,E120,G120),0)</f>
      </c>
      <c r="P120" s="453">
        <f>IFERROR(_xlfn.RRI($I$100-$H$100,H120,I120),0)</f>
      </c>
      <c r="Q120" s="243">
        <f>O120</f>
      </c>
      <c r="R120" s="454">
        <v>1.5</v>
      </c>
      <c r="S120" s="140" t="s">
        <v>573</v>
      </c>
      <c r="T120" s="455"/>
      <c r="U120" s="3"/>
      <c r="V120" s="108"/>
      <c r="W120" s="108"/>
      <c r="X120" s="108"/>
      <c r="Y120" s="2"/>
      <c r="Z120" s="108"/>
    </row>
    <row x14ac:dyDescent="0.25" r="121" customHeight="1" ht="13.5">
      <c r="A121" s="2"/>
      <c r="B121" s="3"/>
      <c r="C121" s="2"/>
      <c r="D121" s="451">
        <f>D92</f>
      </c>
      <c r="E121" s="452">
        <f>E$128*$R121</f>
      </c>
      <c r="F121" s="452">
        <f>F$128*$R121</f>
      </c>
      <c r="G121" s="452">
        <f>G$128*$R121</f>
      </c>
      <c r="H121" s="452">
        <f>H$128*$R121</f>
      </c>
      <c r="I121" s="452">
        <f>I$128*$R121</f>
      </c>
      <c r="J121" s="259">
        <f>I121*(1+$Q121)</f>
      </c>
      <c r="K121" s="259">
        <f>J121*(1+$Q121)</f>
      </c>
      <c r="L121" s="259">
        <f>K121*(1+$Q121)</f>
      </c>
      <c r="M121" s="259">
        <f>L121*(1+$Q121)</f>
      </c>
      <c r="N121" s="8"/>
      <c r="O121" s="243">
        <f>IFERROR(_xlfn.RRI($G$100-$E$100,E121,G121),0)</f>
      </c>
      <c r="P121" s="453">
        <f>IFERROR(_xlfn.RRI($I$100-$H$100,H121,I121),0)</f>
      </c>
      <c r="Q121" s="243">
        <f>O121</f>
      </c>
      <c r="R121" s="454">
        <v>2.6</v>
      </c>
      <c r="S121" s="212" t="s">
        <v>574</v>
      </c>
      <c r="T121" s="455"/>
      <c r="U121" s="3"/>
      <c r="V121" s="108"/>
      <c r="W121" s="108"/>
      <c r="X121" s="108"/>
      <c r="Y121" s="2"/>
      <c r="Z121" s="108"/>
    </row>
    <row x14ac:dyDescent="0.25" r="122" customHeight="1" ht="13.5">
      <c r="A122" s="2"/>
      <c r="B122" s="3"/>
      <c r="C122" s="2"/>
      <c r="D122" s="456"/>
      <c r="E122" s="444"/>
      <c r="F122" s="444"/>
      <c r="G122" s="444"/>
      <c r="H122" s="444"/>
      <c r="I122" s="444"/>
      <c r="J122" s="445"/>
      <c r="K122" s="445"/>
      <c r="L122" s="445"/>
      <c r="M122" s="445"/>
      <c r="N122" s="108"/>
      <c r="O122" s="446"/>
      <c r="P122" s="446"/>
      <c r="Q122" s="447"/>
      <c r="R122" s="457">
        <f>AVERAGE(R101:R121)</f>
      </c>
      <c r="S122" s="212"/>
      <c r="T122" s="455"/>
      <c r="U122" s="3"/>
      <c r="V122" s="108"/>
      <c r="W122" s="108"/>
      <c r="X122" s="108"/>
      <c r="Y122" s="2"/>
      <c r="Z122" s="108"/>
    </row>
    <row x14ac:dyDescent="0.25" r="123" customHeight="1" ht="13.5">
      <c r="A123" s="2"/>
      <c r="B123" s="3"/>
      <c r="C123" s="2"/>
      <c r="D123" s="107"/>
      <c r="E123" s="3"/>
      <c r="F123" s="3"/>
      <c r="G123" s="3"/>
      <c r="H123" s="3"/>
      <c r="I123" s="3"/>
      <c r="J123" s="140"/>
      <c r="K123" s="140"/>
      <c r="L123" s="140"/>
      <c r="M123" s="140"/>
      <c r="N123" s="108"/>
      <c r="O123" s="458"/>
      <c r="P123" s="458"/>
      <c r="Q123" s="459"/>
      <c r="R123" s="460"/>
      <c r="S123" s="120"/>
      <c r="T123" s="3"/>
      <c r="U123" s="3"/>
      <c r="V123" s="108"/>
      <c r="W123" s="108"/>
      <c r="X123" s="108"/>
      <c r="Y123" s="2"/>
      <c r="Z123" s="108"/>
    </row>
    <row x14ac:dyDescent="0.25" r="124" customHeight="1" ht="13.5">
      <c r="A124" s="2"/>
      <c r="B124" s="3"/>
      <c r="C124" s="2"/>
      <c r="D124" s="240" t="s">
        <v>575</v>
      </c>
      <c r="E124" s="3"/>
      <c r="F124" s="3"/>
      <c r="G124" s="3"/>
      <c r="H124" s="3"/>
      <c r="I124" s="3"/>
      <c r="J124" s="140"/>
      <c r="K124" s="140"/>
      <c r="L124" s="140"/>
      <c r="M124" s="140"/>
      <c r="N124" s="108"/>
      <c r="O124" s="458"/>
      <c r="P124" s="458"/>
      <c r="Q124" s="459"/>
      <c r="R124" s="140"/>
      <c r="S124" s="120"/>
      <c r="T124" s="3"/>
      <c r="U124" s="3"/>
      <c r="V124" s="108"/>
      <c r="W124" s="108"/>
      <c r="X124" s="108"/>
      <c r="Y124" s="2"/>
      <c r="Z124" s="108"/>
    </row>
    <row x14ac:dyDescent="0.25" r="125" customHeight="1" ht="13.5">
      <c r="A125" s="2"/>
      <c r="B125" s="3"/>
      <c r="C125" s="2"/>
      <c r="D125" s="241" t="s">
        <v>576</v>
      </c>
      <c r="E125" s="124"/>
      <c r="F125" s="124"/>
      <c r="G125" s="124"/>
      <c r="H125" s="124"/>
      <c r="I125" s="124"/>
      <c r="J125" s="140"/>
      <c r="K125" s="140"/>
      <c r="L125" s="140"/>
      <c r="M125" s="140"/>
      <c r="N125" s="108"/>
      <c r="O125" s="458"/>
      <c r="P125" s="458"/>
      <c r="Q125" s="459"/>
      <c r="R125" s="140"/>
      <c r="S125" s="120"/>
      <c r="T125" s="3"/>
      <c r="U125" s="3"/>
      <c r="V125" s="108"/>
      <c r="W125" s="108"/>
      <c r="X125" s="108"/>
      <c r="Y125" s="2"/>
      <c r="Z125" s="108"/>
    </row>
    <row x14ac:dyDescent="0.25" r="126" customHeight="1" ht="13.5">
      <c r="A126" s="2"/>
      <c r="B126" s="3"/>
      <c r="C126" s="2"/>
      <c r="D126" s="107"/>
      <c r="E126" s="3"/>
      <c r="F126" s="3"/>
      <c r="G126" s="3"/>
      <c r="H126" s="3"/>
      <c r="I126" s="3"/>
      <c r="J126" s="3"/>
      <c r="K126" s="3"/>
      <c r="L126" s="3"/>
      <c r="M126" s="3"/>
      <c r="N126" s="108"/>
      <c r="O126" s="3"/>
      <c r="P126" s="3"/>
      <c r="Q126" s="459"/>
      <c r="R126" s="3"/>
      <c r="S126" s="3"/>
      <c r="T126" s="3"/>
      <c r="U126" s="3"/>
      <c r="V126" s="108"/>
      <c r="W126" s="108"/>
      <c r="X126" s="108"/>
      <c r="Y126" s="2"/>
      <c r="Z126" s="108"/>
    </row>
    <row x14ac:dyDescent="0.25" r="127" customHeight="1" ht="13.5">
      <c r="A127" s="2"/>
      <c r="B127" s="3"/>
      <c r="C127" s="2"/>
      <c r="D127" s="249"/>
      <c r="E127" s="257">
        <v>2017</v>
      </c>
      <c r="F127" s="257">
        <v>2018</v>
      </c>
      <c r="G127" s="257">
        <v>2019</v>
      </c>
      <c r="H127" s="257">
        <v>2020</v>
      </c>
      <c r="I127" s="257">
        <v>2021</v>
      </c>
      <c r="J127" s="458"/>
      <c r="K127" s="461"/>
      <c r="L127" s="461"/>
      <c r="M127" s="461"/>
      <c r="N127" s="108"/>
      <c r="O127" s="121"/>
      <c r="P127" s="121"/>
      <c r="Q127" s="462"/>
      <c r="R127" s="462"/>
      <c r="S127" s="462"/>
      <c r="T127" s="115"/>
      <c r="U127" s="3"/>
      <c r="V127" s="108"/>
      <c r="W127" s="108"/>
      <c r="X127" s="108"/>
      <c r="Y127" s="2"/>
      <c r="Z127" s="108"/>
    </row>
    <row x14ac:dyDescent="0.25" r="128" customHeight="1" ht="13.5">
      <c r="A128" s="2"/>
      <c r="B128" s="3"/>
      <c r="C128" s="2"/>
      <c r="D128" s="123" t="s">
        <v>577</v>
      </c>
      <c r="E128" s="154">
        <f>P2O5Consumption!P10</f>
      </c>
      <c r="F128" s="154">
        <f>P2O5Consumption!P11</f>
      </c>
      <c r="G128" s="154">
        <f>P2O5Consumption!P12</f>
      </c>
      <c r="H128" s="154">
        <f>P2O5Consumption!P13</f>
      </c>
      <c r="I128" s="463">
        <f>I129*46%</f>
      </c>
      <c r="J128" s="464"/>
      <c r="K128" s="465"/>
      <c r="L128" s="465"/>
      <c r="M128" s="465"/>
      <c r="N128" s="108"/>
      <c r="O128" s="121"/>
      <c r="P128" s="121"/>
      <c r="Q128" s="121"/>
      <c r="R128" s="459"/>
      <c r="S128" s="459"/>
      <c r="T128" s="115"/>
      <c r="U128" s="3"/>
      <c r="V128" s="108"/>
      <c r="W128" s="108"/>
      <c r="X128" s="108"/>
      <c r="Y128" s="2"/>
      <c r="Z128" s="108"/>
    </row>
    <row x14ac:dyDescent="0.25" r="129" customHeight="1" ht="13.5">
      <c r="A129" s="2"/>
      <c r="B129" s="3"/>
      <c r="C129" s="2"/>
      <c r="D129" s="466" t="s">
        <v>578</v>
      </c>
      <c r="E129" s="467">
        <f>E128/46%</f>
      </c>
      <c r="F129" s="467">
        <f>F128/46%</f>
      </c>
      <c r="G129" s="467">
        <f>G128/46%</f>
      </c>
      <c r="H129" s="467">
        <f>H128/46%</f>
      </c>
      <c r="I129" s="467">
        <f>172000000/I93</f>
      </c>
      <c r="J129" s="464"/>
      <c r="K129" s="465"/>
      <c r="L129" s="465"/>
      <c r="M129" s="465"/>
      <c r="N129" s="108"/>
      <c r="O129" s="121"/>
      <c r="P129" s="121"/>
      <c r="Q129" s="121"/>
      <c r="R129" s="459"/>
      <c r="S129" s="459"/>
      <c r="T129" s="115"/>
      <c r="U129" s="3"/>
      <c r="V129" s="108"/>
      <c r="W129" s="108"/>
      <c r="X129" s="108"/>
      <c r="Y129" s="2"/>
      <c r="Z129" s="108"/>
    </row>
    <row x14ac:dyDescent="0.25" r="130" customHeight="1" ht="13.5">
      <c r="A130" s="2"/>
      <c r="B130" s="3"/>
      <c r="C130" s="2"/>
      <c r="D130" s="468" t="s">
        <v>579</v>
      </c>
      <c r="E130" s="469" t="s">
        <v>580</v>
      </c>
      <c r="F130" s="469" t="s">
        <v>580</v>
      </c>
      <c r="G130" s="469" t="s">
        <v>580</v>
      </c>
      <c r="H130" s="469" t="s">
        <v>580</v>
      </c>
      <c r="I130" s="469" t="s">
        <v>581</v>
      </c>
      <c r="J130" s="459"/>
      <c r="K130" s="459"/>
      <c r="L130" s="459"/>
      <c r="M130" s="459"/>
      <c r="N130" s="108"/>
      <c r="O130" s="459"/>
      <c r="P130" s="459"/>
      <c r="Q130" s="459"/>
      <c r="R130" s="459"/>
      <c r="S130" s="459"/>
      <c r="T130" s="115"/>
      <c r="U130" s="3"/>
      <c r="V130" s="108"/>
      <c r="W130" s="108"/>
      <c r="X130" s="108"/>
      <c r="Y130" s="2"/>
      <c r="Z130" s="108"/>
    </row>
    <row x14ac:dyDescent="0.25" r="131" customHeight="1" ht="13.5">
      <c r="A131" s="2"/>
      <c r="B131" s="3"/>
      <c r="C131" s="2"/>
      <c r="D131" s="107"/>
      <c r="E131" s="3"/>
      <c r="F131" s="3"/>
      <c r="G131" s="3"/>
      <c r="H131" s="3"/>
      <c r="I131" s="3"/>
      <c r="J131" s="3"/>
      <c r="K131" s="3"/>
      <c r="L131" s="3"/>
      <c r="M131" s="3"/>
      <c r="N131" s="108"/>
      <c r="O131" s="459"/>
      <c r="P131" s="459"/>
      <c r="Q131" s="459"/>
      <c r="R131" s="459"/>
      <c r="S131" s="459"/>
      <c r="T131" s="115"/>
      <c r="U131" s="3"/>
      <c r="V131" s="108"/>
      <c r="W131" s="108"/>
      <c r="X131" s="108"/>
      <c r="Y131" s="2"/>
      <c r="Z131" s="108"/>
    </row>
    <row x14ac:dyDescent="0.25" r="132" customHeight="1" ht="13.5">
      <c r="A132" s="2"/>
      <c r="B132" s="198">
        <v>3</v>
      </c>
      <c r="C132" s="448" t="s">
        <v>582</v>
      </c>
      <c r="D132" s="275" t="s">
        <v>583</v>
      </c>
      <c r="E132" s="3"/>
      <c r="F132" s="3"/>
      <c r="G132" s="3"/>
      <c r="H132" s="3"/>
      <c r="I132" s="3"/>
      <c r="J132" s="3"/>
      <c r="K132" s="3"/>
      <c r="L132" s="3"/>
      <c r="M132" s="3"/>
      <c r="N132" s="108"/>
      <c r="O132" s="115"/>
      <c r="P132" s="115"/>
      <c r="Q132" s="115"/>
      <c r="R132" s="115"/>
      <c r="S132" s="115"/>
      <c r="T132" s="115"/>
      <c r="U132" s="3"/>
      <c r="V132" s="108"/>
      <c r="W132" s="108"/>
      <c r="X132" s="108"/>
      <c r="Y132" s="2"/>
      <c r="Z132" s="108"/>
    </row>
    <row x14ac:dyDescent="0.25" r="133" customHeight="1" ht="13.5">
      <c r="A133" s="2"/>
      <c r="B133" s="276"/>
      <c r="C133" s="276"/>
      <c r="D133" s="276"/>
      <c r="E133" s="3"/>
      <c r="F133" s="3"/>
      <c r="G133" s="3"/>
      <c r="H133" s="3"/>
      <c r="I133" s="3"/>
      <c r="J133" s="3"/>
      <c r="K133" s="3"/>
      <c r="L133" s="3"/>
      <c r="M133" s="3"/>
      <c r="N133" s="108"/>
      <c r="O133" s="115"/>
      <c r="P133" s="115"/>
      <c r="Q133" s="115"/>
      <c r="R133" s="115"/>
      <c r="S133" s="115"/>
      <c r="T133" s="115"/>
      <c r="U133" s="3"/>
      <c r="V133" s="108"/>
      <c r="W133" s="108"/>
      <c r="X133" s="108"/>
      <c r="Y133" s="2"/>
      <c r="Z133" s="108"/>
    </row>
    <row x14ac:dyDescent="0.25" r="134" customHeight="1" ht="13.5">
      <c r="A134" s="2"/>
      <c r="B134" s="276"/>
      <c r="C134" s="276"/>
      <c r="D134" s="240" t="s">
        <v>545</v>
      </c>
      <c r="E134" s="3"/>
      <c r="F134" s="3"/>
      <c r="G134" s="3"/>
      <c r="H134" s="3"/>
      <c r="I134" s="3"/>
      <c r="J134" s="470" t="s">
        <v>584</v>
      </c>
      <c r="K134" s="471"/>
      <c r="L134" s="471"/>
      <c r="M134" s="471"/>
      <c r="N134" s="108"/>
      <c r="O134" s="3"/>
      <c r="P134" s="3"/>
      <c r="Q134" s="3"/>
      <c r="R134" s="3"/>
      <c r="S134" s="3"/>
      <c r="T134" s="115"/>
      <c r="U134" s="3"/>
      <c r="V134" s="108"/>
      <c r="W134" s="108"/>
      <c r="X134" s="108"/>
      <c r="Y134" s="2"/>
      <c r="Z134" s="108"/>
    </row>
    <row x14ac:dyDescent="0.25" r="135" customHeight="1" ht="13.5">
      <c r="A135" s="2"/>
      <c r="B135" s="276"/>
      <c r="C135" s="276"/>
      <c r="D135" s="241" t="s">
        <v>585</v>
      </c>
      <c r="E135" s="3"/>
      <c r="F135" s="3"/>
      <c r="G135" s="3"/>
      <c r="H135" s="3"/>
      <c r="I135" s="3"/>
      <c r="J135" s="472"/>
      <c r="K135" s="472"/>
      <c r="L135" s="472">
        <f>1/3</f>
      </c>
      <c r="M135" s="472">
        <f>1/3</f>
      </c>
      <c r="N135" s="108"/>
      <c r="O135" s="379" t="s">
        <v>546</v>
      </c>
      <c r="P135" s="3"/>
      <c r="Q135" s="3"/>
      <c r="R135" s="3"/>
      <c r="S135" s="3"/>
      <c r="T135" s="115"/>
      <c r="U135" s="3"/>
      <c r="V135" s="108"/>
      <c r="W135" s="108"/>
      <c r="X135" s="108"/>
      <c r="Y135" s="2"/>
      <c r="Z135" s="108"/>
    </row>
    <row x14ac:dyDescent="0.25" r="136" customHeight="1" ht="13.5">
      <c r="A136" s="2"/>
      <c r="B136" s="276"/>
      <c r="C136" s="276"/>
      <c r="D136" s="107"/>
      <c r="E136" s="428" t="s">
        <v>547</v>
      </c>
      <c r="F136" s="181"/>
      <c r="G136" s="181"/>
      <c r="H136" s="375"/>
      <c r="I136" s="473" t="s">
        <v>586</v>
      </c>
      <c r="J136" s="428" t="s">
        <v>587</v>
      </c>
      <c r="K136" s="181"/>
      <c r="L136" s="181"/>
      <c r="M136" s="375"/>
      <c r="N136" s="108"/>
      <c r="O136" s="3"/>
      <c r="P136" s="3"/>
      <c r="Q136" s="474"/>
      <c r="R136" s="3"/>
      <c r="S136" s="3"/>
      <c r="T136" s="115"/>
      <c r="U136" s="3"/>
      <c r="V136" s="108"/>
      <c r="W136" s="108"/>
      <c r="X136" s="108"/>
      <c r="Y136" s="2"/>
      <c r="Z136" s="108"/>
    </row>
    <row x14ac:dyDescent="0.25" r="137" customHeight="1" ht="13.5">
      <c r="A137" s="2"/>
      <c r="B137" s="276"/>
      <c r="C137" s="276"/>
      <c r="D137" s="246" t="s">
        <v>588</v>
      </c>
      <c r="E137" s="280">
        <v>2017</v>
      </c>
      <c r="F137" s="280">
        <v>2018</v>
      </c>
      <c r="G137" s="280">
        <v>2019</v>
      </c>
      <c r="H137" s="280">
        <v>2020</v>
      </c>
      <c r="I137" s="280">
        <v>2021</v>
      </c>
      <c r="J137" s="280">
        <v>2022</v>
      </c>
      <c r="K137" s="280">
        <v>2023</v>
      </c>
      <c r="L137" s="280">
        <v>2024</v>
      </c>
      <c r="M137" s="280">
        <v>2025</v>
      </c>
      <c r="N137" s="108"/>
      <c r="O137" s="280" t="s">
        <v>589</v>
      </c>
      <c r="P137" s="450" t="s">
        <v>590</v>
      </c>
      <c r="Q137" s="450" t="s">
        <v>591</v>
      </c>
      <c r="R137" s="450" t="s">
        <v>592</v>
      </c>
      <c r="S137" s="280" t="s">
        <v>593</v>
      </c>
      <c r="T137" s="450" t="s">
        <v>412</v>
      </c>
      <c r="U137" s="3"/>
      <c r="V137" s="108"/>
      <c r="W137" s="290"/>
      <c r="X137" s="108"/>
      <c r="Y137" s="2"/>
      <c r="Z137" s="108"/>
    </row>
    <row x14ac:dyDescent="0.25" r="138" customHeight="1" ht="13.5">
      <c r="A138" s="2"/>
      <c r="B138" s="276"/>
      <c r="C138" s="276"/>
      <c r="D138" s="292">
        <f>D72</f>
      </c>
      <c r="E138" s="463">
        <f>E101</f>
      </c>
      <c r="F138" s="154">
        <f>F101</f>
      </c>
      <c r="G138" s="154">
        <f>G101</f>
      </c>
      <c r="H138" s="154">
        <f>H101</f>
      </c>
      <c r="I138" s="147">
        <f>I101</f>
      </c>
      <c r="J138" s="251">
        <f>J101</f>
      </c>
      <c r="K138" s="475">
        <f>K101</f>
      </c>
      <c r="L138" s="259">
        <f>IF($P138&lt;K138,K138,K138+($P138-K138)*L$135)</f>
      </c>
      <c r="M138" s="476">
        <f>IF($P138&lt;L138,L138,L138+($P138-L138)*M$135)</f>
      </c>
      <c r="N138" s="108"/>
      <c r="O138" s="212" t="s">
        <v>298</v>
      </c>
      <c r="P138" s="219">
        <f>S138*Q138</f>
      </c>
      <c r="Q138" s="477">
        <v>0.4</v>
      </c>
      <c r="R138" s="457" t="s">
        <v>594</v>
      </c>
      <c r="S138" s="124">
        <f>_xlfn.XLOOKUP(O138,$D$164:$D$175,$G$164:$G$175)</f>
      </c>
      <c r="T138" s="212" t="s">
        <v>595</v>
      </c>
      <c r="U138" s="3"/>
      <c r="V138" s="108"/>
      <c r="W138" s="478"/>
      <c r="X138" s="108"/>
      <c r="Y138" s="2"/>
      <c r="Z138" s="108"/>
    </row>
    <row x14ac:dyDescent="0.25" r="139" customHeight="1" ht="13.5">
      <c r="A139" s="2"/>
      <c r="B139" s="276"/>
      <c r="C139" s="276"/>
      <c r="D139" s="292">
        <f>D102</f>
      </c>
      <c r="E139" s="463">
        <f>E102</f>
      </c>
      <c r="F139" s="154">
        <f>F102</f>
      </c>
      <c r="G139" s="154">
        <f>G102</f>
      </c>
      <c r="H139" s="154">
        <f>H102</f>
      </c>
      <c r="I139" s="147">
        <f>I102</f>
      </c>
      <c r="J139" s="251">
        <f>J102</f>
      </c>
      <c r="K139" s="251">
        <f>K102</f>
      </c>
      <c r="L139" s="251">
        <f>IF($P139&lt;K139,K139,K139+($P139-K139)*L$135)</f>
      </c>
      <c r="M139" s="476">
        <f>IF($P139&lt;L139,L139,L139+($P139-L139)*M$135)</f>
      </c>
      <c r="N139" s="108"/>
      <c r="O139" s="140" t="s">
        <v>231</v>
      </c>
      <c r="P139" s="219">
        <f>S139*Q139</f>
      </c>
      <c r="Q139" s="477">
        <v>0.4</v>
      </c>
      <c r="R139" s="457" t="s">
        <v>594</v>
      </c>
      <c r="S139" s="124">
        <f>_xlfn.XLOOKUP(O139,$D$164:$D$175,$G$164:$G$175)</f>
      </c>
      <c r="T139" s="212" t="s">
        <v>595</v>
      </c>
      <c r="U139" s="3"/>
      <c r="V139" s="108"/>
      <c r="W139" s="478"/>
      <c r="X139" s="108"/>
      <c r="Y139" s="2"/>
      <c r="Z139" s="108"/>
    </row>
    <row x14ac:dyDescent="0.25" r="140" customHeight="1" ht="13.5">
      <c r="A140" s="2"/>
      <c r="B140" s="276"/>
      <c r="C140" s="276"/>
      <c r="D140" s="292">
        <f>D103</f>
      </c>
      <c r="E140" s="463">
        <f>E103</f>
      </c>
      <c r="F140" s="154">
        <f>F103</f>
      </c>
      <c r="G140" s="154">
        <f>G103</f>
      </c>
      <c r="H140" s="154">
        <f>H103</f>
      </c>
      <c r="I140" s="147">
        <f>I103</f>
      </c>
      <c r="J140" s="251">
        <f>J103</f>
      </c>
      <c r="K140" s="251">
        <f>K103</f>
      </c>
      <c r="L140" s="251">
        <f>IF($P140&lt;K140,K140,K140+($P140-K140)*L$135)</f>
      </c>
      <c r="M140" s="476">
        <f>IF($P140&lt;L140,L140,L140+($P140-L140)*M$135)</f>
      </c>
      <c r="N140" s="108"/>
      <c r="O140" s="140" t="s">
        <v>302</v>
      </c>
      <c r="P140" s="219">
        <f>S140*Q140</f>
      </c>
      <c r="Q140" s="477">
        <v>0.1</v>
      </c>
      <c r="R140" s="457" t="s">
        <v>594</v>
      </c>
      <c r="S140" s="124">
        <f>_xlfn.XLOOKUP(O140,$D$164:$D$175,$G$164:$G$175)</f>
      </c>
      <c r="T140" s="290"/>
      <c r="U140" s="3"/>
      <c r="V140" s="108"/>
      <c r="W140" s="478"/>
      <c r="X140" s="108"/>
      <c r="Y140" s="2"/>
      <c r="Z140" s="108"/>
    </row>
    <row x14ac:dyDescent="0.25" r="141" customHeight="1" ht="13.5">
      <c r="A141" s="2"/>
      <c r="B141" s="276"/>
      <c r="C141" s="276"/>
      <c r="D141" s="292">
        <f>D104</f>
      </c>
      <c r="E141" s="463">
        <f>E104</f>
      </c>
      <c r="F141" s="154">
        <f>F104</f>
      </c>
      <c r="G141" s="154">
        <f>G104</f>
      </c>
      <c r="H141" s="154">
        <f>H104</f>
      </c>
      <c r="I141" s="147">
        <f>I104</f>
      </c>
      <c r="J141" s="251">
        <f>J104</f>
      </c>
      <c r="K141" s="251">
        <f>K104</f>
      </c>
      <c r="L141" s="251">
        <f>IF($P141&lt;K141,K141,K141+($P141-K141)*L$135)</f>
      </c>
      <c r="M141" s="476">
        <f>IF($P141&lt;L141,L141,L141+($P141-L141)*M$135)</f>
      </c>
      <c r="N141" s="108"/>
      <c r="O141" s="140" t="s">
        <v>304</v>
      </c>
      <c r="P141" s="219">
        <f>S141*Q141</f>
      </c>
      <c r="Q141" s="477">
        <v>0.25</v>
      </c>
      <c r="R141" s="457" t="s">
        <v>594</v>
      </c>
      <c r="S141" s="124">
        <f>_xlfn.XLOOKUP(O141,$D$164:$D$175,$G$164:$G$175)</f>
      </c>
      <c r="T141" s="290"/>
      <c r="U141" s="3"/>
      <c r="V141" s="108"/>
      <c r="W141" s="478"/>
      <c r="X141" s="108"/>
      <c r="Y141" s="2"/>
      <c r="Z141" s="108"/>
    </row>
    <row x14ac:dyDescent="0.25" r="142" customHeight="1" ht="13.5">
      <c r="A142" s="2"/>
      <c r="B142" s="276"/>
      <c r="C142" s="276"/>
      <c r="D142" s="292">
        <f>D105</f>
      </c>
      <c r="E142" s="463">
        <f>E105</f>
      </c>
      <c r="F142" s="154">
        <f>F105</f>
      </c>
      <c r="G142" s="154">
        <f>G105</f>
      </c>
      <c r="H142" s="154">
        <f>H105</f>
      </c>
      <c r="I142" s="147">
        <f>I105</f>
      </c>
      <c r="J142" s="251">
        <f>J105</f>
      </c>
      <c r="K142" s="251">
        <f>K105</f>
      </c>
      <c r="L142" s="251">
        <f>IF($P142&lt;K142,K142,K142+($P142-K142)*L$135)</f>
      </c>
      <c r="M142" s="479">
        <f>IF($P142&lt;L142,L142,L142+($P142-L142)*M$135)</f>
      </c>
      <c r="N142" s="108"/>
      <c r="O142" s="140" t="s">
        <v>596</v>
      </c>
      <c r="P142" s="219">
        <f>S142*Q142</f>
      </c>
      <c r="Q142" s="477">
        <v>0.6</v>
      </c>
      <c r="R142" s="457" t="s">
        <v>597</v>
      </c>
      <c r="S142" s="124">
        <f>_xlfn.XLOOKUP(O142,$D$164:$D$175,$G$164:$G$175)</f>
      </c>
      <c r="T142" s="212" t="s">
        <v>567</v>
      </c>
      <c r="U142" s="3"/>
      <c r="V142" s="108"/>
      <c r="W142" s="478"/>
      <c r="X142" s="108"/>
      <c r="Y142" s="2"/>
      <c r="Z142" s="108"/>
    </row>
    <row x14ac:dyDescent="0.25" r="143" customHeight="1" ht="13.5">
      <c r="A143" s="2"/>
      <c r="B143" s="276"/>
      <c r="C143" s="276"/>
      <c r="D143" s="292">
        <f>D106</f>
      </c>
      <c r="E143" s="463">
        <f>E106</f>
      </c>
      <c r="F143" s="154">
        <f>F106</f>
      </c>
      <c r="G143" s="154">
        <f>G106</f>
      </c>
      <c r="H143" s="154">
        <f>H106</f>
      </c>
      <c r="I143" s="147">
        <f>I106</f>
      </c>
      <c r="J143" s="251">
        <f>J106</f>
      </c>
      <c r="K143" s="251">
        <f>K106</f>
      </c>
      <c r="L143" s="251">
        <f>IF($P143&lt;K143,K143,K143+($P143-K143)*L$135)</f>
      </c>
      <c r="M143" s="476">
        <f>IF($P143&lt;L143,L143,L143+($P143-L143)*M$135)</f>
      </c>
      <c r="N143" s="108"/>
      <c r="O143" s="140" t="s">
        <v>596</v>
      </c>
      <c r="P143" s="219">
        <f>S143*Q143</f>
      </c>
      <c r="Q143" s="477">
        <v>0.2</v>
      </c>
      <c r="R143" s="457" t="s">
        <v>594</v>
      </c>
      <c r="S143" s="124">
        <f>_xlfn.XLOOKUP(O143,$D$164:$D$175,$G$164:$G$175)</f>
      </c>
      <c r="T143" s="290"/>
      <c r="U143" s="3"/>
      <c r="V143" s="108"/>
      <c r="W143" s="478"/>
      <c r="X143" s="108"/>
      <c r="Y143" s="2"/>
      <c r="Z143" s="108"/>
    </row>
    <row x14ac:dyDescent="0.25" r="144" customHeight="1" ht="13.5">
      <c r="A144" s="2"/>
      <c r="B144" s="276"/>
      <c r="C144" s="276"/>
      <c r="D144" s="292">
        <f>D107</f>
      </c>
      <c r="E144" s="463">
        <f>E107</f>
      </c>
      <c r="F144" s="154">
        <f>F107</f>
      </c>
      <c r="G144" s="154">
        <f>G107</f>
      </c>
      <c r="H144" s="154">
        <f>H107</f>
      </c>
      <c r="I144" s="147">
        <f>I107</f>
      </c>
      <c r="J144" s="251">
        <f>J107</f>
      </c>
      <c r="K144" s="251">
        <f>K107</f>
      </c>
      <c r="L144" s="251">
        <f>IF($P144&lt;K144,K144,K144+($P144-K144)*L$135)</f>
      </c>
      <c r="M144" s="476">
        <f>IF($P144&lt;L144,L144,L144+($P144-L144)*M$135)</f>
      </c>
      <c r="N144" s="108"/>
      <c r="O144" s="140" t="s">
        <v>596</v>
      </c>
      <c r="P144" s="219">
        <f>S144*Q144</f>
      </c>
      <c r="Q144" s="477">
        <v>0.6</v>
      </c>
      <c r="R144" s="457" t="s">
        <v>594</v>
      </c>
      <c r="S144" s="124">
        <f>_xlfn.XLOOKUP(O144,$D$164:$D$175,$G$164:$G$175)</f>
      </c>
      <c r="T144" s="212" t="s">
        <v>567</v>
      </c>
      <c r="U144" s="3"/>
      <c r="V144" s="108"/>
      <c r="W144" s="478"/>
      <c r="X144" s="108"/>
      <c r="Y144" s="2"/>
      <c r="Z144" s="108"/>
    </row>
    <row x14ac:dyDescent="0.25" r="145" customHeight="1" ht="13.5">
      <c r="A145" s="2"/>
      <c r="B145" s="276"/>
      <c r="C145" s="276"/>
      <c r="D145" s="292">
        <f>D108</f>
      </c>
      <c r="E145" s="463">
        <f>E108</f>
      </c>
      <c r="F145" s="154">
        <f>F108</f>
      </c>
      <c r="G145" s="154">
        <f>G108</f>
      </c>
      <c r="H145" s="154">
        <f>H108</f>
      </c>
      <c r="I145" s="147">
        <f>I108</f>
      </c>
      <c r="J145" s="251">
        <f>J108</f>
      </c>
      <c r="K145" s="251">
        <f>K108</f>
      </c>
      <c r="L145" s="251">
        <f>IF($P145&lt;K145,K145,K145+($P145-K145)*L$135)</f>
      </c>
      <c r="M145" s="476">
        <f>IF($P145&lt;L145,L145,L145+($P145-L145)*M$135)</f>
      </c>
      <c r="N145" s="108"/>
      <c r="O145" s="140" t="s">
        <v>596</v>
      </c>
      <c r="P145" s="219">
        <f>S145*Q145</f>
      </c>
      <c r="Q145" s="477">
        <v>0.7</v>
      </c>
      <c r="R145" s="457" t="s">
        <v>597</v>
      </c>
      <c r="S145" s="124">
        <f>_xlfn.XLOOKUP(O145,$D$164:$D$175,$G$164:$G$175)</f>
      </c>
      <c r="T145" s="212" t="s">
        <v>567</v>
      </c>
      <c r="U145" s="3"/>
      <c r="V145" s="108"/>
      <c r="W145" s="478"/>
      <c r="X145" s="108"/>
      <c r="Y145" s="2"/>
      <c r="Z145" s="108"/>
    </row>
    <row x14ac:dyDescent="0.25" r="146" customHeight="1" ht="13.5">
      <c r="A146" s="2"/>
      <c r="B146" s="276"/>
      <c r="C146" s="276"/>
      <c r="D146" s="292">
        <f>D109</f>
      </c>
      <c r="E146" s="463">
        <f>E109</f>
      </c>
      <c r="F146" s="154">
        <f>F109</f>
      </c>
      <c r="G146" s="154">
        <f>G109</f>
      </c>
      <c r="H146" s="154">
        <f>H109</f>
      </c>
      <c r="I146" s="147">
        <f>I109</f>
      </c>
      <c r="J146" s="251">
        <f>J109</f>
      </c>
      <c r="K146" s="251">
        <f>K109</f>
      </c>
      <c r="L146" s="251">
        <f>IF($P146&lt;K146,K146,K146+($P146-K146)*L$135)</f>
      </c>
      <c r="M146" s="476">
        <f>IF($P146&lt;L146,L146,L146+($P146-L146)*M$135)</f>
      </c>
      <c r="N146" s="108"/>
      <c r="O146" s="140" t="s">
        <v>241</v>
      </c>
      <c r="P146" s="219">
        <f>S146*Q146</f>
      </c>
      <c r="Q146" s="477">
        <v>0.25</v>
      </c>
      <c r="R146" s="457" t="s">
        <v>594</v>
      </c>
      <c r="S146" s="124">
        <f>_xlfn.XLOOKUP(O146,$D$164:$D$175,$G$164:$G$175)</f>
      </c>
      <c r="T146" s="290"/>
      <c r="U146" s="3"/>
      <c r="V146" s="108"/>
      <c r="W146" s="478"/>
      <c r="X146" s="108"/>
      <c r="Y146" s="2"/>
      <c r="Z146" s="108"/>
    </row>
    <row x14ac:dyDescent="0.25" r="147" customHeight="1" ht="13.5">
      <c r="A147" s="2"/>
      <c r="B147" s="276"/>
      <c r="C147" s="276"/>
      <c r="D147" s="292">
        <f>D110</f>
      </c>
      <c r="E147" s="463">
        <f>E110</f>
      </c>
      <c r="F147" s="154">
        <f>F110</f>
      </c>
      <c r="G147" s="154">
        <f>G110</f>
      </c>
      <c r="H147" s="154">
        <f>H110</f>
      </c>
      <c r="I147" s="147">
        <f>I110</f>
      </c>
      <c r="J147" s="251">
        <f>J110</f>
      </c>
      <c r="K147" s="251">
        <f>K110</f>
      </c>
      <c r="L147" s="251">
        <f>IF($P147&lt;K147,K147,K147+($P147-K147)*L$135)</f>
      </c>
      <c r="M147" s="476">
        <f>IF($P147&lt;L147,L147,L147+($P147-L147)*M$135)</f>
      </c>
      <c r="N147" s="108"/>
      <c r="O147" s="140" t="s">
        <v>302</v>
      </c>
      <c r="P147" s="219">
        <f>S147*Q147</f>
      </c>
      <c r="Q147" s="477">
        <v>0.3</v>
      </c>
      <c r="R147" s="457" t="s">
        <v>597</v>
      </c>
      <c r="S147" s="124">
        <f>_xlfn.XLOOKUP(O147,$D$164:$D$175,$G$164:$G$175)</f>
      </c>
      <c r="T147" s="290"/>
      <c r="U147" s="3"/>
      <c r="V147" s="108"/>
      <c r="W147" s="478"/>
      <c r="X147" s="108"/>
      <c r="Y147" s="2"/>
      <c r="Z147" s="108"/>
    </row>
    <row x14ac:dyDescent="0.25" r="148" customHeight="1" ht="13.5">
      <c r="A148" s="2"/>
      <c r="B148" s="276"/>
      <c r="C148" s="276"/>
      <c r="D148" s="292">
        <f>D111</f>
      </c>
      <c r="E148" s="463">
        <f>E111</f>
      </c>
      <c r="F148" s="154">
        <f>F111</f>
      </c>
      <c r="G148" s="154">
        <f>G111</f>
      </c>
      <c r="H148" s="154">
        <f>H111</f>
      </c>
      <c r="I148" s="147">
        <f>I111</f>
      </c>
      <c r="J148" s="251">
        <f>J111</f>
      </c>
      <c r="K148" s="251">
        <f>K111</f>
      </c>
      <c r="L148" s="251">
        <f>IF($P148&lt;K148,K148,K148+($P148-K148)*L$135)</f>
      </c>
      <c r="M148" s="476">
        <f>IF($P148&lt;L148,L148,L148+($P148-L148)*M$135)</f>
      </c>
      <c r="N148" s="108"/>
      <c r="O148" s="140" t="s">
        <v>598</v>
      </c>
      <c r="P148" s="219">
        <f>S148*Q148</f>
      </c>
      <c r="Q148" s="477">
        <v>0.5</v>
      </c>
      <c r="R148" s="457" t="s">
        <v>597</v>
      </c>
      <c r="S148" s="124">
        <f>_xlfn.XLOOKUP(O148,$D$164:$D$175,$G$164:$G$175)</f>
      </c>
      <c r="T148" s="290"/>
      <c r="U148" s="3"/>
      <c r="V148" s="108"/>
      <c r="W148" s="478"/>
      <c r="X148" s="108"/>
      <c r="Y148" s="2"/>
      <c r="Z148" s="108"/>
    </row>
    <row x14ac:dyDescent="0.25" r="149" customHeight="1" ht="13.5">
      <c r="A149" s="2"/>
      <c r="B149" s="276"/>
      <c r="C149" s="276"/>
      <c r="D149" s="292">
        <f>D112</f>
      </c>
      <c r="E149" s="463">
        <f>E112</f>
      </c>
      <c r="F149" s="154">
        <f>F112</f>
      </c>
      <c r="G149" s="154">
        <f>G112</f>
      </c>
      <c r="H149" s="154">
        <f>H112</f>
      </c>
      <c r="I149" s="147">
        <f>I112</f>
      </c>
      <c r="J149" s="251">
        <f>J112</f>
      </c>
      <c r="K149" s="251">
        <f>K112</f>
      </c>
      <c r="L149" s="251">
        <f>IF($P149&lt;K149,K149,K149+($P149-K149)*L$135)</f>
      </c>
      <c r="M149" s="476">
        <f>IF($P149&lt;L149,L149,L149+($P149-L149)*M$135)</f>
      </c>
      <c r="N149" s="108"/>
      <c r="O149" s="140" t="s">
        <v>599</v>
      </c>
      <c r="P149" s="219">
        <f>S149*Q149</f>
      </c>
      <c r="Q149" s="477">
        <v>0.25</v>
      </c>
      <c r="R149" s="457" t="s">
        <v>594</v>
      </c>
      <c r="S149" s="124">
        <f>_xlfn.XLOOKUP(O149,$D$164:$D$175,$G$164:$G$175)</f>
      </c>
      <c r="T149" s="290"/>
      <c r="U149" s="3"/>
      <c r="V149" s="108"/>
      <c r="W149" s="478"/>
      <c r="X149" s="108"/>
      <c r="Y149" s="2"/>
      <c r="Z149" s="108"/>
    </row>
    <row x14ac:dyDescent="0.25" r="150" customHeight="1" ht="13.5">
      <c r="A150" s="2"/>
      <c r="B150" s="276"/>
      <c r="C150" s="276"/>
      <c r="D150" s="292">
        <f>D113</f>
      </c>
      <c r="E150" s="463">
        <f>E113</f>
      </c>
      <c r="F150" s="154">
        <f>F113</f>
      </c>
      <c r="G150" s="154">
        <f>G113</f>
      </c>
      <c r="H150" s="154">
        <f>H113</f>
      </c>
      <c r="I150" s="147">
        <f>I113</f>
      </c>
      <c r="J150" s="251">
        <f>J113</f>
      </c>
      <c r="K150" s="251">
        <f>K113</f>
      </c>
      <c r="L150" s="251">
        <f>IF($P150&lt;K150,K150,K150+($P150-K150)*L$135)</f>
      </c>
      <c r="M150" s="476">
        <f>IF($P150&lt;L150,L150,L150+($P150-L150)*M$135)</f>
      </c>
      <c r="N150" s="108"/>
      <c r="O150" s="140" t="s">
        <v>599</v>
      </c>
      <c r="P150" s="219">
        <f>S150*Q150</f>
      </c>
      <c r="Q150" s="477">
        <v>0.25</v>
      </c>
      <c r="R150" s="457" t="s">
        <v>594</v>
      </c>
      <c r="S150" s="124">
        <f>_xlfn.XLOOKUP(O150,$D$164:$D$175,$G$164:$G$175)</f>
      </c>
      <c r="T150" s="290"/>
      <c r="U150" s="3"/>
      <c r="V150" s="108"/>
      <c r="W150" s="478"/>
      <c r="X150" s="108"/>
      <c r="Y150" s="2"/>
      <c r="Z150" s="108"/>
    </row>
    <row x14ac:dyDescent="0.25" r="151" customHeight="1" ht="13.5">
      <c r="A151" s="2"/>
      <c r="B151" s="276"/>
      <c r="C151" s="276"/>
      <c r="D151" s="292">
        <f>D114</f>
      </c>
      <c r="E151" s="463">
        <f>E114</f>
      </c>
      <c r="F151" s="154">
        <f>F114</f>
      </c>
      <c r="G151" s="154">
        <f>G114</f>
      </c>
      <c r="H151" s="154">
        <f>H114</f>
      </c>
      <c r="I151" s="147">
        <f>I114</f>
      </c>
      <c r="J151" s="251">
        <f>J114</f>
      </c>
      <c r="K151" s="251">
        <f>K114</f>
      </c>
      <c r="L151" s="251">
        <f>IF($P151&lt;K151,K151,K151+($P151-K151)*L$135)</f>
      </c>
      <c r="M151" s="476">
        <f>IF($P151&lt;L151,L151,L151+($P151-L151)*M$135)</f>
      </c>
      <c r="N151" s="108"/>
      <c r="O151" s="140" t="s">
        <v>599</v>
      </c>
      <c r="P151" s="219">
        <f>S151*Q151</f>
      </c>
      <c r="Q151" s="477">
        <v>0.25</v>
      </c>
      <c r="R151" s="457" t="s">
        <v>594</v>
      </c>
      <c r="S151" s="124">
        <f>_xlfn.XLOOKUP(O151,$D$164:$D$175,$G$164:$G$175)</f>
      </c>
      <c r="T151" s="290"/>
      <c r="U151" s="3"/>
      <c r="V151" s="108"/>
      <c r="W151" s="478"/>
      <c r="X151" s="108"/>
      <c r="Y151" s="2"/>
      <c r="Z151" s="108"/>
    </row>
    <row x14ac:dyDescent="0.25" r="152" customHeight="1" ht="13.5">
      <c r="A152" s="2"/>
      <c r="B152" s="276"/>
      <c r="C152" s="276"/>
      <c r="D152" s="292">
        <f>D115</f>
      </c>
      <c r="E152" s="463">
        <f>E115</f>
      </c>
      <c r="F152" s="154">
        <f>F115</f>
      </c>
      <c r="G152" s="154">
        <f>G115</f>
      </c>
      <c r="H152" s="154">
        <f>H115</f>
      </c>
      <c r="I152" s="147">
        <f>I115</f>
      </c>
      <c r="J152" s="251">
        <f>J115</f>
      </c>
      <c r="K152" s="251">
        <f>K115</f>
      </c>
      <c r="L152" s="251">
        <f>IF($P152&lt;K152,K152,K152+($P152-K152)*L$135)</f>
      </c>
      <c r="M152" s="476">
        <f>IF($P152&lt;L152,L152,L152+($P152-L152)*M$135)</f>
      </c>
      <c r="N152" s="108"/>
      <c r="O152" s="140" t="s">
        <v>183</v>
      </c>
      <c r="P152" s="219">
        <f>S152*Q152</f>
      </c>
      <c r="Q152" s="477">
        <v>0.35</v>
      </c>
      <c r="R152" s="457" t="s">
        <v>594</v>
      </c>
      <c r="S152" s="124">
        <f>_xlfn.XLOOKUP(O152,$D$164:$D$175,$G$164:$G$175)</f>
      </c>
      <c r="T152" s="290"/>
      <c r="U152" s="3"/>
      <c r="V152" s="108"/>
      <c r="W152" s="478"/>
      <c r="X152" s="108"/>
      <c r="Y152" s="2"/>
      <c r="Z152" s="108"/>
    </row>
    <row x14ac:dyDescent="0.25" r="153" customHeight="1" ht="13.5">
      <c r="A153" s="2"/>
      <c r="B153" s="276"/>
      <c r="C153" s="276"/>
      <c r="D153" s="480">
        <f>D116</f>
      </c>
      <c r="E153" s="463">
        <f>E116</f>
      </c>
      <c r="F153" s="154">
        <f>F116</f>
      </c>
      <c r="G153" s="154">
        <f>G116</f>
      </c>
      <c r="H153" s="154">
        <f>H116</f>
      </c>
      <c r="I153" s="147">
        <f>I116</f>
      </c>
      <c r="J153" s="251">
        <f>J116</f>
      </c>
      <c r="K153" s="251">
        <f>K116</f>
      </c>
      <c r="L153" s="251">
        <f>IF($P153&lt;K153,K153,K153+($P153-K153)*L$135)</f>
      </c>
      <c r="M153" s="476">
        <f>IF($P153&lt;L153,L153,L153+($P153-L153)*M$135)</f>
      </c>
      <c r="N153" s="108"/>
      <c r="O153" s="140" t="s">
        <v>297</v>
      </c>
      <c r="P153" s="219">
        <f>S153*Q153</f>
      </c>
      <c r="Q153" s="477">
        <v>0.7</v>
      </c>
      <c r="R153" s="457" t="s">
        <v>597</v>
      </c>
      <c r="S153" s="124">
        <f>_xlfn.XLOOKUP(O153,$D$164:$D$175,$G$164:$G$175)</f>
      </c>
      <c r="T153" s="212" t="s">
        <v>567</v>
      </c>
      <c r="U153" s="3"/>
      <c r="V153" s="108"/>
      <c r="W153" s="478"/>
      <c r="X153" s="108"/>
      <c r="Y153" s="2"/>
      <c r="Z153" s="108"/>
    </row>
    <row x14ac:dyDescent="0.25" r="154" customHeight="1" ht="13.5">
      <c r="A154" s="2"/>
      <c r="B154" s="276"/>
      <c r="C154" s="276"/>
      <c r="D154" s="292">
        <f>D117</f>
      </c>
      <c r="E154" s="463">
        <f>E117</f>
      </c>
      <c r="F154" s="154">
        <f>F117</f>
      </c>
      <c r="G154" s="154">
        <f>G117</f>
      </c>
      <c r="H154" s="154">
        <f>H117</f>
      </c>
      <c r="I154" s="147">
        <f>I117</f>
      </c>
      <c r="J154" s="251">
        <f>J117</f>
      </c>
      <c r="K154" s="251">
        <f>K117</f>
      </c>
      <c r="L154" s="251">
        <f>IF($P154&lt;K154,K154,K154+($P154-K154)*L$135)</f>
      </c>
      <c r="M154" s="476">
        <f>IF($P154&lt;L154,L154,L154+($P154-L154)*M$135)</f>
      </c>
      <c r="N154" s="108"/>
      <c r="O154" s="140" t="s">
        <v>596</v>
      </c>
      <c r="P154" s="219">
        <f>S154*Q154</f>
      </c>
      <c r="Q154" s="477">
        <v>0.3</v>
      </c>
      <c r="R154" s="457" t="s">
        <v>594</v>
      </c>
      <c r="S154" s="124">
        <f>_xlfn.XLOOKUP(O154,$D$164:$D$175,$G$164:$G$175)</f>
      </c>
      <c r="T154" s="290"/>
      <c r="U154" s="3"/>
      <c r="V154" s="108"/>
      <c r="W154" s="478"/>
      <c r="X154" s="108"/>
      <c r="Y154" s="2"/>
      <c r="Z154" s="108"/>
    </row>
    <row x14ac:dyDescent="0.25" r="155" customHeight="1" ht="13.5">
      <c r="A155" s="2"/>
      <c r="B155" s="276"/>
      <c r="C155" s="276"/>
      <c r="D155" s="292">
        <f>D118</f>
      </c>
      <c r="E155" s="463">
        <f>E118</f>
      </c>
      <c r="F155" s="154">
        <f>F118</f>
      </c>
      <c r="G155" s="154">
        <f>G118</f>
      </c>
      <c r="H155" s="154">
        <f>H118</f>
      </c>
      <c r="I155" s="147">
        <f>I118</f>
      </c>
      <c r="J155" s="251">
        <f>J118</f>
      </c>
      <c r="K155" s="251">
        <f>K118</f>
      </c>
      <c r="L155" s="251">
        <f>IF($P155&lt;K155,K155,K155+($P155-K155)*L$135)</f>
      </c>
      <c r="M155" s="476">
        <f>IF($P155&lt;L155,L155,L155+($P155-L155)*M$135)</f>
      </c>
      <c r="N155" s="108"/>
      <c r="O155" s="140" t="s">
        <v>599</v>
      </c>
      <c r="P155" s="219">
        <f>S155*Q155</f>
      </c>
      <c r="Q155" s="477">
        <v>0.25</v>
      </c>
      <c r="R155" s="457" t="s">
        <v>594</v>
      </c>
      <c r="S155" s="124">
        <f>_xlfn.XLOOKUP(O155,$D$164:$D$175,$G$164:$G$175)</f>
      </c>
      <c r="T155" s="290"/>
      <c r="U155" s="3"/>
      <c r="V155" s="108"/>
      <c r="W155" s="478"/>
      <c r="X155" s="108"/>
      <c r="Y155" s="2"/>
      <c r="Z155" s="108"/>
    </row>
    <row x14ac:dyDescent="0.25" r="156" customHeight="1" ht="13.5">
      <c r="A156" s="2"/>
      <c r="B156" s="276"/>
      <c r="C156" s="276"/>
      <c r="D156" s="292">
        <f>D119</f>
      </c>
      <c r="E156" s="463">
        <f>E119</f>
      </c>
      <c r="F156" s="154">
        <f>F119</f>
      </c>
      <c r="G156" s="154">
        <f>G119</f>
      </c>
      <c r="H156" s="154">
        <f>H119</f>
      </c>
      <c r="I156" s="147">
        <f>I119</f>
      </c>
      <c r="J156" s="251">
        <f>J119</f>
      </c>
      <c r="K156" s="251">
        <f>K119</f>
      </c>
      <c r="L156" s="251">
        <f>IF($P156&lt;K156,K156,K156+($P156-K156)*L$135)</f>
      </c>
      <c r="M156" s="476">
        <f>IF($P156&lt;L156,L156,L156+($P156-L156)*M$135)</f>
      </c>
      <c r="N156" s="108"/>
      <c r="O156" s="140" t="s">
        <v>596</v>
      </c>
      <c r="P156" s="219">
        <f>S156*Q156</f>
      </c>
      <c r="Q156" s="477">
        <v>0.25</v>
      </c>
      <c r="R156" s="457" t="s">
        <v>594</v>
      </c>
      <c r="S156" s="124">
        <f>_xlfn.XLOOKUP(O156,$D$164:$D$175,$G$164:$G$175)</f>
      </c>
      <c r="T156" s="290"/>
      <c r="U156" s="3"/>
      <c r="V156" s="108"/>
      <c r="W156" s="478"/>
      <c r="X156" s="108"/>
      <c r="Y156" s="2"/>
      <c r="Z156" s="108"/>
    </row>
    <row x14ac:dyDescent="0.25" r="157" customHeight="1" ht="13.5">
      <c r="A157" s="2"/>
      <c r="B157" s="276"/>
      <c r="C157" s="276"/>
      <c r="D157" s="292">
        <f>D120</f>
      </c>
      <c r="E157" s="463">
        <f>E120</f>
      </c>
      <c r="F157" s="154">
        <f>F120</f>
      </c>
      <c r="G157" s="154">
        <f>G120</f>
      </c>
      <c r="H157" s="154">
        <f>H120</f>
      </c>
      <c r="I157" s="147">
        <f>I120</f>
      </c>
      <c r="J157" s="251">
        <f>J120</f>
      </c>
      <c r="K157" s="251">
        <f>K120</f>
      </c>
      <c r="L157" s="251">
        <f>IF($P157&lt;K157,K157,K157+($P157-K157)*L$135)</f>
      </c>
      <c r="M157" s="476">
        <f>IF($P157&lt;L157,L157,L157+($P157-L157)*M$135)</f>
      </c>
      <c r="N157" s="108"/>
      <c r="O157" s="140" t="s">
        <v>302</v>
      </c>
      <c r="P157" s="219">
        <f>S157*Q157</f>
      </c>
      <c r="Q157" s="477">
        <v>0.5</v>
      </c>
      <c r="R157" s="457" t="s">
        <v>597</v>
      </c>
      <c r="S157" s="124">
        <f>_xlfn.XLOOKUP(O157,$D$164:$D$175,$G$164:$G$175)</f>
      </c>
      <c r="T157" s="212" t="s">
        <v>600</v>
      </c>
      <c r="U157" s="3"/>
      <c r="V157" s="108"/>
      <c r="W157" s="478"/>
      <c r="X157" s="108"/>
      <c r="Y157" s="2"/>
      <c r="Z157" s="108"/>
    </row>
    <row x14ac:dyDescent="0.25" r="158" customHeight="1" ht="13.5">
      <c r="A158" s="2"/>
      <c r="B158" s="276"/>
      <c r="C158" s="276"/>
      <c r="D158" s="480">
        <f>D121</f>
      </c>
      <c r="E158" s="463">
        <f>E121</f>
      </c>
      <c r="F158" s="154">
        <f>F121</f>
      </c>
      <c r="G158" s="154">
        <f>G121</f>
      </c>
      <c r="H158" s="154">
        <f>H121</f>
      </c>
      <c r="I158" s="147">
        <f>I121</f>
      </c>
      <c r="J158" s="251">
        <f>J121</f>
      </c>
      <c r="K158" s="251">
        <f>K121</f>
      </c>
      <c r="L158" s="251">
        <f>IF($P158&lt;K158,K158,K158+($P158-K158)*L$135)</f>
      </c>
      <c r="M158" s="476">
        <f>IF($P158&lt;L158,L158,L158+($P158-L158)*M$135)</f>
      </c>
      <c r="N158" s="108"/>
      <c r="O158" s="140" t="s">
        <v>304</v>
      </c>
      <c r="P158" s="219">
        <f>S158*Q158</f>
      </c>
      <c r="Q158" s="477">
        <v>0.6</v>
      </c>
      <c r="R158" s="457" t="s">
        <v>597</v>
      </c>
      <c r="S158" s="124">
        <f>_xlfn.XLOOKUP(O158,$D$164:$D$175,$G$164:$G$175)</f>
      </c>
      <c r="T158" s="212" t="s">
        <v>601</v>
      </c>
      <c r="U158" s="3"/>
      <c r="V158" s="108"/>
      <c r="W158" s="478"/>
      <c r="X158" s="108"/>
      <c r="Y158" s="2"/>
      <c r="Z158" s="108"/>
    </row>
    <row x14ac:dyDescent="0.25" r="159" customHeight="1" ht="13.5">
      <c r="A159" s="2"/>
      <c r="B159" s="276"/>
      <c r="C159" s="276"/>
      <c r="D159" s="107"/>
      <c r="E159" s="481"/>
      <c r="F159" s="8"/>
      <c r="G159" s="8"/>
      <c r="H159" s="8"/>
      <c r="I159" s="8"/>
      <c r="J159" s="482"/>
      <c r="K159" s="482"/>
      <c r="L159" s="482"/>
      <c r="M159" s="482"/>
      <c r="N159" s="459"/>
      <c r="O159" s="483"/>
      <c r="P159" s="187"/>
      <c r="Q159" s="121"/>
      <c r="R159" s="290"/>
      <c r="S159" s="3"/>
      <c r="T159" s="115"/>
      <c r="U159" s="3"/>
      <c r="V159" s="108"/>
      <c r="W159" s="124"/>
      <c r="X159" s="108"/>
      <c r="Y159" s="2"/>
      <c r="Z159" s="108"/>
    </row>
    <row x14ac:dyDescent="0.25" r="160" customHeight="1" ht="13.5">
      <c r="A160" s="2"/>
      <c r="B160" s="3"/>
      <c r="C160" s="2"/>
      <c r="D160" s="240" t="s">
        <v>475</v>
      </c>
      <c r="E160" s="3"/>
      <c r="F160" s="3"/>
      <c r="G160" s="3"/>
      <c r="H160" s="3"/>
      <c r="I160" s="3"/>
      <c r="J160" s="63"/>
      <c r="K160" s="63"/>
      <c r="L160" s="63"/>
      <c r="M160" s="63"/>
      <c r="N160" s="108"/>
      <c r="O160" s="219"/>
      <c r="P160" s="3"/>
      <c r="Q160" s="3"/>
      <c r="R160" s="63"/>
      <c r="S160" s="3"/>
      <c r="T160" s="3"/>
      <c r="U160" s="3"/>
      <c r="V160" s="108"/>
      <c r="W160" s="124"/>
      <c r="X160" s="108"/>
      <c r="Y160" s="2"/>
      <c r="Z160" s="108"/>
    </row>
    <row x14ac:dyDescent="0.25" r="161" customHeight="1" ht="13.5">
      <c r="A161" s="2"/>
      <c r="B161" s="3"/>
      <c r="C161" s="2"/>
      <c r="D161" s="241" t="s">
        <v>585</v>
      </c>
      <c r="E161" s="3"/>
      <c r="F161" s="3"/>
      <c r="G161" s="3"/>
      <c r="H161" s="3"/>
      <c r="I161" s="3"/>
      <c r="J161" s="63"/>
      <c r="K161" s="63"/>
      <c r="L161" s="63"/>
      <c r="M161" s="63"/>
      <c r="N161" s="108"/>
      <c r="O161" s="219"/>
      <c r="P161" s="3"/>
      <c r="Q161" s="3"/>
      <c r="R161" s="63"/>
      <c r="S161" s="3"/>
      <c r="T161" s="3"/>
      <c r="U161" s="3"/>
      <c r="V161" s="108"/>
      <c r="W161" s="124"/>
      <c r="X161" s="108"/>
      <c r="Y161" s="2"/>
      <c r="Z161" s="108"/>
    </row>
    <row x14ac:dyDescent="0.25" r="162" customHeight="1" ht="13.5">
      <c r="A162" s="2"/>
      <c r="B162" s="3"/>
      <c r="C162" s="2"/>
      <c r="D162" s="107"/>
      <c r="E162" s="3"/>
      <c r="F162" s="484" t="s">
        <v>602</v>
      </c>
      <c r="G162" s="3"/>
      <c r="H162" s="3"/>
      <c r="I162" s="3"/>
      <c r="J162" s="63"/>
      <c r="K162" s="63"/>
      <c r="L162" s="63"/>
      <c r="M162" s="63"/>
      <c r="N162" s="108"/>
      <c r="O162" s="219"/>
      <c r="P162" s="219"/>
      <c r="Q162" s="219"/>
      <c r="R162" s="63"/>
      <c r="S162" s="3"/>
      <c r="T162" s="3"/>
      <c r="U162" s="3"/>
      <c r="V162" s="108"/>
      <c r="W162" s="124"/>
      <c r="X162" s="108"/>
      <c r="Y162" s="2"/>
      <c r="Z162" s="108"/>
    </row>
    <row x14ac:dyDescent="0.25" r="163" customHeight="1" ht="13.5">
      <c r="A163" s="2"/>
      <c r="B163" s="3"/>
      <c r="C163" s="2"/>
      <c r="D163" s="249"/>
      <c r="E163" s="280" t="s">
        <v>537</v>
      </c>
      <c r="F163" s="450" t="s">
        <v>603</v>
      </c>
      <c r="G163" s="280" t="s">
        <v>593</v>
      </c>
      <c r="H163" s="461"/>
      <c r="I163" s="3"/>
      <c r="J163" s="63"/>
      <c r="K163" s="63"/>
      <c r="L163" s="63"/>
      <c r="M163" s="63"/>
      <c r="N163" s="108"/>
      <c r="O163" s="219"/>
      <c r="P163" s="219"/>
      <c r="Q163" s="219"/>
      <c r="R163" s="63"/>
      <c r="S163" s="3"/>
      <c r="T163" s="3"/>
      <c r="U163" s="3"/>
      <c r="V163" s="108"/>
      <c r="W163" s="124"/>
      <c r="X163" s="108"/>
      <c r="Y163" s="2"/>
      <c r="Z163" s="108"/>
    </row>
    <row x14ac:dyDescent="0.25" r="164" customHeight="1" ht="13.5">
      <c r="A164" s="2"/>
      <c r="B164" s="3"/>
      <c r="C164" s="2"/>
      <c r="D164" s="118" t="s">
        <v>596</v>
      </c>
      <c r="E164" s="485">
        <f>RAR_OCP!G8</f>
      </c>
      <c r="F164" s="486">
        <v>0.6</v>
      </c>
      <c r="G164" s="487">
        <f>F164*E164</f>
      </c>
      <c r="H164" s="3"/>
      <c r="I164" s="3"/>
      <c r="J164" s="3"/>
      <c r="K164" s="3"/>
      <c r="L164" s="3"/>
      <c r="M164" s="3"/>
      <c r="N164" s="108"/>
      <c r="O164" s="3"/>
      <c r="P164" s="3"/>
      <c r="Q164" s="219"/>
      <c r="R164" s="3"/>
      <c r="S164" s="3"/>
      <c r="T164" s="3"/>
      <c r="U164" s="3"/>
      <c r="V164" s="108"/>
      <c r="W164" s="124"/>
      <c r="X164" s="108"/>
      <c r="Y164" s="2"/>
      <c r="Z164" s="108"/>
    </row>
    <row x14ac:dyDescent="0.25" r="165" customHeight="1" ht="13.5">
      <c r="A165" s="2"/>
      <c r="B165" s="3"/>
      <c r="C165" s="2"/>
      <c r="D165" s="451">
        <f>RAR_OCP!E9</f>
      </c>
      <c r="E165" s="485">
        <f>RAR_OCP!G9</f>
      </c>
      <c r="F165" s="486">
        <v>1</v>
      </c>
      <c r="G165" s="487">
        <f>F165*E165</f>
      </c>
      <c r="H165" s="3"/>
      <c r="I165" s="3"/>
      <c r="J165" s="3"/>
      <c r="K165" s="3"/>
      <c r="L165" s="3"/>
      <c r="M165" s="3"/>
      <c r="N165" s="108"/>
      <c r="O165" s="3"/>
      <c r="P165" s="3"/>
      <c r="Q165" s="3"/>
      <c r="R165" s="3"/>
      <c r="S165" s="3"/>
      <c r="T165" s="3"/>
      <c r="U165" s="3"/>
      <c r="V165" s="108"/>
      <c r="W165" s="124"/>
      <c r="X165" s="108"/>
      <c r="Y165" s="2"/>
      <c r="Z165" s="108"/>
    </row>
    <row x14ac:dyDescent="0.25" r="166" customHeight="1" ht="13.5">
      <c r="A166" s="2"/>
      <c r="B166" s="3"/>
      <c r="C166" s="2"/>
      <c r="D166" s="451">
        <f>RAR_OCP!E10</f>
      </c>
      <c r="E166" s="485">
        <f>RAR_OCP!G10</f>
      </c>
      <c r="F166" s="486">
        <v>0.7</v>
      </c>
      <c r="G166" s="487">
        <f>F166*E166</f>
      </c>
      <c r="H166" s="3"/>
      <c r="I166" s="3"/>
      <c r="J166" s="3"/>
      <c r="K166" s="3"/>
      <c r="L166" s="3"/>
      <c r="M166" s="3"/>
      <c r="N166" s="108"/>
      <c r="O166" s="3"/>
      <c r="P166" s="3"/>
      <c r="Q166" s="3"/>
      <c r="R166" s="3"/>
      <c r="S166" s="3"/>
      <c r="T166" s="3"/>
      <c r="U166" s="3"/>
      <c r="V166" s="108"/>
      <c r="W166" s="124"/>
      <c r="X166" s="108"/>
      <c r="Y166" s="2"/>
      <c r="Z166" s="108"/>
    </row>
    <row x14ac:dyDescent="0.25" r="167" customHeight="1" ht="13.5">
      <c r="A167" s="2"/>
      <c r="B167" s="3"/>
      <c r="C167" s="2"/>
      <c r="D167" s="451">
        <f>RAR_OCP!E11</f>
      </c>
      <c r="E167" s="485">
        <f>RAR_OCP!G11</f>
      </c>
      <c r="F167" s="486">
        <v>0.6</v>
      </c>
      <c r="G167" s="487">
        <f>F167*E167</f>
      </c>
      <c r="H167" s="3"/>
      <c r="I167" s="3"/>
      <c r="J167" s="3"/>
      <c r="K167" s="3"/>
      <c r="L167" s="3"/>
      <c r="M167" s="3"/>
      <c r="N167" s="108"/>
      <c r="O167" s="3"/>
      <c r="P167" s="3"/>
      <c r="Q167" s="3"/>
      <c r="R167" s="3"/>
      <c r="S167" s="3"/>
      <c r="T167" s="3"/>
      <c r="U167" s="3"/>
      <c r="V167" s="108"/>
      <c r="W167" s="124"/>
      <c r="X167" s="108"/>
      <c r="Y167" s="2"/>
      <c r="Z167" s="108"/>
    </row>
    <row x14ac:dyDescent="0.25" r="168" customHeight="1" ht="13.5">
      <c r="A168" s="2"/>
      <c r="B168" s="3"/>
      <c r="C168" s="2"/>
      <c r="D168" s="451">
        <f>RAR_OCP!E12</f>
      </c>
      <c r="E168" s="485">
        <f>RAR_OCP!G12</f>
      </c>
      <c r="F168" s="486">
        <v>0.6</v>
      </c>
      <c r="G168" s="487">
        <f>F168*E168</f>
      </c>
      <c r="H168" s="3"/>
      <c r="I168" s="3"/>
      <c r="J168" s="3"/>
      <c r="K168" s="3"/>
      <c r="L168" s="3"/>
      <c r="M168" s="3"/>
      <c r="N168" s="108"/>
      <c r="O168" s="3"/>
      <c r="P168" s="3"/>
      <c r="Q168" s="3"/>
      <c r="R168" s="3"/>
      <c r="S168" s="3"/>
      <c r="T168" s="3"/>
      <c r="U168" s="3"/>
      <c r="V168" s="108"/>
      <c r="W168" s="124"/>
      <c r="X168" s="108"/>
      <c r="Y168" s="2"/>
      <c r="Z168" s="108"/>
    </row>
    <row x14ac:dyDescent="0.25" r="169" customHeight="1" ht="13.5">
      <c r="A169" s="2"/>
      <c r="B169" s="3"/>
      <c r="C169" s="2"/>
      <c r="D169" s="451">
        <f>RAR_OCP!E13</f>
      </c>
      <c r="E169" s="485">
        <f>RAR_OCP!G13</f>
      </c>
      <c r="F169" s="486">
        <v>0.6</v>
      </c>
      <c r="G169" s="487">
        <f>F169*E169</f>
      </c>
      <c r="H169" s="3"/>
      <c r="I169" s="3"/>
      <c r="J169" s="3"/>
      <c r="K169" s="3"/>
      <c r="L169" s="3"/>
      <c r="M169" s="3"/>
      <c r="N169" s="108"/>
      <c r="O169" s="3"/>
      <c r="P169" s="3"/>
      <c r="Q169" s="3"/>
      <c r="R169" s="3"/>
      <c r="S169" s="3"/>
      <c r="T169" s="3"/>
      <c r="U169" s="3"/>
      <c r="V169" s="108"/>
      <c r="W169" s="124"/>
      <c r="X169" s="108"/>
      <c r="Y169" s="2"/>
      <c r="Z169" s="108"/>
    </row>
    <row x14ac:dyDescent="0.25" r="170" customHeight="1" ht="13.5">
      <c r="A170" s="2"/>
      <c r="B170" s="3"/>
      <c r="C170" s="2"/>
      <c r="D170" s="451">
        <f>RAR_OCP!E14</f>
      </c>
      <c r="E170" s="485">
        <f>RAR_OCP!G14</f>
      </c>
      <c r="F170" s="486">
        <v>0.6</v>
      </c>
      <c r="G170" s="487">
        <f>F170*E170</f>
      </c>
      <c r="H170" s="3"/>
      <c r="I170" s="3"/>
      <c r="J170" s="3"/>
      <c r="K170" s="3"/>
      <c r="L170" s="3"/>
      <c r="M170" s="3"/>
      <c r="N170" s="108"/>
      <c r="O170" s="3"/>
      <c r="P170" s="3"/>
      <c r="Q170" s="3"/>
      <c r="R170" s="3"/>
      <c r="S170" s="3"/>
      <c r="T170" s="3"/>
      <c r="U170" s="3"/>
      <c r="V170" s="108"/>
      <c r="W170" s="124"/>
      <c r="X170" s="108"/>
      <c r="Y170" s="2"/>
      <c r="Z170" s="108"/>
    </row>
    <row x14ac:dyDescent="0.25" r="171" customHeight="1" ht="13.5">
      <c r="A171" s="2"/>
      <c r="B171" s="3"/>
      <c r="C171" s="2"/>
      <c r="D171" s="118" t="s">
        <v>183</v>
      </c>
      <c r="E171" s="485">
        <f>RAR_OCP!G15</f>
      </c>
      <c r="F171" s="486">
        <v>0.6</v>
      </c>
      <c r="G171" s="487">
        <f>F171*E171</f>
      </c>
      <c r="H171" s="3"/>
      <c r="I171" s="3"/>
      <c r="J171" s="3"/>
      <c r="K171" s="3"/>
      <c r="L171" s="3"/>
      <c r="M171" s="3"/>
      <c r="N171" s="108"/>
      <c r="O171" s="3"/>
      <c r="P171" s="3"/>
      <c r="Q171" s="3"/>
      <c r="R171" s="3"/>
      <c r="S171" s="3"/>
      <c r="T171" s="3"/>
      <c r="U171" s="3"/>
      <c r="V171" s="108"/>
      <c r="W171" s="108"/>
      <c r="X171" s="108"/>
      <c r="Y171" s="2"/>
      <c r="Z171" s="108"/>
    </row>
    <row x14ac:dyDescent="0.25" r="172" customHeight="1" ht="13.5">
      <c r="A172" s="2"/>
      <c r="B172" s="3"/>
      <c r="C172" s="2"/>
      <c r="D172" s="118" t="s">
        <v>598</v>
      </c>
      <c r="E172" s="485">
        <f>RAR_OCP!G16</f>
      </c>
      <c r="F172" s="486">
        <v>0.6</v>
      </c>
      <c r="G172" s="487">
        <f>F172*E172</f>
      </c>
      <c r="H172" s="3"/>
      <c r="I172" s="3"/>
      <c r="J172" s="3"/>
      <c r="K172" s="3"/>
      <c r="L172" s="3"/>
      <c r="M172" s="3"/>
      <c r="N172" s="108"/>
      <c r="O172" s="3"/>
      <c r="P172" s="3"/>
      <c r="Q172" s="3"/>
      <c r="R172" s="3"/>
      <c r="S172" s="3"/>
      <c r="T172" s="3"/>
      <c r="U172" s="3"/>
      <c r="V172" s="108"/>
      <c r="W172" s="108"/>
      <c r="X172" s="108"/>
      <c r="Y172" s="2"/>
      <c r="Z172" s="108"/>
    </row>
    <row x14ac:dyDescent="0.25" r="173" customHeight="1" ht="13.5">
      <c r="A173" s="2"/>
      <c r="B173" s="3"/>
      <c r="C173" s="2"/>
      <c r="D173" s="451">
        <f>RAR_OCP!E17</f>
      </c>
      <c r="E173" s="485">
        <f>RAR_OCP!G17</f>
      </c>
      <c r="F173" s="486">
        <v>0.6</v>
      </c>
      <c r="G173" s="487">
        <f>F173*E173</f>
      </c>
      <c r="H173" s="3"/>
      <c r="I173" s="3"/>
      <c r="J173" s="3"/>
      <c r="K173" s="3"/>
      <c r="L173" s="3"/>
      <c r="M173" s="3"/>
      <c r="N173" s="108"/>
      <c r="O173" s="3"/>
      <c r="P173" s="3"/>
      <c r="Q173" s="3"/>
      <c r="R173" s="3"/>
      <c r="S173" s="3"/>
      <c r="T173" s="3"/>
      <c r="U173" s="3"/>
      <c r="V173" s="108"/>
      <c r="W173" s="108"/>
      <c r="X173" s="108"/>
      <c r="Y173" s="2"/>
      <c r="Z173" s="108"/>
    </row>
    <row x14ac:dyDescent="0.25" r="174" customHeight="1" ht="13.5">
      <c r="A174" s="2"/>
      <c r="B174" s="3"/>
      <c r="C174" s="2"/>
      <c r="D174" s="118" t="s">
        <v>599</v>
      </c>
      <c r="E174" s="485">
        <f>RAR_OCP!G18</f>
      </c>
      <c r="F174" s="486">
        <v>0.6</v>
      </c>
      <c r="G174" s="487">
        <f>F174*E174</f>
      </c>
      <c r="H174" s="3"/>
      <c r="I174" s="3"/>
      <c r="J174" s="3"/>
      <c r="K174" s="3"/>
      <c r="L174" s="3"/>
      <c r="M174" s="3"/>
      <c r="N174" s="108"/>
      <c r="O174" s="3"/>
      <c r="P174" s="3"/>
      <c r="Q174" s="3"/>
      <c r="R174" s="3"/>
      <c r="S174" s="3"/>
      <c r="T174" s="3"/>
      <c r="U174" s="3"/>
      <c r="V174" s="108"/>
      <c r="W174" s="108"/>
      <c r="X174" s="108"/>
      <c r="Y174" s="2"/>
      <c r="Z174" s="108"/>
    </row>
    <row x14ac:dyDescent="0.25" r="175" customHeight="1" ht="13.5">
      <c r="A175" s="2"/>
      <c r="B175" s="3"/>
      <c r="C175" s="2"/>
      <c r="D175" s="451">
        <f>RAR_OCP!E19</f>
      </c>
      <c r="E175" s="485">
        <f>RAR_OCP!G19</f>
      </c>
      <c r="F175" s="486">
        <v>0.6</v>
      </c>
      <c r="G175" s="487">
        <f>F175*E175</f>
      </c>
      <c r="H175" s="3"/>
      <c r="I175" s="3"/>
      <c r="J175" s="3"/>
      <c r="K175" s="3"/>
      <c r="L175" s="3"/>
      <c r="M175" s="3"/>
      <c r="N175" s="108"/>
      <c r="O175" s="3"/>
      <c r="P175" s="3"/>
      <c r="Q175" s="3"/>
      <c r="R175" s="3"/>
      <c r="S175" s="3"/>
      <c r="T175" s="3"/>
      <c r="U175" s="3"/>
      <c r="V175" s="108"/>
      <c r="W175" s="108"/>
      <c r="X175" s="108"/>
      <c r="Y175" s="2"/>
      <c r="Z175" s="108"/>
    </row>
    <row x14ac:dyDescent="0.25" r="176" customHeight="1" ht="13.5">
      <c r="A176" s="2"/>
      <c r="B176" s="3"/>
      <c r="C176" s="2"/>
      <c r="D176" s="488" t="s">
        <v>579</v>
      </c>
      <c r="E176" s="489" t="s">
        <v>604</v>
      </c>
      <c r="F176" s="489" t="s">
        <v>605</v>
      </c>
      <c r="G176" s="490"/>
      <c r="H176" s="3"/>
      <c r="I176" s="3"/>
      <c r="J176" s="3"/>
      <c r="K176" s="3"/>
      <c r="L176" s="3"/>
      <c r="M176" s="3"/>
      <c r="N176" s="108"/>
      <c r="O176" s="3"/>
      <c r="P176" s="3"/>
      <c r="Q176" s="3"/>
      <c r="R176" s="3"/>
      <c r="S176" s="3"/>
      <c r="T176" s="3"/>
      <c r="U176" s="3"/>
      <c r="V176" s="108"/>
      <c r="W176" s="108"/>
      <c r="X176" s="108"/>
      <c r="Y176" s="2"/>
      <c r="Z176" s="108"/>
    </row>
    <row x14ac:dyDescent="0.25" r="177" customHeight="1" ht="13.5">
      <c r="A177" s="2"/>
      <c r="B177" s="3"/>
      <c r="C177" s="2"/>
      <c r="D177" s="290"/>
      <c r="E177" s="3"/>
      <c r="F177" s="3"/>
      <c r="G177" s="3"/>
      <c r="H177" s="3"/>
      <c r="I177" s="3"/>
      <c r="J177" s="3"/>
      <c r="K177" s="3"/>
      <c r="L177" s="3"/>
      <c r="M177" s="3"/>
      <c r="N177" s="108"/>
      <c r="O177" s="3"/>
      <c r="P177" s="3"/>
      <c r="Q177" s="3"/>
      <c r="R177" s="3"/>
      <c r="S177" s="3"/>
      <c r="T177" s="3"/>
      <c r="U177" s="3"/>
      <c r="V177" s="108"/>
      <c r="W177" s="108"/>
      <c r="X177" s="108"/>
      <c r="Y177" s="2"/>
      <c r="Z177" s="108"/>
    </row>
    <row x14ac:dyDescent="0.25" r="178" customHeight="1" ht="13.5">
      <c r="A178" s="2"/>
      <c r="B178" s="198">
        <v>4</v>
      </c>
      <c r="C178" s="448" t="s">
        <v>606</v>
      </c>
      <c r="D178" s="275" t="s">
        <v>607</v>
      </c>
      <c r="E178" s="3"/>
      <c r="F178" s="3"/>
      <c r="G178" s="3"/>
      <c r="H178" s="3"/>
      <c r="I178" s="3"/>
      <c r="J178" s="3"/>
      <c r="K178" s="3"/>
      <c r="L178" s="3"/>
      <c r="M178" s="3"/>
      <c r="N178" s="108"/>
      <c r="O178" s="115"/>
      <c r="P178" s="115"/>
      <c r="Q178" s="115"/>
      <c r="R178" s="115"/>
      <c r="S178" s="115"/>
      <c r="T178" s="115"/>
      <c r="U178" s="3"/>
      <c r="V178" s="108"/>
      <c r="W178" s="108"/>
      <c r="X178" s="108"/>
      <c r="Y178" s="2"/>
      <c r="Z178" s="108"/>
    </row>
    <row x14ac:dyDescent="0.25" r="179" customHeight="1" ht="13.5">
      <c r="A179" s="2"/>
      <c r="B179" s="3"/>
      <c r="C179" s="2"/>
      <c r="D179" s="121"/>
      <c r="E179" s="3"/>
      <c r="F179" s="3"/>
      <c r="G179" s="3"/>
      <c r="H179" s="3"/>
      <c r="I179" s="3"/>
      <c r="J179" s="3"/>
      <c r="K179" s="3"/>
      <c r="L179" s="3"/>
      <c r="M179" s="3"/>
      <c r="N179" s="108"/>
      <c r="O179" s="3"/>
      <c r="P179" s="3"/>
      <c r="Q179" s="3"/>
      <c r="R179" s="3"/>
      <c r="S179" s="3"/>
      <c r="T179" s="3"/>
      <c r="U179" s="3"/>
      <c r="V179" s="108"/>
      <c r="W179" s="108"/>
      <c r="X179" s="108"/>
      <c r="Y179" s="2"/>
      <c r="Z179" s="108"/>
    </row>
    <row x14ac:dyDescent="0.25" r="180" customHeight="1" ht="13.5">
      <c r="A180" s="2"/>
      <c r="B180" s="3"/>
      <c r="C180" s="2"/>
      <c r="D180" s="240" t="s">
        <v>536</v>
      </c>
      <c r="E180" s="3"/>
      <c r="F180" s="3"/>
      <c r="G180" s="3"/>
      <c r="H180" s="3"/>
      <c r="I180" s="3"/>
      <c r="J180" s="3"/>
      <c r="K180" s="3"/>
      <c r="L180" s="3"/>
      <c r="M180" s="3"/>
      <c r="N180" s="108"/>
      <c r="O180" s="279" t="s">
        <v>536</v>
      </c>
      <c r="P180" s="3"/>
      <c r="Q180" s="3"/>
      <c r="R180" s="3"/>
      <c r="S180" s="3"/>
      <c r="T180" s="3"/>
      <c r="U180" s="3"/>
      <c r="V180" s="108"/>
      <c r="W180" s="108"/>
      <c r="X180" s="108"/>
      <c r="Y180" s="2"/>
      <c r="Z180" s="108"/>
    </row>
    <row x14ac:dyDescent="0.25" r="181" customHeight="1" ht="13.5">
      <c r="A181" s="2"/>
      <c r="B181" s="3"/>
      <c r="C181" s="2"/>
      <c r="D181" s="241" t="s">
        <v>608</v>
      </c>
      <c r="E181" s="3"/>
      <c r="F181" s="3"/>
      <c r="G181" s="3"/>
      <c r="H181" s="3"/>
      <c r="I181" s="3"/>
      <c r="J181" s="3"/>
      <c r="K181" s="3"/>
      <c r="L181" s="3"/>
      <c r="M181" s="3"/>
      <c r="N181" s="108"/>
      <c r="O181" s="242" t="s">
        <v>609</v>
      </c>
      <c r="P181" s="3"/>
      <c r="Q181" s="3"/>
      <c r="R181" s="3"/>
      <c r="S181" s="3"/>
      <c r="T181" s="3"/>
      <c r="U181" s="3"/>
      <c r="V181" s="108"/>
      <c r="W181" s="108"/>
      <c r="X181" s="108"/>
      <c r="Y181" s="2"/>
      <c r="Z181" s="108"/>
    </row>
    <row x14ac:dyDescent="0.25" r="182" customHeight="1" ht="18.75">
      <c r="A182" s="2"/>
      <c r="B182" s="3"/>
      <c r="C182" s="2"/>
      <c r="D182" s="107"/>
      <c r="E182" s="3"/>
      <c r="F182" s="3"/>
      <c r="G182" s="3"/>
      <c r="H182" s="3"/>
      <c r="I182" s="3"/>
      <c r="J182" s="3"/>
      <c r="K182" s="3"/>
      <c r="L182" s="3"/>
      <c r="M182" s="3"/>
      <c r="N182" s="108"/>
      <c r="O182" s="3"/>
      <c r="P182" s="3"/>
      <c r="Q182" s="3"/>
      <c r="R182" s="3"/>
      <c r="S182" s="3"/>
      <c r="T182" s="3"/>
      <c r="U182" s="3"/>
      <c r="V182" s="108"/>
      <c r="W182" s="108"/>
      <c r="X182" s="108"/>
      <c r="Y182" s="2"/>
      <c r="Z182" s="108"/>
    </row>
    <row x14ac:dyDescent="0.25" r="183" customHeight="1" ht="13.5">
      <c r="A183" s="2"/>
      <c r="B183" s="3"/>
      <c r="C183" s="2"/>
      <c r="D183" s="246" t="s">
        <v>445</v>
      </c>
      <c r="E183" s="257">
        <v>2017</v>
      </c>
      <c r="F183" s="257">
        <v>2018</v>
      </c>
      <c r="G183" s="257">
        <v>2019</v>
      </c>
      <c r="H183" s="257">
        <v>2020</v>
      </c>
      <c r="I183" s="257">
        <v>2021</v>
      </c>
      <c r="J183" s="257">
        <v>2022</v>
      </c>
      <c r="K183" s="257">
        <v>2023</v>
      </c>
      <c r="L183" s="257">
        <v>2024</v>
      </c>
      <c r="M183" s="257">
        <v>2025</v>
      </c>
      <c r="N183" s="108"/>
      <c r="O183" s="280" t="s">
        <v>445</v>
      </c>
      <c r="P183" s="257">
        <v>2017</v>
      </c>
      <c r="Q183" s="257">
        <v>2018</v>
      </c>
      <c r="R183" s="257">
        <v>2019</v>
      </c>
      <c r="S183" s="257">
        <v>2020</v>
      </c>
      <c r="T183" s="257">
        <v>2021</v>
      </c>
      <c r="U183" s="257">
        <v>2022</v>
      </c>
      <c r="V183" s="257">
        <v>2023</v>
      </c>
      <c r="W183" s="257">
        <v>2024</v>
      </c>
      <c r="X183" s="257">
        <v>2025</v>
      </c>
      <c r="Y183" s="2"/>
      <c r="Z183" s="120" t="s">
        <v>610</v>
      </c>
    </row>
    <row x14ac:dyDescent="0.25" r="184" customHeight="1" ht="13.5">
      <c r="A184" s="2"/>
      <c r="B184" s="3"/>
      <c r="C184" s="2"/>
      <c r="D184" s="123" t="s">
        <v>25</v>
      </c>
      <c r="E184" s="3"/>
      <c r="F184" s="3"/>
      <c r="G184" s="3"/>
      <c r="H184" s="3"/>
      <c r="I184" s="3"/>
      <c r="J184" s="124">
        <f>U184*Z184</f>
      </c>
      <c r="K184" s="491">
        <f>OCP_SalesProduct!N21+OCPMarketShares!AE228*OCPMarketShares!$E$12</f>
      </c>
      <c r="L184" s="491">
        <f>OCP_SalesProduct!O21+OCPMarketShares!AF228*OCPMarketShares!$E$12</f>
      </c>
      <c r="M184" s="491">
        <f>OCP_SalesProduct!P21+OCPMarketShares!AG228*OCPMarketShares!$E$12</f>
      </c>
      <c r="N184" s="124">
        <v>0.46</v>
      </c>
      <c r="O184" s="140" t="s">
        <v>25</v>
      </c>
      <c r="P184" s="3"/>
      <c r="Q184" s="3"/>
      <c r="R184" s="3"/>
      <c r="S184" s="3"/>
      <c r="T184" s="3"/>
      <c r="U184" s="124">
        <v>103.7</v>
      </c>
      <c r="V184" s="491">
        <f>K184/$Z$184</f>
      </c>
      <c r="W184" s="491">
        <f>L184/$Z$184</f>
      </c>
      <c r="X184" s="491">
        <f>M184/$Z$184</f>
      </c>
      <c r="Y184" s="2"/>
      <c r="Z184" s="124">
        <f>OCPMarketShares!E12</f>
      </c>
    </row>
    <row x14ac:dyDescent="0.25" r="185" customHeight="1" ht="13.5">
      <c r="A185" s="2"/>
      <c r="B185" s="3"/>
      <c r="C185" s="2"/>
      <c r="D185" s="123" t="s">
        <v>477</v>
      </c>
      <c r="E185" s="3"/>
      <c r="F185" s="3"/>
      <c r="G185" s="3"/>
      <c r="H185" s="3"/>
      <c r="I185" s="3"/>
      <c r="J185" s="124">
        <f>U185*Z185</f>
      </c>
      <c r="K185" s="491">
        <f>OCP_SalesProduct!K21</f>
      </c>
      <c r="L185" s="491">
        <f>OCP_SalesProduct!L21</f>
      </c>
      <c r="M185" s="491">
        <f>OCP_SalesProduct!M21</f>
      </c>
      <c r="N185" s="124">
        <v>0.46</v>
      </c>
      <c r="O185" s="140" t="s">
        <v>477</v>
      </c>
      <c r="P185" s="3"/>
      <c r="Q185" s="3"/>
      <c r="R185" s="3"/>
      <c r="S185" s="3"/>
      <c r="T185" s="3"/>
      <c r="U185" s="124">
        <v>0</v>
      </c>
      <c r="V185" s="491">
        <f>K185/$Z$185</f>
      </c>
      <c r="W185" s="491">
        <f>L185/$Z$185</f>
      </c>
      <c r="X185" s="491">
        <f>M185/$Z$185</f>
      </c>
      <c r="Y185" s="2"/>
      <c r="Z185" s="124">
        <f>OCPMarketShares!E11</f>
      </c>
    </row>
    <row x14ac:dyDescent="0.25" r="186" customHeight="1" ht="13.5">
      <c r="A186" s="2"/>
      <c r="B186" s="3"/>
      <c r="C186" s="2"/>
      <c r="D186" s="123" t="s">
        <v>466</v>
      </c>
      <c r="E186" s="3"/>
      <c r="F186" s="3"/>
      <c r="G186" s="3"/>
      <c r="H186" s="3"/>
      <c r="I186" s="3"/>
      <c r="J186" s="124">
        <f>U186*Z186</f>
      </c>
      <c r="K186" s="491">
        <f>OCP_SalesProduct!H21</f>
      </c>
      <c r="L186" s="491">
        <f>OCP_SalesProduct!I21</f>
      </c>
      <c r="M186" s="491">
        <f>OCP_SalesProduct!J21</f>
      </c>
      <c r="N186" s="124">
        <v>0.46</v>
      </c>
      <c r="O186" s="140" t="s">
        <v>466</v>
      </c>
      <c r="P186" s="3"/>
      <c r="Q186" s="3"/>
      <c r="R186" s="3"/>
      <c r="S186" s="3"/>
      <c r="T186" s="3"/>
      <c r="U186" s="124">
        <v>0</v>
      </c>
      <c r="V186" s="491">
        <f>K186/$Z$186</f>
      </c>
      <c r="W186" s="491">
        <f>L186/$Z$186</f>
      </c>
      <c r="X186" s="491">
        <f>M186/$Z$186</f>
      </c>
      <c r="Y186" s="2"/>
      <c r="Z186" s="124">
        <f>OCPMarketShares!E10</f>
      </c>
    </row>
    <row x14ac:dyDescent="0.25" r="187" customHeight="1" ht="13.5">
      <c r="A187" s="2"/>
      <c r="B187" s="3"/>
      <c r="C187" s="2"/>
      <c r="D187" s="123" t="s">
        <v>29</v>
      </c>
      <c r="E187" s="3"/>
      <c r="F187" s="3"/>
      <c r="G187" s="3"/>
      <c r="H187" s="3"/>
      <c r="I187" s="3"/>
      <c r="J187" s="124">
        <f>U187*Z187</f>
      </c>
      <c r="K187" s="491">
        <f>OCPMarketShares!AQ228*OCPMarketShares!$E$14+OCP_SalesProduct!E104*OCP_SalesProduct!$E$14</f>
      </c>
      <c r="L187" s="491">
        <f>OCPMarketShares!AR228*OCPMarketShares!$E$14+OCP_SalesProduct!F104*OCP_SalesProduct!$E$14</f>
      </c>
      <c r="M187" s="491">
        <f>OCPMarketShares!AS228*OCPMarketShares!$E$14+OCP_SalesProduct!G104*OCP_SalesProduct!$E$14</f>
      </c>
      <c r="N187" s="124">
        <f>OCPMarketShares!E14</f>
      </c>
      <c r="O187" s="140" t="s">
        <v>29</v>
      </c>
      <c r="P187" s="3"/>
      <c r="Q187" s="3"/>
      <c r="R187" s="3"/>
      <c r="S187" s="3"/>
      <c r="T187" s="3"/>
      <c r="U187" s="124">
        <v>43.4</v>
      </c>
      <c r="V187" s="491">
        <f>K187/$Z$187</f>
      </c>
      <c r="W187" s="491">
        <f>L187/$Z$187</f>
      </c>
      <c r="X187" s="491">
        <f>M187/$Z$187</f>
      </c>
      <c r="Y187" s="2"/>
      <c r="Z187" s="124">
        <f>OCPMarketShares!E14</f>
      </c>
    </row>
    <row x14ac:dyDescent="0.25" r="188" customHeight="1" ht="13.5">
      <c r="A188" s="2"/>
      <c r="B188" s="3"/>
      <c r="C188" s="2"/>
      <c r="D188" s="123" t="s">
        <v>461</v>
      </c>
      <c r="E188" s="3"/>
      <c r="F188" s="3"/>
      <c r="G188" s="3"/>
      <c r="H188" s="3"/>
      <c r="I188" s="3"/>
      <c r="J188" s="124">
        <f>U188*Z188</f>
      </c>
      <c r="K188" s="491">
        <f>OCP_SalesProduct!Q21</f>
      </c>
      <c r="L188" s="491">
        <f>OCP_SalesProduct!R21</f>
      </c>
      <c r="M188" s="491">
        <f>OCP_SalesProduct!S21</f>
      </c>
      <c r="N188" s="124">
        <f>OCPMarketShares!E14</f>
      </c>
      <c r="O188" s="140" t="s">
        <v>461</v>
      </c>
      <c r="P188" s="3"/>
      <c r="Q188" s="3"/>
      <c r="R188" s="3"/>
      <c r="S188" s="3"/>
      <c r="T188" s="3"/>
      <c r="U188" s="124">
        <v>24.9</v>
      </c>
      <c r="V188" s="491">
        <f>K188/$Z$188</f>
      </c>
      <c r="W188" s="491">
        <f>L188/$Z$188</f>
      </c>
      <c r="X188" s="491">
        <f>M188/$Z$188</f>
      </c>
      <c r="Y188" s="2"/>
      <c r="Z188" s="124">
        <f>OCPMarketShares!E13</f>
      </c>
    </row>
    <row x14ac:dyDescent="0.25" r="189" customHeight="1" ht="13.5">
      <c r="A189" s="2"/>
      <c r="B189" s="3"/>
      <c r="C189" s="2"/>
      <c r="D189" s="177" t="s">
        <v>336</v>
      </c>
      <c r="E189" s="181"/>
      <c r="F189" s="181"/>
      <c r="G189" s="181"/>
      <c r="H189" s="181"/>
      <c r="I189" s="181"/>
      <c r="J189" s="492">
        <f>SUM(J184:J188)</f>
      </c>
      <c r="K189" s="492">
        <f>SUM(K184:K188)</f>
      </c>
      <c r="L189" s="492">
        <f>SUM(L184:L188)</f>
      </c>
      <c r="M189" s="492">
        <f>SUM(M184:M188)</f>
      </c>
      <c r="N189" s="108"/>
      <c r="O189" s="179" t="s">
        <v>336</v>
      </c>
      <c r="P189" s="181"/>
      <c r="Q189" s="181"/>
      <c r="R189" s="181"/>
      <c r="S189" s="181"/>
      <c r="T189" s="181"/>
      <c r="U189" s="376">
        <f>SUM(U184:U188)</f>
      </c>
      <c r="V189" s="492">
        <f>SUM(V184:V188)</f>
      </c>
      <c r="W189" s="492">
        <f>SUM(W184:W188)</f>
      </c>
      <c r="X189" s="492">
        <f>SUM(X184:X188)</f>
      </c>
      <c r="Y189" s="2"/>
      <c r="Z189" s="108"/>
    </row>
    <row x14ac:dyDescent="0.25" r="190" customHeight="1" ht="13.5">
      <c r="A190" s="2"/>
      <c r="B190" s="3"/>
      <c r="C190" s="2"/>
      <c r="D190" s="123" t="s">
        <v>479</v>
      </c>
      <c r="E190" s="3"/>
      <c r="F190" s="3"/>
      <c r="G190" s="3"/>
      <c r="H190" s="3"/>
      <c r="I190" s="3"/>
      <c r="J190" s="3"/>
      <c r="K190" s="3"/>
      <c r="L190" s="3"/>
      <c r="M190" s="3"/>
      <c r="N190" s="108"/>
      <c r="O190" s="3"/>
      <c r="P190" s="3"/>
      <c r="Q190" s="3"/>
      <c r="R190" s="3"/>
      <c r="S190" s="3"/>
      <c r="T190" s="3"/>
      <c r="U190" s="3"/>
      <c r="V190" s="63">
        <f>OCP_SalesProduct!J93/V189</f>
      </c>
      <c r="W190" s="63">
        <f>OCP_SalesProduct!K93/W189</f>
      </c>
      <c r="X190" s="63">
        <f>OCP_SalesProduct!L93/X189</f>
      </c>
      <c r="Y190" s="2"/>
      <c r="Z190" s="108"/>
    </row>
    <row x14ac:dyDescent="0.25" r="191" customHeight="1" ht="18.75">
      <c r="A191" s="2"/>
      <c r="B191" s="3"/>
      <c r="C191" s="2"/>
      <c r="D191" s="107"/>
      <c r="E191" s="3"/>
      <c r="F191" s="3"/>
      <c r="G191" s="3"/>
      <c r="H191" s="3"/>
      <c r="I191" s="3"/>
      <c r="J191" s="3"/>
      <c r="K191" s="3"/>
      <c r="L191" s="3"/>
      <c r="M191" s="3"/>
      <c r="N191" s="108"/>
      <c r="O191" s="3"/>
      <c r="P191" s="3"/>
      <c r="Q191" s="3"/>
      <c r="R191" s="3"/>
      <c r="S191" s="3"/>
      <c r="T191" s="3"/>
      <c r="U191" s="3"/>
      <c r="V191" s="108"/>
      <c r="W191" s="108"/>
      <c r="X191" s="108"/>
      <c r="Y191" s="2"/>
      <c r="Z191" s="108"/>
    </row>
    <row x14ac:dyDescent="0.25" r="192" customHeight="1" ht="13.5">
      <c r="A192" s="2"/>
      <c r="B192" s="3"/>
      <c r="C192" s="2"/>
      <c r="D192" s="240" t="s">
        <v>542</v>
      </c>
      <c r="E192" s="3"/>
      <c r="F192" s="3"/>
      <c r="G192" s="3"/>
      <c r="H192" s="3"/>
      <c r="I192" s="3"/>
      <c r="J192" s="3"/>
      <c r="K192" s="3"/>
      <c r="L192" s="3"/>
      <c r="M192" s="3"/>
      <c r="N192" s="108"/>
      <c r="O192" s="279" t="s">
        <v>542</v>
      </c>
      <c r="P192" s="3"/>
      <c r="Q192" s="3"/>
      <c r="R192" s="3"/>
      <c r="S192" s="3"/>
      <c r="T192" s="3"/>
      <c r="U192" s="3"/>
      <c r="V192" s="108"/>
      <c r="W192" s="108"/>
      <c r="X192" s="108"/>
      <c r="Y192" s="2"/>
      <c r="Z192" s="108"/>
    </row>
    <row x14ac:dyDescent="0.25" r="193" customHeight="1" ht="13.5">
      <c r="A193" s="2"/>
      <c r="B193" s="3"/>
      <c r="C193" s="2"/>
      <c r="D193" s="241" t="s">
        <v>608</v>
      </c>
      <c r="E193" s="3"/>
      <c r="F193" s="3"/>
      <c r="G193" s="3"/>
      <c r="H193" s="3"/>
      <c r="I193" s="3"/>
      <c r="J193" s="3"/>
      <c r="K193" s="3"/>
      <c r="L193" s="3"/>
      <c r="M193" s="3"/>
      <c r="N193" s="108"/>
      <c r="O193" s="242" t="s">
        <v>609</v>
      </c>
      <c r="P193" s="3"/>
      <c r="Q193" s="3"/>
      <c r="R193" s="3"/>
      <c r="S193" s="3"/>
      <c r="T193" s="3"/>
      <c r="U193" s="3"/>
      <c r="V193" s="108"/>
      <c r="W193" s="108"/>
      <c r="X193" s="108"/>
      <c r="Y193" s="2"/>
      <c r="Z193" s="108"/>
    </row>
    <row x14ac:dyDescent="0.25" r="194" customHeight="1" ht="18.75">
      <c r="A194" s="2"/>
      <c r="B194" s="3"/>
      <c r="C194" s="2"/>
      <c r="D194" s="107"/>
      <c r="E194" s="3"/>
      <c r="F194" s="3"/>
      <c r="G194" s="3"/>
      <c r="H194" s="3"/>
      <c r="I194" s="3"/>
      <c r="J194" s="3"/>
      <c r="K194" s="3"/>
      <c r="L194" s="3"/>
      <c r="M194" s="3"/>
      <c r="N194" s="108"/>
      <c r="O194" s="3"/>
      <c r="P194" s="3"/>
      <c r="Q194" s="3"/>
      <c r="R194" s="3"/>
      <c r="S194" s="3"/>
      <c r="T194" s="3"/>
      <c r="U194" s="3"/>
      <c r="V194" s="108"/>
      <c r="W194" s="108"/>
      <c r="X194" s="108"/>
      <c r="Y194" s="2"/>
      <c r="Z194" s="108"/>
    </row>
    <row x14ac:dyDescent="0.25" r="195" customHeight="1" ht="13.5">
      <c r="A195" s="2"/>
      <c r="B195" s="3"/>
      <c r="C195" s="2"/>
      <c r="D195" s="246" t="s">
        <v>475</v>
      </c>
      <c r="E195" s="257">
        <v>2017</v>
      </c>
      <c r="F195" s="257">
        <v>2018</v>
      </c>
      <c r="G195" s="257">
        <v>2019</v>
      </c>
      <c r="H195" s="257">
        <v>2020</v>
      </c>
      <c r="I195" s="257">
        <v>2021</v>
      </c>
      <c r="J195" s="257">
        <v>2022</v>
      </c>
      <c r="K195" s="257">
        <v>2023</v>
      </c>
      <c r="L195" s="257">
        <v>2024</v>
      </c>
      <c r="M195" s="257">
        <v>2025</v>
      </c>
      <c r="N195" s="108"/>
      <c r="O195" s="280" t="s">
        <v>475</v>
      </c>
      <c r="P195" s="257">
        <v>2017</v>
      </c>
      <c r="Q195" s="257">
        <v>2018</v>
      </c>
      <c r="R195" s="257">
        <v>2019</v>
      </c>
      <c r="S195" s="257">
        <v>2020</v>
      </c>
      <c r="T195" s="257">
        <v>2021</v>
      </c>
      <c r="U195" s="257">
        <v>2022</v>
      </c>
      <c r="V195" s="257">
        <v>2023</v>
      </c>
      <c r="W195" s="257">
        <v>2024</v>
      </c>
      <c r="X195" s="257">
        <v>2025</v>
      </c>
      <c r="Y195" s="2"/>
      <c r="Z195" s="108"/>
    </row>
    <row x14ac:dyDescent="0.25" r="196" customHeight="1" ht="13.5">
      <c r="A196" s="2"/>
      <c r="B196" s="3"/>
      <c r="C196" s="2"/>
      <c r="D196" s="123" t="s">
        <v>25</v>
      </c>
      <c r="E196" s="3"/>
      <c r="F196" s="3"/>
      <c r="G196" s="3"/>
      <c r="H196" s="3"/>
      <c r="I196" s="3"/>
      <c r="J196" s="124">
        <f>J184</f>
      </c>
      <c r="K196" s="491">
        <f>OCP_SalesProduct!N29+OCPMarketShares!AE255*OCPMarketShares!$E$12</f>
      </c>
      <c r="L196" s="491">
        <f>OCP_SalesProduct!O29+OCPMarketShares!AF255*OCPMarketShares!$E$12</f>
      </c>
      <c r="M196" s="491">
        <f>OCP_SalesProduct!P29+OCPMarketShares!AG255*OCPMarketShares!$E$12</f>
      </c>
      <c r="N196" s="124">
        <v>0.46</v>
      </c>
      <c r="O196" s="140" t="s">
        <v>25</v>
      </c>
      <c r="P196" s="3"/>
      <c r="Q196" s="3"/>
      <c r="R196" s="3"/>
      <c r="S196" s="3"/>
      <c r="T196" s="3"/>
      <c r="U196" s="124">
        <f>U184</f>
      </c>
      <c r="V196" s="491">
        <f>V184</f>
      </c>
      <c r="W196" s="491">
        <f>L196/$Z$184</f>
      </c>
      <c r="X196" s="491">
        <f>M196/$Z$184</f>
      </c>
      <c r="Y196" s="2"/>
      <c r="Z196" s="108"/>
    </row>
    <row x14ac:dyDescent="0.25" r="197" customHeight="1" ht="13.5">
      <c r="A197" s="2"/>
      <c r="B197" s="3"/>
      <c r="C197" s="2"/>
      <c r="D197" s="123" t="s">
        <v>477</v>
      </c>
      <c r="E197" s="3"/>
      <c r="F197" s="3"/>
      <c r="G197" s="3"/>
      <c r="H197" s="3"/>
      <c r="I197" s="3"/>
      <c r="J197" s="124">
        <f>J185</f>
      </c>
      <c r="K197" s="491">
        <f>OCP_SalesProduct!K29</f>
      </c>
      <c r="L197" s="491">
        <f>OCP_SalesProduct!L29</f>
      </c>
      <c r="M197" s="491">
        <f>OCP_SalesProduct!M29</f>
      </c>
      <c r="N197" s="124">
        <v>0.46</v>
      </c>
      <c r="O197" s="140" t="s">
        <v>477</v>
      </c>
      <c r="P197" s="3"/>
      <c r="Q197" s="3"/>
      <c r="R197" s="3"/>
      <c r="S197" s="3"/>
      <c r="T197" s="3"/>
      <c r="U197" s="124">
        <f>U185</f>
      </c>
      <c r="V197" s="491">
        <f>V185</f>
      </c>
      <c r="W197" s="491">
        <f>L197/$Z$185</f>
      </c>
      <c r="X197" s="491">
        <f>M197/$Z$185</f>
      </c>
      <c r="Y197" s="2"/>
      <c r="Z197" s="108"/>
    </row>
    <row x14ac:dyDescent="0.25" r="198" customHeight="1" ht="13.5">
      <c r="A198" s="2"/>
      <c r="B198" s="3"/>
      <c r="C198" s="2"/>
      <c r="D198" s="123" t="s">
        <v>466</v>
      </c>
      <c r="E198" s="3"/>
      <c r="F198" s="3"/>
      <c r="G198" s="3"/>
      <c r="H198" s="3"/>
      <c r="I198" s="3"/>
      <c r="J198" s="124">
        <f>J186</f>
      </c>
      <c r="K198" s="491">
        <f>OCP_SalesProduct!H29</f>
      </c>
      <c r="L198" s="491">
        <f>OCP_SalesProduct!I29</f>
      </c>
      <c r="M198" s="491">
        <f>OCP_SalesProduct!J29</f>
      </c>
      <c r="N198" s="124">
        <v>0.46</v>
      </c>
      <c r="O198" s="140" t="s">
        <v>466</v>
      </c>
      <c r="P198" s="3"/>
      <c r="Q198" s="3"/>
      <c r="R198" s="3"/>
      <c r="S198" s="3"/>
      <c r="T198" s="3"/>
      <c r="U198" s="124">
        <f>U186</f>
      </c>
      <c r="V198" s="491">
        <f>V186</f>
      </c>
      <c r="W198" s="491">
        <f>L198/$Z$186</f>
      </c>
      <c r="X198" s="491">
        <f>M198/$Z$186</f>
      </c>
      <c r="Y198" s="2"/>
      <c r="Z198" s="108"/>
    </row>
    <row x14ac:dyDescent="0.25" r="199" customHeight="1" ht="13.5">
      <c r="A199" s="2"/>
      <c r="B199" s="3"/>
      <c r="C199" s="2"/>
      <c r="D199" s="123" t="s">
        <v>29</v>
      </c>
      <c r="E199" s="3"/>
      <c r="F199" s="3"/>
      <c r="G199" s="3"/>
      <c r="H199" s="3"/>
      <c r="I199" s="3"/>
      <c r="J199" s="124">
        <f>J187</f>
      </c>
      <c r="K199" s="491">
        <f>OCPMarketShares!AQ255*OCPMarketShares!$E$14+OCP_SalesProduct!T21</f>
      </c>
      <c r="L199" s="491">
        <f>OCPMarketShares!AR255*OCPMarketShares!$E$14+OCP_SalesProduct!U21</f>
      </c>
      <c r="M199" s="491">
        <f>OCPMarketShares!AS255*OCPMarketShares!$E$14+OCP_SalesProduct!V21</f>
      </c>
      <c r="N199" s="124">
        <v>0.26</v>
      </c>
      <c r="O199" s="140" t="s">
        <v>29</v>
      </c>
      <c r="P199" s="3"/>
      <c r="Q199" s="3"/>
      <c r="R199" s="3"/>
      <c r="S199" s="3"/>
      <c r="T199" s="3"/>
      <c r="U199" s="124">
        <f>U187</f>
      </c>
      <c r="V199" s="491">
        <f>V187</f>
      </c>
      <c r="W199" s="491">
        <f>L199/$Z$187</f>
      </c>
      <c r="X199" s="491">
        <f>M199/$Z$187</f>
      </c>
      <c r="Y199" s="2"/>
      <c r="Z199" s="108"/>
    </row>
    <row x14ac:dyDescent="0.25" r="200" customHeight="1" ht="13.5">
      <c r="A200" s="2"/>
      <c r="B200" s="3"/>
      <c r="C200" s="2"/>
      <c r="D200" s="123" t="s">
        <v>461</v>
      </c>
      <c r="E200" s="3"/>
      <c r="F200" s="3"/>
      <c r="G200" s="3"/>
      <c r="H200" s="3"/>
      <c r="I200" s="3"/>
      <c r="J200" s="124">
        <f>J188</f>
      </c>
      <c r="K200" s="491">
        <f>OCP_SalesProduct!Q29</f>
      </c>
      <c r="L200" s="491">
        <f>OCP_SalesProduct!R29</f>
      </c>
      <c r="M200" s="491">
        <f>OCP_SalesProduct!S29</f>
      </c>
      <c r="N200" s="124">
        <v>0.26</v>
      </c>
      <c r="O200" s="140" t="s">
        <v>461</v>
      </c>
      <c r="P200" s="3"/>
      <c r="Q200" s="3"/>
      <c r="R200" s="3"/>
      <c r="S200" s="3"/>
      <c r="T200" s="3"/>
      <c r="U200" s="124">
        <f>U188</f>
      </c>
      <c r="V200" s="491">
        <f>V188</f>
      </c>
      <c r="W200" s="491">
        <f>L200/$Z$188</f>
      </c>
      <c r="X200" s="491">
        <f>M200/$Z$188</f>
      </c>
      <c r="Y200" s="2"/>
      <c r="Z200" s="108"/>
    </row>
    <row x14ac:dyDescent="0.25" r="201" customHeight="1" ht="13.5">
      <c r="A201" s="2"/>
      <c r="B201" s="3"/>
      <c r="C201" s="2"/>
      <c r="D201" s="177" t="s">
        <v>336</v>
      </c>
      <c r="E201" s="181"/>
      <c r="F201" s="181"/>
      <c r="G201" s="181"/>
      <c r="H201" s="181"/>
      <c r="I201" s="181"/>
      <c r="J201" s="492">
        <f>J189</f>
      </c>
      <c r="K201" s="492">
        <f>SUM(K196:K200)</f>
      </c>
      <c r="L201" s="492">
        <f>SUM(L196:L200)</f>
      </c>
      <c r="M201" s="492">
        <f>SUM(M196:M200)</f>
      </c>
      <c r="N201" s="108"/>
      <c r="O201" s="179" t="s">
        <v>336</v>
      </c>
      <c r="P201" s="181"/>
      <c r="Q201" s="181"/>
      <c r="R201" s="181"/>
      <c r="S201" s="181"/>
      <c r="T201" s="181"/>
      <c r="U201" s="492">
        <f>SUM(U196:U200)</f>
      </c>
      <c r="V201" s="492">
        <f>SUM(V196:V200)</f>
      </c>
      <c r="W201" s="492">
        <f>SUM(W196:W200)</f>
      </c>
      <c r="X201" s="492">
        <f>SUM(X196:X200)</f>
      </c>
      <c r="Y201" s="2"/>
      <c r="Z201" s="108"/>
    </row>
    <row x14ac:dyDescent="0.25" r="202" customHeight="1" ht="13.5">
      <c r="A202" s="2"/>
      <c r="B202" s="3"/>
      <c r="C202" s="2"/>
      <c r="D202" s="123" t="s">
        <v>479</v>
      </c>
      <c r="E202" s="3"/>
      <c r="F202" s="3"/>
      <c r="G202" s="3"/>
      <c r="H202" s="3"/>
      <c r="I202" s="3"/>
      <c r="J202" s="3"/>
      <c r="K202" s="3"/>
      <c r="L202" s="3"/>
      <c r="M202" s="3"/>
      <c r="N202" s="108"/>
      <c r="O202" s="3"/>
      <c r="P202" s="3"/>
      <c r="Q202" s="3"/>
      <c r="R202" s="3"/>
      <c r="S202" s="3"/>
      <c r="T202" s="3"/>
      <c r="U202" s="3"/>
      <c r="V202" s="124">
        <f>OCP_SalesProduct!J105/V201</f>
      </c>
      <c r="W202" s="124">
        <f>OCP_SalesProduct!K105/W201</f>
      </c>
      <c r="X202" s="124">
        <f>OCP_SalesProduct!L105/X201</f>
      </c>
      <c r="Y202" s="2"/>
      <c r="Z202" s="108"/>
    </row>
  </sheetData>
  <mergeCells count="3">
    <mergeCell ref="H7:I7"/>
    <mergeCell ref="E70:I70"/>
    <mergeCell ref="J134:M1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E257"/>
  <sheetViews>
    <sheetView workbookViewId="0"/>
  </sheetViews>
  <sheetFormatPr defaultRowHeight="15" x14ac:dyDescent="0.25"/>
  <cols>
    <col min="1" max="1" style="100" width="1.719285714285714" customWidth="1" bestFit="1"/>
    <col min="2" max="2" style="101" width="2.7192857142857143" customWidth="1" bestFit="1"/>
    <col min="3" max="3" style="100" width="2.005" customWidth="1" bestFit="1"/>
    <col min="4" max="4" style="100" width="53.71928571428572" customWidth="1" bestFit="1"/>
    <col min="5" max="5" style="101" width="19.14785714285714" customWidth="1" bestFit="1"/>
    <col min="6" max="6" style="101" width="26.14785714285714" customWidth="1" bestFit="1"/>
    <col min="7" max="7" style="101" width="14.147857142857141" customWidth="1" bestFit="1"/>
    <col min="8" max="8" style="101" width="14.147857142857141" customWidth="1" bestFit="1"/>
    <col min="9" max="9" style="101" width="14.147857142857141" customWidth="1" bestFit="1"/>
    <col min="10" max="10" style="101" width="14.147857142857141" customWidth="1" bestFit="1"/>
    <col min="11" max="11" style="101" width="14.147857142857141" customWidth="1" bestFit="1"/>
    <col min="12" max="12" style="101" width="14.147857142857141" customWidth="1" bestFit="1"/>
    <col min="13" max="13" style="101" width="14.147857142857141" customWidth="1" bestFit="1"/>
    <col min="14" max="14" style="100" width="9.290714285714287" customWidth="1" bestFit="1"/>
    <col min="15" max="15" style="101" width="22.576428571428572" customWidth="1" bestFit="1"/>
    <col min="16" max="16" style="101" width="22.576428571428572" customWidth="1" bestFit="1"/>
    <col min="17" max="17" style="101" width="22.576428571428572" customWidth="1" bestFit="1"/>
    <col min="18" max="18" style="101" width="22.576428571428572" customWidth="1" bestFit="1"/>
    <col min="19" max="19" style="101" width="22.576428571428572" customWidth="1" bestFit="1"/>
    <col min="20" max="20" style="101" width="22.576428571428572" customWidth="1" bestFit="1"/>
    <col min="21" max="21" style="101" width="22.576428571428572" customWidth="1" bestFit="1"/>
    <col min="22" max="22" style="101" width="22.576428571428572" customWidth="1" bestFit="1"/>
    <col min="23" max="23" style="101" width="22.576428571428572" customWidth="1" bestFit="1"/>
    <col min="24" max="24" style="101" width="22.576428571428572" customWidth="1" bestFit="1"/>
    <col min="25" max="25" style="101" width="22.576428571428572" customWidth="1" bestFit="1"/>
    <col min="26" max="26" style="101" width="22.576428571428572" customWidth="1" bestFit="1"/>
    <col min="27" max="27" style="101" width="22.576428571428572" customWidth="1" bestFit="1"/>
    <col min="28" max="28" style="101" width="22.576428571428572" customWidth="1" bestFit="1"/>
    <col min="29" max="29" style="101" width="22.576428571428572" customWidth="1" bestFit="1"/>
    <col min="30" max="30" style="100" width="22.576428571428572" customWidth="1" bestFit="1"/>
    <col min="31" max="31" style="101" width="22.576428571428572" customWidth="1" bestFit="1"/>
    <col min="32" max="32" style="101" width="22.576428571428572" customWidth="1" bestFit="1"/>
    <col min="33" max="33" style="101" width="22.290714285714284" customWidth="1" bestFit="1"/>
    <col min="34" max="34" style="101" width="42.005" customWidth="1" bestFit="1"/>
    <col min="35" max="35" style="101" width="29.433571428571426" customWidth="1" bestFit="1"/>
    <col min="36" max="36" style="101" width="11.719285714285713" customWidth="1" bestFit="1"/>
    <col min="37" max="37" style="101" width="9.290714285714287" customWidth="1" bestFit="1"/>
    <col min="38" max="38" style="101" width="9.290714285714287" customWidth="1" bestFit="1"/>
    <col min="39" max="39" style="101" width="9.290714285714287" customWidth="1" bestFit="1"/>
    <col min="40" max="40" style="101" width="9.290714285714287" customWidth="1" bestFit="1"/>
    <col min="41" max="41" style="101" width="9.290714285714287" customWidth="1" bestFit="1"/>
    <col min="42" max="42" style="101" width="9.290714285714287" customWidth="1" bestFit="1"/>
    <col min="43" max="43" style="101" width="9.290714285714287" customWidth="1" bestFit="1"/>
    <col min="44" max="44" style="101" width="9.290714285714287" customWidth="1" bestFit="1"/>
    <col min="45" max="45" style="101" width="9.290714285714287" customWidth="1" bestFit="1"/>
    <col min="46" max="46" style="100" width="9.290714285714287" customWidth="1" bestFit="1"/>
    <col min="47" max="47" style="100" width="9.290714285714287" customWidth="1" bestFit="1"/>
    <col min="48" max="48" style="100" width="9.290714285714287" customWidth="1" bestFit="1"/>
    <col min="49" max="49" style="100" width="9.290714285714287" customWidth="1" bestFit="1"/>
    <col min="50" max="50" style="100" width="9.290714285714287" customWidth="1" bestFit="1"/>
    <col min="51" max="51" style="100" width="9.290714285714287" customWidth="1" bestFit="1"/>
    <col min="52" max="52" style="100" width="9.290714285714287" customWidth="1" bestFit="1"/>
    <col min="53" max="53" style="100" width="11.005" customWidth="1" bestFit="1"/>
    <col min="54" max="54" style="100" width="13.576428571428572" customWidth="1" bestFit="1"/>
    <col min="55" max="55" style="100" width="13.576428571428572" customWidth="1" bestFit="1"/>
    <col min="56" max="56" style="100" width="13.576428571428572" customWidth="1" bestFit="1"/>
    <col min="57" max="57" style="100" width="13.576428571428572" customWidth="1" bestFit="1"/>
    <col min="58" max="58" style="100" width="13.576428571428572" customWidth="1" bestFit="1"/>
    <col min="59" max="59" style="100" width="13.576428571428572" customWidth="1" bestFit="1"/>
    <col min="60" max="60" style="100" width="13.576428571428572" customWidth="1" bestFit="1"/>
    <col min="61" max="61" style="100" width="13.576428571428572" customWidth="1" bestFit="1"/>
    <col min="62" max="62" style="100" width="13.576428571428572" customWidth="1" bestFit="1"/>
    <col min="63" max="63" style="100" width="13.576428571428572" customWidth="1" bestFit="1"/>
    <col min="64" max="64" style="100" width="13.576428571428572" customWidth="1" bestFit="1"/>
    <col min="65" max="65" style="100" width="13.576428571428572" customWidth="1" bestFit="1"/>
    <col min="66" max="66" style="100" width="13.576428571428572" customWidth="1" bestFit="1"/>
    <col min="67" max="67" style="100" width="13.576428571428572" customWidth="1" bestFit="1"/>
    <col min="68" max="68" style="100" width="13.576428571428572" customWidth="1" bestFit="1"/>
    <col min="69" max="69" style="100" width="13.576428571428572" customWidth="1" bestFit="1"/>
    <col min="70" max="70" style="100" width="13.576428571428572" customWidth="1" bestFit="1"/>
    <col min="71" max="71" style="100" width="13.576428571428572" customWidth="1" bestFit="1"/>
    <col min="72" max="72" style="100" width="13.576428571428572" customWidth="1" bestFit="1"/>
    <col min="73" max="73" style="100" width="13.576428571428572" customWidth="1" bestFit="1"/>
    <col min="74" max="74" style="100" width="13.576428571428572" customWidth="1" bestFit="1"/>
    <col min="75" max="75" style="100" width="13.576428571428572" customWidth="1" bestFit="1"/>
    <col min="76" max="76" style="100" width="13.576428571428572" customWidth="1" bestFit="1"/>
    <col min="77" max="77" style="100" width="13.576428571428572" customWidth="1" bestFit="1"/>
    <col min="78" max="78" style="100" width="13.576428571428572" customWidth="1" bestFit="1"/>
    <col min="79" max="79" style="100" width="13.576428571428572" customWidth="1" bestFit="1"/>
    <col min="80" max="80" style="100" width="13.576428571428572" customWidth="1" bestFit="1"/>
    <col min="81" max="81" style="100" width="13.576428571428572" customWidth="1" bestFit="1"/>
    <col min="82" max="82" style="100" width="13.576428571428572" customWidth="1" bestFit="1"/>
    <col min="83" max="83" style="100" width="13.576428571428572" customWidth="1" bestFit="1"/>
  </cols>
  <sheetData>
    <row x14ac:dyDescent="0.25" r="1" customHeight="1" ht="13.5">
      <c r="A1" s="104"/>
      <c r="B1" s="186"/>
      <c r="C1" s="104"/>
      <c r="D1" s="105" t="s">
        <v>451</v>
      </c>
      <c r="E1" s="193"/>
      <c r="F1" s="3"/>
      <c r="G1" s="3"/>
      <c r="H1" s="3"/>
      <c r="I1" s="3"/>
      <c r="J1" s="3"/>
      <c r="K1" s="108"/>
      <c r="L1" s="108"/>
      <c r="M1" s="108"/>
      <c r="N1" s="2"/>
      <c r="O1" s="3"/>
      <c r="P1" s="3"/>
      <c r="Q1" s="3"/>
      <c r="R1" s="3"/>
      <c r="S1" s="3"/>
      <c r="T1" s="3"/>
      <c r="U1" s="3"/>
      <c r="V1" s="3"/>
      <c r="W1" s="3"/>
      <c r="X1" s="3"/>
      <c r="Y1" s="3"/>
      <c r="Z1" s="3"/>
      <c r="AA1" s="3"/>
      <c r="AB1" s="3"/>
      <c r="AC1" s="3"/>
      <c r="AD1" s="2"/>
      <c r="AE1" s="108"/>
      <c r="AF1" s="108"/>
      <c r="AG1" s="108"/>
      <c r="AH1" s="108"/>
      <c r="AI1" s="108"/>
      <c r="AJ1" s="108"/>
      <c r="AK1" s="108"/>
      <c r="AL1" s="108"/>
      <c r="AM1" s="108"/>
      <c r="AN1" s="108"/>
      <c r="AO1" s="108"/>
      <c r="AP1" s="108"/>
      <c r="AQ1" s="108"/>
      <c r="AR1" s="108"/>
      <c r="AS1" s="108"/>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row>
    <row x14ac:dyDescent="0.25" r="2" customHeight="1" ht="13.5">
      <c r="A2" s="104"/>
      <c r="B2" s="186"/>
      <c r="C2" s="104"/>
      <c r="D2" s="105"/>
      <c r="E2" s="188">
        <f>Title</f>
      </c>
      <c r="F2" s="3"/>
      <c r="G2" s="3"/>
      <c r="H2" s="3"/>
      <c r="I2" s="3"/>
      <c r="J2" s="3"/>
      <c r="K2" s="108"/>
      <c r="L2" s="108"/>
      <c r="M2" s="108"/>
      <c r="N2" s="2"/>
      <c r="O2" s="3"/>
      <c r="P2" s="3"/>
      <c r="Q2" s="3"/>
      <c r="R2" s="3"/>
      <c r="S2" s="3"/>
      <c r="T2" s="3"/>
      <c r="U2" s="3"/>
      <c r="V2" s="3"/>
      <c r="W2" s="3"/>
      <c r="X2" s="3"/>
      <c r="Y2" s="3"/>
      <c r="Z2" s="3"/>
      <c r="AA2" s="3"/>
      <c r="AB2" s="3"/>
      <c r="AC2" s="3"/>
      <c r="AD2" s="2"/>
      <c r="AE2" s="108"/>
      <c r="AF2" s="108"/>
      <c r="AG2" s="108"/>
      <c r="AH2" s="108"/>
      <c r="AI2" s="108"/>
      <c r="AJ2" s="108"/>
      <c r="AK2" s="108"/>
      <c r="AL2" s="108"/>
      <c r="AM2" s="108"/>
      <c r="AN2" s="108"/>
      <c r="AO2" s="108"/>
      <c r="AP2" s="108"/>
      <c r="AQ2" s="108"/>
      <c r="AR2" s="108"/>
      <c r="AS2" s="108"/>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row>
    <row x14ac:dyDescent="0.25" r="3" customHeight="1" ht="13.5">
      <c r="A3" s="104"/>
      <c r="B3" s="186"/>
      <c r="C3" s="104"/>
      <c r="D3" s="105"/>
      <c r="E3" s="191">
        <f>MID(CELL("filename",E3),FIND("]",CELL("filename",E3))+1,256)</f>
      </c>
      <c r="F3" s="3"/>
      <c r="G3" s="3"/>
      <c r="H3" s="3"/>
      <c r="I3" s="3"/>
      <c r="J3" s="3"/>
      <c r="K3" s="108"/>
      <c r="L3" s="108"/>
      <c r="M3" s="108"/>
      <c r="N3" s="2"/>
      <c r="O3" s="3"/>
      <c r="P3" s="3"/>
      <c r="Q3" s="3"/>
      <c r="R3" s="3"/>
      <c r="S3" s="3"/>
      <c r="T3" s="3"/>
      <c r="U3" s="3"/>
      <c r="V3" s="3"/>
      <c r="W3" s="3"/>
      <c r="X3" s="3"/>
      <c r="Y3" s="3"/>
      <c r="Z3" s="3"/>
      <c r="AA3" s="3"/>
      <c r="AB3" s="3"/>
      <c r="AC3" s="3"/>
      <c r="AD3" s="2"/>
      <c r="AE3" s="108"/>
      <c r="AF3" s="108"/>
      <c r="AG3" s="108"/>
      <c r="AH3" s="108"/>
      <c r="AI3" s="108"/>
      <c r="AJ3" s="108"/>
      <c r="AK3" s="108"/>
      <c r="AL3" s="108"/>
      <c r="AM3" s="108"/>
      <c r="AN3" s="108"/>
      <c r="AO3" s="108"/>
      <c r="AP3" s="108"/>
      <c r="AQ3" s="108"/>
      <c r="AR3" s="108"/>
      <c r="AS3" s="108"/>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row>
    <row x14ac:dyDescent="0.25" r="4" customHeight="1" ht="13.5">
      <c r="A4" s="104"/>
      <c r="B4" s="186"/>
      <c r="C4" s="104"/>
      <c r="D4" s="105"/>
      <c r="E4" s="193"/>
      <c r="F4" s="3"/>
      <c r="G4" s="3"/>
      <c r="H4" s="3"/>
      <c r="I4" s="3"/>
      <c r="J4" s="3"/>
      <c r="K4" s="108"/>
      <c r="L4" s="108"/>
      <c r="M4" s="108"/>
      <c r="N4" s="2"/>
      <c r="O4" s="3"/>
      <c r="P4" s="3"/>
      <c r="Q4" s="3"/>
      <c r="R4" s="3"/>
      <c r="S4" s="3"/>
      <c r="T4" s="3"/>
      <c r="U4" s="3"/>
      <c r="V4" s="3"/>
      <c r="W4" s="3"/>
      <c r="X4" s="3"/>
      <c r="Y4" s="3"/>
      <c r="Z4" s="3"/>
      <c r="AA4" s="3"/>
      <c r="AB4" s="3"/>
      <c r="AC4" s="3"/>
      <c r="AD4" s="2"/>
      <c r="AE4" s="108"/>
      <c r="AF4" s="108"/>
      <c r="AG4" s="108"/>
      <c r="AH4" s="108"/>
      <c r="AI4" s="108"/>
      <c r="AJ4" s="108"/>
      <c r="AK4" s="108"/>
      <c r="AL4" s="108"/>
      <c r="AM4" s="108"/>
      <c r="AN4" s="108"/>
      <c r="AO4" s="108"/>
      <c r="AP4" s="108"/>
      <c r="AQ4" s="108"/>
      <c r="AR4" s="108"/>
      <c r="AS4" s="108"/>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row>
    <row x14ac:dyDescent="0.25" r="5" customHeight="1" ht="13.5">
      <c r="A5" s="112"/>
      <c r="B5" s="194"/>
      <c r="C5" s="112"/>
      <c r="D5" s="113"/>
      <c r="E5" s="114"/>
      <c r="F5" s="3"/>
      <c r="G5" s="3"/>
      <c r="H5" s="3"/>
      <c r="I5" s="3"/>
      <c r="J5" s="3"/>
      <c r="K5" s="108"/>
      <c r="L5" s="108"/>
      <c r="M5" s="108"/>
      <c r="N5" s="2"/>
      <c r="O5" s="3"/>
      <c r="P5" s="3"/>
      <c r="Q5" s="3"/>
      <c r="R5" s="3"/>
      <c r="S5" s="3"/>
      <c r="T5" s="3"/>
      <c r="U5" s="3"/>
      <c r="V5" s="3"/>
      <c r="W5" s="3"/>
      <c r="X5" s="3"/>
      <c r="Y5" s="3"/>
      <c r="Z5" s="3"/>
      <c r="AA5" s="3"/>
      <c r="AB5" s="3"/>
      <c r="AC5" s="3"/>
      <c r="AD5" s="2"/>
      <c r="AE5" s="108"/>
      <c r="AF5" s="108"/>
      <c r="AG5" s="108"/>
      <c r="AH5" s="108"/>
      <c r="AI5" s="108"/>
      <c r="AJ5" s="108"/>
      <c r="AK5" s="108"/>
      <c r="AL5" s="108"/>
      <c r="AM5" s="108"/>
      <c r="AN5" s="108"/>
      <c r="AO5" s="108"/>
      <c r="AP5" s="108"/>
      <c r="AQ5" s="108"/>
      <c r="AR5" s="108"/>
      <c r="AS5" s="108"/>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row>
    <row x14ac:dyDescent="0.25" r="6" customHeight="1" ht="18.75">
      <c r="A6" s="2"/>
      <c r="B6" s="3"/>
      <c r="C6" s="2"/>
      <c r="D6" s="2"/>
      <c r="E6" s="3"/>
      <c r="F6" s="3"/>
      <c r="G6" s="3"/>
      <c r="H6" s="3"/>
      <c r="I6" s="3"/>
      <c r="J6" s="3"/>
      <c r="K6" s="108"/>
      <c r="L6" s="108"/>
      <c r="M6" s="108"/>
      <c r="N6" s="2"/>
      <c r="O6" s="3"/>
      <c r="P6" s="3"/>
      <c r="Q6" s="3"/>
      <c r="R6" s="3"/>
      <c r="S6" s="3"/>
      <c r="T6" s="3"/>
      <c r="U6" s="3"/>
      <c r="V6" s="3"/>
      <c r="W6" s="3"/>
      <c r="X6" s="3"/>
      <c r="Y6" s="3"/>
      <c r="Z6" s="3"/>
      <c r="AA6" s="3"/>
      <c r="AB6" s="3"/>
      <c r="AC6" s="3"/>
      <c r="AD6" s="2"/>
      <c r="AE6" s="108"/>
      <c r="AF6" s="108"/>
      <c r="AG6" s="108"/>
      <c r="AH6" s="108"/>
      <c r="AI6" s="108"/>
      <c r="AJ6" s="108"/>
      <c r="AK6" s="108"/>
      <c r="AL6" s="108"/>
      <c r="AM6" s="108"/>
      <c r="AN6" s="108"/>
      <c r="AO6" s="108"/>
      <c r="AP6" s="108"/>
      <c r="AQ6" s="108"/>
      <c r="AR6" s="108"/>
      <c r="AS6" s="108"/>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row>
    <row x14ac:dyDescent="0.25" r="7" customHeight="1" ht="13.5">
      <c r="A7" s="2"/>
      <c r="B7" s="198">
        <v>0</v>
      </c>
      <c r="C7" s="2"/>
      <c r="D7" s="275" t="s">
        <v>349</v>
      </c>
      <c r="E7" s="3"/>
      <c r="F7" s="3"/>
      <c r="G7" s="3"/>
      <c r="H7" s="3"/>
      <c r="I7" s="3"/>
      <c r="J7" s="3"/>
      <c r="K7" s="108"/>
      <c r="L7" s="108"/>
      <c r="M7" s="108"/>
      <c r="N7" s="2"/>
      <c r="O7" s="3"/>
      <c r="P7" s="3"/>
      <c r="Q7" s="3"/>
      <c r="R7" s="3"/>
      <c r="S7" s="3"/>
      <c r="T7" s="3"/>
      <c r="U7" s="3"/>
      <c r="V7" s="3"/>
      <c r="W7" s="3"/>
      <c r="X7" s="3"/>
      <c r="Y7" s="3"/>
      <c r="Z7" s="3"/>
      <c r="AA7" s="3"/>
      <c r="AB7" s="3"/>
      <c r="AC7" s="3"/>
      <c r="AD7" s="2"/>
      <c r="AE7" s="108"/>
      <c r="AF7" s="108"/>
      <c r="AG7" s="108"/>
      <c r="AH7" s="108"/>
      <c r="AI7" s="108"/>
      <c r="AJ7" s="108"/>
      <c r="AK7" s="108"/>
      <c r="AL7" s="108"/>
      <c r="AM7" s="108"/>
      <c r="AN7" s="108"/>
      <c r="AO7" s="108"/>
      <c r="AP7" s="108"/>
      <c r="AQ7" s="108"/>
      <c r="AR7" s="108"/>
      <c r="AS7" s="108"/>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row>
    <row x14ac:dyDescent="0.25" r="8" customHeight="1" ht="13.5">
      <c r="A8" s="2"/>
      <c r="B8" s="200"/>
      <c r="C8" s="2"/>
      <c r="D8" s="276"/>
      <c r="E8" s="3"/>
      <c r="F8" s="3"/>
      <c r="G8" s="3"/>
      <c r="H8" s="3"/>
      <c r="I8" s="3"/>
      <c r="J8" s="3"/>
      <c r="K8" s="108"/>
      <c r="L8" s="108"/>
      <c r="M8" s="108"/>
      <c r="N8" s="2"/>
      <c r="O8" s="3"/>
      <c r="P8" s="3"/>
      <c r="Q8" s="3"/>
      <c r="R8" s="3"/>
      <c r="S8" s="3"/>
      <c r="T8" s="3"/>
      <c r="U8" s="3"/>
      <c r="V8" s="3"/>
      <c r="W8" s="3"/>
      <c r="X8" s="3"/>
      <c r="Y8" s="3"/>
      <c r="Z8" s="3"/>
      <c r="AA8" s="3"/>
      <c r="AB8" s="3"/>
      <c r="AC8" s="3"/>
      <c r="AD8" s="2"/>
      <c r="AE8" s="108"/>
      <c r="AF8" s="108"/>
      <c r="AG8" s="108"/>
      <c r="AH8" s="108"/>
      <c r="AI8" s="108"/>
      <c r="AJ8" s="108"/>
      <c r="AK8" s="108"/>
      <c r="AL8" s="108"/>
      <c r="AM8" s="108"/>
      <c r="AN8" s="108"/>
      <c r="AO8" s="108"/>
      <c r="AP8" s="108"/>
      <c r="AQ8" s="108"/>
      <c r="AR8" s="108"/>
      <c r="AS8" s="108"/>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row>
    <row x14ac:dyDescent="0.25" r="9" customHeight="1" ht="13.5">
      <c r="A9" s="2"/>
      <c r="B9" s="200"/>
      <c r="C9" s="2"/>
      <c r="D9" s="356" t="s">
        <v>465</v>
      </c>
      <c r="E9" s="3"/>
      <c r="F9" s="3"/>
      <c r="G9" s="3"/>
      <c r="H9" s="3"/>
      <c r="I9" s="3"/>
      <c r="J9" s="3"/>
      <c r="K9" s="108"/>
      <c r="L9" s="108"/>
      <c r="M9" s="108"/>
      <c r="N9" s="2"/>
      <c r="O9" s="3"/>
      <c r="P9" s="3"/>
      <c r="Q9" s="3"/>
      <c r="R9" s="3"/>
      <c r="S9" s="3"/>
      <c r="T9" s="3"/>
      <c r="U9" s="3"/>
      <c r="V9" s="3"/>
      <c r="W9" s="3"/>
      <c r="X9" s="3"/>
      <c r="Y9" s="3"/>
      <c r="Z9" s="3"/>
      <c r="AA9" s="3"/>
      <c r="AB9" s="3"/>
      <c r="AC9" s="3"/>
      <c r="AD9" s="2"/>
      <c r="AE9" s="108"/>
      <c r="AF9" s="108"/>
      <c r="AG9" s="108"/>
      <c r="AH9" s="108"/>
      <c r="AI9" s="108"/>
      <c r="AJ9" s="108"/>
      <c r="AK9" s="108"/>
      <c r="AL9" s="108"/>
      <c r="AM9" s="108"/>
      <c r="AN9" s="108"/>
      <c r="AO9" s="108"/>
      <c r="AP9" s="108"/>
      <c r="AQ9" s="108"/>
      <c r="AR9" s="108"/>
      <c r="AS9" s="108"/>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row>
    <row x14ac:dyDescent="0.25" r="10" customHeight="1" ht="13.5">
      <c r="A10" s="2"/>
      <c r="B10" s="200"/>
      <c r="C10" s="2"/>
      <c r="D10" s="277" t="s">
        <v>466</v>
      </c>
      <c r="E10" s="278">
        <v>0.46</v>
      </c>
      <c r="F10" s="3"/>
      <c r="G10" s="3"/>
      <c r="H10" s="3"/>
      <c r="I10" s="3"/>
      <c r="J10" s="3"/>
      <c r="K10" s="108"/>
      <c r="L10" s="108"/>
      <c r="M10" s="108"/>
      <c r="N10" s="2"/>
      <c r="O10" s="3"/>
      <c r="P10" s="3"/>
      <c r="Q10" s="3"/>
      <c r="R10" s="3"/>
      <c r="S10" s="3"/>
      <c r="T10" s="3"/>
      <c r="U10" s="3"/>
      <c r="V10" s="3"/>
      <c r="W10" s="3"/>
      <c r="X10" s="3"/>
      <c r="Y10" s="3"/>
      <c r="Z10" s="3"/>
      <c r="AA10" s="3"/>
      <c r="AB10" s="3"/>
      <c r="AC10" s="3"/>
      <c r="AD10" s="2"/>
      <c r="AE10" s="108"/>
      <c r="AF10" s="108"/>
      <c r="AG10" s="108"/>
      <c r="AH10" s="108"/>
      <c r="AI10" s="108"/>
      <c r="AJ10" s="108"/>
      <c r="AK10" s="108"/>
      <c r="AL10" s="108"/>
      <c r="AM10" s="108"/>
      <c r="AN10" s="108"/>
      <c r="AO10" s="108"/>
      <c r="AP10" s="108"/>
      <c r="AQ10" s="108"/>
      <c r="AR10" s="108"/>
      <c r="AS10" s="108"/>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row>
    <row x14ac:dyDescent="0.25" r="11" customHeight="1" ht="13.5">
      <c r="A11" s="2"/>
      <c r="B11" s="200"/>
      <c r="C11" s="2"/>
      <c r="D11" s="277" t="s">
        <v>443</v>
      </c>
      <c r="E11" s="278">
        <v>0.46</v>
      </c>
      <c r="F11" s="3"/>
      <c r="G11" s="3"/>
      <c r="H11" s="3"/>
      <c r="I11" s="3"/>
      <c r="J11" s="3"/>
      <c r="K11" s="108"/>
      <c r="L11" s="108"/>
      <c r="M11" s="108"/>
      <c r="N11" s="2"/>
      <c r="O11" s="3"/>
      <c r="P11" s="3"/>
      <c r="Q11" s="3"/>
      <c r="R11" s="3"/>
      <c r="S11" s="3"/>
      <c r="T11" s="3"/>
      <c r="U11" s="3"/>
      <c r="V11" s="3"/>
      <c r="W11" s="3"/>
      <c r="X11" s="3"/>
      <c r="Y11" s="3"/>
      <c r="Z11" s="3"/>
      <c r="AA11" s="3"/>
      <c r="AB11" s="3"/>
      <c r="AC11" s="3"/>
      <c r="AD11" s="2"/>
      <c r="AE11" s="108"/>
      <c r="AF11" s="108"/>
      <c r="AG11" s="108"/>
      <c r="AH11" s="108"/>
      <c r="AI11" s="108"/>
      <c r="AJ11" s="108"/>
      <c r="AK11" s="108"/>
      <c r="AL11" s="108"/>
      <c r="AM11" s="108"/>
      <c r="AN11" s="108"/>
      <c r="AO11" s="108"/>
      <c r="AP11" s="108"/>
      <c r="AQ11" s="108"/>
      <c r="AR11" s="108"/>
      <c r="AS11" s="108"/>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row>
    <row x14ac:dyDescent="0.25" r="12" customHeight="1" ht="13.5">
      <c r="A12" s="2"/>
      <c r="B12" s="200"/>
      <c r="C12" s="2"/>
      <c r="D12" s="277" t="s">
        <v>25</v>
      </c>
      <c r="E12" s="278">
        <v>0.46</v>
      </c>
      <c r="F12" s="3"/>
      <c r="G12" s="3"/>
      <c r="H12" s="3"/>
      <c r="I12" s="3"/>
      <c r="J12" s="3"/>
      <c r="K12" s="108"/>
      <c r="L12" s="108"/>
      <c r="M12" s="108"/>
      <c r="N12" s="2"/>
      <c r="O12" s="3"/>
      <c r="P12" s="3"/>
      <c r="Q12" s="3"/>
      <c r="R12" s="3"/>
      <c r="S12" s="3"/>
      <c r="T12" s="3"/>
      <c r="U12" s="3"/>
      <c r="V12" s="3"/>
      <c r="W12" s="3"/>
      <c r="X12" s="3"/>
      <c r="Y12" s="3"/>
      <c r="Z12" s="3"/>
      <c r="AA12" s="3"/>
      <c r="AB12" s="3"/>
      <c r="AC12" s="3"/>
      <c r="AD12" s="2"/>
      <c r="AE12" s="108"/>
      <c r="AF12" s="108"/>
      <c r="AG12" s="108"/>
      <c r="AH12" s="108"/>
      <c r="AI12" s="108"/>
      <c r="AJ12" s="108"/>
      <c r="AK12" s="108"/>
      <c r="AL12" s="108"/>
      <c r="AM12" s="108"/>
      <c r="AN12" s="108"/>
      <c r="AO12" s="108"/>
      <c r="AP12" s="108"/>
      <c r="AQ12" s="108"/>
      <c r="AR12" s="108"/>
      <c r="AS12" s="108"/>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row>
    <row x14ac:dyDescent="0.25" r="13" customHeight="1" ht="13.5">
      <c r="A13" s="2"/>
      <c r="B13" s="200"/>
      <c r="C13" s="2"/>
      <c r="D13" s="277" t="s">
        <v>444</v>
      </c>
      <c r="E13" s="278">
        <f>(38+45)/2/100</f>
      </c>
      <c r="F13" s="3"/>
      <c r="G13" s="3"/>
      <c r="H13" s="3"/>
      <c r="I13" s="3"/>
      <c r="J13" s="3"/>
      <c r="K13" s="108"/>
      <c r="L13" s="108"/>
      <c r="M13" s="108"/>
      <c r="N13" s="2"/>
      <c r="O13" s="3"/>
      <c r="P13" s="3"/>
      <c r="Q13" s="3"/>
      <c r="R13" s="3"/>
      <c r="S13" s="3"/>
      <c r="T13" s="3"/>
      <c r="U13" s="3"/>
      <c r="V13" s="3"/>
      <c r="W13" s="3"/>
      <c r="X13" s="3"/>
      <c r="Y13" s="3"/>
      <c r="Z13" s="3"/>
      <c r="AA13" s="3"/>
      <c r="AB13" s="3"/>
      <c r="AC13" s="3"/>
      <c r="AD13" s="2"/>
      <c r="AE13" s="108"/>
      <c r="AF13" s="108"/>
      <c r="AG13" s="108"/>
      <c r="AH13" s="108"/>
      <c r="AI13" s="108"/>
      <c r="AJ13" s="108"/>
      <c r="AK13" s="108"/>
      <c r="AL13" s="108"/>
      <c r="AM13" s="108"/>
      <c r="AN13" s="108"/>
      <c r="AO13" s="108"/>
      <c r="AP13" s="108"/>
      <c r="AQ13" s="108"/>
      <c r="AR13" s="108"/>
      <c r="AS13" s="108"/>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row>
    <row x14ac:dyDescent="0.25" r="14" customHeight="1" ht="13.5">
      <c r="A14" s="2"/>
      <c r="B14" s="200"/>
      <c r="C14" s="2"/>
      <c r="D14" s="277" t="s">
        <v>29</v>
      </c>
      <c r="E14" s="278">
        <v>0.2</v>
      </c>
      <c r="F14" s="3"/>
      <c r="G14" s="3"/>
      <c r="H14" s="3"/>
      <c r="I14" s="3"/>
      <c r="J14" s="3"/>
      <c r="K14" s="108"/>
      <c r="L14" s="108"/>
      <c r="M14" s="108"/>
      <c r="N14" s="2"/>
      <c r="O14" s="3"/>
      <c r="P14" s="3"/>
      <c r="Q14" s="3"/>
      <c r="R14" s="3"/>
      <c r="S14" s="3"/>
      <c r="T14" s="3"/>
      <c r="U14" s="3"/>
      <c r="V14" s="3"/>
      <c r="W14" s="3"/>
      <c r="X14" s="3"/>
      <c r="Y14" s="3"/>
      <c r="Z14" s="3"/>
      <c r="AA14" s="3"/>
      <c r="AB14" s="3"/>
      <c r="AC14" s="3"/>
      <c r="AD14" s="2"/>
      <c r="AE14" s="108"/>
      <c r="AF14" s="108"/>
      <c r="AG14" s="108"/>
      <c r="AH14" s="108"/>
      <c r="AI14" s="108"/>
      <c r="AJ14" s="108"/>
      <c r="AK14" s="108"/>
      <c r="AL14" s="108"/>
      <c r="AM14" s="108"/>
      <c r="AN14" s="108"/>
      <c r="AO14" s="108"/>
      <c r="AP14" s="108"/>
      <c r="AQ14" s="108"/>
      <c r="AR14" s="108"/>
      <c r="AS14" s="108"/>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row>
    <row x14ac:dyDescent="0.25" r="15" customHeight="1" ht="13.5">
      <c r="A15" s="2"/>
      <c r="B15" s="200"/>
      <c r="C15" s="2"/>
      <c r="D15" s="276"/>
      <c r="E15" s="3"/>
      <c r="F15" s="3"/>
      <c r="G15" s="3"/>
      <c r="H15" s="3"/>
      <c r="I15" s="3"/>
      <c r="J15" s="3"/>
      <c r="K15" s="108"/>
      <c r="L15" s="108"/>
      <c r="M15" s="108"/>
      <c r="N15" s="124"/>
      <c r="O15" s="124"/>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08"/>
      <c r="AM15" s="108"/>
      <c r="AN15" s="108"/>
      <c r="AO15" s="108"/>
      <c r="AP15" s="108"/>
      <c r="AQ15" s="108"/>
      <c r="AR15" s="108"/>
      <c r="AS15" s="108"/>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row>
    <row x14ac:dyDescent="0.25" r="16" customHeight="1" ht="13.5">
      <c r="A16" s="2"/>
      <c r="B16" s="3"/>
      <c r="C16" s="2"/>
      <c r="D16" s="240" t="s">
        <v>467</v>
      </c>
      <c r="E16" s="3"/>
      <c r="F16" s="3"/>
      <c r="G16" s="3"/>
      <c r="H16" s="3"/>
      <c r="I16" s="3"/>
      <c r="J16" s="3"/>
      <c r="K16" s="108"/>
      <c r="L16" s="108"/>
      <c r="M16" s="108"/>
      <c r="N16" s="124"/>
      <c r="O16" s="308"/>
      <c r="P16" s="124"/>
      <c r="Q16" s="124"/>
      <c r="R16" s="124"/>
      <c r="S16" s="124"/>
      <c r="T16" s="124"/>
      <c r="U16" s="124"/>
      <c r="V16" s="124"/>
      <c r="W16" s="124"/>
      <c r="X16" s="124"/>
      <c r="Y16" s="124"/>
      <c r="Z16" s="124"/>
      <c r="AA16" s="124"/>
      <c r="AB16" s="124"/>
      <c r="AC16" s="124"/>
      <c r="AD16" s="124"/>
      <c r="AE16" s="308"/>
      <c r="AF16" s="124"/>
      <c r="AG16" s="124"/>
      <c r="AH16" s="124"/>
      <c r="AI16" s="124"/>
      <c r="AJ16" s="124"/>
      <c r="AK16" s="124"/>
      <c r="AL16" s="124"/>
      <c r="AM16" s="124"/>
      <c r="AN16" s="108"/>
      <c r="AO16" s="108"/>
      <c r="AP16" s="108"/>
      <c r="AQ16" s="108"/>
      <c r="AR16" s="108"/>
      <c r="AS16" s="108"/>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row>
    <row x14ac:dyDescent="0.25" r="17" customHeight="1" ht="13.5">
      <c r="A17" s="2"/>
      <c r="B17" s="3"/>
      <c r="C17" s="2"/>
      <c r="D17" s="241" t="s">
        <v>468</v>
      </c>
      <c r="E17" s="3"/>
      <c r="F17" s="3"/>
      <c r="G17" s="3"/>
      <c r="H17" s="3"/>
      <c r="I17" s="3"/>
      <c r="J17" s="3"/>
      <c r="K17" s="108"/>
      <c r="L17" s="108"/>
      <c r="M17" s="108"/>
      <c r="N17" s="124"/>
      <c r="O17" s="347"/>
      <c r="P17" s="124"/>
      <c r="Q17" s="124"/>
      <c r="R17" s="124"/>
      <c r="S17" s="124"/>
      <c r="T17" s="124"/>
      <c r="U17" s="124"/>
      <c r="V17" s="124"/>
      <c r="W17" s="124"/>
      <c r="X17" s="124"/>
      <c r="Y17" s="124"/>
      <c r="Z17" s="124"/>
      <c r="AA17" s="124"/>
      <c r="AB17" s="124"/>
      <c r="AC17" s="124"/>
      <c r="AD17" s="124"/>
      <c r="AE17" s="347"/>
      <c r="AF17" s="124"/>
      <c r="AG17" s="124"/>
      <c r="AH17" s="124"/>
      <c r="AI17" s="124"/>
      <c r="AJ17" s="124"/>
      <c r="AK17" s="124"/>
      <c r="AL17" s="124"/>
      <c r="AM17" s="124"/>
      <c r="AN17" s="108"/>
      <c r="AO17" s="108"/>
      <c r="AP17" s="108"/>
      <c r="AQ17" s="108"/>
      <c r="AR17" s="108"/>
      <c r="AS17" s="108"/>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row>
    <row x14ac:dyDescent="0.25" r="18" customHeight="1" ht="13.5">
      <c r="A18" s="357"/>
      <c r="B18" s="358"/>
      <c r="C18" s="357"/>
      <c r="D18" s="246" t="s">
        <v>445</v>
      </c>
      <c r="E18" s="257">
        <v>2017</v>
      </c>
      <c r="F18" s="257">
        <v>2018</v>
      </c>
      <c r="G18" s="257">
        <v>2019</v>
      </c>
      <c r="H18" s="257">
        <v>2020</v>
      </c>
      <c r="I18" s="257">
        <v>2021</v>
      </c>
      <c r="J18" s="257">
        <v>2022</v>
      </c>
      <c r="K18" s="257">
        <v>2023</v>
      </c>
      <c r="L18" s="257">
        <v>2024</v>
      </c>
      <c r="M18" s="257">
        <v>2025</v>
      </c>
      <c r="N18" s="359"/>
      <c r="O18" s="308"/>
      <c r="P18" s="312"/>
      <c r="Q18" s="312"/>
      <c r="R18" s="312"/>
      <c r="S18" s="312"/>
      <c r="T18" s="312"/>
      <c r="U18" s="312"/>
      <c r="V18" s="312"/>
      <c r="W18" s="312"/>
      <c r="X18" s="312"/>
      <c r="Y18" s="360"/>
      <c r="Z18" s="360"/>
      <c r="AA18" s="360"/>
      <c r="AB18" s="359"/>
      <c r="AC18" s="359"/>
      <c r="AD18" s="359"/>
      <c r="AE18" s="308"/>
      <c r="AF18" s="311"/>
      <c r="AG18" s="311"/>
      <c r="AH18" s="311"/>
      <c r="AI18" s="124"/>
      <c r="AJ18" s="124"/>
      <c r="AK18" s="124"/>
      <c r="AL18" s="124"/>
      <c r="AM18" s="124"/>
      <c r="AN18" s="124"/>
      <c r="AO18" s="124"/>
      <c r="AP18" s="108"/>
      <c r="AQ18" s="108"/>
      <c r="AR18" s="108"/>
      <c r="AS18" s="108"/>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row>
    <row x14ac:dyDescent="0.25" r="19" customHeight="1" ht="13.5">
      <c r="A19" s="357"/>
      <c r="B19" s="358"/>
      <c r="C19" s="357"/>
      <c r="D19" s="118" t="s">
        <v>498</v>
      </c>
      <c r="E19" s="347"/>
      <c r="F19" s="290"/>
      <c r="G19" s="3"/>
      <c r="H19" s="3"/>
      <c r="I19" s="3"/>
      <c r="J19" s="3"/>
      <c r="K19" s="361">
        <f>K48</f>
      </c>
      <c r="L19" s="361">
        <f>L48</f>
      </c>
      <c r="M19" s="361">
        <f>M48</f>
      </c>
      <c r="N19" s="359"/>
      <c r="O19" s="359"/>
      <c r="P19" s="359"/>
      <c r="Q19" s="359"/>
      <c r="R19" s="359"/>
      <c r="S19" s="359"/>
      <c r="T19" s="359"/>
      <c r="U19" s="359"/>
      <c r="V19" s="359"/>
      <c r="W19" s="359"/>
      <c r="X19" s="359"/>
      <c r="Y19" s="278"/>
      <c r="Z19" s="278"/>
      <c r="AA19" s="278"/>
      <c r="AB19" s="359"/>
      <c r="AC19" s="359"/>
      <c r="AD19" s="359"/>
      <c r="AE19" s="359"/>
      <c r="AF19" s="359"/>
      <c r="AG19" s="359"/>
      <c r="AH19" s="359"/>
      <c r="AI19" s="362"/>
      <c r="AJ19" s="124"/>
      <c r="AK19" s="359"/>
      <c r="AL19" s="359"/>
      <c r="AM19" s="359"/>
      <c r="AN19" s="359"/>
      <c r="AO19" s="108"/>
      <c r="AP19" s="108"/>
      <c r="AQ19" s="108"/>
      <c r="AR19" s="108"/>
      <c r="AS19" s="108"/>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row>
    <row x14ac:dyDescent="0.25" r="20" customHeight="1" ht="13.5">
      <c r="A20" s="357"/>
      <c r="B20" s="358"/>
      <c r="C20" s="357"/>
      <c r="D20" s="118" t="s">
        <v>499</v>
      </c>
      <c r="E20" s="347"/>
      <c r="F20" s="290"/>
      <c r="G20" s="3"/>
      <c r="H20" s="3"/>
      <c r="I20" s="3"/>
      <c r="J20" s="3"/>
      <c r="K20" s="361">
        <f>K62</f>
      </c>
      <c r="L20" s="361">
        <f>L62</f>
      </c>
      <c r="M20" s="361">
        <f>M62</f>
      </c>
      <c r="N20" s="359"/>
      <c r="O20" s="359"/>
      <c r="P20" s="359"/>
      <c r="Q20" s="359"/>
      <c r="R20" s="359"/>
      <c r="S20" s="359"/>
      <c r="T20" s="359"/>
      <c r="U20" s="359"/>
      <c r="V20" s="359"/>
      <c r="W20" s="359"/>
      <c r="X20" s="359"/>
      <c r="Y20" s="278"/>
      <c r="Z20" s="278"/>
      <c r="AA20" s="278"/>
      <c r="AB20" s="359"/>
      <c r="AC20" s="359"/>
      <c r="AD20" s="359"/>
      <c r="AE20" s="359"/>
      <c r="AF20" s="359"/>
      <c r="AG20" s="359"/>
      <c r="AH20" s="359"/>
      <c r="AI20" s="362"/>
      <c r="AJ20" s="124"/>
      <c r="AK20" s="359"/>
      <c r="AL20" s="359"/>
      <c r="AM20" s="359"/>
      <c r="AN20" s="359"/>
      <c r="AO20" s="108"/>
      <c r="AP20" s="108"/>
      <c r="AQ20" s="108"/>
      <c r="AR20" s="108"/>
      <c r="AS20" s="108"/>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row>
    <row x14ac:dyDescent="0.25" r="21" customHeight="1" ht="13.5">
      <c r="A21" s="357"/>
      <c r="B21" s="358"/>
      <c r="C21" s="357"/>
      <c r="D21" s="118" t="s">
        <v>500</v>
      </c>
      <c r="E21" s="347"/>
      <c r="F21" s="290"/>
      <c r="G21" s="3"/>
      <c r="H21" s="3"/>
      <c r="I21" s="3"/>
      <c r="J21" s="3"/>
      <c r="K21" s="361">
        <f>K77</f>
      </c>
      <c r="L21" s="361">
        <f>L77</f>
      </c>
      <c r="M21" s="361">
        <f>M77</f>
      </c>
      <c r="N21" s="359"/>
      <c r="O21" s="359"/>
      <c r="P21" s="359"/>
      <c r="Q21" s="359"/>
      <c r="R21" s="359"/>
      <c r="S21" s="359"/>
      <c r="T21" s="359"/>
      <c r="U21" s="359"/>
      <c r="V21" s="359"/>
      <c r="W21" s="359"/>
      <c r="X21" s="359"/>
      <c r="Y21" s="278"/>
      <c r="Z21" s="278"/>
      <c r="AA21" s="278"/>
      <c r="AB21" s="359"/>
      <c r="AC21" s="278"/>
      <c r="AD21" s="359"/>
      <c r="AE21" s="359"/>
      <c r="AF21" s="359"/>
      <c r="AG21" s="359"/>
      <c r="AH21" s="359"/>
      <c r="AI21" s="362"/>
      <c r="AJ21" s="124"/>
      <c r="AK21" s="359"/>
      <c r="AL21" s="359"/>
      <c r="AM21" s="359"/>
      <c r="AN21" s="359"/>
      <c r="AO21" s="108"/>
      <c r="AP21" s="108"/>
      <c r="AQ21" s="108"/>
      <c r="AR21" s="108"/>
      <c r="AS21" s="108"/>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row>
    <row x14ac:dyDescent="0.25" r="22" customHeight="1" ht="13.5">
      <c r="A22" s="357"/>
      <c r="B22" s="358"/>
      <c r="C22" s="357"/>
      <c r="D22" s="118" t="s">
        <v>501</v>
      </c>
      <c r="E22" s="347"/>
      <c r="F22" s="290"/>
      <c r="G22" s="3"/>
      <c r="H22" s="3"/>
      <c r="I22" s="3"/>
      <c r="J22" s="3"/>
      <c r="K22" s="290">
        <f>K112</f>
      </c>
      <c r="L22" s="290">
        <f>L112</f>
      </c>
      <c r="M22" s="290">
        <f>M112</f>
      </c>
      <c r="N22" s="359"/>
      <c r="O22" s="363"/>
      <c r="P22" s="359"/>
      <c r="Q22" s="359"/>
      <c r="R22" s="359"/>
      <c r="S22" s="359"/>
      <c r="T22" s="359"/>
      <c r="U22" s="359"/>
      <c r="V22" s="359"/>
      <c r="W22" s="359"/>
      <c r="X22" s="359"/>
      <c r="Y22" s="278"/>
      <c r="Z22" s="278"/>
      <c r="AA22" s="278"/>
      <c r="AB22" s="359"/>
      <c r="AC22" s="359"/>
      <c r="AD22" s="359"/>
      <c r="AE22" s="363"/>
      <c r="AF22" s="359"/>
      <c r="AG22" s="359"/>
      <c r="AH22" s="359"/>
      <c r="AI22" s="362"/>
      <c r="AJ22" s="124"/>
      <c r="AK22" s="359"/>
      <c r="AL22" s="359"/>
      <c r="AM22" s="359"/>
      <c r="AN22" s="359"/>
      <c r="AO22" s="108"/>
      <c r="AP22" s="108"/>
      <c r="AQ22" s="108"/>
      <c r="AR22" s="108"/>
      <c r="AS22" s="108"/>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row>
    <row x14ac:dyDescent="0.25" r="23" customHeight="1" ht="13.5">
      <c r="A23" s="357"/>
      <c r="B23" s="358"/>
      <c r="C23" s="357"/>
      <c r="D23" s="118" t="s">
        <v>502</v>
      </c>
      <c r="E23" s="347"/>
      <c r="F23" s="290"/>
      <c r="G23" s="3"/>
      <c r="H23" s="3"/>
      <c r="I23" s="3"/>
      <c r="J23" s="3"/>
      <c r="K23" s="290">
        <f>K169</f>
      </c>
      <c r="L23" s="290">
        <f>L169</f>
      </c>
      <c r="M23" s="290">
        <f>M169</f>
      </c>
      <c r="N23" s="359"/>
      <c r="O23" s="363"/>
      <c r="P23" s="359"/>
      <c r="Q23" s="359"/>
      <c r="R23" s="359"/>
      <c r="S23" s="359"/>
      <c r="T23" s="359"/>
      <c r="U23" s="359"/>
      <c r="V23" s="359"/>
      <c r="W23" s="359"/>
      <c r="X23" s="359"/>
      <c r="Y23" s="359"/>
      <c r="Z23" s="359"/>
      <c r="AA23" s="359"/>
      <c r="AB23" s="359"/>
      <c r="AC23" s="359"/>
      <c r="AD23" s="359"/>
      <c r="AE23" s="363"/>
      <c r="AF23" s="359"/>
      <c r="AG23" s="359"/>
      <c r="AH23" s="359"/>
      <c r="AI23" s="362"/>
      <c r="AJ23" s="124"/>
      <c r="AK23" s="359"/>
      <c r="AL23" s="359"/>
      <c r="AM23" s="359"/>
      <c r="AN23" s="359"/>
      <c r="AO23" s="108"/>
      <c r="AP23" s="108"/>
      <c r="AQ23" s="108"/>
      <c r="AR23" s="108"/>
      <c r="AS23" s="108"/>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row>
    <row x14ac:dyDescent="0.25" r="24" customHeight="1" ht="13.5">
      <c r="A24" s="357"/>
      <c r="B24" s="358"/>
      <c r="C24" s="357"/>
      <c r="D24" s="326" t="s">
        <v>336</v>
      </c>
      <c r="E24" s="364"/>
      <c r="F24" s="364"/>
      <c r="G24" s="364"/>
      <c r="H24" s="364"/>
      <c r="I24" s="364"/>
      <c r="J24" s="327"/>
      <c r="K24" s="327">
        <f>SUM(K19:K23)</f>
      </c>
      <c r="L24" s="327">
        <f>SUM(L19:L23)</f>
      </c>
      <c r="M24" s="327">
        <f>SUM(M19:M23)</f>
      </c>
      <c r="N24" s="359"/>
      <c r="O24" s="359"/>
      <c r="P24" s="359"/>
      <c r="Q24" s="359"/>
      <c r="R24" s="359"/>
      <c r="S24" s="359"/>
      <c r="T24" s="359"/>
      <c r="U24" s="359"/>
      <c r="V24" s="359"/>
      <c r="W24" s="359"/>
      <c r="X24" s="359"/>
      <c r="Y24" s="359"/>
      <c r="Z24" s="359"/>
      <c r="AA24" s="359"/>
      <c r="AB24" s="359"/>
      <c r="AC24" s="359"/>
      <c r="AD24" s="359"/>
      <c r="AE24" s="359"/>
      <c r="AF24" s="359"/>
      <c r="AG24" s="359"/>
      <c r="AH24" s="359"/>
      <c r="AI24" s="362"/>
      <c r="AJ24" s="124"/>
      <c r="AK24" s="359"/>
      <c r="AL24" s="359"/>
      <c r="AM24" s="359"/>
      <c r="AN24" s="359"/>
      <c r="AO24" s="108"/>
      <c r="AP24" s="108"/>
      <c r="AQ24" s="108"/>
      <c r="AR24" s="108"/>
      <c r="AS24" s="108"/>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row>
    <row x14ac:dyDescent="0.25" r="25" customHeight="1" ht="13.5">
      <c r="A25" s="357"/>
      <c r="B25" s="358"/>
      <c r="C25" s="357"/>
      <c r="D25" s="365" t="s">
        <v>503</v>
      </c>
      <c r="E25" s="364"/>
      <c r="F25" s="364"/>
      <c r="G25" s="364"/>
      <c r="H25" s="364"/>
      <c r="I25" s="364"/>
      <c r="J25" s="327"/>
      <c r="K25" s="296">
        <f>K24/46%</f>
      </c>
      <c r="L25" s="296">
        <f>L24/46%</f>
      </c>
      <c r="M25" s="296">
        <f>M24/46%</f>
      </c>
      <c r="N25" s="359"/>
      <c r="O25" s="366"/>
      <c r="P25" s="366"/>
      <c r="Q25" s="366"/>
      <c r="R25" s="366"/>
      <c r="S25" s="366"/>
      <c r="T25" s="366"/>
      <c r="U25" s="366"/>
      <c r="V25" s="367"/>
      <c r="W25" s="367"/>
      <c r="X25" s="367"/>
      <c r="Y25" s="359"/>
      <c r="Z25" s="359"/>
      <c r="AA25" s="359"/>
      <c r="AB25" s="359"/>
      <c r="AC25" s="359"/>
      <c r="AD25" s="359"/>
      <c r="AE25" s="366"/>
      <c r="AF25" s="367"/>
      <c r="AG25" s="367"/>
      <c r="AH25" s="367"/>
      <c r="AI25" s="362"/>
      <c r="AJ25" s="124"/>
      <c r="AK25" s="359"/>
      <c r="AL25" s="359"/>
      <c r="AM25" s="359"/>
      <c r="AN25" s="359"/>
      <c r="AO25" s="108"/>
      <c r="AP25" s="108"/>
      <c r="AQ25" s="108"/>
      <c r="AR25" s="108"/>
      <c r="AS25" s="108"/>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row>
    <row x14ac:dyDescent="0.25" r="26" customHeight="1" ht="13.5">
      <c r="A26" s="357"/>
      <c r="B26" s="358"/>
      <c r="C26" s="357"/>
      <c r="D26" s="118" t="s">
        <v>504</v>
      </c>
      <c r="E26" s="124"/>
      <c r="F26" s="124"/>
      <c r="G26" s="124"/>
      <c r="H26" s="124"/>
      <c r="I26" s="124"/>
      <c r="J26" s="368"/>
      <c r="K26" s="369">
        <f>K24/ProjectedP205_Consumption!K34</f>
      </c>
      <c r="L26" s="369">
        <f>L24/ProjectedP205_Consumption!L34</f>
      </c>
      <c r="M26" s="369">
        <f>M24/ProjectedP205_Consumption!M34</f>
      </c>
      <c r="N26" s="359"/>
      <c r="O26" s="359"/>
      <c r="P26" s="359"/>
      <c r="Q26" s="359"/>
      <c r="R26" s="359"/>
      <c r="S26" s="359"/>
      <c r="T26" s="359"/>
      <c r="U26" s="359"/>
      <c r="V26" s="359"/>
      <c r="W26" s="359"/>
      <c r="X26" s="359"/>
      <c r="Y26" s="359"/>
      <c r="Z26" s="359"/>
      <c r="AA26" s="359"/>
      <c r="AB26" s="359"/>
      <c r="AC26" s="359"/>
      <c r="AD26" s="359"/>
      <c r="AE26" s="359"/>
      <c r="AF26" s="359"/>
      <c r="AG26" s="359"/>
      <c r="AH26" s="359"/>
      <c r="AI26" s="362"/>
      <c r="AJ26" s="124"/>
      <c r="AK26" s="359"/>
      <c r="AL26" s="359"/>
      <c r="AM26" s="359"/>
      <c r="AN26" s="359"/>
      <c r="AO26" s="108"/>
      <c r="AP26" s="108"/>
      <c r="AQ26" s="108"/>
      <c r="AR26" s="108"/>
      <c r="AS26" s="108"/>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row>
    <row x14ac:dyDescent="0.25" r="27" customHeight="1" ht="13.5">
      <c r="A27" s="2"/>
      <c r="B27" s="3"/>
      <c r="C27" s="2"/>
      <c r="D27" s="2"/>
      <c r="E27" s="3"/>
      <c r="F27" s="3"/>
      <c r="G27" s="3"/>
      <c r="H27" s="3"/>
      <c r="I27" s="3"/>
      <c r="J27" s="3"/>
      <c r="K27" s="108"/>
      <c r="L27" s="108"/>
      <c r="M27" s="108"/>
      <c r="N27" s="124"/>
      <c r="O27" s="124"/>
      <c r="P27" s="124"/>
      <c r="Q27" s="124"/>
      <c r="R27" s="124"/>
      <c r="S27" s="124"/>
      <c r="T27" s="124"/>
      <c r="U27" s="124"/>
      <c r="V27" s="124"/>
      <c r="W27" s="124"/>
      <c r="X27" s="124"/>
      <c r="Y27" s="124"/>
      <c r="Z27" s="124"/>
      <c r="AA27" s="124"/>
      <c r="AB27" s="124"/>
      <c r="AC27" s="124"/>
      <c r="AD27" s="124"/>
      <c r="AE27" s="124"/>
      <c r="AF27" s="124"/>
      <c r="AG27" s="124"/>
      <c r="AH27" s="124"/>
      <c r="AI27" s="362"/>
      <c r="AJ27" s="124"/>
      <c r="AK27" s="124"/>
      <c r="AL27" s="359"/>
      <c r="AM27" s="359"/>
      <c r="AN27" s="359"/>
      <c r="AO27" s="108"/>
      <c r="AP27" s="108"/>
      <c r="AQ27" s="108"/>
      <c r="AR27" s="108"/>
      <c r="AS27" s="108"/>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row>
    <row x14ac:dyDescent="0.25" r="28" customHeight="1" ht="13.5">
      <c r="A28" s="2"/>
      <c r="B28" s="3"/>
      <c r="C28" s="2"/>
      <c r="D28" s="240" t="s">
        <v>467</v>
      </c>
      <c r="E28" s="3"/>
      <c r="F28" s="3"/>
      <c r="G28" s="3"/>
      <c r="H28" s="3"/>
      <c r="I28" s="3"/>
      <c r="J28" s="3"/>
      <c r="K28" s="290"/>
      <c r="L28" s="108"/>
      <c r="M28" s="108"/>
      <c r="N28" s="124"/>
      <c r="O28" s="308"/>
      <c r="P28" s="124"/>
      <c r="Q28" s="124"/>
      <c r="R28" s="124"/>
      <c r="S28" s="124"/>
      <c r="T28" s="124"/>
      <c r="U28" s="124"/>
      <c r="V28" s="124"/>
      <c r="W28" s="124"/>
      <c r="X28" s="124"/>
      <c r="Y28" s="124"/>
      <c r="Z28" s="124"/>
      <c r="AA28" s="124"/>
      <c r="AB28" s="124"/>
      <c r="AC28" s="124"/>
      <c r="AD28" s="124"/>
      <c r="AE28" s="308"/>
      <c r="AF28" s="124"/>
      <c r="AG28" s="124"/>
      <c r="AH28" s="124"/>
      <c r="AI28" s="362"/>
      <c r="AJ28" s="124"/>
      <c r="AK28" s="124"/>
      <c r="AL28" s="359"/>
      <c r="AM28" s="359"/>
      <c r="AN28" s="359"/>
      <c r="AO28" s="108"/>
      <c r="AP28" s="108"/>
      <c r="AQ28" s="108"/>
      <c r="AR28" s="108"/>
      <c r="AS28" s="108"/>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row>
    <row x14ac:dyDescent="0.25" r="29" customHeight="1" ht="13.5">
      <c r="A29" s="2"/>
      <c r="B29" s="3"/>
      <c r="C29" s="2"/>
      <c r="D29" s="241" t="s">
        <v>468</v>
      </c>
      <c r="E29" s="3"/>
      <c r="F29" s="3"/>
      <c r="G29" s="3"/>
      <c r="H29" s="3"/>
      <c r="I29" s="3"/>
      <c r="J29" s="3"/>
      <c r="K29" s="108"/>
      <c r="L29" s="108"/>
      <c r="M29" s="108"/>
      <c r="N29" s="124"/>
      <c r="O29" s="347"/>
      <c r="P29" s="124"/>
      <c r="Q29" s="124"/>
      <c r="R29" s="124"/>
      <c r="S29" s="124"/>
      <c r="T29" s="124"/>
      <c r="U29" s="124"/>
      <c r="V29" s="124"/>
      <c r="W29" s="124"/>
      <c r="X29" s="124"/>
      <c r="Y29" s="124"/>
      <c r="Z29" s="124"/>
      <c r="AA29" s="124"/>
      <c r="AB29" s="124"/>
      <c r="AC29" s="124"/>
      <c r="AD29" s="124"/>
      <c r="AE29" s="347"/>
      <c r="AF29" s="124"/>
      <c r="AG29" s="124"/>
      <c r="AH29" s="124"/>
      <c r="AI29" s="362"/>
      <c r="AJ29" s="124"/>
      <c r="AK29" s="124"/>
      <c r="AL29" s="359"/>
      <c r="AM29" s="359"/>
      <c r="AN29" s="359"/>
      <c r="AO29" s="108"/>
      <c r="AP29" s="108"/>
      <c r="AQ29" s="108"/>
      <c r="AR29" s="108"/>
      <c r="AS29" s="108"/>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row>
    <row x14ac:dyDescent="0.25" r="30" customHeight="1" ht="13.5">
      <c r="A30" s="357"/>
      <c r="B30" s="358"/>
      <c r="C30" s="357"/>
      <c r="D30" s="246" t="s">
        <v>475</v>
      </c>
      <c r="E30" s="257">
        <v>2017</v>
      </c>
      <c r="F30" s="257">
        <v>2018</v>
      </c>
      <c r="G30" s="257">
        <v>2019</v>
      </c>
      <c r="H30" s="257">
        <v>2020</v>
      </c>
      <c r="I30" s="257">
        <v>2021</v>
      </c>
      <c r="J30" s="257">
        <v>2022</v>
      </c>
      <c r="K30" s="257">
        <v>2023</v>
      </c>
      <c r="L30" s="257">
        <v>2024</v>
      </c>
      <c r="M30" s="257">
        <v>2025</v>
      </c>
      <c r="N30" s="359"/>
      <c r="O30" s="308"/>
      <c r="P30" s="312"/>
      <c r="Q30" s="312"/>
      <c r="R30" s="312"/>
      <c r="S30" s="312"/>
      <c r="T30" s="312"/>
      <c r="U30" s="312"/>
      <c r="V30" s="312"/>
      <c r="W30" s="312"/>
      <c r="X30" s="312"/>
      <c r="Y30" s="360"/>
      <c r="Z30" s="360"/>
      <c r="AA30" s="360"/>
      <c r="AB30" s="359"/>
      <c r="AC30" s="359"/>
      <c r="AD30" s="359"/>
      <c r="AE30" s="308"/>
      <c r="AF30" s="311"/>
      <c r="AG30" s="311"/>
      <c r="AH30" s="311"/>
      <c r="AI30" s="362"/>
      <c r="AJ30" s="124"/>
      <c r="AK30" s="359"/>
      <c r="AL30" s="359"/>
      <c r="AM30" s="359"/>
      <c r="AN30" s="359"/>
      <c r="AO30" s="108"/>
      <c r="AP30" s="108"/>
      <c r="AQ30" s="108"/>
      <c r="AR30" s="108"/>
      <c r="AS30" s="108"/>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row>
    <row x14ac:dyDescent="0.25" r="31" customHeight="1" ht="13.5">
      <c r="A31" s="357"/>
      <c r="B31" s="358"/>
      <c r="C31" s="357"/>
      <c r="D31" s="118" t="s">
        <v>498</v>
      </c>
      <c r="E31" s="347"/>
      <c r="F31" s="290"/>
      <c r="G31" s="3"/>
      <c r="H31" s="3"/>
      <c r="I31" s="3"/>
      <c r="J31" s="3"/>
      <c r="K31" s="361">
        <f>K54</f>
      </c>
      <c r="L31" s="361">
        <f>L54</f>
      </c>
      <c r="M31" s="361">
        <f>M54</f>
      </c>
      <c r="N31" s="359"/>
      <c r="O31" s="359"/>
      <c r="P31" s="359"/>
      <c r="Q31" s="359"/>
      <c r="R31" s="359"/>
      <c r="S31" s="359"/>
      <c r="T31" s="359"/>
      <c r="U31" s="359"/>
      <c r="V31" s="359"/>
      <c r="W31" s="359"/>
      <c r="X31" s="359"/>
      <c r="Y31" s="278"/>
      <c r="Z31" s="278"/>
      <c r="AA31" s="278"/>
      <c r="AB31" s="359"/>
      <c r="AC31" s="278"/>
      <c r="AD31" s="359"/>
      <c r="AE31" s="359"/>
      <c r="AF31" s="359"/>
      <c r="AG31" s="359"/>
      <c r="AH31" s="359"/>
      <c r="AI31" s="362"/>
      <c r="AJ31" s="124"/>
      <c r="AK31" s="359"/>
      <c r="AL31" s="359"/>
      <c r="AM31" s="359"/>
      <c r="AN31" s="359"/>
      <c r="AO31" s="108"/>
      <c r="AP31" s="108"/>
      <c r="AQ31" s="108"/>
      <c r="AR31" s="108"/>
      <c r="AS31" s="108"/>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row>
    <row x14ac:dyDescent="0.25" r="32" customHeight="1" ht="13.5">
      <c r="A32" s="357"/>
      <c r="B32" s="358"/>
      <c r="C32" s="357"/>
      <c r="D32" s="118" t="s">
        <v>499</v>
      </c>
      <c r="E32" s="347"/>
      <c r="F32" s="290"/>
      <c r="G32" s="3"/>
      <c r="H32" s="3"/>
      <c r="I32" s="3"/>
      <c r="J32" s="3"/>
      <c r="K32" s="361">
        <f>K68</f>
      </c>
      <c r="L32" s="361">
        <f>L68</f>
      </c>
      <c r="M32" s="361">
        <f>M68</f>
      </c>
      <c r="N32" s="359"/>
      <c r="O32" s="359"/>
      <c r="P32" s="359"/>
      <c r="Q32" s="359"/>
      <c r="R32" s="359"/>
      <c r="S32" s="359"/>
      <c r="T32" s="359"/>
      <c r="U32" s="359"/>
      <c r="V32" s="359"/>
      <c r="W32" s="359"/>
      <c r="X32" s="359"/>
      <c r="Y32" s="278"/>
      <c r="Z32" s="278"/>
      <c r="AA32" s="278"/>
      <c r="AB32" s="359"/>
      <c r="AC32" s="278"/>
      <c r="AD32" s="359"/>
      <c r="AE32" s="359"/>
      <c r="AF32" s="359"/>
      <c r="AG32" s="359"/>
      <c r="AH32" s="359"/>
      <c r="AI32" s="362"/>
      <c r="AJ32" s="124"/>
      <c r="AK32" s="359"/>
      <c r="AL32" s="359"/>
      <c r="AM32" s="359"/>
      <c r="AN32" s="359"/>
      <c r="AO32" s="108"/>
      <c r="AP32" s="108"/>
      <c r="AQ32" s="108"/>
      <c r="AR32" s="108"/>
      <c r="AS32" s="108"/>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row>
    <row x14ac:dyDescent="0.25" r="33" customHeight="1" ht="13.5">
      <c r="A33" s="357"/>
      <c r="B33" s="358"/>
      <c r="C33" s="357"/>
      <c r="D33" s="118" t="s">
        <v>500</v>
      </c>
      <c r="E33" s="347"/>
      <c r="F33" s="290"/>
      <c r="G33" s="3"/>
      <c r="H33" s="3"/>
      <c r="I33" s="3"/>
      <c r="J33" s="3"/>
      <c r="K33" s="361">
        <f>K83</f>
      </c>
      <c r="L33" s="361">
        <f>L83</f>
      </c>
      <c r="M33" s="361">
        <f>M83</f>
      </c>
      <c r="N33" s="359"/>
      <c r="O33" s="359"/>
      <c r="P33" s="359"/>
      <c r="Q33" s="359"/>
      <c r="R33" s="359"/>
      <c r="S33" s="359"/>
      <c r="T33" s="359"/>
      <c r="U33" s="359"/>
      <c r="V33" s="359"/>
      <c r="W33" s="359"/>
      <c r="X33" s="359"/>
      <c r="Y33" s="278"/>
      <c r="Z33" s="278"/>
      <c r="AA33" s="278"/>
      <c r="AB33" s="359"/>
      <c r="AC33" s="278"/>
      <c r="AD33" s="359"/>
      <c r="AE33" s="359"/>
      <c r="AF33" s="359"/>
      <c r="AG33" s="359"/>
      <c r="AH33" s="359"/>
      <c r="AI33" s="362"/>
      <c r="AJ33" s="124"/>
      <c r="AK33" s="359"/>
      <c r="AL33" s="359"/>
      <c r="AM33" s="359"/>
      <c r="AN33" s="359"/>
      <c r="AO33" s="108"/>
      <c r="AP33" s="108"/>
      <c r="AQ33" s="108"/>
      <c r="AR33" s="108"/>
      <c r="AS33" s="108"/>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row>
    <row x14ac:dyDescent="0.25" r="34" customHeight="1" ht="13.5">
      <c r="A34" s="357"/>
      <c r="B34" s="358"/>
      <c r="C34" s="357"/>
      <c r="D34" s="118" t="s">
        <v>501</v>
      </c>
      <c r="E34" s="347"/>
      <c r="F34" s="290"/>
      <c r="G34" s="3"/>
      <c r="H34" s="3"/>
      <c r="I34" s="3"/>
      <c r="J34" s="3"/>
      <c r="K34" s="361">
        <f>+K140</f>
      </c>
      <c r="L34" s="361">
        <f>+L140</f>
      </c>
      <c r="M34" s="361">
        <f>+M140</f>
      </c>
      <c r="N34" s="359"/>
      <c r="O34" s="363"/>
      <c r="P34" s="359"/>
      <c r="Q34" s="359"/>
      <c r="R34" s="359"/>
      <c r="S34" s="359"/>
      <c r="T34" s="359"/>
      <c r="U34" s="359"/>
      <c r="V34" s="359"/>
      <c r="W34" s="359"/>
      <c r="X34" s="359"/>
      <c r="Y34" s="359"/>
      <c r="Z34" s="359"/>
      <c r="AA34" s="359"/>
      <c r="AB34" s="359"/>
      <c r="AC34" s="278"/>
      <c r="AD34" s="359"/>
      <c r="AE34" s="363"/>
      <c r="AF34" s="359"/>
      <c r="AG34" s="359"/>
      <c r="AH34" s="359"/>
      <c r="AI34" s="362"/>
      <c r="AJ34" s="124"/>
      <c r="AK34" s="359"/>
      <c r="AL34" s="359"/>
      <c r="AM34" s="359"/>
      <c r="AN34" s="359"/>
      <c r="AO34" s="108"/>
      <c r="AP34" s="108"/>
      <c r="AQ34" s="108"/>
      <c r="AR34" s="108"/>
      <c r="AS34" s="108"/>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row>
    <row x14ac:dyDescent="0.25" r="35" customHeight="1" ht="13.5">
      <c r="A35" s="357"/>
      <c r="B35" s="358"/>
      <c r="C35" s="357"/>
      <c r="D35" s="118" t="s">
        <v>502</v>
      </c>
      <c r="E35" s="347"/>
      <c r="F35" s="290"/>
      <c r="G35" s="3"/>
      <c r="H35" s="3"/>
      <c r="I35" s="3"/>
      <c r="J35" s="3"/>
      <c r="K35" s="290">
        <f>K197</f>
      </c>
      <c r="L35" s="290">
        <f>L197</f>
      </c>
      <c r="M35" s="290">
        <f>M197</f>
      </c>
      <c r="N35" s="359"/>
      <c r="O35" s="363"/>
      <c r="P35" s="359"/>
      <c r="Q35" s="359"/>
      <c r="R35" s="359"/>
      <c r="S35" s="359"/>
      <c r="T35" s="359"/>
      <c r="U35" s="359"/>
      <c r="V35" s="359"/>
      <c r="W35" s="359"/>
      <c r="X35" s="359"/>
      <c r="Y35" s="359"/>
      <c r="Z35" s="359"/>
      <c r="AA35" s="359"/>
      <c r="AB35" s="359"/>
      <c r="AC35" s="278"/>
      <c r="AD35" s="359"/>
      <c r="AE35" s="363"/>
      <c r="AF35" s="359"/>
      <c r="AG35" s="359"/>
      <c r="AH35" s="359"/>
      <c r="AI35" s="362"/>
      <c r="AJ35" s="124"/>
      <c r="AK35" s="359"/>
      <c r="AL35" s="359"/>
      <c r="AM35" s="359"/>
      <c r="AN35" s="359"/>
      <c r="AO35" s="108"/>
      <c r="AP35" s="108"/>
      <c r="AQ35" s="108"/>
      <c r="AR35" s="108"/>
      <c r="AS35" s="108"/>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row>
    <row x14ac:dyDescent="0.25" r="36" customHeight="1" ht="13.5">
      <c r="A36" s="357"/>
      <c r="B36" s="358"/>
      <c r="C36" s="357"/>
      <c r="D36" s="326" t="s">
        <v>336</v>
      </c>
      <c r="E36" s="364"/>
      <c r="F36" s="364"/>
      <c r="G36" s="364"/>
      <c r="H36" s="364"/>
      <c r="I36" s="364"/>
      <c r="J36" s="327"/>
      <c r="K36" s="327">
        <f>SUM(K31:K35)</f>
      </c>
      <c r="L36" s="327">
        <f>SUM(L31:L35)</f>
      </c>
      <c r="M36" s="327">
        <f>SUM(M31:M35)</f>
      </c>
      <c r="N36" s="359"/>
      <c r="O36" s="359"/>
      <c r="P36" s="359"/>
      <c r="Q36" s="359"/>
      <c r="R36" s="359"/>
      <c r="S36" s="359"/>
      <c r="T36" s="359"/>
      <c r="U36" s="359"/>
      <c r="V36" s="359"/>
      <c r="W36" s="359"/>
      <c r="X36" s="359"/>
      <c r="Y36" s="359"/>
      <c r="Z36" s="359"/>
      <c r="AA36" s="359"/>
      <c r="AB36" s="359"/>
      <c r="AC36" s="359"/>
      <c r="AD36" s="359"/>
      <c r="AE36" s="359"/>
      <c r="AF36" s="359"/>
      <c r="AG36" s="359"/>
      <c r="AH36" s="359"/>
      <c r="AI36" s="362"/>
      <c r="AJ36" s="124"/>
      <c r="AK36" s="359"/>
      <c r="AL36" s="359"/>
      <c r="AM36" s="359"/>
      <c r="AN36" s="359"/>
      <c r="AO36" s="108"/>
      <c r="AP36" s="108"/>
      <c r="AQ36" s="108"/>
      <c r="AR36" s="108"/>
      <c r="AS36" s="108"/>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row>
    <row x14ac:dyDescent="0.25" r="37" customHeight="1" ht="13.5">
      <c r="A37" s="357"/>
      <c r="B37" s="358"/>
      <c r="C37" s="357"/>
      <c r="D37" s="365" t="s">
        <v>503</v>
      </c>
      <c r="E37" s="364"/>
      <c r="F37" s="364"/>
      <c r="G37" s="364"/>
      <c r="H37" s="364"/>
      <c r="I37" s="364"/>
      <c r="J37" s="327"/>
      <c r="K37" s="370">
        <f>K36/46%</f>
      </c>
      <c r="L37" s="370">
        <f>L36/46%</f>
      </c>
      <c r="M37" s="370">
        <f>M36/46%</f>
      </c>
      <c r="N37" s="359"/>
      <c r="O37" s="366"/>
      <c r="P37" s="366"/>
      <c r="Q37" s="366"/>
      <c r="R37" s="366"/>
      <c r="S37" s="366"/>
      <c r="T37" s="366"/>
      <c r="U37" s="366"/>
      <c r="V37" s="367"/>
      <c r="W37" s="367"/>
      <c r="X37" s="367"/>
      <c r="Y37" s="359"/>
      <c r="Z37" s="359"/>
      <c r="AA37" s="359"/>
      <c r="AB37" s="359"/>
      <c r="AC37" s="359"/>
      <c r="AD37" s="359"/>
      <c r="AE37" s="366"/>
      <c r="AF37" s="367"/>
      <c r="AG37" s="367"/>
      <c r="AH37" s="367"/>
      <c r="AI37" s="362"/>
      <c r="AJ37" s="124"/>
      <c r="AK37" s="359"/>
      <c r="AL37" s="359"/>
      <c r="AM37" s="359"/>
      <c r="AN37" s="359"/>
      <c r="AO37" s="108"/>
      <c r="AP37" s="108"/>
      <c r="AQ37" s="108"/>
      <c r="AR37" s="108"/>
      <c r="AS37" s="108"/>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row>
    <row x14ac:dyDescent="0.25" r="38" customHeight="1" ht="13.5">
      <c r="A38" s="2"/>
      <c r="B38" s="3"/>
      <c r="C38" s="2"/>
      <c r="D38" s="2"/>
      <c r="E38" s="3"/>
      <c r="F38" s="3"/>
      <c r="G38" s="3"/>
      <c r="H38" s="3"/>
      <c r="I38" s="3"/>
      <c r="J38" s="124"/>
      <c r="K38" s="63">
        <f>K36/ProjectedP205_Consumption!K62</f>
      </c>
      <c r="L38" s="63">
        <f>L36/ProjectedP205_Consumption!L62</f>
      </c>
      <c r="M38" s="63">
        <f>M36/ProjectedP205_Consumption!M62</f>
      </c>
      <c r="N38" s="124"/>
      <c r="O38" s="359"/>
      <c r="P38" s="359"/>
      <c r="Q38" s="359"/>
      <c r="R38" s="359"/>
      <c r="S38" s="359"/>
      <c r="T38" s="359"/>
      <c r="U38" s="359"/>
      <c r="V38" s="359"/>
      <c r="W38" s="359"/>
      <c r="X38" s="359"/>
      <c r="Y38" s="124"/>
      <c r="Z38" s="124"/>
      <c r="AA38" s="124"/>
      <c r="AB38" s="124"/>
      <c r="AC38" s="124"/>
      <c r="AD38" s="124"/>
      <c r="AE38" s="359"/>
      <c r="AF38" s="359"/>
      <c r="AG38" s="359"/>
      <c r="AH38" s="359"/>
      <c r="AI38" s="362"/>
      <c r="AJ38" s="124"/>
      <c r="AK38" s="124"/>
      <c r="AL38" s="359"/>
      <c r="AM38" s="359"/>
      <c r="AN38" s="359"/>
      <c r="AO38" s="108"/>
      <c r="AP38" s="108"/>
      <c r="AQ38" s="108"/>
      <c r="AR38" s="108"/>
      <c r="AS38" s="108"/>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row>
    <row x14ac:dyDescent="0.25" r="39" customHeight="1" ht="13.5">
      <c r="A39" s="2"/>
      <c r="B39" s="3"/>
      <c r="C39" s="2"/>
      <c r="D39" s="2"/>
      <c r="E39" s="3"/>
      <c r="F39" s="3"/>
      <c r="G39" s="3"/>
      <c r="H39" s="3"/>
      <c r="I39" s="3"/>
      <c r="J39" s="124"/>
      <c r="K39" s="63"/>
      <c r="L39" s="63"/>
      <c r="M39" s="63"/>
      <c r="N39" s="124"/>
      <c r="O39" s="359"/>
      <c r="P39" s="359"/>
      <c r="Q39" s="359"/>
      <c r="R39" s="359"/>
      <c r="S39" s="359"/>
      <c r="T39" s="359"/>
      <c r="U39" s="359"/>
      <c r="V39" s="359"/>
      <c r="W39" s="359"/>
      <c r="X39" s="359"/>
      <c r="Y39" s="124"/>
      <c r="Z39" s="124"/>
      <c r="AA39" s="124"/>
      <c r="AB39" s="124"/>
      <c r="AC39" s="124"/>
      <c r="AD39" s="124"/>
      <c r="AE39" s="359"/>
      <c r="AF39" s="359"/>
      <c r="AG39" s="359"/>
      <c r="AH39" s="359"/>
      <c r="AI39" s="362"/>
      <c r="AJ39" s="124"/>
      <c r="AK39" s="124"/>
      <c r="AL39" s="359"/>
      <c r="AM39" s="359"/>
      <c r="AN39" s="359"/>
      <c r="AO39" s="108"/>
      <c r="AP39" s="108"/>
      <c r="AQ39" s="108"/>
      <c r="AR39" s="108"/>
      <c r="AS39" s="108"/>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row>
    <row x14ac:dyDescent="0.25" r="40" customHeight="1" ht="13.5">
      <c r="A40" s="2"/>
      <c r="B40" s="3"/>
      <c r="C40" s="2"/>
      <c r="D40" s="2"/>
      <c r="E40" s="3"/>
      <c r="F40" s="3"/>
      <c r="G40" s="3"/>
      <c r="H40" s="3"/>
      <c r="I40" s="3"/>
      <c r="J40" s="124"/>
      <c r="K40" s="63"/>
      <c r="L40" s="63"/>
      <c r="M40" s="63"/>
      <c r="N40" s="2"/>
      <c r="O40" s="359"/>
      <c r="P40" s="359"/>
      <c r="Q40" s="359"/>
      <c r="R40" s="359"/>
      <c r="S40" s="359"/>
      <c r="T40" s="359"/>
      <c r="U40" s="359"/>
      <c r="V40" s="359"/>
      <c r="W40" s="359"/>
      <c r="X40" s="359"/>
      <c r="Y40" s="3"/>
      <c r="Z40" s="3"/>
      <c r="AA40" s="3"/>
      <c r="AB40" s="3"/>
      <c r="AC40" s="3"/>
      <c r="AD40" s="2"/>
      <c r="AE40" s="359"/>
      <c r="AF40" s="359"/>
      <c r="AG40" s="359"/>
      <c r="AH40" s="359"/>
      <c r="AI40" s="362"/>
      <c r="AJ40" s="359"/>
      <c r="AK40" s="108"/>
      <c r="AL40" s="359"/>
      <c r="AM40" s="359"/>
      <c r="AN40" s="359"/>
      <c r="AO40" s="108"/>
      <c r="AP40" s="108"/>
      <c r="AQ40" s="108"/>
      <c r="AR40" s="108"/>
      <c r="AS40" s="108"/>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row>
    <row x14ac:dyDescent="0.25" r="41" customHeight="1" ht="13.5">
      <c r="A41" s="2"/>
      <c r="B41" s="3"/>
      <c r="C41" s="2"/>
      <c r="D41" s="2"/>
      <c r="E41" s="3"/>
      <c r="F41" s="3"/>
      <c r="G41" s="3"/>
      <c r="H41" s="3"/>
      <c r="I41" s="3"/>
      <c r="J41" s="124"/>
      <c r="K41" s="63"/>
      <c r="L41" s="63"/>
      <c r="M41" s="63"/>
      <c r="N41" s="2"/>
      <c r="O41" s="359"/>
      <c r="P41" s="359"/>
      <c r="Q41" s="359"/>
      <c r="R41" s="359"/>
      <c r="S41" s="359"/>
      <c r="T41" s="359"/>
      <c r="U41" s="359"/>
      <c r="V41" s="359"/>
      <c r="W41" s="359"/>
      <c r="X41" s="359"/>
      <c r="Y41" s="3"/>
      <c r="Z41" s="3"/>
      <c r="AA41" s="3"/>
      <c r="AB41" s="3"/>
      <c r="AC41" s="3"/>
      <c r="AD41" s="2"/>
      <c r="AE41" s="359"/>
      <c r="AF41" s="359"/>
      <c r="AG41" s="359"/>
      <c r="AH41" s="359"/>
      <c r="AI41" s="362"/>
      <c r="AJ41" s="359"/>
      <c r="AK41" s="108"/>
      <c r="AL41" s="359"/>
      <c r="AM41" s="359"/>
      <c r="AN41" s="359"/>
      <c r="AO41" s="108"/>
      <c r="AP41" s="108"/>
      <c r="AQ41" s="108"/>
      <c r="AR41" s="108"/>
      <c r="AS41" s="108"/>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row>
    <row x14ac:dyDescent="0.25" r="42" customHeight="1" ht="13.5">
      <c r="A42" s="2"/>
      <c r="B42" s="198">
        <v>1</v>
      </c>
      <c r="C42" s="2"/>
      <c r="D42" s="275" t="s">
        <v>505</v>
      </c>
      <c r="E42" s="3"/>
      <c r="F42" s="3"/>
      <c r="G42" s="3"/>
      <c r="H42" s="3"/>
      <c r="I42" s="3"/>
      <c r="J42" s="3"/>
      <c r="K42" s="290"/>
      <c r="L42" s="108"/>
      <c r="M42" s="108"/>
      <c r="N42" s="2"/>
      <c r="O42" s="3"/>
      <c r="P42" s="3"/>
      <c r="Q42" s="3"/>
      <c r="R42" s="3"/>
      <c r="S42" s="3"/>
      <c r="T42" s="3"/>
      <c r="U42" s="3"/>
      <c r="V42" s="3"/>
      <c r="W42" s="3"/>
      <c r="X42" s="3"/>
      <c r="Y42" s="3"/>
      <c r="Z42" s="3"/>
      <c r="AA42" s="3"/>
      <c r="AB42" s="3"/>
      <c r="AC42" s="3"/>
      <c r="AD42" s="2"/>
      <c r="AE42" s="108"/>
      <c r="AF42" s="359"/>
      <c r="AG42" s="362"/>
      <c r="AH42" s="362"/>
      <c r="AI42" s="362"/>
      <c r="AJ42" s="362"/>
      <c r="AK42" s="108"/>
      <c r="AL42" s="359"/>
      <c r="AM42" s="359"/>
      <c r="AN42" s="359"/>
      <c r="AO42" s="108"/>
      <c r="AP42" s="108"/>
      <c r="AQ42" s="108"/>
      <c r="AR42" s="108"/>
      <c r="AS42" s="108"/>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row>
    <row x14ac:dyDescent="0.25" r="43" customHeight="1" ht="13.5">
      <c r="A43" s="2"/>
      <c r="B43" s="3"/>
      <c r="C43" s="2"/>
      <c r="D43" s="2"/>
      <c r="E43" s="3"/>
      <c r="F43" s="3"/>
      <c r="G43" s="3"/>
      <c r="H43" s="3"/>
      <c r="I43" s="3"/>
      <c r="J43" s="3"/>
      <c r="K43" s="108"/>
      <c r="L43" s="108"/>
      <c r="M43" s="108"/>
      <c r="N43" s="2"/>
      <c r="O43" s="3"/>
      <c r="P43" s="3"/>
      <c r="Q43" s="3"/>
      <c r="R43" s="3"/>
      <c r="S43" s="3"/>
      <c r="T43" s="3"/>
      <c r="U43" s="3"/>
      <c r="V43" s="3"/>
      <c r="W43" s="3"/>
      <c r="X43" s="3"/>
      <c r="Y43" s="3"/>
      <c r="Z43" s="3"/>
      <c r="AA43" s="3"/>
      <c r="AB43" s="3"/>
      <c r="AC43" s="3"/>
      <c r="AD43" s="2"/>
      <c r="AE43" s="108"/>
      <c r="AF43" s="359"/>
      <c r="AG43" s="359"/>
      <c r="AH43" s="359"/>
      <c r="AI43" s="359"/>
      <c r="AJ43" s="359"/>
      <c r="AK43" s="108"/>
      <c r="AL43" s="108"/>
      <c r="AM43" s="108"/>
      <c r="AN43" s="108"/>
      <c r="AO43" s="108"/>
      <c r="AP43" s="108"/>
      <c r="AQ43" s="108"/>
      <c r="AR43" s="108"/>
      <c r="AS43" s="108"/>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row>
    <row x14ac:dyDescent="0.25" r="44" customHeight="1" ht="13.5">
      <c r="A44" s="2"/>
      <c r="B44" s="3"/>
      <c r="C44" s="2"/>
      <c r="D44" s="240" t="s">
        <v>467</v>
      </c>
      <c r="E44" s="3"/>
      <c r="F44" s="3"/>
      <c r="G44" s="3"/>
      <c r="H44" s="3"/>
      <c r="I44" s="3"/>
      <c r="J44" s="3"/>
      <c r="K44" s="108"/>
      <c r="L44" s="108"/>
      <c r="M44" s="108"/>
      <c r="N44" s="2"/>
      <c r="O44" s="3"/>
      <c r="P44" s="3"/>
      <c r="Q44" s="3"/>
      <c r="R44" s="3"/>
      <c r="S44" s="3"/>
      <c r="T44" s="3"/>
      <c r="U44" s="3"/>
      <c r="V44" s="3"/>
      <c r="W44" s="3"/>
      <c r="X44" s="3"/>
      <c r="Y44" s="3"/>
      <c r="Z44" s="3"/>
      <c r="AA44" s="3"/>
      <c r="AB44" s="3"/>
      <c r="AC44" s="3"/>
      <c r="AD44" s="2"/>
      <c r="AE44" s="108"/>
      <c r="AF44" s="108"/>
      <c r="AG44" s="108"/>
      <c r="AH44" s="108"/>
      <c r="AI44" s="108"/>
      <c r="AJ44" s="108"/>
      <c r="AK44" s="108"/>
      <c r="AL44" s="108"/>
      <c r="AM44" s="108"/>
      <c r="AN44" s="108"/>
      <c r="AO44" s="108"/>
      <c r="AP44" s="108"/>
      <c r="AQ44" s="108"/>
      <c r="AR44" s="108"/>
      <c r="AS44" s="108"/>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row>
    <row x14ac:dyDescent="0.25" r="45" customHeight="1" ht="13.5">
      <c r="A45" s="2"/>
      <c r="B45" s="3"/>
      <c r="C45" s="2"/>
      <c r="D45" s="241" t="s">
        <v>468</v>
      </c>
      <c r="E45" s="3"/>
      <c r="F45" s="3"/>
      <c r="G45" s="3"/>
      <c r="H45" s="3"/>
      <c r="I45" s="3"/>
      <c r="J45" s="3"/>
      <c r="K45" s="108"/>
      <c r="L45" s="108"/>
      <c r="M45" s="108"/>
      <c r="N45" s="2"/>
      <c r="O45" s="3"/>
      <c r="P45" s="3"/>
      <c r="Q45" s="3"/>
      <c r="R45" s="3"/>
      <c r="S45" s="3"/>
      <c r="T45" s="3"/>
      <c r="U45" s="3"/>
      <c r="V45" s="3"/>
      <c r="W45" s="3"/>
      <c r="X45" s="3"/>
      <c r="Y45" s="3"/>
      <c r="Z45" s="3"/>
      <c r="AA45" s="3"/>
      <c r="AB45" s="3"/>
      <c r="AC45" s="3"/>
      <c r="AD45" s="2"/>
      <c r="AE45" s="108"/>
      <c r="AF45" s="108"/>
      <c r="AG45" s="108"/>
      <c r="AH45" s="108"/>
      <c r="AI45" s="108"/>
      <c r="AJ45" s="108"/>
      <c r="AK45" s="108"/>
      <c r="AL45" s="108"/>
      <c r="AM45" s="108"/>
      <c r="AN45" s="108"/>
      <c r="AO45" s="108"/>
      <c r="AP45" s="108"/>
      <c r="AQ45" s="108"/>
      <c r="AR45" s="108"/>
      <c r="AS45" s="108"/>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row>
    <row x14ac:dyDescent="0.25" r="46" customHeight="1" ht="13.5">
      <c r="A46" s="2"/>
      <c r="B46" s="3"/>
      <c r="C46" s="2"/>
      <c r="D46" s="246" t="s">
        <v>445</v>
      </c>
      <c r="E46" s="257">
        <v>2017</v>
      </c>
      <c r="F46" s="257">
        <v>2018</v>
      </c>
      <c r="G46" s="257">
        <v>2019</v>
      </c>
      <c r="H46" s="257">
        <v>2020</v>
      </c>
      <c r="I46" s="257">
        <v>2021</v>
      </c>
      <c r="J46" s="257">
        <v>2022</v>
      </c>
      <c r="K46" s="257">
        <v>2023</v>
      </c>
      <c r="L46" s="257">
        <v>2024</v>
      </c>
      <c r="M46" s="257">
        <v>2025</v>
      </c>
      <c r="N46" s="2"/>
      <c r="O46" s="3"/>
      <c r="P46" s="3"/>
      <c r="Q46" s="3"/>
      <c r="R46" s="3"/>
      <c r="S46" s="3"/>
      <c r="T46" s="3"/>
      <c r="U46" s="3"/>
      <c r="V46" s="3"/>
      <c r="W46" s="3"/>
      <c r="X46" s="3"/>
      <c r="Y46" s="3"/>
      <c r="Z46" s="3"/>
      <c r="AA46" s="3"/>
      <c r="AB46" s="3"/>
      <c r="AC46" s="3"/>
      <c r="AD46" s="2"/>
      <c r="AE46" s="108"/>
      <c r="AF46" s="108"/>
      <c r="AG46" s="108"/>
      <c r="AH46" s="108"/>
      <c r="AI46" s="108"/>
      <c r="AJ46" s="108"/>
      <c r="AK46" s="108"/>
      <c r="AL46" s="108"/>
      <c r="AM46" s="108"/>
      <c r="AN46" s="108"/>
      <c r="AO46" s="108"/>
      <c r="AP46" s="108"/>
      <c r="AQ46" s="108"/>
      <c r="AR46" s="108"/>
      <c r="AS46" s="108"/>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row>
    <row x14ac:dyDescent="0.25" r="47" customHeight="1" ht="13.5">
      <c r="A47" s="2"/>
      <c r="B47" s="3"/>
      <c r="C47" s="2"/>
      <c r="D47" s="371" t="s">
        <v>506</v>
      </c>
      <c r="E47" s="3"/>
      <c r="F47" s="3"/>
      <c r="G47" s="3"/>
      <c r="H47" s="3"/>
      <c r="I47" s="3"/>
      <c r="J47" s="3"/>
      <c r="K47" s="108"/>
      <c r="L47" s="108"/>
      <c r="M47" s="108"/>
      <c r="N47" s="2"/>
      <c r="O47" s="3"/>
      <c r="P47" s="3"/>
      <c r="Q47" s="3"/>
      <c r="R47" s="3"/>
      <c r="S47" s="3"/>
      <c r="T47" s="3"/>
      <c r="U47" s="3"/>
      <c r="V47" s="3"/>
      <c r="W47" s="3"/>
      <c r="X47" s="3"/>
      <c r="Y47" s="3"/>
      <c r="Z47" s="3"/>
      <c r="AA47" s="3"/>
      <c r="AB47" s="3"/>
      <c r="AC47" s="3"/>
      <c r="AD47" s="2"/>
      <c r="AE47" s="108"/>
      <c r="AF47" s="108"/>
      <c r="AG47" s="108"/>
      <c r="AH47" s="108"/>
      <c r="AI47" s="108"/>
      <c r="AJ47" s="108"/>
      <c r="AK47" s="108"/>
      <c r="AL47" s="108"/>
      <c r="AM47" s="108"/>
      <c r="AN47" s="108"/>
      <c r="AO47" s="108"/>
      <c r="AP47" s="108"/>
      <c r="AQ47" s="108"/>
      <c r="AR47" s="108"/>
      <c r="AS47" s="108"/>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row>
    <row x14ac:dyDescent="0.25" r="48" customHeight="1" ht="13.5">
      <c r="A48" s="2"/>
      <c r="B48" s="3"/>
      <c r="C48" s="2"/>
      <c r="D48" s="326" t="s">
        <v>336</v>
      </c>
      <c r="E48" s="364"/>
      <c r="F48" s="364"/>
      <c r="G48" s="364"/>
      <c r="H48" s="364"/>
      <c r="I48" s="364"/>
      <c r="J48" s="327"/>
      <c r="K48" s="327">
        <v>0</v>
      </c>
      <c r="L48" s="327">
        <v>0</v>
      </c>
      <c r="M48" s="327">
        <v>0</v>
      </c>
      <c r="N48" s="2"/>
      <c r="O48" s="3"/>
      <c r="P48" s="3"/>
      <c r="Q48" s="3"/>
      <c r="R48" s="3"/>
      <c r="S48" s="3"/>
      <c r="T48" s="3"/>
      <c r="U48" s="3"/>
      <c r="V48" s="3"/>
      <c r="W48" s="3"/>
      <c r="X48" s="3"/>
      <c r="Y48" s="3"/>
      <c r="Z48" s="3"/>
      <c r="AA48" s="3"/>
      <c r="AB48" s="3"/>
      <c r="AC48" s="3"/>
      <c r="AD48" s="2"/>
      <c r="AE48" s="108"/>
      <c r="AF48" s="108"/>
      <c r="AG48" s="108"/>
      <c r="AH48" s="108"/>
      <c r="AI48" s="108"/>
      <c r="AJ48" s="108"/>
      <c r="AK48" s="108"/>
      <c r="AL48" s="108"/>
      <c r="AM48" s="108"/>
      <c r="AN48" s="108"/>
      <c r="AO48" s="108"/>
      <c r="AP48" s="108"/>
      <c r="AQ48" s="108"/>
      <c r="AR48" s="108"/>
      <c r="AS48" s="108"/>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row>
    <row x14ac:dyDescent="0.25" r="49" customHeight="1" ht="13.5">
      <c r="A49" s="2"/>
      <c r="B49" s="3"/>
      <c r="C49" s="2"/>
      <c r="D49" s="2"/>
      <c r="E49" s="3"/>
      <c r="F49" s="3"/>
      <c r="G49" s="3"/>
      <c r="H49" s="3"/>
      <c r="I49" s="3"/>
      <c r="J49" s="3"/>
      <c r="K49" s="108"/>
      <c r="L49" s="108"/>
      <c r="M49" s="108"/>
      <c r="N49" s="2"/>
      <c r="O49" s="3"/>
      <c r="P49" s="3"/>
      <c r="Q49" s="3"/>
      <c r="R49" s="3"/>
      <c r="S49" s="3"/>
      <c r="T49" s="3"/>
      <c r="U49" s="3"/>
      <c r="V49" s="3"/>
      <c r="W49" s="3"/>
      <c r="X49" s="3"/>
      <c r="Y49" s="3"/>
      <c r="Z49" s="3"/>
      <c r="AA49" s="3"/>
      <c r="AB49" s="3"/>
      <c r="AC49" s="3"/>
      <c r="AD49" s="2"/>
      <c r="AE49" s="108"/>
      <c r="AF49" s="108"/>
      <c r="AG49" s="108"/>
      <c r="AH49" s="108"/>
      <c r="AI49" s="108"/>
      <c r="AJ49" s="108"/>
      <c r="AK49" s="108"/>
      <c r="AL49" s="108"/>
      <c r="AM49" s="108"/>
      <c r="AN49" s="108"/>
      <c r="AO49" s="108"/>
      <c r="AP49" s="108"/>
      <c r="AQ49" s="108"/>
      <c r="AR49" s="108"/>
      <c r="AS49" s="108"/>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row>
    <row x14ac:dyDescent="0.25" r="50" customHeight="1" ht="13.5">
      <c r="A50" s="2"/>
      <c r="B50" s="3"/>
      <c r="C50" s="2"/>
      <c r="D50" s="240" t="s">
        <v>467</v>
      </c>
      <c r="E50" s="3"/>
      <c r="F50" s="3"/>
      <c r="G50" s="3"/>
      <c r="H50" s="3"/>
      <c r="I50" s="3"/>
      <c r="J50" s="3"/>
      <c r="K50" s="108"/>
      <c r="L50" s="108"/>
      <c r="M50" s="108"/>
      <c r="N50" s="2"/>
      <c r="O50" s="3"/>
      <c r="P50" s="3"/>
      <c r="Q50" s="3"/>
      <c r="R50" s="3"/>
      <c r="S50" s="3"/>
      <c r="T50" s="3"/>
      <c r="U50" s="3"/>
      <c r="V50" s="3"/>
      <c r="W50" s="3"/>
      <c r="X50" s="3"/>
      <c r="Y50" s="3"/>
      <c r="Z50" s="3"/>
      <c r="AA50" s="3"/>
      <c r="AB50" s="3"/>
      <c r="AC50" s="3"/>
      <c r="AD50" s="2"/>
      <c r="AE50" s="108"/>
      <c r="AF50" s="108"/>
      <c r="AG50" s="108"/>
      <c r="AH50" s="108"/>
      <c r="AI50" s="108"/>
      <c r="AJ50" s="108"/>
      <c r="AK50" s="108"/>
      <c r="AL50" s="108"/>
      <c r="AM50" s="108"/>
      <c r="AN50" s="108"/>
      <c r="AO50" s="108"/>
      <c r="AP50" s="108"/>
      <c r="AQ50" s="108"/>
      <c r="AR50" s="108"/>
      <c r="AS50" s="108"/>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row>
    <row x14ac:dyDescent="0.25" r="51" customHeight="1" ht="13.5">
      <c r="A51" s="2"/>
      <c r="B51" s="3"/>
      <c r="C51" s="2"/>
      <c r="D51" s="241" t="s">
        <v>468</v>
      </c>
      <c r="E51" s="3"/>
      <c r="F51" s="3"/>
      <c r="G51" s="3"/>
      <c r="H51" s="3"/>
      <c r="I51" s="3"/>
      <c r="J51" s="3"/>
      <c r="K51" s="108"/>
      <c r="L51" s="108"/>
      <c r="M51" s="108"/>
      <c r="N51" s="2"/>
      <c r="O51" s="3"/>
      <c r="P51" s="3"/>
      <c r="Q51" s="3"/>
      <c r="R51" s="3"/>
      <c r="S51" s="3"/>
      <c r="T51" s="3"/>
      <c r="U51" s="3"/>
      <c r="V51" s="3"/>
      <c r="W51" s="3"/>
      <c r="X51" s="3"/>
      <c r="Y51" s="3"/>
      <c r="Z51" s="3"/>
      <c r="AA51" s="3"/>
      <c r="AB51" s="3"/>
      <c r="AC51" s="3"/>
      <c r="AD51" s="2"/>
      <c r="AE51" s="108"/>
      <c r="AF51" s="108"/>
      <c r="AG51" s="108"/>
      <c r="AH51" s="108"/>
      <c r="AI51" s="108"/>
      <c r="AJ51" s="108"/>
      <c r="AK51" s="108"/>
      <c r="AL51" s="108"/>
      <c r="AM51" s="108"/>
      <c r="AN51" s="108"/>
      <c r="AO51" s="108"/>
      <c r="AP51" s="108"/>
      <c r="AQ51" s="108"/>
      <c r="AR51" s="108"/>
      <c r="AS51" s="108"/>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row>
    <row x14ac:dyDescent="0.25" r="52" customHeight="1" ht="13.5">
      <c r="A52" s="2"/>
      <c r="B52" s="3"/>
      <c r="C52" s="2"/>
      <c r="D52" s="246" t="s">
        <v>475</v>
      </c>
      <c r="E52" s="257">
        <v>2017</v>
      </c>
      <c r="F52" s="257">
        <v>2018</v>
      </c>
      <c r="G52" s="257">
        <v>2019</v>
      </c>
      <c r="H52" s="257">
        <v>2020</v>
      </c>
      <c r="I52" s="257">
        <v>2021</v>
      </c>
      <c r="J52" s="257">
        <v>2022</v>
      </c>
      <c r="K52" s="257">
        <v>2023</v>
      </c>
      <c r="L52" s="257">
        <v>2024</v>
      </c>
      <c r="M52" s="257">
        <v>2025</v>
      </c>
      <c r="N52" s="2"/>
      <c r="O52" s="3"/>
      <c r="P52" s="3"/>
      <c r="Q52" s="3"/>
      <c r="R52" s="3"/>
      <c r="S52" s="3"/>
      <c r="T52" s="3"/>
      <c r="U52" s="3"/>
      <c r="V52" s="3"/>
      <c r="W52" s="3"/>
      <c r="X52" s="3"/>
      <c r="Y52" s="3"/>
      <c r="Z52" s="3"/>
      <c r="AA52" s="3"/>
      <c r="AB52" s="3"/>
      <c r="AC52" s="3"/>
      <c r="AD52" s="2"/>
      <c r="AE52" s="108"/>
      <c r="AF52" s="108"/>
      <c r="AG52" s="108"/>
      <c r="AH52" s="108"/>
      <c r="AI52" s="108"/>
      <c r="AJ52" s="108"/>
      <c r="AK52" s="108"/>
      <c r="AL52" s="108"/>
      <c r="AM52" s="108"/>
      <c r="AN52" s="108"/>
      <c r="AO52" s="108"/>
      <c r="AP52" s="108"/>
      <c r="AQ52" s="108"/>
      <c r="AR52" s="108"/>
      <c r="AS52" s="108"/>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row>
    <row x14ac:dyDescent="0.25" r="53" customHeight="1" ht="13.5">
      <c r="A53" s="2"/>
      <c r="B53" s="3"/>
      <c r="C53" s="2"/>
      <c r="D53" s="371" t="s">
        <v>506</v>
      </c>
      <c r="E53" s="3"/>
      <c r="F53" s="3"/>
      <c r="G53" s="3"/>
      <c r="H53" s="3"/>
      <c r="I53" s="3"/>
      <c r="J53" s="3"/>
      <c r="K53" s="108"/>
      <c r="L53" s="108"/>
      <c r="M53" s="108"/>
      <c r="N53" s="2"/>
      <c r="O53" s="3"/>
      <c r="P53" s="3"/>
      <c r="Q53" s="3"/>
      <c r="R53" s="3"/>
      <c r="S53" s="3"/>
      <c r="T53" s="3"/>
      <c r="U53" s="3"/>
      <c r="V53" s="3"/>
      <c r="W53" s="3"/>
      <c r="X53" s="3"/>
      <c r="Y53" s="3"/>
      <c r="Z53" s="3"/>
      <c r="AA53" s="3"/>
      <c r="AB53" s="3"/>
      <c r="AC53" s="3"/>
      <c r="AD53" s="2"/>
      <c r="AE53" s="108"/>
      <c r="AF53" s="108"/>
      <c r="AG53" s="108"/>
      <c r="AH53" s="108"/>
      <c r="AI53" s="108"/>
      <c r="AJ53" s="108"/>
      <c r="AK53" s="108"/>
      <c r="AL53" s="108"/>
      <c r="AM53" s="108"/>
      <c r="AN53" s="108"/>
      <c r="AO53" s="108"/>
      <c r="AP53" s="108"/>
      <c r="AQ53" s="108"/>
      <c r="AR53" s="108"/>
      <c r="AS53" s="108"/>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row>
    <row x14ac:dyDescent="0.25" r="54" customHeight="1" ht="13.5">
      <c r="A54" s="2"/>
      <c r="B54" s="3"/>
      <c r="C54" s="2"/>
      <c r="D54" s="326" t="s">
        <v>336</v>
      </c>
      <c r="E54" s="364"/>
      <c r="F54" s="364"/>
      <c r="G54" s="364"/>
      <c r="H54" s="364"/>
      <c r="I54" s="364"/>
      <c r="J54" s="327"/>
      <c r="K54" s="327">
        <v>0</v>
      </c>
      <c r="L54" s="327">
        <v>0</v>
      </c>
      <c r="M54" s="327">
        <v>0</v>
      </c>
      <c r="N54" s="2"/>
      <c r="O54" s="3"/>
      <c r="P54" s="3"/>
      <c r="Q54" s="3"/>
      <c r="R54" s="3"/>
      <c r="S54" s="3"/>
      <c r="T54" s="3"/>
      <c r="U54" s="3"/>
      <c r="V54" s="3"/>
      <c r="W54" s="3"/>
      <c r="X54" s="3"/>
      <c r="Y54" s="3"/>
      <c r="Z54" s="3"/>
      <c r="AA54" s="3"/>
      <c r="AB54" s="3"/>
      <c r="AC54" s="3"/>
      <c r="AD54" s="2"/>
      <c r="AE54" s="108"/>
      <c r="AF54" s="108"/>
      <c r="AG54" s="108"/>
      <c r="AH54" s="108"/>
      <c r="AI54" s="108"/>
      <c r="AJ54" s="108"/>
      <c r="AK54" s="108"/>
      <c r="AL54" s="108"/>
      <c r="AM54" s="108"/>
      <c r="AN54" s="108"/>
      <c r="AO54" s="108"/>
      <c r="AP54" s="108"/>
      <c r="AQ54" s="108"/>
      <c r="AR54" s="108"/>
      <c r="AS54" s="108"/>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row>
    <row x14ac:dyDescent="0.25" r="55" customHeight="1" ht="13.5">
      <c r="A55" s="2"/>
      <c r="B55" s="3"/>
      <c r="C55" s="2"/>
      <c r="D55" s="2"/>
      <c r="E55" s="3"/>
      <c r="F55" s="3"/>
      <c r="G55" s="3"/>
      <c r="H55" s="3"/>
      <c r="I55" s="3"/>
      <c r="J55" s="3"/>
      <c r="K55" s="108"/>
      <c r="L55" s="108"/>
      <c r="M55" s="108"/>
      <c r="N55" s="2"/>
      <c r="O55" s="3"/>
      <c r="P55" s="3"/>
      <c r="Q55" s="3"/>
      <c r="R55" s="3"/>
      <c r="S55" s="3"/>
      <c r="T55" s="3"/>
      <c r="U55" s="3"/>
      <c r="V55" s="3"/>
      <c r="W55" s="3"/>
      <c r="X55" s="3"/>
      <c r="Y55" s="3"/>
      <c r="Z55" s="3"/>
      <c r="AA55" s="3"/>
      <c r="AB55" s="3"/>
      <c r="AC55" s="3"/>
      <c r="AD55" s="2"/>
      <c r="AE55" s="108"/>
      <c r="AF55" s="108"/>
      <c r="AG55" s="108"/>
      <c r="AH55" s="108"/>
      <c r="AI55" s="108"/>
      <c r="AJ55" s="108"/>
      <c r="AK55" s="108"/>
      <c r="AL55" s="108"/>
      <c r="AM55" s="108"/>
      <c r="AN55" s="108"/>
      <c r="AO55" s="108"/>
      <c r="AP55" s="108"/>
      <c r="AQ55" s="108"/>
      <c r="AR55" s="108"/>
      <c r="AS55" s="108"/>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row>
    <row x14ac:dyDescent="0.25" r="56" customHeight="1" ht="13.5">
      <c r="A56" s="2"/>
      <c r="B56" s="198">
        <v>2</v>
      </c>
      <c r="C56" s="2"/>
      <c r="D56" s="275" t="s">
        <v>507</v>
      </c>
      <c r="E56" s="3"/>
      <c r="F56" s="3"/>
      <c r="G56" s="3"/>
      <c r="H56" s="3"/>
      <c r="I56" s="3"/>
      <c r="J56" s="3"/>
      <c r="K56" s="108"/>
      <c r="L56" s="108"/>
      <c r="M56" s="108"/>
      <c r="N56" s="2"/>
      <c r="O56" s="3"/>
      <c r="P56" s="3"/>
      <c r="Q56" s="3"/>
      <c r="R56" s="3"/>
      <c r="S56" s="3"/>
      <c r="T56" s="3"/>
      <c r="U56" s="3"/>
      <c r="V56" s="3"/>
      <c r="W56" s="3"/>
      <c r="X56" s="3"/>
      <c r="Y56" s="3"/>
      <c r="Z56" s="3"/>
      <c r="AA56" s="3"/>
      <c r="AB56" s="3"/>
      <c r="AC56" s="3"/>
      <c r="AD56" s="2"/>
      <c r="AE56" s="108"/>
      <c r="AF56" s="108"/>
      <c r="AG56" s="108"/>
      <c r="AH56" s="108"/>
      <c r="AI56" s="108"/>
      <c r="AJ56" s="108"/>
      <c r="AK56" s="108"/>
      <c r="AL56" s="108"/>
      <c r="AM56" s="108"/>
      <c r="AN56" s="108"/>
      <c r="AO56" s="108"/>
      <c r="AP56" s="108"/>
      <c r="AQ56" s="108"/>
      <c r="AR56" s="108"/>
      <c r="AS56" s="108"/>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row>
    <row x14ac:dyDescent="0.25" r="57" customHeight="1" ht="18.75">
      <c r="A57" s="2"/>
      <c r="B57" s="3"/>
      <c r="C57" s="2"/>
      <c r="D57" s="2"/>
      <c r="E57" s="3"/>
      <c r="F57" s="3"/>
      <c r="G57" s="3"/>
      <c r="H57" s="3"/>
      <c r="I57" s="3"/>
      <c r="J57" s="3"/>
      <c r="K57" s="108"/>
      <c r="L57" s="108"/>
      <c r="M57" s="108"/>
      <c r="N57" s="2"/>
      <c r="O57" s="3"/>
      <c r="P57" s="3"/>
      <c r="Q57" s="3"/>
      <c r="R57" s="3"/>
      <c r="S57" s="3"/>
      <c r="T57" s="3"/>
      <c r="U57" s="3"/>
      <c r="V57" s="3"/>
      <c r="W57" s="3"/>
      <c r="X57" s="3"/>
      <c r="Y57" s="3"/>
      <c r="Z57" s="3"/>
      <c r="AA57" s="3"/>
      <c r="AB57" s="3"/>
      <c r="AC57" s="3"/>
      <c r="AD57" s="2"/>
      <c r="AE57" s="108"/>
      <c r="AF57" s="108"/>
      <c r="AG57" s="108"/>
      <c r="AH57" s="108"/>
      <c r="AI57" s="108"/>
      <c r="AJ57" s="108"/>
      <c r="AK57" s="108"/>
      <c r="AL57" s="108"/>
      <c r="AM57" s="108"/>
      <c r="AN57" s="108"/>
      <c r="AO57" s="108"/>
      <c r="AP57" s="108"/>
      <c r="AQ57" s="108"/>
      <c r="AR57" s="108"/>
      <c r="AS57" s="108"/>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row>
    <row x14ac:dyDescent="0.25" r="58" customHeight="1" ht="13.5">
      <c r="A58" s="2"/>
      <c r="B58" s="3"/>
      <c r="C58" s="2"/>
      <c r="D58" s="240" t="s">
        <v>467</v>
      </c>
      <c r="E58" s="3"/>
      <c r="F58" s="3"/>
      <c r="G58" s="3"/>
      <c r="H58" s="3"/>
      <c r="I58" s="3"/>
      <c r="J58" s="3"/>
      <c r="K58" s="108"/>
      <c r="L58" s="108"/>
      <c r="M58" s="108"/>
      <c r="N58" s="2"/>
      <c r="O58" s="3"/>
      <c r="P58" s="3"/>
      <c r="Q58" s="3"/>
      <c r="R58" s="3"/>
      <c r="S58" s="3"/>
      <c r="T58" s="3"/>
      <c r="U58" s="3"/>
      <c r="V58" s="3"/>
      <c r="W58" s="3"/>
      <c r="X58" s="3"/>
      <c r="Y58" s="3"/>
      <c r="Z58" s="3"/>
      <c r="AA58" s="3"/>
      <c r="AB58" s="3"/>
      <c r="AC58" s="3"/>
      <c r="AD58" s="2"/>
      <c r="AE58" s="108"/>
      <c r="AF58" s="108"/>
      <c r="AG58" s="108"/>
      <c r="AH58" s="108"/>
      <c r="AI58" s="108"/>
      <c r="AJ58" s="108"/>
      <c r="AK58" s="108"/>
      <c r="AL58" s="108"/>
      <c r="AM58" s="108"/>
      <c r="AN58" s="108"/>
      <c r="AO58" s="108"/>
      <c r="AP58" s="108"/>
      <c r="AQ58" s="108"/>
      <c r="AR58" s="108"/>
      <c r="AS58" s="108"/>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row>
    <row x14ac:dyDescent="0.25" r="59" customHeight="1" ht="13.5">
      <c r="A59" s="2"/>
      <c r="B59" s="3"/>
      <c r="C59" s="2"/>
      <c r="D59" s="241" t="s">
        <v>468</v>
      </c>
      <c r="E59" s="3"/>
      <c r="F59" s="3"/>
      <c r="G59" s="3"/>
      <c r="H59" s="3"/>
      <c r="I59" s="3"/>
      <c r="J59" s="3"/>
      <c r="K59" s="108"/>
      <c r="L59" s="108"/>
      <c r="M59" s="108"/>
      <c r="N59" s="2"/>
      <c r="O59" s="3"/>
      <c r="P59" s="3"/>
      <c r="Q59" s="3"/>
      <c r="R59" s="3"/>
      <c r="S59" s="3"/>
      <c r="T59" s="3"/>
      <c r="U59" s="3"/>
      <c r="V59" s="3"/>
      <c r="W59" s="3"/>
      <c r="X59" s="3"/>
      <c r="Y59" s="3"/>
      <c r="Z59" s="3"/>
      <c r="AA59" s="3"/>
      <c r="AB59" s="3"/>
      <c r="AC59" s="3"/>
      <c r="AD59" s="2"/>
      <c r="AE59" s="108"/>
      <c r="AF59" s="108"/>
      <c r="AG59" s="108"/>
      <c r="AH59" s="108"/>
      <c r="AI59" s="108"/>
      <c r="AJ59" s="108"/>
      <c r="AK59" s="108"/>
      <c r="AL59" s="108"/>
      <c r="AM59" s="108"/>
      <c r="AN59" s="108"/>
      <c r="AO59" s="108"/>
      <c r="AP59" s="108"/>
      <c r="AQ59" s="108"/>
      <c r="AR59" s="108"/>
      <c r="AS59" s="108"/>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row>
    <row x14ac:dyDescent="0.25" r="60" customHeight="1" ht="13.5">
      <c r="A60" s="2"/>
      <c r="B60" s="3"/>
      <c r="C60" s="2"/>
      <c r="D60" s="246" t="s">
        <v>445</v>
      </c>
      <c r="E60" s="257">
        <v>2017</v>
      </c>
      <c r="F60" s="257">
        <v>2018</v>
      </c>
      <c r="G60" s="257">
        <v>2019</v>
      </c>
      <c r="H60" s="257">
        <v>2020</v>
      </c>
      <c r="I60" s="257">
        <v>2021</v>
      </c>
      <c r="J60" s="257">
        <v>2022</v>
      </c>
      <c r="K60" s="257">
        <v>2023</v>
      </c>
      <c r="L60" s="257">
        <v>2024</v>
      </c>
      <c r="M60" s="257">
        <v>2025</v>
      </c>
      <c r="N60" s="2"/>
      <c r="O60" s="3"/>
      <c r="P60" s="3"/>
      <c r="Q60" s="3"/>
      <c r="R60" s="3"/>
      <c r="S60" s="3"/>
      <c r="T60" s="3"/>
      <c r="U60" s="3"/>
      <c r="V60" s="3"/>
      <c r="W60" s="3"/>
      <c r="X60" s="3"/>
      <c r="Y60" s="3"/>
      <c r="Z60" s="3"/>
      <c r="AA60" s="3"/>
      <c r="AB60" s="3"/>
      <c r="AC60" s="3"/>
      <c r="AD60" s="2"/>
      <c r="AE60" s="108"/>
      <c r="AF60" s="108"/>
      <c r="AG60" s="108"/>
      <c r="AH60" s="108"/>
      <c r="AI60" s="108"/>
      <c r="AJ60" s="108"/>
      <c r="AK60" s="108"/>
      <c r="AL60" s="108"/>
      <c r="AM60" s="108"/>
      <c r="AN60" s="108"/>
      <c r="AO60" s="108"/>
      <c r="AP60" s="108"/>
      <c r="AQ60" s="108"/>
      <c r="AR60" s="108"/>
      <c r="AS60" s="108"/>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row>
    <row x14ac:dyDescent="0.25" r="61" customHeight="1" ht="13.5">
      <c r="A61" s="2"/>
      <c r="B61" s="3"/>
      <c r="C61" s="2"/>
      <c r="D61" s="371" t="s">
        <v>506</v>
      </c>
      <c r="E61" s="3"/>
      <c r="F61" s="3"/>
      <c r="G61" s="3"/>
      <c r="H61" s="3"/>
      <c r="I61" s="3"/>
      <c r="J61" s="3"/>
      <c r="K61" s="108"/>
      <c r="L61" s="108"/>
      <c r="M61" s="108"/>
      <c r="N61" s="2"/>
      <c r="O61" s="3"/>
      <c r="P61" s="3"/>
      <c r="Q61" s="3"/>
      <c r="R61" s="3"/>
      <c r="S61" s="3"/>
      <c r="T61" s="3"/>
      <c r="U61" s="3"/>
      <c r="V61" s="3"/>
      <c r="W61" s="3"/>
      <c r="X61" s="3"/>
      <c r="Y61" s="3"/>
      <c r="Z61" s="3"/>
      <c r="AA61" s="3"/>
      <c r="AB61" s="3"/>
      <c r="AC61" s="3"/>
      <c r="AD61" s="2"/>
      <c r="AE61" s="108"/>
      <c r="AF61" s="108"/>
      <c r="AG61" s="108"/>
      <c r="AH61" s="108"/>
      <c r="AI61" s="108"/>
      <c r="AJ61" s="108"/>
      <c r="AK61" s="108"/>
      <c r="AL61" s="108"/>
      <c r="AM61" s="108"/>
      <c r="AN61" s="108"/>
      <c r="AO61" s="108"/>
      <c r="AP61" s="108"/>
      <c r="AQ61" s="108"/>
      <c r="AR61" s="108"/>
      <c r="AS61" s="108"/>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row>
    <row x14ac:dyDescent="0.25" r="62" customHeight="1" ht="13.5">
      <c r="A62" s="2"/>
      <c r="B62" s="3"/>
      <c r="C62" s="2"/>
      <c r="D62" s="326" t="s">
        <v>336</v>
      </c>
      <c r="E62" s="364"/>
      <c r="F62" s="364"/>
      <c r="G62" s="364"/>
      <c r="H62" s="364"/>
      <c r="I62" s="364"/>
      <c r="J62" s="327"/>
      <c r="K62" s="327">
        <v>0</v>
      </c>
      <c r="L62" s="327">
        <v>0</v>
      </c>
      <c r="M62" s="327">
        <v>0</v>
      </c>
      <c r="N62" s="2"/>
      <c r="O62" s="3"/>
      <c r="P62" s="3"/>
      <c r="Q62" s="3"/>
      <c r="R62" s="3"/>
      <c r="S62" s="3"/>
      <c r="T62" s="3"/>
      <c r="U62" s="3"/>
      <c r="V62" s="3"/>
      <c r="W62" s="3"/>
      <c r="X62" s="3"/>
      <c r="Y62" s="3"/>
      <c r="Z62" s="3"/>
      <c r="AA62" s="3"/>
      <c r="AB62" s="3"/>
      <c r="AC62" s="3"/>
      <c r="AD62" s="2"/>
      <c r="AE62" s="108"/>
      <c r="AF62" s="108"/>
      <c r="AG62" s="108"/>
      <c r="AH62" s="108"/>
      <c r="AI62" s="108"/>
      <c r="AJ62" s="108"/>
      <c r="AK62" s="108"/>
      <c r="AL62" s="108"/>
      <c r="AM62" s="108"/>
      <c r="AN62" s="108"/>
      <c r="AO62" s="108"/>
      <c r="AP62" s="108"/>
      <c r="AQ62" s="108"/>
      <c r="AR62" s="108"/>
      <c r="AS62" s="108"/>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row>
    <row x14ac:dyDescent="0.25" r="63" customHeight="1" ht="13.5">
      <c r="A63" s="2"/>
      <c r="B63" s="3"/>
      <c r="C63" s="2"/>
      <c r="D63" s="2"/>
      <c r="E63" s="3"/>
      <c r="F63" s="3"/>
      <c r="G63" s="3"/>
      <c r="H63" s="3"/>
      <c r="I63" s="3"/>
      <c r="J63" s="3"/>
      <c r="K63" s="108"/>
      <c r="L63" s="108"/>
      <c r="M63" s="108"/>
      <c r="N63" s="2"/>
      <c r="O63" s="3"/>
      <c r="P63" s="3"/>
      <c r="Q63" s="3"/>
      <c r="R63" s="3"/>
      <c r="S63" s="3"/>
      <c r="T63" s="3"/>
      <c r="U63" s="3"/>
      <c r="V63" s="3"/>
      <c r="W63" s="3"/>
      <c r="X63" s="3"/>
      <c r="Y63" s="3"/>
      <c r="Z63" s="3"/>
      <c r="AA63" s="3"/>
      <c r="AB63" s="3"/>
      <c r="AC63" s="3"/>
      <c r="AD63" s="2"/>
      <c r="AE63" s="108"/>
      <c r="AF63" s="108"/>
      <c r="AG63" s="108"/>
      <c r="AH63" s="108"/>
      <c r="AI63" s="108"/>
      <c r="AJ63" s="108"/>
      <c r="AK63" s="108"/>
      <c r="AL63" s="108"/>
      <c r="AM63" s="108"/>
      <c r="AN63" s="108"/>
      <c r="AO63" s="108"/>
      <c r="AP63" s="108"/>
      <c r="AQ63" s="108"/>
      <c r="AR63" s="108"/>
      <c r="AS63" s="108"/>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row>
    <row x14ac:dyDescent="0.25" r="64" customHeight="1" ht="13.5">
      <c r="A64" s="2"/>
      <c r="B64" s="3"/>
      <c r="C64" s="2"/>
      <c r="D64" s="240" t="s">
        <v>467</v>
      </c>
      <c r="E64" s="3"/>
      <c r="F64" s="3"/>
      <c r="G64" s="3"/>
      <c r="H64" s="3"/>
      <c r="I64" s="3"/>
      <c r="J64" s="3"/>
      <c r="K64" s="108"/>
      <c r="L64" s="108"/>
      <c r="M64" s="108"/>
      <c r="N64" s="2"/>
      <c r="O64" s="3"/>
      <c r="P64" s="3"/>
      <c r="Q64" s="3"/>
      <c r="R64" s="3"/>
      <c r="S64" s="3"/>
      <c r="T64" s="3"/>
      <c r="U64" s="3"/>
      <c r="V64" s="3"/>
      <c r="W64" s="3"/>
      <c r="X64" s="3"/>
      <c r="Y64" s="3"/>
      <c r="Z64" s="3"/>
      <c r="AA64" s="3"/>
      <c r="AB64" s="3"/>
      <c r="AC64" s="3"/>
      <c r="AD64" s="2"/>
      <c r="AE64" s="108"/>
      <c r="AF64" s="108"/>
      <c r="AG64" s="108"/>
      <c r="AH64" s="108"/>
      <c r="AI64" s="108"/>
      <c r="AJ64" s="108"/>
      <c r="AK64" s="108"/>
      <c r="AL64" s="108"/>
      <c r="AM64" s="108"/>
      <c r="AN64" s="108"/>
      <c r="AO64" s="108"/>
      <c r="AP64" s="108"/>
      <c r="AQ64" s="108"/>
      <c r="AR64" s="108"/>
      <c r="AS64" s="108"/>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row>
    <row x14ac:dyDescent="0.25" r="65" customHeight="1" ht="13.5">
      <c r="A65" s="2"/>
      <c r="B65" s="3"/>
      <c r="C65" s="2"/>
      <c r="D65" s="241" t="s">
        <v>468</v>
      </c>
      <c r="E65" s="3"/>
      <c r="F65" s="3"/>
      <c r="G65" s="3"/>
      <c r="H65" s="3"/>
      <c r="I65" s="3"/>
      <c r="J65" s="3"/>
      <c r="K65" s="108"/>
      <c r="L65" s="108"/>
      <c r="M65" s="108"/>
      <c r="N65" s="2"/>
      <c r="O65" s="3"/>
      <c r="P65" s="3"/>
      <c r="Q65" s="3"/>
      <c r="R65" s="3"/>
      <c r="S65" s="3"/>
      <c r="T65" s="3"/>
      <c r="U65" s="3"/>
      <c r="V65" s="3"/>
      <c r="W65" s="3"/>
      <c r="X65" s="3"/>
      <c r="Y65" s="3"/>
      <c r="Z65" s="3"/>
      <c r="AA65" s="3"/>
      <c r="AB65" s="3"/>
      <c r="AC65" s="3"/>
      <c r="AD65" s="2"/>
      <c r="AE65" s="108"/>
      <c r="AF65" s="108"/>
      <c r="AG65" s="108"/>
      <c r="AH65" s="108"/>
      <c r="AI65" s="108"/>
      <c r="AJ65" s="108"/>
      <c r="AK65" s="108"/>
      <c r="AL65" s="108"/>
      <c r="AM65" s="108"/>
      <c r="AN65" s="108"/>
      <c r="AO65" s="108"/>
      <c r="AP65" s="108"/>
      <c r="AQ65" s="108"/>
      <c r="AR65" s="108"/>
      <c r="AS65" s="108"/>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row>
    <row x14ac:dyDescent="0.25" r="66" customHeight="1" ht="13.5">
      <c r="A66" s="2"/>
      <c r="B66" s="3"/>
      <c r="C66" s="2"/>
      <c r="D66" s="246" t="s">
        <v>475</v>
      </c>
      <c r="E66" s="257">
        <v>2017</v>
      </c>
      <c r="F66" s="257">
        <v>2018</v>
      </c>
      <c r="G66" s="257">
        <v>2019</v>
      </c>
      <c r="H66" s="257">
        <v>2020</v>
      </c>
      <c r="I66" s="257">
        <v>2021</v>
      </c>
      <c r="J66" s="257">
        <v>2022</v>
      </c>
      <c r="K66" s="257">
        <v>2023</v>
      </c>
      <c r="L66" s="257">
        <v>2024</v>
      </c>
      <c r="M66" s="257">
        <v>2025</v>
      </c>
      <c r="N66" s="2"/>
      <c r="O66" s="3"/>
      <c r="P66" s="3"/>
      <c r="Q66" s="3"/>
      <c r="R66" s="3"/>
      <c r="S66" s="3"/>
      <c r="T66" s="3"/>
      <c r="U66" s="3"/>
      <c r="V66" s="3"/>
      <c r="W66" s="3"/>
      <c r="X66" s="3"/>
      <c r="Y66" s="3"/>
      <c r="Z66" s="3"/>
      <c r="AA66" s="3"/>
      <c r="AB66" s="3"/>
      <c r="AC66" s="3"/>
      <c r="AD66" s="2"/>
      <c r="AE66" s="108"/>
      <c r="AF66" s="108"/>
      <c r="AG66" s="108"/>
      <c r="AH66" s="108"/>
      <c r="AI66" s="108"/>
      <c r="AJ66" s="108"/>
      <c r="AK66" s="108"/>
      <c r="AL66" s="108"/>
      <c r="AM66" s="108"/>
      <c r="AN66" s="108"/>
      <c r="AO66" s="108"/>
      <c r="AP66" s="108"/>
      <c r="AQ66" s="108"/>
      <c r="AR66" s="108"/>
      <c r="AS66" s="108"/>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row>
    <row x14ac:dyDescent="0.25" r="67" customHeight="1" ht="13.5">
      <c r="A67" s="2"/>
      <c r="B67" s="3"/>
      <c r="C67" s="2"/>
      <c r="D67" s="371" t="s">
        <v>506</v>
      </c>
      <c r="E67" s="3"/>
      <c r="F67" s="3"/>
      <c r="G67" s="3"/>
      <c r="H67" s="3"/>
      <c r="I67" s="3"/>
      <c r="J67" s="3"/>
      <c r="K67" s="108"/>
      <c r="L67" s="108"/>
      <c r="M67" s="108"/>
      <c r="N67" s="2"/>
      <c r="O67" s="3"/>
      <c r="P67" s="3"/>
      <c r="Q67" s="3"/>
      <c r="R67" s="3"/>
      <c r="S67" s="3"/>
      <c r="T67" s="3"/>
      <c r="U67" s="3"/>
      <c r="V67" s="3"/>
      <c r="W67" s="3"/>
      <c r="X67" s="3"/>
      <c r="Y67" s="3"/>
      <c r="Z67" s="3"/>
      <c r="AA67" s="3"/>
      <c r="AB67" s="3"/>
      <c r="AC67" s="3"/>
      <c r="AD67" s="2"/>
      <c r="AE67" s="108"/>
      <c r="AF67" s="108"/>
      <c r="AG67" s="108"/>
      <c r="AH67" s="108"/>
      <c r="AI67" s="108"/>
      <c r="AJ67" s="108"/>
      <c r="AK67" s="108"/>
      <c r="AL67" s="108"/>
      <c r="AM67" s="108"/>
      <c r="AN67" s="108"/>
      <c r="AO67" s="108"/>
      <c r="AP67" s="108"/>
      <c r="AQ67" s="108"/>
      <c r="AR67" s="108"/>
      <c r="AS67" s="108"/>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row>
    <row x14ac:dyDescent="0.25" r="68" customHeight="1" ht="13.5">
      <c r="A68" s="2"/>
      <c r="B68" s="3"/>
      <c r="C68" s="2"/>
      <c r="D68" s="326" t="s">
        <v>336</v>
      </c>
      <c r="E68" s="364"/>
      <c r="F68" s="364"/>
      <c r="G68" s="364"/>
      <c r="H68" s="364"/>
      <c r="I68" s="364"/>
      <c r="J68" s="327"/>
      <c r="K68" s="327">
        <v>0</v>
      </c>
      <c r="L68" s="327">
        <v>0</v>
      </c>
      <c r="M68" s="327">
        <v>0</v>
      </c>
      <c r="N68" s="2"/>
      <c r="O68" s="3"/>
      <c r="P68" s="3"/>
      <c r="Q68" s="3"/>
      <c r="R68" s="3"/>
      <c r="S68" s="3"/>
      <c r="T68" s="3"/>
      <c r="U68" s="3"/>
      <c r="V68" s="3"/>
      <c r="W68" s="3"/>
      <c r="X68" s="3"/>
      <c r="Y68" s="3"/>
      <c r="Z68" s="3"/>
      <c r="AA68" s="3"/>
      <c r="AB68" s="3"/>
      <c r="AC68" s="3"/>
      <c r="AD68" s="2"/>
      <c r="AE68" s="108"/>
      <c r="AF68" s="108"/>
      <c r="AG68" s="108"/>
      <c r="AH68" s="108"/>
      <c r="AI68" s="108"/>
      <c r="AJ68" s="108"/>
      <c r="AK68" s="108"/>
      <c r="AL68" s="108"/>
      <c r="AM68" s="108"/>
      <c r="AN68" s="108"/>
      <c r="AO68" s="108"/>
      <c r="AP68" s="108"/>
      <c r="AQ68" s="108"/>
      <c r="AR68" s="108"/>
      <c r="AS68" s="108"/>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row>
    <row x14ac:dyDescent="0.25" r="69" customHeight="1" ht="13.5">
      <c r="A69" s="2"/>
      <c r="B69" s="3"/>
      <c r="C69" s="2"/>
      <c r="D69" s="365" t="s">
        <v>503</v>
      </c>
      <c r="E69" s="364"/>
      <c r="F69" s="364"/>
      <c r="G69" s="364"/>
      <c r="H69" s="364"/>
      <c r="I69" s="364"/>
      <c r="J69" s="327"/>
      <c r="K69" s="327"/>
      <c r="L69" s="327"/>
      <c r="M69" s="327"/>
      <c r="N69" s="2"/>
      <c r="O69" s="3"/>
      <c r="P69" s="3"/>
      <c r="Q69" s="3"/>
      <c r="R69" s="3"/>
      <c r="S69" s="3"/>
      <c r="T69" s="3"/>
      <c r="U69" s="3"/>
      <c r="V69" s="3"/>
      <c r="W69" s="3"/>
      <c r="X69" s="3"/>
      <c r="Y69" s="3"/>
      <c r="Z69" s="3"/>
      <c r="AA69" s="3"/>
      <c r="AB69" s="3"/>
      <c r="AC69" s="3"/>
      <c r="AD69" s="2"/>
      <c r="AE69" s="108"/>
      <c r="AF69" s="108"/>
      <c r="AG69" s="108"/>
      <c r="AH69" s="108"/>
      <c r="AI69" s="108"/>
      <c r="AJ69" s="108"/>
      <c r="AK69" s="108"/>
      <c r="AL69" s="108"/>
      <c r="AM69" s="108"/>
      <c r="AN69" s="108"/>
      <c r="AO69" s="108"/>
      <c r="AP69" s="108"/>
      <c r="AQ69" s="108"/>
      <c r="AR69" s="108"/>
      <c r="AS69" s="108"/>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row>
    <row x14ac:dyDescent="0.25" r="70" customHeight="1" ht="13.5">
      <c r="A70" s="2"/>
      <c r="B70" s="3"/>
      <c r="C70" s="2"/>
      <c r="D70" s="2"/>
      <c r="E70" s="3"/>
      <c r="F70" s="3"/>
      <c r="G70" s="3"/>
      <c r="H70" s="3"/>
      <c r="I70" s="3"/>
      <c r="J70" s="3"/>
      <c r="K70" s="108"/>
      <c r="L70" s="108"/>
      <c r="M70" s="108"/>
      <c r="N70" s="2"/>
      <c r="O70" s="3"/>
      <c r="P70" s="3"/>
      <c r="Q70" s="3"/>
      <c r="R70" s="3"/>
      <c r="S70" s="3"/>
      <c r="T70" s="3"/>
      <c r="U70" s="3"/>
      <c r="V70" s="3"/>
      <c r="W70" s="3"/>
      <c r="X70" s="3"/>
      <c r="Y70" s="3"/>
      <c r="Z70" s="3"/>
      <c r="AA70" s="3"/>
      <c r="AB70" s="3"/>
      <c r="AC70" s="3"/>
      <c r="AD70" s="2"/>
      <c r="AE70" s="108"/>
      <c r="AF70" s="108"/>
      <c r="AG70" s="108"/>
      <c r="AH70" s="108"/>
      <c r="AI70" s="108"/>
      <c r="AJ70" s="108"/>
      <c r="AK70" s="108"/>
      <c r="AL70" s="108"/>
      <c r="AM70" s="108"/>
      <c r="AN70" s="108"/>
      <c r="AO70" s="108"/>
      <c r="AP70" s="108"/>
      <c r="AQ70" s="108"/>
      <c r="AR70" s="108"/>
      <c r="AS70" s="108"/>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row>
    <row x14ac:dyDescent="0.25" r="71" customHeight="1" ht="13.5">
      <c r="A71" s="2"/>
      <c r="B71" s="198">
        <v>3</v>
      </c>
      <c r="C71" s="2"/>
      <c r="D71" s="275" t="s">
        <v>508</v>
      </c>
      <c r="E71" s="3"/>
      <c r="F71" s="3"/>
      <c r="G71" s="3"/>
      <c r="H71" s="3"/>
      <c r="I71" s="3"/>
      <c r="J71" s="3"/>
      <c r="K71" s="108"/>
      <c r="L71" s="108"/>
      <c r="M71" s="108"/>
      <c r="N71" s="2"/>
      <c r="O71" s="3"/>
      <c r="P71" s="3"/>
      <c r="Q71" s="3"/>
      <c r="R71" s="3"/>
      <c r="S71" s="3"/>
      <c r="T71" s="3"/>
      <c r="U71" s="3"/>
      <c r="V71" s="3"/>
      <c r="W71" s="3"/>
      <c r="X71" s="3"/>
      <c r="Y71" s="3"/>
      <c r="Z71" s="3"/>
      <c r="AA71" s="3"/>
      <c r="AB71" s="3"/>
      <c r="AC71" s="3"/>
      <c r="AD71" s="2"/>
      <c r="AE71" s="108"/>
      <c r="AF71" s="108"/>
      <c r="AG71" s="108"/>
      <c r="AH71" s="108"/>
      <c r="AI71" s="108"/>
      <c r="AJ71" s="108"/>
      <c r="AK71" s="108"/>
      <c r="AL71" s="108"/>
      <c r="AM71" s="108"/>
      <c r="AN71" s="108"/>
      <c r="AO71" s="108"/>
      <c r="AP71" s="108"/>
      <c r="AQ71" s="108"/>
      <c r="AR71" s="108"/>
      <c r="AS71" s="108"/>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row>
    <row x14ac:dyDescent="0.25" r="72" customHeight="1" ht="18.75">
      <c r="A72" s="2"/>
      <c r="B72" s="3"/>
      <c r="C72" s="2"/>
      <c r="D72" s="2"/>
      <c r="E72" s="3"/>
      <c r="F72" s="3"/>
      <c r="G72" s="3"/>
      <c r="H72" s="3"/>
      <c r="I72" s="3"/>
      <c r="J72" s="3"/>
      <c r="K72" s="108"/>
      <c r="L72" s="108"/>
      <c r="M72" s="108"/>
      <c r="N72" s="2"/>
      <c r="O72" s="3"/>
      <c r="P72" s="3"/>
      <c r="Q72" s="3"/>
      <c r="R72" s="3"/>
      <c r="S72" s="3"/>
      <c r="T72" s="3"/>
      <c r="U72" s="3"/>
      <c r="V72" s="3"/>
      <c r="W72" s="3"/>
      <c r="X72" s="3"/>
      <c r="Y72" s="3"/>
      <c r="Z72" s="3"/>
      <c r="AA72" s="3"/>
      <c r="AB72" s="3"/>
      <c r="AC72" s="3"/>
      <c r="AD72" s="2"/>
      <c r="AE72" s="108"/>
      <c r="AF72" s="108"/>
      <c r="AG72" s="108"/>
      <c r="AH72" s="108"/>
      <c r="AI72" s="108"/>
      <c r="AJ72" s="108"/>
      <c r="AK72" s="108"/>
      <c r="AL72" s="108"/>
      <c r="AM72" s="108"/>
      <c r="AN72" s="108"/>
      <c r="AO72" s="108"/>
      <c r="AP72" s="108"/>
      <c r="AQ72" s="108"/>
      <c r="AR72" s="108"/>
      <c r="AS72" s="108"/>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row>
    <row x14ac:dyDescent="0.25" r="73" customHeight="1" ht="13.5">
      <c r="A73" s="2"/>
      <c r="B73" s="3"/>
      <c r="C73" s="2"/>
      <c r="D73" s="240" t="s">
        <v>467</v>
      </c>
      <c r="E73" s="3"/>
      <c r="F73" s="3"/>
      <c r="G73" s="3"/>
      <c r="H73" s="3"/>
      <c r="I73" s="3"/>
      <c r="J73" s="3"/>
      <c r="K73" s="108"/>
      <c r="L73" s="108"/>
      <c r="M73" s="108"/>
      <c r="N73" s="2"/>
      <c r="O73" s="3"/>
      <c r="P73" s="3"/>
      <c r="Q73" s="3"/>
      <c r="R73" s="3"/>
      <c r="S73" s="3"/>
      <c r="T73" s="3"/>
      <c r="U73" s="3"/>
      <c r="V73" s="3"/>
      <c r="W73" s="3"/>
      <c r="X73" s="3"/>
      <c r="Y73" s="3"/>
      <c r="Z73" s="3"/>
      <c r="AA73" s="3"/>
      <c r="AB73" s="3"/>
      <c r="AC73" s="3"/>
      <c r="AD73" s="2"/>
      <c r="AE73" s="108"/>
      <c r="AF73" s="108"/>
      <c r="AG73" s="108"/>
      <c r="AH73" s="108"/>
      <c r="AI73" s="108"/>
      <c r="AJ73" s="108"/>
      <c r="AK73" s="108"/>
      <c r="AL73" s="108"/>
      <c r="AM73" s="108"/>
      <c r="AN73" s="108"/>
      <c r="AO73" s="108"/>
      <c r="AP73" s="108"/>
      <c r="AQ73" s="108"/>
      <c r="AR73" s="108"/>
      <c r="AS73" s="108"/>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row>
    <row x14ac:dyDescent="0.25" r="74" customHeight="1" ht="13.5">
      <c r="A74" s="2"/>
      <c r="B74" s="3"/>
      <c r="C74" s="2"/>
      <c r="D74" s="241" t="s">
        <v>468</v>
      </c>
      <c r="E74" s="3"/>
      <c r="F74" s="3"/>
      <c r="G74" s="3"/>
      <c r="H74" s="3"/>
      <c r="I74" s="3"/>
      <c r="J74" s="3"/>
      <c r="K74" s="108"/>
      <c r="L74" s="108"/>
      <c r="M74" s="108"/>
      <c r="N74" s="2"/>
      <c r="O74" s="3"/>
      <c r="P74" s="3"/>
      <c r="Q74" s="3"/>
      <c r="R74" s="3"/>
      <c r="S74" s="3"/>
      <c r="T74" s="3"/>
      <c r="U74" s="3"/>
      <c r="V74" s="3"/>
      <c r="W74" s="3"/>
      <c r="X74" s="3"/>
      <c r="Y74" s="3"/>
      <c r="Z74" s="3"/>
      <c r="AA74" s="3"/>
      <c r="AB74" s="3"/>
      <c r="AC74" s="3"/>
      <c r="AD74" s="2"/>
      <c r="AE74" s="108"/>
      <c r="AF74" s="108"/>
      <c r="AG74" s="108"/>
      <c r="AH74" s="108"/>
      <c r="AI74" s="108"/>
      <c r="AJ74" s="108"/>
      <c r="AK74" s="108"/>
      <c r="AL74" s="108"/>
      <c r="AM74" s="108"/>
      <c r="AN74" s="108"/>
      <c r="AO74" s="108"/>
      <c r="AP74" s="108"/>
      <c r="AQ74" s="108"/>
      <c r="AR74" s="108"/>
      <c r="AS74" s="108"/>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row>
    <row x14ac:dyDescent="0.25" r="75" customHeight="1" ht="13.5">
      <c r="A75" s="2"/>
      <c r="B75" s="3"/>
      <c r="C75" s="2"/>
      <c r="D75" s="246" t="s">
        <v>445</v>
      </c>
      <c r="E75" s="257">
        <v>2017</v>
      </c>
      <c r="F75" s="257">
        <v>2018</v>
      </c>
      <c r="G75" s="257">
        <v>2019</v>
      </c>
      <c r="H75" s="257">
        <v>2020</v>
      </c>
      <c r="I75" s="257">
        <v>2021</v>
      </c>
      <c r="J75" s="257">
        <v>2022</v>
      </c>
      <c r="K75" s="257">
        <v>2023</v>
      </c>
      <c r="L75" s="257">
        <v>2024</v>
      </c>
      <c r="M75" s="257">
        <v>2025</v>
      </c>
      <c r="N75" s="2"/>
      <c r="O75" s="3"/>
      <c r="P75" s="3"/>
      <c r="Q75" s="3"/>
      <c r="R75" s="3"/>
      <c r="S75" s="3"/>
      <c r="T75" s="3"/>
      <c r="U75" s="3"/>
      <c r="V75" s="3"/>
      <c r="W75" s="3"/>
      <c r="X75" s="3"/>
      <c r="Y75" s="3"/>
      <c r="Z75" s="3"/>
      <c r="AA75" s="3"/>
      <c r="AB75" s="3"/>
      <c r="AC75" s="3"/>
      <c r="AD75" s="2"/>
      <c r="AE75" s="108"/>
      <c r="AF75" s="108"/>
      <c r="AG75" s="108"/>
      <c r="AH75" s="108"/>
      <c r="AI75" s="108"/>
      <c r="AJ75" s="108"/>
      <c r="AK75" s="108"/>
      <c r="AL75" s="108"/>
      <c r="AM75" s="108"/>
      <c r="AN75" s="108"/>
      <c r="AO75" s="108"/>
      <c r="AP75" s="108"/>
      <c r="AQ75" s="108"/>
      <c r="AR75" s="108"/>
      <c r="AS75" s="108"/>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row>
    <row x14ac:dyDescent="0.25" r="76" customHeight="1" ht="13.5">
      <c r="A76" s="2"/>
      <c r="B76" s="3"/>
      <c r="C76" s="2"/>
      <c r="D76" s="371" t="s">
        <v>506</v>
      </c>
      <c r="E76" s="3"/>
      <c r="F76" s="3"/>
      <c r="G76" s="3"/>
      <c r="H76" s="3"/>
      <c r="I76" s="3"/>
      <c r="J76" s="3"/>
      <c r="K76" s="108"/>
      <c r="L76" s="108"/>
      <c r="M76" s="108"/>
      <c r="N76" s="2"/>
      <c r="O76" s="3"/>
      <c r="P76" s="3"/>
      <c r="Q76" s="3"/>
      <c r="R76" s="3"/>
      <c r="S76" s="3"/>
      <c r="T76" s="3"/>
      <c r="U76" s="3"/>
      <c r="V76" s="3"/>
      <c r="W76" s="3"/>
      <c r="X76" s="3"/>
      <c r="Y76" s="3"/>
      <c r="Z76" s="3"/>
      <c r="AA76" s="3"/>
      <c r="AB76" s="3"/>
      <c r="AC76" s="3"/>
      <c r="AD76" s="2"/>
      <c r="AE76" s="108"/>
      <c r="AF76" s="108"/>
      <c r="AG76" s="108"/>
      <c r="AH76" s="108"/>
      <c r="AI76" s="108"/>
      <c r="AJ76" s="108"/>
      <c r="AK76" s="108"/>
      <c r="AL76" s="108"/>
      <c r="AM76" s="108"/>
      <c r="AN76" s="108"/>
      <c r="AO76" s="108"/>
      <c r="AP76" s="108"/>
      <c r="AQ76" s="108"/>
      <c r="AR76" s="108"/>
      <c r="AS76" s="108"/>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row>
    <row x14ac:dyDescent="0.25" r="77" customHeight="1" ht="13.5">
      <c r="A77" s="2"/>
      <c r="B77" s="3"/>
      <c r="C77" s="2"/>
      <c r="D77" s="326" t="s">
        <v>336</v>
      </c>
      <c r="E77" s="364"/>
      <c r="F77" s="364"/>
      <c r="G77" s="364"/>
      <c r="H77" s="364"/>
      <c r="I77" s="364"/>
      <c r="J77" s="327"/>
      <c r="K77" s="327">
        <v>0</v>
      </c>
      <c r="L77" s="327">
        <v>0</v>
      </c>
      <c r="M77" s="327">
        <v>0</v>
      </c>
      <c r="N77" s="2"/>
      <c r="O77" s="3"/>
      <c r="P77" s="3"/>
      <c r="Q77" s="3"/>
      <c r="R77" s="3"/>
      <c r="S77" s="3"/>
      <c r="T77" s="3"/>
      <c r="U77" s="3"/>
      <c r="V77" s="3"/>
      <c r="W77" s="3"/>
      <c r="X77" s="3"/>
      <c r="Y77" s="3"/>
      <c r="Z77" s="3"/>
      <c r="AA77" s="3"/>
      <c r="AB77" s="3"/>
      <c r="AC77" s="3"/>
      <c r="AD77" s="2"/>
      <c r="AE77" s="108"/>
      <c r="AF77" s="108"/>
      <c r="AG77" s="108"/>
      <c r="AH77" s="108"/>
      <c r="AI77" s="108"/>
      <c r="AJ77" s="108"/>
      <c r="AK77" s="108"/>
      <c r="AL77" s="108"/>
      <c r="AM77" s="108"/>
      <c r="AN77" s="108"/>
      <c r="AO77" s="108"/>
      <c r="AP77" s="108"/>
      <c r="AQ77" s="108"/>
      <c r="AR77" s="108"/>
      <c r="AS77" s="108"/>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row>
    <row x14ac:dyDescent="0.25" r="78" customHeight="1" ht="13.5">
      <c r="A78" s="2"/>
      <c r="B78" s="3"/>
      <c r="C78" s="2"/>
      <c r="D78" s="2"/>
      <c r="E78" s="3"/>
      <c r="F78" s="3"/>
      <c r="G78" s="3"/>
      <c r="H78" s="3"/>
      <c r="I78" s="3"/>
      <c r="J78" s="3"/>
      <c r="K78" s="108"/>
      <c r="L78" s="108"/>
      <c r="M78" s="108"/>
      <c r="N78" s="2"/>
      <c r="O78" s="3"/>
      <c r="P78" s="3"/>
      <c r="Q78" s="3"/>
      <c r="R78" s="3"/>
      <c r="S78" s="3"/>
      <c r="T78" s="3"/>
      <c r="U78" s="3"/>
      <c r="V78" s="3"/>
      <c r="W78" s="3"/>
      <c r="X78" s="3"/>
      <c r="Y78" s="3"/>
      <c r="Z78" s="3"/>
      <c r="AA78" s="3"/>
      <c r="AB78" s="3"/>
      <c r="AC78" s="3"/>
      <c r="AD78" s="2"/>
      <c r="AE78" s="108"/>
      <c r="AF78" s="108"/>
      <c r="AG78" s="108"/>
      <c r="AH78" s="108"/>
      <c r="AI78" s="108"/>
      <c r="AJ78" s="108"/>
      <c r="AK78" s="108"/>
      <c r="AL78" s="108"/>
      <c r="AM78" s="108"/>
      <c r="AN78" s="108"/>
      <c r="AO78" s="108"/>
      <c r="AP78" s="108"/>
      <c r="AQ78" s="108"/>
      <c r="AR78" s="108"/>
      <c r="AS78" s="108"/>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row>
    <row x14ac:dyDescent="0.25" r="79" customHeight="1" ht="13.5">
      <c r="A79" s="2"/>
      <c r="B79" s="3"/>
      <c r="C79" s="2"/>
      <c r="D79" s="240" t="s">
        <v>467</v>
      </c>
      <c r="E79" s="3"/>
      <c r="F79" s="3"/>
      <c r="G79" s="3"/>
      <c r="H79" s="3"/>
      <c r="I79" s="3"/>
      <c r="J79" s="3"/>
      <c r="K79" s="108"/>
      <c r="L79" s="108"/>
      <c r="M79" s="108"/>
      <c r="N79" s="2"/>
      <c r="O79" s="3"/>
      <c r="P79" s="3"/>
      <c r="Q79" s="3"/>
      <c r="R79" s="3"/>
      <c r="S79" s="3"/>
      <c r="T79" s="3"/>
      <c r="U79" s="3"/>
      <c r="V79" s="3"/>
      <c r="W79" s="3"/>
      <c r="X79" s="3"/>
      <c r="Y79" s="3"/>
      <c r="Z79" s="3"/>
      <c r="AA79" s="3"/>
      <c r="AB79" s="3"/>
      <c r="AC79" s="3"/>
      <c r="AD79" s="2"/>
      <c r="AE79" s="108"/>
      <c r="AF79" s="108"/>
      <c r="AG79" s="108"/>
      <c r="AH79" s="108"/>
      <c r="AI79" s="108"/>
      <c r="AJ79" s="108"/>
      <c r="AK79" s="108"/>
      <c r="AL79" s="108"/>
      <c r="AM79" s="108"/>
      <c r="AN79" s="108"/>
      <c r="AO79" s="108"/>
      <c r="AP79" s="108"/>
      <c r="AQ79" s="108"/>
      <c r="AR79" s="108"/>
      <c r="AS79" s="108"/>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row>
    <row x14ac:dyDescent="0.25" r="80" customHeight="1" ht="13.5">
      <c r="A80" s="2"/>
      <c r="B80" s="3"/>
      <c r="C80" s="2"/>
      <c r="D80" s="241" t="s">
        <v>468</v>
      </c>
      <c r="E80" s="3"/>
      <c r="F80" s="3"/>
      <c r="G80" s="3"/>
      <c r="H80" s="3"/>
      <c r="I80" s="3"/>
      <c r="J80" s="3"/>
      <c r="K80" s="108"/>
      <c r="L80" s="108"/>
      <c r="M80" s="108"/>
      <c r="N80" s="2"/>
      <c r="O80" s="3"/>
      <c r="P80" s="3"/>
      <c r="Q80" s="3"/>
      <c r="R80" s="3"/>
      <c r="S80" s="3"/>
      <c r="T80" s="3"/>
      <c r="U80" s="3"/>
      <c r="V80" s="3"/>
      <c r="W80" s="3"/>
      <c r="X80" s="3"/>
      <c r="Y80" s="3"/>
      <c r="Z80" s="3"/>
      <c r="AA80" s="3"/>
      <c r="AB80" s="3"/>
      <c r="AC80" s="3"/>
      <c r="AD80" s="2"/>
      <c r="AE80" s="108"/>
      <c r="AF80" s="108"/>
      <c r="AG80" s="108"/>
      <c r="AH80" s="108"/>
      <c r="AI80" s="108"/>
      <c r="AJ80" s="108"/>
      <c r="AK80" s="108"/>
      <c r="AL80" s="108"/>
      <c r="AM80" s="108"/>
      <c r="AN80" s="108"/>
      <c r="AO80" s="108"/>
      <c r="AP80" s="108"/>
      <c r="AQ80" s="108"/>
      <c r="AR80" s="108"/>
      <c r="AS80" s="108"/>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row>
    <row x14ac:dyDescent="0.25" r="81" customHeight="1" ht="13.5">
      <c r="A81" s="2"/>
      <c r="B81" s="3"/>
      <c r="C81" s="2"/>
      <c r="D81" s="246" t="s">
        <v>475</v>
      </c>
      <c r="E81" s="257">
        <v>2017</v>
      </c>
      <c r="F81" s="257">
        <v>2018</v>
      </c>
      <c r="G81" s="257">
        <v>2019</v>
      </c>
      <c r="H81" s="257">
        <v>2020</v>
      </c>
      <c r="I81" s="257">
        <v>2021</v>
      </c>
      <c r="J81" s="257">
        <v>2022</v>
      </c>
      <c r="K81" s="257">
        <v>2023</v>
      </c>
      <c r="L81" s="257">
        <v>2024</v>
      </c>
      <c r="M81" s="257">
        <v>2025</v>
      </c>
      <c r="N81" s="2"/>
      <c r="O81" s="3"/>
      <c r="P81" s="3"/>
      <c r="Q81" s="3"/>
      <c r="R81" s="3"/>
      <c r="S81" s="3"/>
      <c r="T81" s="3"/>
      <c r="U81" s="3"/>
      <c r="V81" s="3"/>
      <c r="W81" s="3"/>
      <c r="X81" s="3"/>
      <c r="Y81" s="3"/>
      <c r="Z81" s="3"/>
      <c r="AA81" s="3"/>
      <c r="AB81" s="3"/>
      <c r="AC81" s="3"/>
      <c r="AD81" s="2"/>
      <c r="AE81" s="108"/>
      <c r="AF81" s="108"/>
      <c r="AG81" s="108"/>
      <c r="AH81" s="108"/>
      <c r="AI81" s="108"/>
      <c r="AJ81" s="108"/>
      <c r="AK81" s="108"/>
      <c r="AL81" s="108"/>
      <c r="AM81" s="108"/>
      <c r="AN81" s="108"/>
      <c r="AO81" s="108"/>
      <c r="AP81" s="108"/>
      <c r="AQ81" s="108"/>
      <c r="AR81" s="108"/>
      <c r="AS81" s="108"/>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row>
    <row x14ac:dyDescent="0.25" r="82" customHeight="1" ht="13.5">
      <c r="A82" s="2"/>
      <c r="B82" s="3"/>
      <c r="C82" s="2"/>
      <c r="D82" s="371" t="s">
        <v>506</v>
      </c>
      <c r="E82" s="3"/>
      <c r="F82" s="3"/>
      <c r="G82" s="3"/>
      <c r="H82" s="3"/>
      <c r="I82" s="3"/>
      <c r="J82" s="3"/>
      <c r="K82" s="108"/>
      <c r="L82" s="108"/>
      <c r="M82" s="108"/>
      <c r="N82" s="2"/>
      <c r="O82" s="3"/>
      <c r="P82" s="3"/>
      <c r="Q82" s="3"/>
      <c r="R82" s="3"/>
      <c r="S82" s="3"/>
      <c r="T82" s="3"/>
      <c r="U82" s="3"/>
      <c r="V82" s="3"/>
      <c r="W82" s="3"/>
      <c r="X82" s="3"/>
      <c r="Y82" s="3"/>
      <c r="Z82" s="3"/>
      <c r="AA82" s="3"/>
      <c r="AB82" s="3"/>
      <c r="AC82" s="3"/>
      <c r="AD82" s="2"/>
      <c r="AE82" s="108"/>
      <c r="AF82" s="108"/>
      <c r="AG82" s="108"/>
      <c r="AH82" s="108"/>
      <c r="AI82" s="108"/>
      <c r="AJ82" s="108"/>
      <c r="AK82" s="108"/>
      <c r="AL82" s="108"/>
      <c r="AM82" s="108"/>
      <c r="AN82" s="108"/>
      <c r="AO82" s="108"/>
      <c r="AP82" s="108"/>
      <c r="AQ82" s="108"/>
      <c r="AR82" s="108"/>
      <c r="AS82" s="108"/>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row>
    <row x14ac:dyDescent="0.25" r="83" customHeight="1" ht="13.5">
      <c r="A83" s="2"/>
      <c r="B83" s="3"/>
      <c r="C83" s="2"/>
      <c r="D83" s="326" t="s">
        <v>336</v>
      </c>
      <c r="E83" s="364"/>
      <c r="F83" s="364"/>
      <c r="G83" s="364"/>
      <c r="H83" s="364"/>
      <c r="I83" s="364"/>
      <c r="J83" s="327"/>
      <c r="K83" s="327">
        <v>0</v>
      </c>
      <c r="L83" s="327">
        <v>0</v>
      </c>
      <c r="M83" s="327">
        <v>0</v>
      </c>
      <c r="N83" s="2"/>
      <c r="O83" s="3"/>
      <c r="P83" s="3"/>
      <c r="Q83" s="3"/>
      <c r="R83" s="3"/>
      <c r="S83" s="3"/>
      <c r="T83" s="3"/>
      <c r="U83" s="3"/>
      <c r="V83" s="3"/>
      <c r="W83" s="3"/>
      <c r="X83" s="3"/>
      <c r="Y83" s="3"/>
      <c r="Z83" s="3"/>
      <c r="AA83" s="3"/>
      <c r="AB83" s="3"/>
      <c r="AC83" s="3"/>
      <c r="AD83" s="2"/>
      <c r="AE83" s="108"/>
      <c r="AF83" s="108"/>
      <c r="AG83" s="108"/>
      <c r="AH83" s="108"/>
      <c r="AI83" s="108"/>
      <c r="AJ83" s="108"/>
      <c r="AK83" s="108"/>
      <c r="AL83" s="108"/>
      <c r="AM83" s="108"/>
      <c r="AN83" s="108"/>
      <c r="AO83" s="108"/>
      <c r="AP83" s="108"/>
      <c r="AQ83" s="108"/>
      <c r="AR83" s="108"/>
      <c r="AS83" s="108"/>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row>
    <row x14ac:dyDescent="0.25" r="84" customHeight="1" ht="13.5">
      <c r="A84" s="2"/>
      <c r="B84" s="3"/>
      <c r="C84" s="2"/>
      <c r="D84" s="2"/>
      <c r="E84" s="3"/>
      <c r="F84" s="3"/>
      <c r="G84" s="3"/>
      <c r="H84" s="3"/>
      <c r="I84" s="3"/>
      <c r="J84" s="3"/>
      <c r="K84" s="108"/>
      <c r="L84" s="108"/>
      <c r="M84" s="108"/>
      <c r="N84" s="2"/>
      <c r="O84" s="3"/>
      <c r="P84" s="3"/>
      <c r="Q84" s="3"/>
      <c r="R84" s="3"/>
      <c r="S84" s="3"/>
      <c r="T84" s="3"/>
      <c r="U84" s="3"/>
      <c r="V84" s="3"/>
      <c r="W84" s="3"/>
      <c r="X84" s="3"/>
      <c r="Y84" s="3"/>
      <c r="Z84" s="3"/>
      <c r="AA84" s="3"/>
      <c r="AB84" s="3"/>
      <c r="AC84" s="3"/>
      <c r="AD84" s="2"/>
      <c r="AE84" s="108"/>
      <c r="AF84" s="108"/>
      <c r="AG84" s="108"/>
      <c r="AH84" s="108"/>
      <c r="AI84" s="108"/>
      <c r="AJ84" s="108"/>
      <c r="AK84" s="108"/>
      <c r="AL84" s="108"/>
      <c r="AM84" s="108"/>
      <c r="AN84" s="108"/>
      <c r="AO84" s="108"/>
      <c r="AP84" s="108"/>
      <c r="AQ84" s="108"/>
      <c r="AR84" s="108"/>
      <c r="AS84" s="108"/>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row>
    <row x14ac:dyDescent="0.25" r="85" customHeight="1" ht="13.5">
      <c r="A85" s="2"/>
      <c r="B85" s="198">
        <v>4</v>
      </c>
      <c r="C85" s="2"/>
      <c r="D85" s="275" t="s">
        <v>480</v>
      </c>
      <c r="E85" s="3"/>
      <c r="F85" s="3"/>
      <c r="G85" s="3"/>
      <c r="H85" s="3"/>
      <c r="I85" s="3"/>
      <c r="J85" s="3"/>
      <c r="K85" s="108"/>
      <c r="L85" s="108"/>
      <c r="M85" s="108"/>
      <c r="N85" s="2"/>
      <c r="O85" s="3"/>
      <c r="P85" s="3"/>
      <c r="Q85" s="3"/>
      <c r="R85" s="3"/>
      <c r="S85" s="3"/>
      <c r="T85" s="3"/>
      <c r="U85" s="3"/>
      <c r="V85" s="3"/>
      <c r="W85" s="3"/>
      <c r="X85" s="3"/>
      <c r="Y85" s="3"/>
      <c r="Z85" s="3"/>
      <c r="AA85" s="3"/>
      <c r="AB85" s="3"/>
      <c r="AC85" s="3"/>
      <c r="AD85" s="2"/>
      <c r="AE85" s="108"/>
      <c r="AF85" s="108"/>
      <c r="AG85" s="108"/>
      <c r="AH85" s="108"/>
      <c r="AI85" s="108"/>
      <c r="AJ85" s="108"/>
      <c r="AK85" s="108"/>
      <c r="AL85" s="108"/>
      <c r="AM85" s="108"/>
      <c r="AN85" s="108"/>
      <c r="AO85" s="108"/>
      <c r="AP85" s="108"/>
      <c r="AQ85" s="108"/>
      <c r="AR85" s="108"/>
      <c r="AS85" s="108"/>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row>
    <row x14ac:dyDescent="0.25" r="86" customHeight="1" ht="13.5">
      <c r="A86" s="2"/>
      <c r="B86" s="3"/>
      <c r="C86" s="2"/>
      <c r="D86" s="2"/>
      <c r="E86" s="3"/>
      <c r="F86" s="3"/>
      <c r="G86" s="3"/>
      <c r="H86" s="3"/>
      <c r="I86" s="3"/>
      <c r="J86" s="3"/>
      <c r="K86" s="108"/>
      <c r="L86" s="108"/>
      <c r="M86" s="108"/>
      <c r="N86" s="2"/>
      <c r="O86" s="3"/>
      <c r="P86" s="3"/>
      <c r="Q86" s="3"/>
      <c r="R86" s="3"/>
      <c r="S86" s="3"/>
      <c r="T86" s="3"/>
      <c r="U86" s="3"/>
      <c r="V86" s="3"/>
      <c r="W86" s="3"/>
      <c r="X86" s="3"/>
      <c r="Y86" s="3"/>
      <c r="Z86" s="3"/>
      <c r="AA86" s="3"/>
      <c r="AB86" s="3"/>
      <c r="AC86" s="3"/>
      <c r="AD86" s="2"/>
      <c r="AE86" s="108"/>
      <c r="AF86" s="108"/>
      <c r="AG86" s="108"/>
      <c r="AH86" s="124"/>
      <c r="AI86" s="124"/>
      <c r="AJ86" s="124"/>
      <c r="AK86" s="124"/>
      <c r="AL86" s="124"/>
      <c r="AM86" s="124"/>
      <c r="AN86" s="124"/>
      <c r="AO86" s="124"/>
      <c r="AP86" s="124"/>
      <c r="AQ86" s="124"/>
      <c r="AR86" s="124"/>
      <c r="AS86" s="124"/>
      <c r="AT86" s="124"/>
      <c r="AU86" s="124"/>
      <c r="AV86" s="124"/>
      <c r="AW86" s="124"/>
      <c r="AX86" s="124"/>
      <c r="AY86" s="124"/>
      <c r="AZ86" s="124"/>
      <c r="BA86" s="124"/>
      <c r="BB86" s="124"/>
      <c r="BC86" s="124"/>
      <c r="BD86" s="124"/>
      <c r="BE86" s="124"/>
      <c r="BF86" s="124"/>
      <c r="BG86" s="124"/>
      <c r="BH86" s="2"/>
      <c r="BI86" s="2"/>
      <c r="BJ86" s="2"/>
      <c r="BK86" s="2"/>
      <c r="BL86" s="2"/>
      <c r="BM86" s="2"/>
      <c r="BN86" s="2"/>
      <c r="BO86" s="2"/>
      <c r="BP86" s="2"/>
      <c r="BQ86" s="2"/>
      <c r="BR86" s="2"/>
      <c r="BS86" s="2"/>
      <c r="BT86" s="2"/>
      <c r="BU86" s="2"/>
      <c r="BV86" s="2"/>
      <c r="BW86" s="2"/>
      <c r="BX86" s="2"/>
      <c r="BY86" s="2"/>
      <c r="BZ86" s="2"/>
      <c r="CA86" s="2"/>
      <c r="CB86" s="2"/>
      <c r="CC86" s="2"/>
      <c r="CD86" s="2"/>
      <c r="CE86" s="2"/>
    </row>
    <row x14ac:dyDescent="0.25" r="87" customHeight="1" ht="13.5">
      <c r="A87" s="2"/>
      <c r="B87" s="3"/>
      <c r="C87" s="2"/>
      <c r="D87" s="2"/>
      <c r="E87" s="3"/>
      <c r="F87" s="3"/>
      <c r="G87" s="3"/>
      <c r="H87" s="3"/>
      <c r="I87" s="3"/>
      <c r="J87" s="3"/>
      <c r="K87" s="108"/>
      <c r="L87" s="108"/>
      <c r="M87" s="108"/>
      <c r="N87" s="2"/>
      <c r="O87" s="3"/>
      <c r="P87" s="3"/>
      <c r="Q87" s="3"/>
      <c r="R87" s="3"/>
      <c r="S87" s="3"/>
      <c r="T87" s="3"/>
      <c r="U87" s="3"/>
      <c r="V87" s="3"/>
      <c r="W87" s="3"/>
      <c r="X87" s="3"/>
      <c r="Y87" s="3"/>
      <c r="Z87" s="3"/>
      <c r="AA87" s="3"/>
      <c r="AB87" s="3"/>
      <c r="AC87" s="3"/>
      <c r="AD87" s="307"/>
      <c r="AE87" s="307"/>
      <c r="AF87" s="307"/>
      <c r="AG87" s="124"/>
      <c r="AH87" s="124"/>
      <c r="AI87" s="124"/>
      <c r="AJ87" s="124"/>
      <c r="AK87" s="124"/>
      <c r="AL87" s="124"/>
      <c r="AM87" s="124"/>
      <c r="AN87" s="124"/>
      <c r="AO87" s="124"/>
      <c r="AP87" s="124"/>
      <c r="AQ87" s="124"/>
      <c r="AR87" s="124"/>
      <c r="AS87" s="124"/>
      <c r="AT87" s="124"/>
      <c r="AU87" s="124"/>
      <c r="AV87" s="124"/>
      <c r="AW87" s="124"/>
      <c r="AX87" s="124"/>
      <c r="AY87" s="124"/>
      <c r="AZ87" s="124"/>
      <c r="BA87" s="124"/>
      <c r="BB87" s="124"/>
      <c r="BC87" s="124"/>
      <c r="BD87" s="124"/>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row>
    <row x14ac:dyDescent="0.25" r="88" customHeight="1" ht="13.5">
      <c r="A88" s="2"/>
      <c r="B88" s="3"/>
      <c r="C88" s="2"/>
      <c r="D88" s="240" t="s">
        <v>467</v>
      </c>
      <c r="E88" s="3"/>
      <c r="F88" s="3"/>
      <c r="G88" s="3"/>
      <c r="H88" s="3"/>
      <c r="I88" s="3"/>
      <c r="J88" s="3"/>
      <c r="K88" s="108"/>
      <c r="L88" s="108"/>
      <c r="M88" s="108"/>
      <c r="N88" s="2"/>
      <c r="O88" s="279" t="s">
        <v>493</v>
      </c>
      <c r="P88" s="3"/>
      <c r="Q88" s="3"/>
      <c r="R88" s="3"/>
      <c r="S88" s="279" t="s">
        <v>509</v>
      </c>
      <c r="T88" s="3"/>
      <c r="U88" s="3"/>
      <c r="V88" s="279" t="s">
        <v>510</v>
      </c>
      <c r="W88" s="3"/>
      <c r="X88" s="3"/>
      <c r="Y88" s="3"/>
      <c r="Z88" s="308"/>
      <c r="AA88" s="124"/>
      <c r="AB88" s="124"/>
      <c r="AC88" s="308"/>
      <c r="AD88" s="307"/>
      <c r="AE88" s="307"/>
      <c r="AF88" s="308"/>
      <c r="AG88" s="307"/>
      <c r="AH88" s="307"/>
      <c r="AI88" s="308"/>
      <c r="AJ88" s="307"/>
      <c r="AK88" s="307"/>
      <c r="AL88" s="308"/>
      <c r="AM88" s="307"/>
      <c r="AN88" s="307"/>
      <c r="AO88" s="308"/>
      <c r="AP88" s="307"/>
      <c r="AQ88" s="307"/>
      <c r="AR88" s="308"/>
      <c r="AS88" s="307"/>
      <c r="AT88" s="307"/>
      <c r="AU88" s="308"/>
      <c r="AV88" s="307"/>
      <c r="AW88" s="307"/>
      <c r="AX88" s="308"/>
      <c r="AY88" s="307"/>
      <c r="AZ88" s="307"/>
      <c r="BA88" s="308"/>
      <c r="BB88" s="124"/>
      <c r="BC88" s="124"/>
      <c r="BD88" s="124"/>
      <c r="BE88" s="124"/>
      <c r="BF88" s="124"/>
      <c r="BG88" s="124"/>
      <c r="BH88" s="124"/>
      <c r="BI88" s="124"/>
      <c r="BJ88" s="124"/>
      <c r="BK88" s="124"/>
      <c r="BL88" s="124"/>
      <c r="BM88" s="124"/>
      <c r="BN88" s="124"/>
      <c r="BO88" s="124"/>
      <c r="BP88" s="124"/>
      <c r="BQ88" s="124"/>
      <c r="BR88" s="124"/>
      <c r="BS88" s="124"/>
      <c r="BT88" s="124"/>
      <c r="BU88" s="124"/>
      <c r="BV88" s="124"/>
      <c r="BW88" s="124"/>
      <c r="BX88" s="124"/>
      <c r="BY88" s="124"/>
      <c r="BZ88" s="124"/>
      <c r="CA88" s="124"/>
      <c r="CB88" s="124"/>
      <c r="CC88" s="2"/>
      <c r="CD88" s="2"/>
      <c r="CE88" s="2"/>
    </row>
    <row x14ac:dyDescent="0.25" r="89" customHeight="1" ht="13.5">
      <c r="A89" s="2"/>
      <c r="B89" s="3"/>
      <c r="C89" s="2"/>
      <c r="D89" s="241" t="s">
        <v>468</v>
      </c>
      <c r="E89" s="3"/>
      <c r="F89" s="3"/>
      <c r="G89" s="3"/>
      <c r="H89" s="3"/>
      <c r="I89" s="3"/>
      <c r="J89" s="3"/>
      <c r="K89" s="108"/>
      <c r="L89" s="108"/>
      <c r="M89" s="108"/>
      <c r="N89" s="2"/>
      <c r="O89" s="3"/>
      <c r="P89" s="3"/>
      <c r="Q89" s="3"/>
      <c r="R89" s="3"/>
      <c r="S89" s="3"/>
      <c r="T89" s="3"/>
      <c r="U89" s="3"/>
      <c r="V89" s="3"/>
      <c r="W89" s="3"/>
      <c r="X89" s="3"/>
      <c r="Y89" s="3"/>
      <c r="Z89" s="124"/>
      <c r="AA89" s="63"/>
      <c r="AB89" s="124"/>
      <c r="AC89" s="307"/>
      <c r="AD89" s="307"/>
      <c r="AE89" s="307"/>
      <c r="AF89" s="307"/>
      <c r="AG89" s="307"/>
      <c r="AH89" s="307"/>
      <c r="AI89" s="307"/>
      <c r="AJ89" s="307"/>
      <c r="AK89" s="307"/>
      <c r="AL89" s="307"/>
      <c r="AM89" s="307"/>
      <c r="AN89" s="307"/>
      <c r="AO89" s="307"/>
      <c r="AP89" s="307"/>
      <c r="AQ89" s="307"/>
      <c r="AR89" s="124"/>
      <c r="AS89" s="307"/>
      <c r="AT89" s="307"/>
      <c r="AU89" s="124"/>
      <c r="AV89" s="307"/>
      <c r="AW89" s="307"/>
      <c r="AX89" s="124"/>
      <c r="AY89" s="307"/>
      <c r="AZ89" s="307"/>
      <c r="BA89" s="124"/>
      <c r="BB89" s="124"/>
      <c r="BC89" s="124"/>
      <c r="BD89" s="124"/>
      <c r="BE89" s="63"/>
      <c r="BF89" s="124"/>
      <c r="BG89" s="124"/>
      <c r="BH89" s="124"/>
      <c r="BI89" s="63"/>
      <c r="BJ89" s="124"/>
      <c r="BK89" s="124"/>
      <c r="BL89" s="124"/>
      <c r="BM89" s="63"/>
      <c r="BN89" s="63"/>
      <c r="BO89" s="124"/>
      <c r="BP89" s="124"/>
      <c r="BQ89" s="63"/>
      <c r="BR89" s="63"/>
      <c r="BS89" s="124"/>
      <c r="BT89" s="124"/>
      <c r="BU89" s="63"/>
      <c r="BV89" s="63"/>
      <c r="BW89" s="124"/>
      <c r="BX89" s="124"/>
      <c r="BY89" s="124"/>
      <c r="BZ89" s="124"/>
      <c r="CA89" s="124"/>
      <c r="CB89" s="124"/>
      <c r="CC89" s="2"/>
      <c r="CD89" s="2"/>
      <c r="CE89" s="2"/>
    </row>
    <row x14ac:dyDescent="0.25" r="90" customHeight="1" ht="13.5">
      <c r="A90" s="2"/>
      <c r="B90" s="3"/>
      <c r="C90" s="2"/>
      <c r="D90" s="246" t="s">
        <v>445</v>
      </c>
      <c r="E90" s="257">
        <v>2017</v>
      </c>
      <c r="F90" s="257">
        <v>2018</v>
      </c>
      <c r="G90" s="257">
        <v>2019</v>
      </c>
      <c r="H90" s="257">
        <v>2020</v>
      </c>
      <c r="I90" s="257">
        <v>2021</v>
      </c>
      <c r="J90" s="257">
        <v>2022</v>
      </c>
      <c r="K90" s="257">
        <v>2023</v>
      </c>
      <c r="L90" s="257">
        <v>2024</v>
      </c>
      <c r="M90" s="257">
        <v>2025</v>
      </c>
      <c r="N90" s="2"/>
      <c r="O90" s="257" t="s">
        <v>511</v>
      </c>
      <c r="P90" s="257" t="s">
        <v>512</v>
      </c>
      <c r="Q90" s="257" t="s">
        <v>494</v>
      </c>
      <c r="R90" s="257" t="s">
        <v>495</v>
      </c>
      <c r="S90" s="257">
        <v>2023</v>
      </c>
      <c r="T90" s="257">
        <v>2024</v>
      </c>
      <c r="U90" s="257">
        <v>2025</v>
      </c>
      <c r="V90" s="257">
        <v>2022</v>
      </c>
      <c r="W90" s="257">
        <v>2023</v>
      </c>
      <c r="X90" s="257">
        <v>2024</v>
      </c>
      <c r="Y90" s="257">
        <v>2025</v>
      </c>
      <c r="Z90" s="312"/>
      <c r="AA90" s="312"/>
      <c r="AB90" s="312"/>
      <c r="AC90" s="312"/>
      <c r="AD90" s="317"/>
      <c r="AE90" s="311"/>
      <c r="AF90" s="311"/>
      <c r="AG90" s="311"/>
      <c r="AH90" s="311"/>
      <c r="AI90" s="311"/>
      <c r="AJ90" s="311"/>
      <c r="AK90" s="311"/>
      <c r="AL90" s="311"/>
      <c r="AM90" s="311"/>
      <c r="AN90" s="311"/>
      <c r="AO90" s="311"/>
      <c r="AP90" s="311"/>
      <c r="AQ90" s="311"/>
      <c r="AR90" s="311"/>
      <c r="AS90" s="311"/>
      <c r="AT90" s="317"/>
      <c r="AU90" s="317"/>
      <c r="AV90" s="317"/>
      <c r="AW90" s="317"/>
      <c r="AX90" s="317"/>
      <c r="AY90" s="317"/>
      <c r="AZ90" s="317"/>
      <c r="BA90" s="317"/>
      <c r="BB90" s="124"/>
      <c r="BC90" s="124"/>
      <c r="BD90" s="124"/>
      <c r="BE90" s="124"/>
      <c r="BF90" s="124"/>
      <c r="BG90" s="124"/>
      <c r="BH90" s="124"/>
      <c r="BI90" s="124"/>
      <c r="BJ90" s="124"/>
      <c r="BK90" s="124"/>
      <c r="BL90" s="124"/>
      <c r="BM90" s="124"/>
      <c r="BN90" s="124"/>
      <c r="BO90" s="124"/>
      <c r="BP90" s="124"/>
      <c r="BQ90" s="124"/>
      <c r="BR90" s="124"/>
      <c r="BS90" s="124"/>
      <c r="BT90" s="124"/>
      <c r="BU90" s="124"/>
      <c r="BV90" s="124"/>
      <c r="BW90" s="124"/>
      <c r="BX90" s="124"/>
      <c r="BY90" s="124"/>
      <c r="BZ90" s="124"/>
      <c r="CA90" s="124"/>
      <c r="CB90" s="124"/>
      <c r="CC90" s="2"/>
      <c r="CD90" s="2"/>
      <c r="CE90" s="2"/>
    </row>
    <row x14ac:dyDescent="0.25" r="91" customHeight="1" ht="13.5">
      <c r="A91" s="2"/>
      <c r="B91" s="3"/>
      <c r="C91" s="2"/>
      <c r="D91" s="123" t="s">
        <v>179</v>
      </c>
      <c r="E91" s="3"/>
      <c r="F91" s="3"/>
      <c r="G91" s="3"/>
      <c r="H91" s="3"/>
      <c r="I91" s="3"/>
      <c r="J91" s="3"/>
      <c r="K91" s="368">
        <f>S91*W91</f>
      </c>
      <c r="L91" s="368">
        <f>T91*X91</f>
      </c>
      <c r="M91" s="368">
        <f>U91*Y91</f>
      </c>
      <c r="N91" s="2"/>
      <c r="O91" s="303">
        <f>1-P148</f>
      </c>
      <c r="P91" s="304" t="s">
        <v>513</v>
      </c>
      <c r="Q91" s="304">
        <f>O148</f>
      </c>
      <c r="R91" s="319">
        <v>1</v>
      </c>
      <c r="S91" s="63">
        <f>$O91*ProjectedP205_Consumption!K13</f>
      </c>
      <c r="T91" s="63">
        <f>$O91*ProjectedP205_Consumption!L13</f>
      </c>
      <c r="U91" s="372">
        <f>$O91*ProjectedP205_Consumption!M13</f>
      </c>
      <c r="V91" s="303">
        <v>0.36</v>
      </c>
      <c r="W91" s="303">
        <v>0.5</v>
      </c>
      <c r="X91" s="303">
        <f>W91+5%</f>
      </c>
      <c r="Y91" s="306">
        <f>X91+5%</f>
      </c>
      <c r="Z91" s="124"/>
      <c r="AA91" s="124"/>
      <c r="AB91" s="124"/>
      <c r="AC91" s="297"/>
      <c r="AD91" s="297"/>
      <c r="AE91" s="297"/>
      <c r="AF91" s="297"/>
      <c r="AG91" s="297"/>
      <c r="AH91" s="297"/>
      <c r="AI91" s="160"/>
      <c r="AJ91" s="160"/>
      <c r="AK91" s="160"/>
      <c r="AL91" s="297"/>
      <c r="AM91" s="297"/>
      <c r="AN91" s="297"/>
      <c r="AO91" s="290"/>
      <c r="AP91" s="290"/>
      <c r="AQ91" s="290"/>
      <c r="AR91" s="297"/>
      <c r="AS91" s="297"/>
      <c r="AT91" s="297"/>
      <c r="AU91" s="297"/>
      <c r="AV91" s="297"/>
      <c r="AW91" s="297"/>
      <c r="AX91" s="124"/>
      <c r="AY91" s="124"/>
      <c r="AZ91" s="124"/>
      <c r="BA91" s="63"/>
      <c r="BB91" s="63"/>
      <c r="BC91" s="63"/>
      <c r="BD91" s="63"/>
      <c r="BE91" s="63"/>
      <c r="BF91" s="63"/>
      <c r="BG91" s="63"/>
      <c r="BH91" s="63"/>
      <c r="BI91" s="63"/>
      <c r="BJ91" s="63"/>
      <c r="BK91" s="63"/>
      <c r="BL91" s="63"/>
      <c r="BM91" s="124"/>
      <c r="BN91" s="124"/>
      <c r="BO91" s="124"/>
      <c r="BP91" s="124"/>
      <c r="BQ91" s="124"/>
      <c r="BR91" s="124"/>
      <c r="BS91" s="124"/>
      <c r="BT91" s="124"/>
      <c r="BU91" s="124"/>
      <c r="BV91" s="124"/>
      <c r="BW91" s="124"/>
      <c r="BX91" s="124"/>
      <c r="BY91" s="124"/>
      <c r="BZ91" s="124"/>
      <c r="CA91" s="124"/>
      <c r="CB91" s="124"/>
      <c r="CC91" s="2"/>
      <c r="CD91" s="2"/>
      <c r="CE91" s="2"/>
    </row>
    <row x14ac:dyDescent="0.25" r="92" customHeight="1" ht="13.5">
      <c r="A92" s="2"/>
      <c r="B92" s="3"/>
      <c r="C92" s="2"/>
      <c r="D92" s="123" t="s">
        <v>231</v>
      </c>
      <c r="E92" s="3"/>
      <c r="F92" s="3"/>
      <c r="G92" s="3"/>
      <c r="H92" s="3"/>
      <c r="I92" s="3"/>
      <c r="J92" s="3"/>
      <c r="K92" s="368">
        <f>S92*W92</f>
      </c>
      <c r="L92" s="368">
        <f>T92*X92</f>
      </c>
      <c r="M92" s="368">
        <f>U92*Y92</f>
      </c>
      <c r="N92" s="2"/>
      <c r="O92" s="303">
        <f>1-P149</f>
      </c>
      <c r="P92" s="304" t="s">
        <v>513</v>
      </c>
      <c r="Q92" s="304">
        <f>O149</f>
      </c>
      <c r="R92" s="319">
        <v>2</v>
      </c>
      <c r="S92" s="63">
        <f>$O92*ProjectedP205_Consumption!K14</f>
      </c>
      <c r="T92" s="63">
        <f>$O92*ProjectedP205_Consumption!L14</f>
      </c>
      <c r="U92" s="372">
        <f>$O92*ProjectedP205_Consumption!M14</f>
      </c>
      <c r="V92" s="160">
        <f>$V$91</f>
      </c>
      <c r="W92" s="160">
        <f>$W$91</f>
      </c>
      <c r="X92" s="160">
        <f>W92+5%</f>
      </c>
      <c r="Y92" s="373">
        <f>Y91</f>
      </c>
      <c r="Z92" s="124"/>
      <c r="AA92" s="124"/>
      <c r="AB92" s="124"/>
      <c r="AC92" s="297"/>
      <c r="AD92" s="297"/>
      <c r="AE92" s="297"/>
      <c r="AF92" s="297"/>
      <c r="AG92" s="297"/>
      <c r="AH92" s="297"/>
      <c r="AI92" s="160"/>
      <c r="AJ92" s="160"/>
      <c r="AK92" s="160"/>
      <c r="AL92" s="297"/>
      <c r="AM92" s="297"/>
      <c r="AN92" s="297"/>
      <c r="AO92" s="290"/>
      <c r="AP92" s="290"/>
      <c r="AQ92" s="290"/>
      <c r="AR92" s="297"/>
      <c r="AS92" s="297"/>
      <c r="AT92" s="297"/>
      <c r="AU92" s="297"/>
      <c r="AV92" s="297"/>
      <c r="AW92" s="297"/>
      <c r="AX92" s="124"/>
      <c r="AY92" s="124"/>
      <c r="AZ92" s="124"/>
      <c r="BA92" s="63"/>
      <c r="BB92" s="63"/>
      <c r="BC92" s="63"/>
      <c r="BD92" s="63"/>
      <c r="BE92" s="63"/>
      <c r="BF92" s="63"/>
      <c r="BG92" s="63"/>
      <c r="BH92" s="63"/>
      <c r="BI92" s="63"/>
      <c r="BJ92" s="63"/>
      <c r="BK92" s="63"/>
      <c r="BL92" s="63"/>
      <c r="BM92" s="124"/>
      <c r="BN92" s="124"/>
      <c r="BO92" s="124"/>
      <c r="BP92" s="124"/>
      <c r="BQ92" s="124"/>
      <c r="BR92" s="124"/>
      <c r="BS92" s="124"/>
      <c r="BT92" s="124"/>
      <c r="BU92" s="124"/>
      <c r="BV92" s="124"/>
      <c r="BW92" s="124"/>
      <c r="BX92" s="124"/>
      <c r="BY92" s="124"/>
      <c r="BZ92" s="124"/>
      <c r="CA92" s="124"/>
      <c r="CB92" s="124"/>
      <c r="CC92" s="2"/>
      <c r="CD92" s="2"/>
      <c r="CE92" s="2"/>
    </row>
    <row x14ac:dyDescent="0.25" r="93" customHeight="1" ht="13.5">
      <c r="A93" s="2"/>
      <c r="B93" s="3"/>
      <c r="C93" s="2"/>
      <c r="D93" s="123" t="s">
        <v>141</v>
      </c>
      <c r="E93" s="3"/>
      <c r="F93" s="3"/>
      <c r="G93" s="3"/>
      <c r="H93" s="3"/>
      <c r="I93" s="3"/>
      <c r="J93" s="3"/>
      <c r="K93" s="368">
        <f>S93*W93</f>
      </c>
      <c r="L93" s="368">
        <f>T93*X93</f>
      </c>
      <c r="M93" s="368">
        <f>U93*Y93</f>
      </c>
      <c r="N93" s="2"/>
      <c r="O93" s="303">
        <f>1-P150</f>
      </c>
      <c r="P93" s="304" t="s">
        <v>513</v>
      </c>
      <c r="Q93" s="304">
        <f>O150</f>
      </c>
      <c r="R93" s="319">
        <v>1</v>
      </c>
      <c r="S93" s="63">
        <f>$O93*ProjectedP205_Consumption!K15</f>
      </c>
      <c r="T93" s="63">
        <f>$O93*ProjectedP205_Consumption!L15</f>
      </c>
      <c r="U93" s="372">
        <f>$O93*ProjectedP205_Consumption!M15</f>
      </c>
      <c r="V93" s="160">
        <v>0.36</v>
      </c>
      <c r="W93" s="160">
        <f>$W$91</f>
      </c>
      <c r="X93" s="160">
        <f>X93+5%</f>
      </c>
      <c r="Y93" s="373">
        <f>Y93+5%</f>
      </c>
      <c r="Z93" s="124"/>
      <c r="AA93" s="124"/>
      <c r="AB93" s="124"/>
      <c r="AC93" s="297"/>
      <c r="AD93" s="297"/>
      <c r="AE93" s="297"/>
      <c r="AF93" s="297"/>
      <c r="AG93" s="297"/>
      <c r="AH93" s="297"/>
      <c r="AI93" s="160"/>
      <c r="AJ93" s="160"/>
      <c r="AK93" s="160"/>
      <c r="AL93" s="297"/>
      <c r="AM93" s="297"/>
      <c r="AN93" s="297"/>
      <c r="AO93" s="290"/>
      <c r="AP93" s="290"/>
      <c r="AQ93" s="290"/>
      <c r="AR93" s="297"/>
      <c r="AS93" s="297"/>
      <c r="AT93" s="297"/>
      <c r="AU93" s="297"/>
      <c r="AV93" s="297"/>
      <c r="AW93" s="297"/>
      <c r="AX93" s="124"/>
      <c r="AY93" s="124"/>
      <c r="AZ93" s="124"/>
      <c r="BA93" s="63"/>
      <c r="BB93" s="63"/>
      <c r="BC93" s="63"/>
      <c r="BD93" s="63"/>
      <c r="BE93" s="63"/>
      <c r="BF93" s="63"/>
      <c r="BG93" s="63"/>
      <c r="BH93" s="63"/>
      <c r="BI93" s="63"/>
      <c r="BJ93" s="63"/>
      <c r="BK93" s="63"/>
      <c r="BL93" s="63"/>
      <c r="BM93" s="124"/>
      <c r="BN93" s="124"/>
      <c r="BO93" s="124"/>
      <c r="BP93" s="124"/>
      <c r="BQ93" s="124"/>
      <c r="BR93" s="124"/>
      <c r="BS93" s="124"/>
      <c r="BT93" s="124"/>
      <c r="BU93" s="124"/>
      <c r="BV93" s="124"/>
      <c r="BW93" s="124"/>
      <c r="BX93" s="124"/>
      <c r="BY93" s="124"/>
      <c r="BZ93" s="124"/>
      <c r="CA93" s="124"/>
      <c r="CB93" s="124"/>
      <c r="CC93" s="2"/>
      <c r="CD93" s="2"/>
      <c r="CE93" s="2"/>
    </row>
    <row x14ac:dyDescent="0.25" r="94" customHeight="1" ht="13.5">
      <c r="A94" s="2"/>
      <c r="B94" s="3"/>
      <c r="C94" s="2"/>
      <c r="D94" s="123" t="s">
        <v>247</v>
      </c>
      <c r="E94" s="3"/>
      <c r="F94" s="3"/>
      <c r="G94" s="3"/>
      <c r="H94" s="3"/>
      <c r="I94" s="3"/>
      <c r="J94" s="3"/>
      <c r="K94" s="368">
        <f>S94*W94</f>
      </c>
      <c r="L94" s="368">
        <f>T94*X94</f>
      </c>
      <c r="M94" s="368">
        <f>U94*Y94</f>
      </c>
      <c r="N94" s="2"/>
      <c r="O94" s="303">
        <f>1-P151</f>
      </c>
      <c r="P94" s="304" t="s">
        <v>513</v>
      </c>
      <c r="Q94" s="304">
        <f>O151</f>
      </c>
      <c r="R94" s="319">
        <v>2</v>
      </c>
      <c r="S94" s="63">
        <f>$O94*ProjectedP205_Consumption!K16</f>
      </c>
      <c r="T94" s="63">
        <f>$O94*ProjectedP205_Consumption!L16</f>
      </c>
      <c r="U94" s="372">
        <f>$O94*ProjectedP205_Consumption!M16</f>
      </c>
      <c r="V94" s="160">
        <v>0.36</v>
      </c>
      <c r="W94" s="160">
        <f>$W$91</f>
      </c>
      <c r="X94" s="160">
        <f>X94+5%</f>
      </c>
      <c r="Y94" s="373">
        <f>Y94+5%</f>
      </c>
      <c r="Z94" s="124"/>
      <c r="AA94" s="124"/>
      <c r="AB94" s="124"/>
      <c r="AC94" s="297"/>
      <c r="AD94" s="297"/>
      <c r="AE94" s="297"/>
      <c r="AF94" s="297"/>
      <c r="AG94" s="297"/>
      <c r="AH94" s="297"/>
      <c r="AI94" s="160"/>
      <c r="AJ94" s="160"/>
      <c r="AK94" s="160"/>
      <c r="AL94" s="297"/>
      <c r="AM94" s="297"/>
      <c r="AN94" s="297"/>
      <c r="AO94" s="290"/>
      <c r="AP94" s="290"/>
      <c r="AQ94" s="290"/>
      <c r="AR94" s="297"/>
      <c r="AS94" s="297"/>
      <c r="AT94" s="297"/>
      <c r="AU94" s="297"/>
      <c r="AV94" s="297"/>
      <c r="AW94" s="297"/>
      <c r="AX94" s="124"/>
      <c r="AY94" s="124"/>
      <c r="AZ94" s="124"/>
      <c r="BA94" s="63"/>
      <c r="BB94" s="63"/>
      <c r="BC94" s="63"/>
      <c r="BD94" s="63"/>
      <c r="BE94" s="63"/>
      <c r="BF94" s="63"/>
      <c r="BG94" s="63"/>
      <c r="BH94" s="63"/>
      <c r="BI94" s="63"/>
      <c r="BJ94" s="63"/>
      <c r="BK94" s="63"/>
      <c r="BL94" s="63"/>
      <c r="BM94" s="124"/>
      <c r="BN94" s="124"/>
      <c r="BO94" s="124"/>
      <c r="BP94" s="124"/>
      <c r="BQ94" s="124"/>
      <c r="BR94" s="124"/>
      <c r="BS94" s="124"/>
      <c r="BT94" s="124"/>
      <c r="BU94" s="124"/>
      <c r="BV94" s="124"/>
      <c r="BW94" s="124"/>
      <c r="BX94" s="124"/>
      <c r="BY94" s="124"/>
      <c r="BZ94" s="124"/>
      <c r="CA94" s="124"/>
      <c r="CB94" s="124"/>
      <c r="CC94" s="2"/>
      <c r="CD94" s="2"/>
      <c r="CE94" s="2"/>
    </row>
    <row x14ac:dyDescent="0.25" r="95" customHeight="1" ht="13.5">
      <c r="A95" s="2"/>
      <c r="B95" s="3"/>
      <c r="C95" s="2"/>
      <c r="D95" s="123" t="s">
        <v>175</v>
      </c>
      <c r="E95" s="3"/>
      <c r="F95" s="3"/>
      <c r="G95" s="3"/>
      <c r="H95" s="3"/>
      <c r="I95" s="3"/>
      <c r="J95" s="3"/>
      <c r="K95" s="368">
        <f>S95*W95</f>
      </c>
      <c r="L95" s="368">
        <f>T95*X95</f>
      </c>
      <c r="M95" s="368">
        <f>U95*Y95</f>
      </c>
      <c r="N95" s="2"/>
      <c r="O95" s="303">
        <f>1-P152</f>
      </c>
      <c r="P95" s="304" t="s">
        <v>513</v>
      </c>
      <c r="Q95" s="304">
        <f>O152</f>
      </c>
      <c r="R95" s="319">
        <v>2</v>
      </c>
      <c r="S95" s="63">
        <f>$O95*ProjectedP205_Consumption!K17</f>
      </c>
      <c r="T95" s="63">
        <f>$O95*ProjectedP205_Consumption!L17</f>
      </c>
      <c r="U95" s="372">
        <f>$O95*ProjectedP205_Consumption!M17</f>
      </c>
      <c r="V95" s="160">
        <v>0.36</v>
      </c>
      <c r="W95" s="160">
        <f>$W$91</f>
      </c>
      <c r="X95" s="160">
        <f>X95+5%</f>
      </c>
      <c r="Y95" s="373">
        <f>Y95+5%</f>
      </c>
      <c r="Z95" s="124"/>
      <c r="AA95" s="124"/>
      <c r="AB95" s="124"/>
      <c r="AC95" s="297"/>
      <c r="AD95" s="297"/>
      <c r="AE95" s="297"/>
      <c r="AF95" s="297"/>
      <c r="AG95" s="297"/>
      <c r="AH95" s="297"/>
      <c r="AI95" s="160"/>
      <c r="AJ95" s="160"/>
      <c r="AK95" s="160"/>
      <c r="AL95" s="297"/>
      <c r="AM95" s="297"/>
      <c r="AN95" s="297"/>
      <c r="AO95" s="290"/>
      <c r="AP95" s="290"/>
      <c r="AQ95" s="290"/>
      <c r="AR95" s="297"/>
      <c r="AS95" s="297"/>
      <c r="AT95" s="297"/>
      <c r="AU95" s="297"/>
      <c r="AV95" s="297"/>
      <c r="AW95" s="297"/>
      <c r="AX95" s="124"/>
      <c r="AY95" s="124"/>
      <c r="AZ95" s="124"/>
      <c r="BA95" s="63"/>
      <c r="BB95" s="63"/>
      <c r="BC95" s="63"/>
      <c r="BD95" s="63"/>
      <c r="BE95" s="63"/>
      <c r="BF95" s="63"/>
      <c r="BG95" s="63"/>
      <c r="BH95" s="63"/>
      <c r="BI95" s="63"/>
      <c r="BJ95" s="63"/>
      <c r="BK95" s="63"/>
      <c r="BL95" s="63"/>
      <c r="BM95" s="124"/>
      <c r="BN95" s="124"/>
      <c r="BO95" s="124"/>
      <c r="BP95" s="124"/>
      <c r="BQ95" s="124"/>
      <c r="BR95" s="124"/>
      <c r="BS95" s="124"/>
      <c r="BT95" s="124"/>
      <c r="BU95" s="124"/>
      <c r="BV95" s="124"/>
      <c r="BW95" s="124"/>
      <c r="BX95" s="124"/>
      <c r="BY95" s="124"/>
      <c r="BZ95" s="124"/>
      <c r="CA95" s="124"/>
      <c r="CB95" s="124"/>
      <c r="CC95" s="2"/>
      <c r="CD95" s="2"/>
      <c r="CE95" s="2"/>
    </row>
    <row x14ac:dyDescent="0.25" r="96" customHeight="1" ht="13.5">
      <c r="A96" s="2"/>
      <c r="B96" s="3"/>
      <c r="C96" s="2"/>
      <c r="D96" s="123" t="s">
        <v>131</v>
      </c>
      <c r="E96" s="3"/>
      <c r="F96" s="3"/>
      <c r="G96" s="3"/>
      <c r="H96" s="3"/>
      <c r="I96" s="3"/>
      <c r="J96" s="3"/>
      <c r="K96" s="368">
        <f>S96*W96</f>
      </c>
      <c r="L96" s="368">
        <f>T96*X96</f>
      </c>
      <c r="M96" s="368">
        <f>U96*Y96</f>
      </c>
      <c r="N96" s="2"/>
      <c r="O96" s="303">
        <f>1-P153</f>
      </c>
      <c r="P96" s="304" t="s">
        <v>513</v>
      </c>
      <c r="Q96" s="304">
        <f>O153</f>
      </c>
      <c r="R96" s="319">
        <v>2</v>
      </c>
      <c r="S96" s="63">
        <f>$O96*ProjectedP205_Consumption!K18</f>
      </c>
      <c r="T96" s="63">
        <f>$O96*ProjectedP205_Consumption!L18</f>
      </c>
      <c r="U96" s="372">
        <f>$O96*ProjectedP205_Consumption!M18</f>
      </c>
      <c r="V96" s="160">
        <v>0.36</v>
      </c>
      <c r="W96" s="160">
        <f>$W$91</f>
      </c>
      <c r="X96" s="160">
        <f>X96+5%</f>
      </c>
      <c r="Y96" s="373">
        <f>Y96+5%</f>
      </c>
      <c r="Z96" s="124"/>
      <c r="AA96" s="124"/>
      <c r="AB96" s="124"/>
      <c r="AC96" s="297"/>
      <c r="AD96" s="297"/>
      <c r="AE96" s="297"/>
      <c r="AF96" s="297"/>
      <c r="AG96" s="297"/>
      <c r="AH96" s="297"/>
      <c r="AI96" s="160"/>
      <c r="AJ96" s="160"/>
      <c r="AK96" s="160"/>
      <c r="AL96" s="297"/>
      <c r="AM96" s="297"/>
      <c r="AN96" s="297"/>
      <c r="AO96" s="290"/>
      <c r="AP96" s="290"/>
      <c r="AQ96" s="290"/>
      <c r="AR96" s="297"/>
      <c r="AS96" s="297"/>
      <c r="AT96" s="297"/>
      <c r="AU96" s="297"/>
      <c r="AV96" s="297"/>
      <c r="AW96" s="297"/>
      <c r="AX96" s="124"/>
      <c r="AY96" s="124"/>
      <c r="AZ96" s="124"/>
      <c r="BA96" s="63"/>
      <c r="BB96" s="63"/>
      <c r="BC96" s="63"/>
      <c r="BD96" s="63"/>
      <c r="BE96" s="63"/>
      <c r="BF96" s="63"/>
      <c r="BG96" s="63"/>
      <c r="BH96" s="63"/>
      <c r="BI96" s="63"/>
      <c r="BJ96" s="63"/>
      <c r="BK96" s="63"/>
      <c r="BL96" s="63"/>
      <c r="BM96" s="124"/>
      <c r="BN96" s="124"/>
      <c r="BO96" s="124"/>
      <c r="BP96" s="124"/>
      <c r="BQ96" s="124"/>
      <c r="BR96" s="124"/>
      <c r="BS96" s="124"/>
      <c r="BT96" s="124"/>
      <c r="BU96" s="124"/>
      <c r="BV96" s="124"/>
      <c r="BW96" s="124"/>
      <c r="BX96" s="124"/>
      <c r="BY96" s="124"/>
      <c r="BZ96" s="124"/>
      <c r="CA96" s="124"/>
      <c r="CB96" s="124"/>
      <c r="CC96" s="2"/>
      <c r="CD96" s="2"/>
      <c r="CE96" s="2"/>
    </row>
    <row x14ac:dyDescent="0.25" r="97" customHeight="1" ht="13.5">
      <c r="A97" s="2"/>
      <c r="B97" s="3"/>
      <c r="C97" s="2"/>
      <c r="D97" s="123" t="s">
        <v>237</v>
      </c>
      <c r="E97" s="3"/>
      <c r="F97" s="3"/>
      <c r="G97" s="3"/>
      <c r="H97" s="3"/>
      <c r="I97" s="3"/>
      <c r="J97" s="3"/>
      <c r="K97" s="368">
        <f>S97*W97</f>
      </c>
      <c r="L97" s="368">
        <f>T97*X97</f>
      </c>
      <c r="M97" s="368">
        <f>U97*Y97</f>
      </c>
      <c r="N97" s="2"/>
      <c r="O97" s="303">
        <f>1-P154</f>
      </c>
      <c r="P97" s="304" t="s">
        <v>513</v>
      </c>
      <c r="Q97" s="304">
        <f>O154</f>
      </c>
      <c r="R97" s="319">
        <v>2</v>
      </c>
      <c r="S97" s="63">
        <f>$O97*ProjectedP205_Consumption!K19</f>
      </c>
      <c r="T97" s="63">
        <f>$O97*ProjectedP205_Consumption!L19</f>
      </c>
      <c r="U97" s="372">
        <f>$O97*ProjectedP205_Consumption!M19</f>
      </c>
      <c r="V97" s="160">
        <v>0.36</v>
      </c>
      <c r="W97" s="160">
        <f>$W$91</f>
      </c>
      <c r="X97" s="160">
        <f>X97+5%</f>
      </c>
      <c r="Y97" s="373">
        <f>Y97+5%</f>
      </c>
      <c r="Z97" s="124"/>
      <c r="AA97" s="124"/>
      <c r="AB97" s="124"/>
      <c r="AC97" s="297"/>
      <c r="AD97" s="297"/>
      <c r="AE97" s="297"/>
      <c r="AF97" s="297"/>
      <c r="AG97" s="297"/>
      <c r="AH97" s="297"/>
      <c r="AI97" s="160"/>
      <c r="AJ97" s="160"/>
      <c r="AK97" s="160"/>
      <c r="AL97" s="297"/>
      <c r="AM97" s="297"/>
      <c r="AN97" s="297"/>
      <c r="AO97" s="290"/>
      <c r="AP97" s="290"/>
      <c r="AQ97" s="290"/>
      <c r="AR97" s="297"/>
      <c r="AS97" s="297"/>
      <c r="AT97" s="297"/>
      <c r="AU97" s="297"/>
      <c r="AV97" s="297"/>
      <c r="AW97" s="297"/>
      <c r="AX97" s="124"/>
      <c r="AY97" s="124"/>
      <c r="AZ97" s="124"/>
      <c r="BA97" s="63"/>
      <c r="BB97" s="63"/>
      <c r="BC97" s="63"/>
      <c r="BD97" s="63"/>
      <c r="BE97" s="63"/>
      <c r="BF97" s="63"/>
      <c r="BG97" s="63"/>
      <c r="BH97" s="63"/>
      <c r="BI97" s="63"/>
      <c r="BJ97" s="63"/>
      <c r="BK97" s="63"/>
      <c r="BL97" s="63"/>
      <c r="BM97" s="124"/>
      <c r="BN97" s="124"/>
      <c r="BO97" s="124"/>
      <c r="BP97" s="124"/>
      <c r="BQ97" s="124"/>
      <c r="BR97" s="124"/>
      <c r="BS97" s="124"/>
      <c r="BT97" s="124"/>
      <c r="BU97" s="124"/>
      <c r="BV97" s="124"/>
      <c r="BW97" s="124"/>
      <c r="BX97" s="124"/>
      <c r="BY97" s="124"/>
      <c r="BZ97" s="124"/>
      <c r="CA97" s="124"/>
      <c r="CB97" s="124"/>
      <c r="CC97" s="2"/>
      <c r="CD97" s="2"/>
      <c r="CE97" s="2"/>
    </row>
    <row x14ac:dyDescent="0.25" r="98" customHeight="1" ht="13.5">
      <c r="A98" s="2"/>
      <c r="B98" s="3"/>
      <c r="C98" s="2"/>
      <c r="D98" s="123" t="s">
        <v>139</v>
      </c>
      <c r="E98" s="3"/>
      <c r="F98" s="3"/>
      <c r="G98" s="3"/>
      <c r="H98" s="3"/>
      <c r="I98" s="3"/>
      <c r="J98" s="3"/>
      <c r="K98" s="368">
        <f>S98*W98</f>
      </c>
      <c r="L98" s="368">
        <f>T98*X98</f>
      </c>
      <c r="M98" s="368">
        <f>U98*Y98</f>
      </c>
      <c r="N98" s="2"/>
      <c r="O98" s="303">
        <f>1-P155</f>
      </c>
      <c r="P98" s="304" t="s">
        <v>513</v>
      </c>
      <c r="Q98" s="304">
        <f>O155</f>
      </c>
      <c r="R98" s="319">
        <v>2</v>
      </c>
      <c r="S98" s="63">
        <f>$O98*ProjectedP205_Consumption!K20</f>
      </c>
      <c r="T98" s="63">
        <f>$O98*ProjectedP205_Consumption!L20</f>
      </c>
      <c r="U98" s="372">
        <f>$O98*ProjectedP205_Consumption!M20</f>
      </c>
      <c r="V98" s="160">
        <v>0.36</v>
      </c>
      <c r="W98" s="160">
        <f>$W$91</f>
      </c>
      <c r="X98" s="160">
        <f>X98+5%</f>
      </c>
      <c r="Y98" s="373">
        <f>Y98+5%</f>
      </c>
      <c r="Z98" s="124"/>
      <c r="AA98" s="124"/>
      <c r="AB98" s="124"/>
      <c r="AC98" s="297"/>
      <c r="AD98" s="297"/>
      <c r="AE98" s="297"/>
      <c r="AF98" s="297"/>
      <c r="AG98" s="297"/>
      <c r="AH98" s="297"/>
      <c r="AI98" s="160"/>
      <c r="AJ98" s="160"/>
      <c r="AK98" s="160"/>
      <c r="AL98" s="297"/>
      <c r="AM98" s="297"/>
      <c r="AN98" s="297"/>
      <c r="AO98" s="290"/>
      <c r="AP98" s="290"/>
      <c r="AQ98" s="290"/>
      <c r="AR98" s="297"/>
      <c r="AS98" s="297"/>
      <c r="AT98" s="297"/>
      <c r="AU98" s="297"/>
      <c r="AV98" s="297"/>
      <c r="AW98" s="297"/>
      <c r="AX98" s="124"/>
      <c r="AY98" s="124"/>
      <c r="AZ98" s="124"/>
      <c r="BA98" s="63"/>
      <c r="BB98" s="63"/>
      <c r="BC98" s="63"/>
      <c r="BD98" s="63"/>
      <c r="BE98" s="63"/>
      <c r="BF98" s="63"/>
      <c r="BG98" s="63"/>
      <c r="BH98" s="63"/>
      <c r="BI98" s="63"/>
      <c r="BJ98" s="63"/>
      <c r="BK98" s="63"/>
      <c r="BL98" s="63"/>
      <c r="BM98" s="124"/>
      <c r="BN98" s="124"/>
      <c r="BO98" s="124"/>
      <c r="BP98" s="124"/>
      <c r="BQ98" s="124"/>
      <c r="BR98" s="124"/>
      <c r="BS98" s="124"/>
      <c r="BT98" s="124"/>
      <c r="BU98" s="124"/>
      <c r="BV98" s="124"/>
      <c r="BW98" s="124"/>
      <c r="BX98" s="124"/>
      <c r="BY98" s="124"/>
      <c r="BZ98" s="124"/>
      <c r="CA98" s="124"/>
      <c r="CB98" s="124"/>
      <c r="CC98" s="2"/>
      <c r="CD98" s="2"/>
      <c r="CE98" s="2"/>
    </row>
    <row x14ac:dyDescent="0.25" r="99" customHeight="1" ht="13.5">
      <c r="A99" s="2"/>
      <c r="B99" s="3"/>
      <c r="C99" s="2"/>
      <c r="D99" s="123" t="s">
        <v>241</v>
      </c>
      <c r="E99" s="3"/>
      <c r="F99" s="3"/>
      <c r="G99" s="3"/>
      <c r="H99" s="3"/>
      <c r="I99" s="3"/>
      <c r="J99" s="3"/>
      <c r="K99" s="368">
        <f>S99*W99</f>
      </c>
      <c r="L99" s="368">
        <f>T99*X99</f>
      </c>
      <c r="M99" s="368">
        <f>U99*Y99</f>
      </c>
      <c r="N99" s="2"/>
      <c r="O99" s="303">
        <f>1-P156</f>
      </c>
      <c r="P99" s="304" t="s">
        <v>513</v>
      </c>
      <c r="Q99" s="304">
        <f>O156</f>
      </c>
      <c r="R99" s="319">
        <v>1</v>
      </c>
      <c r="S99" s="63">
        <f>$O99*ProjectedP205_Consumption!K21</f>
      </c>
      <c r="T99" s="63">
        <f>$O99*ProjectedP205_Consumption!L21</f>
      </c>
      <c r="U99" s="372">
        <f>$O99*ProjectedP205_Consumption!M21</f>
      </c>
      <c r="V99" s="160">
        <v>0.36</v>
      </c>
      <c r="W99" s="160">
        <f>$W$91</f>
      </c>
      <c r="X99" s="160">
        <f>X99+5%</f>
      </c>
      <c r="Y99" s="373">
        <f>Y99+5%</f>
      </c>
      <c r="Z99" s="124"/>
      <c r="AA99" s="124"/>
      <c r="AB99" s="124"/>
      <c r="AC99" s="297"/>
      <c r="AD99" s="297"/>
      <c r="AE99" s="297"/>
      <c r="AF99" s="297"/>
      <c r="AG99" s="297"/>
      <c r="AH99" s="297"/>
      <c r="AI99" s="160"/>
      <c r="AJ99" s="160"/>
      <c r="AK99" s="160"/>
      <c r="AL99" s="297"/>
      <c r="AM99" s="297"/>
      <c r="AN99" s="297"/>
      <c r="AO99" s="290"/>
      <c r="AP99" s="290"/>
      <c r="AQ99" s="290"/>
      <c r="AR99" s="297"/>
      <c r="AS99" s="297"/>
      <c r="AT99" s="297"/>
      <c r="AU99" s="297"/>
      <c r="AV99" s="297"/>
      <c r="AW99" s="297"/>
      <c r="AX99" s="124"/>
      <c r="AY99" s="124"/>
      <c r="AZ99" s="124"/>
      <c r="BA99" s="63"/>
      <c r="BB99" s="63"/>
      <c r="BC99" s="63"/>
      <c r="BD99" s="63"/>
      <c r="BE99" s="63"/>
      <c r="BF99" s="63"/>
      <c r="BG99" s="63"/>
      <c r="BH99" s="63"/>
      <c r="BI99" s="63"/>
      <c r="BJ99" s="63"/>
      <c r="BK99" s="63"/>
      <c r="BL99" s="63"/>
      <c r="BM99" s="124"/>
      <c r="BN99" s="124"/>
      <c r="BO99" s="124"/>
      <c r="BP99" s="124"/>
      <c r="BQ99" s="124"/>
      <c r="BR99" s="124"/>
      <c r="BS99" s="124"/>
      <c r="BT99" s="124"/>
      <c r="BU99" s="124"/>
      <c r="BV99" s="124"/>
      <c r="BW99" s="124"/>
      <c r="BX99" s="124"/>
      <c r="BY99" s="124"/>
      <c r="BZ99" s="124"/>
      <c r="CA99" s="124"/>
      <c r="CB99" s="124"/>
      <c r="CC99" s="2"/>
      <c r="CD99" s="2"/>
      <c r="CE99" s="2"/>
    </row>
    <row x14ac:dyDescent="0.25" r="100" customHeight="1" ht="13.5">
      <c r="A100" s="2"/>
      <c r="B100" s="3"/>
      <c r="C100" s="2"/>
      <c r="D100" s="123" t="s">
        <v>249</v>
      </c>
      <c r="E100" s="3"/>
      <c r="F100" s="3"/>
      <c r="G100" s="3"/>
      <c r="H100" s="3"/>
      <c r="I100" s="3"/>
      <c r="J100" s="3"/>
      <c r="K100" s="368">
        <f>S100*W100</f>
      </c>
      <c r="L100" s="368">
        <f>T100*X100</f>
      </c>
      <c r="M100" s="368">
        <f>U100*Y100</f>
      </c>
      <c r="N100" s="2"/>
      <c r="O100" s="303">
        <f>1-P157</f>
      </c>
      <c r="P100" s="304" t="s">
        <v>513</v>
      </c>
      <c r="Q100" s="304">
        <f>O157</f>
      </c>
      <c r="R100" s="319">
        <v>1</v>
      </c>
      <c r="S100" s="63">
        <f>$O100*ProjectedP205_Consumption!K22</f>
      </c>
      <c r="T100" s="63">
        <f>$O100*ProjectedP205_Consumption!L22</f>
      </c>
      <c r="U100" s="372">
        <f>$O100*ProjectedP205_Consumption!M22</f>
      </c>
      <c r="V100" s="160">
        <v>0.36</v>
      </c>
      <c r="W100" s="160">
        <f>$W$91</f>
      </c>
      <c r="X100" s="160">
        <f>X100+5%</f>
      </c>
      <c r="Y100" s="373">
        <f>Y100+5%</f>
      </c>
      <c r="Z100" s="124"/>
      <c r="AA100" s="124"/>
      <c r="AB100" s="124"/>
      <c r="AC100" s="297"/>
      <c r="AD100" s="297"/>
      <c r="AE100" s="297"/>
      <c r="AF100" s="297"/>
      <c r="AG100" s="297"/>
      <c r="AH100" s="297"/>
      <c r="AI100" s="160"/>
      <c r="AJ100" s="160"/>
      <c r="AK100" s="160"/>
      <c r="AL100" s="297"/>
      <c r="AM100" s="297"/>
      <c r="AN100" s="297"/>
      <c r="AO100" s="290"/>
      <c r="AP100" s="290"/>
      <c r="AQ100" s="290"/>
      <c r="AR100" s="297"/>
      <c r="AS100" s="297"/>
      <c r="AT100" s="297"/>
      <c r="AU100" s="297"/>
      <c r="AV100" s="297"/>
      <c r="AW100" s="297"/>
      <c r="AX100" s="124"/>
      <c r="AY100" s="124"/>
      <c r="AZ100" s="124"/>
      <c r="BA100" s="63"/>
      <c r="BB100" s="63"/>
      <c r="BC100" s="63"/>
      <c r="BD100" s="63"/>
      <c r="BE100" s="63"/>
      <c r="BF100" s="63"/>
      <c r="BG100" s="63"/>
      <c r="BH100" s="63"/>
      <c r="BI100" s="63"/>
      <c r="BJ100" s="63"/>
      <c r="BK100" s="63"/>
      <c r="BL100" s="63"/>
      <c r="BM100" s="124"/>
      <c r="BN100" s="124"/>
      <c r="BO100" s="124"/>
      <c r="BP100" s="124"/>
      <c r="BQ100" s="124"/>
      <c r="BR100" s="124"/>
      <c r="BS100" s="124"/>
      <c r="BT100" s="124"/>
      <c r="BU100" s="124"/>
      <c r="BV100" s="124"/>
      <c r="BW100" s="124"/>
      <c r="BX100" s="124"/>
      <c r="BY100" s="124"/>
      <c r="BZ100" s="124"/>
      <c r="CA100" s="124"/>
      <c r="CB100" s="124"/>
      <c r="CC100" s="2"/>
      <c r="CD100" s="2"/>
      <c r="CE100" s="2"/>
    </row>
    <row x14ac:dyDescent="0.25" r="101" customHeight="1" ht="13.5">
      <c r="A101" s="2"/>
      <c r="B101" s="3"/>
      <c r="C101" s="2"/>
      <c r="D101" s="123" t="s">
        <v>235</v>
      </c>
      <c r="E101" s="3"/>
      <c r="F101" s="3"/>
      <c r="G101" s="3"/>
      <c r="H101" s="3"/>
      <c r="I101" s="3"/>
      <c r="J101" s="3"/>
      <c r="K101" s="368">
        <f>S101*W101</f>
      </c>
      <c r="L101" s="368">
        <f>T101*X101</f>
      </c>
      <c r="M101" s="368">
        <f>U101*Y101</f>
      </c>
      <c r="N101" s="2"/>
      <c r="O101" s="303">
        <f>1-P158</f>
      </c>
      <c r="P101" s="304" t="s">
        <v>513</v>
      </c>
      <c r="Q101" s="304">
        <f>O158</f>
      </c>
      <c r="R101" s="319">
        <v>0</v>
      </c>
      <c r="S101" s="63">
        <f>$O101*ProjectedP205_Consumption!K23</f>
      </c>
      <c r="T101" s="63">
        <f>$O101*ProjectedP205_Consumption!L23</f>
      </c>
      <c r="U101" s="372">
        <f>$O101*ProjectedP205_Consumption!M23</f>
      </c>
      <c r="V101" s="160">
        <v>0.36</v>
      </c>
      <c r="W101" s="160">
        <f>$W$91</f>
      </c>
      <c r="X101" s="160">
        <f>X101+5%</f>
      </c>
      <c r="Y101" s="373">
        <f>Y101+5%</f>
      </c>
      <c r="Z101" s="124"/>
      <c r="AA101" s="124"/>
      <c r="AB101" s="124"/>
      <c r="AC101" s="297"/>
      <c r="AD101" s="297"/>
      <c r="AE101" s="297"/>
      <c r="AF101" s="297"/>
      <c r="AG101" s="297"/>
      <c r="AH101" s="297"/>
      <c r="AI101" s="160"/>
      <c r="AJ101" s="160"/>
      <c r="AK101" s="160"/>
      <c r="AL101" s="297"/>
      <c r="AM101" s="297"/>
      <c r="AN101" s="297"/>
      <c r="AO101" s="290"/>
      <c r="AP101" s="290"/>
      <c r="AQ101" s="290"/>
      <c r="AR101" s="297"/>
      <c r="AS101" s="297"/>
      <c r="AT101" s="297"/>
      <c r="AU101" s="297"/>
      <c r="AV101" s="297"/>
      <c r="AW101" s="297"/>
      <c r="AX101" s="124"/>
      <c r="AY101" s="124"/>
      <c r="AZ101" s="124"/>
      <c r="BA101" s="63"/>
      <c r="BB101" s="63"/>
      <c r="BC101" s="63"/>
      <c r="BD101" s="63"/>
      <c r="BE101" s="63"/>
      <c r="BF101" s="63"/>
      <c r="BG101" s="63"/>
      <c r="BH101" s="63"/>
      <c r="BI101" s="63"/>
      <c r="BJ101" s="63"/>
      <c r="BK101" s="63"/>
      <c r="BL101" s="63"/>
      <c r="BM101" s="124"/>
      <c r="BN101" s="124"/>
      <c r="BO101" s="124"/>
      <c r="BP101" s="124"/>
      <c r="BQ101" s="124"/>
      <c r="BR101" s="124"/>
      <c r="BS101" s="124"/>
      <c r="BT101" s="124"/>
      <c r="BU101" s="124"/>
      <c r="BV101" s="124"/>
      <c r="BW101" s="124"/>
      <c r="BX101" s="124"/>
      <c r="BY101" s="124"/>
      <c r="BZ101" s="124"/>
      <c r="CA101" s="124"/>
      <c r="CB101" s="124"/>
      <c r="CC101" s="2"/>
      <c r="CD101" s="2"/>
      <c r="CE101" s="2"/>
    </row>
    <row x14ac:dyDescent="0.25" r="102" customHeight="1" ht="13.5">
      <c r="A102" s="2"/>
      <c r="B102" s="3"/>
      <c r="C102" s="2"/>
      <c r="D102" s="123" t="s">
        <v>125</v>
      </c>
      <c r="E102" s="3"/>
      <c r="F102" s="3"/>
      <c r="G102" s="3"/>
      <c r="H102" s="3"/>
      <c r="I102" s="3"/>
      <c r="J102" s="3"/>
      <c r="K102" s="368">
        <f>S102*W102</f>
      </c>
      <c r="L102" s="368">
        <f>T102*X102</f>
      </c>
      <c r="M102" s="368">
        <f>U102*Y102</f>
      </c>
      <c r="N102" s="2"/>
      <c r="O102" s="303">
        <f>1-P159</f>
      </c>
      <c r="P102" s="304" t="s">
        <v>513</v>
      </c>
      <c r="Q102" s="304">
        <f>O159</f>
      </c>
      <c r="R102" s="319">
        <v>0</v>
      </c>
      <c r="S102" s="63">
        <f>$O102*ProjectedP205_Consumption!K24</f>
      </c>
      <c r="T102" s="63">
        <f>$O102*ProjectedP205_Consumption!L24</f>
      </c>
      <c r="U102" s="372">
        <f>$O102*ProjectedP205_Consumption!M24</f>
      </c>
      <c r="V102" s="160">
        <v>0.36</v>
      </c>
      <c r="W102" s="160">
        <f>$W$91</f>
      </c>
      <c r="X102" s="160">
        <f>X102+5%</f>
      </c>
      <c r="Y102" s="373">
        <f>Y102+5%</f>
      </c>
      <c r="Z102" s="124"/>
      <c r="AA102" s="124"/>
      <c r="AB102" s="124"/>
      <c r="AC102" s="297"/>
      <c r="AD102" s="297"/>
      <c r="AE102" s="297"/>
      <c r="AF102" s="297"/>
      <c r="AG102" s="297"/>
      <c r="AH102" s="297"/>
      <c r="AI102" s="160"/>
      <c r="AJ102" s="160"/>
      <c r="AK102" s="160"/>
      <c r="AL102" s="297"/>
      <c r="AM102" s="297"/>
      <c r="AN102" s="297"/>
      <c r="AO102" s="290"/>
      <c r="AP102" s="290"/>
      <c r="AQ102" s="290"/>
      <c r="AR102" s="297"/>
      <c r="AS102" s="297"/>
      <c r="AT102" s="297"/>
      <c r="AU102" s="297"/>
      <c r="AV102" s="297"/>
      <c r="AW102" s="297"/>
      <c r="AX102" s="124"/>
      <c r="AY102" s="124"/>
      <c r="AZ102" s="124"/>
      <c r="BA102" s="63"/>
      <c r="BB102" s="63"/>
      <c r="BC102" s="63"/>
      <c r="BD102" s="63"/>
      <c r="BE102" s="63"/>
      <c r="BF102" s="63"/>
      <c r="BG102" s="63"/>
      <c r="BH102" s="63"/>
      <c r="BI102" s="63"/>
      <c r="BJ102" s="63"/>
      <c r="BK102" s="63"/>
      <c r="BL102" s="63"/>
      <c r="BM102" s="124"/>
      <c r="BN102" s="124"/>
      <c r="BO102" s="124"/>
      <c r="BP102" s="124"/>
      <c r="BQ102" s="124"/>
      <c r="BR102" s="124"/>
      <c r="BS102" s="124"/>
      <c r="BT102" s="124"/>
      <c r="BU102" s="124"/>
      <c r="BV102" s="124"/>
      <c r="BW102" s="124"/>
      <c r="BX102" s="124"/>
      <c r="BY102" s="124"/>
      <c r="BZ102" s="124"/>
      <c r="CA102" s="124"/>
      <c r="CB102" s="124"/>
      <c r="CC102" s="2"/>
      <c r="CD102" s="2"/>
      <c r="CE102" s="2"/>
    </row>
    <row x14ac:dyDescent="0.25" r="103" customHeight="1" ht="13.5">
      <c r="A103" s="2"/>
      <c r="B103" s="3"/>
      <c r="C103" s="2"/>
      <c r="D103" s="123" t="s">
        <v>209</v>
      </c>
      <c r="E103" s="3"/>
      <c r="F103" s="3"/>
      <c r="G103" s="3"/>
      <c r="H103" s="3"/>
      <c r="I103" s="3"/>
      <c r="J103" s="3"/>
      <c r="K103" s="368">
        <f>S103*W103</f>
      </c>
      <c r="L103" s="368">
        <f>T103*X103</f>
      </c>
      <c r="M103" s="368">
        <f>U103*Y103</f>
      </c>
      <c r="N103" s="2"/>
      <c r="O103" s="303">
        <f>1-P160</f>
      </c>
      <c r="P103" s="304" t="s">
        <v>513</v>
      </c>
      <c r="Q103" s="304">
        <f>O160</f>
      </c>
      <c r="R103" s="319">
        <v>0</v>
      </c>
      <c r="S103" s="63">
        <f>$O103*ProjectedP205_Consumption!K25</f>
      </c>
      <c r="T103" s="63">
        <f>$O103*ProjectedP205_Consumption!L25</f>
      </c>
      <c r="U103" s="372">
        <f>$O103*ProjectedP205_Consumption!M25</f>
      </c>
      <c r="V103" s="160">
        <v>0.36</v>
      </c>
      <c r="W103" s="160">
        <f>$W$91</f>
      </c>
      <c r="X103" s="160">
        <f>X103+5%</f>
      </c>
      <c r="Y103" s="373">
        <f>Y103+5%</f>
      </c>
      <c r="Z103" s="124"/>
      <c r="AA103" s="124"/>
      <c r="AB103" s="124"/>
      <c r="AC103" s="297"/>
      <c r="AD103" s="297"/>
      <c r="AE103" s="297"/>
      <c r="AF103" s="297"/>
      <c r="AG103" s="297"/>
      <c r="AH103" s="297"/>
      <c r="AI103" s="160"/>
      <c r="AJ103" s="160"/>
      <c r="AK103" s="160"/>
      <c r="AL103" s="297"/>
      <c r="AM103" s="297"/>
      <c r="AN103" s="297"/>
      <c r="AO103" s="290"/>
      <c r="AP103" s="290"/>
      <c r="AQ103" s="290"/>
      <c r="AR103" s="297"/>
      <c r="AS103" s="297"/>
      <c r="AT103" s="297"/>
      <c r="AU103" s="297"/>
      <c r="AV103" s="297"/>
      <c r="AW103" s="297"/>
      <c r="AX103" s="124"/>
      <c r="AY103" s="124"/>
      <c r="AZ103" s="124"/>
      <c r="BA103" s="63"/>
      <c r="BB103" s="63"/>
      <c r="BC103" s="63"/>
      <c r="BD103" s="63"/>
      <c r="BE103" s="63"/>
      <c r="BF103" s="63"/>
      <c r="BG103" s="63"/>
      <c r="BH103" s="63"/>
      <c r="BI103" s="63"/>
      <c r="BJ103" s="63"/>
      <c r="BK103" s="63"/>
      <c r="BL103" s="63"/>
      <c r="BM103" s="124"/>
      <c r="BN103" s="124"/>
      <c r="BO103" s="124"/>
      <c r="BP103" s="124"/>
      <c r="BQ103" s="124"/>
      <c r="BR103" s="124"/>
      <c r="BS103" s="124"/>
      <c r="BT103" s="124"/>
      <c r="BU103" s="124"/>
      <c r="BV103" s="124"/>
      <c r="BW103" s="124"/>
      <c r="BX103" s="124"/>
      <c r="BY103" s="124"/>
      <c r="BZ103" s="124"/>
      <c r="CA103" s="124"/>
      <c r="CB103" s="124"/>
      <c r="CC103" s="2"/>
      <c r="CD103" s="2"/>
      <c r="CE103" s="2"/>
    </row>
    <row x14ac:dyDescent="0.25" r="104" customHeight="1" ht="13.5">
      <c r="A104" s="2"/>
      <c r="B104" s="3"/>
      <c r="C104" s="2"/>
      <c r="D104" s="123" t="s">
        <v>223</v>
      </c>
      <c r="E104" s="3"/>
      <c r="F104" s="3"/>
      <c r="G104" s="3"/>
      <c r="H104" s="3"/>
      <c r="I104" s="3"/>
      <c r="J104" s="3"/>
      <c r="K104" s="368">
        <f>S104*W104</f>
      </c>
      <c r="L104" s="368">
        <f>T104*X104</f>
      </c>
      <c r="M104" s="368">
        <f>U104*Y104</f>
      </c>
      <c r="N104" s="2"/>
      <c r="O104" s="303">
        <f>1-P161</f>
      </c>
      <c r="P104" s="304" t="s">
        <v>513</v>
      </c>
      <c r="Q104" s="304">
        <f>O161</f>
      </c>
      <c r="R104" s="319">
        <v>0</v>
      </c>
      <c r="S104" s="63">
        <f>$O104*ProjectedP205_Consumption!K26</f>
      </c>
      <c r="T104" s="63">
        <f>$O104*ProjectedP205_Consumption!L26</f>
      </c>
      <c r="U104" s="372">
        <f>$O104*ProjectedP205_Consumption!M26</f>
      </c>
      <c r="V104" s="160">
        <v>0.36</v>
      </c>
      <c r="W104" s="160">
        <f>$W$91</f>
      </c>
      <c r="X104" s="160">
        <f>X104+5%</f>
      </c>
      <c r="Y104" s="373">
        <f>Y104+5%</f>
      </c>
      <c r="Z104" s="124"/>
      <c r="AA104" s="124"/>
      <c r="AB104" s="124"/>
      <c r="AC104" s="297"/>
      <c r="AD104" s="297"/>
      <c r="AE104" s="297"/>
      <c r="AF104" s="297"/>
      <c r="AG104" s="297"/>
      <c r="AH104" s="297"/>
      <c r="AI104" s="160"/>
      <c r="AJ104" s="160"/>
      <c r="AK104" s="160"/>
      <c r="AL104" s="297"/>
      <c r="AM104" s="297"/>
      <c r="AN104" s="297"/>
      <c r="AO104" s="290"/>
      <c r="AP104" s="290"/>
      <c r="AQ104" s="290"/>
      <c r="AR104" s="297"/>
      <c r="AS104" s="297"/>
      <c r="AT104" s="297"/>
      <c r="AU104" s="297"/>
      <c r="AV104" s="297"/>
      <c r="AW104" s="297"/>
      <c r="AX104" s="124"/>
      <c r="AY104" s="124"/>
      <c r="AZ104" s="124"/>
      <c r="BA104" s="63"/>
      <c r="BB104" s="63"/>
      <c r="BC104" s="63"/>
      <c r="BD104" s="63"/>
      <c r="BE104" s="63"/>
      <c r="BF104" s="63"/>
      <c r="BG104" s="63"/>
      <c r="BH104" s="63"/>
      <c r="BI104" s="63"/>
      <c r="BJ104" s="63"/>
      <c r="BK104" s="63"/>
      <c r="BL104" s="63"/>
      <c r="BM104" s="124"/>
      <c r="BN104" s="124"/>
      <c r="BO104" s="124"/>
      <c r="BP104" s="124"/>
      <c r="BQ104" s="124"/>
      <c r="BR104" s="124"/>
      <c r="BS104" s="124"/>
      <c r="BT104" s="124"/>
      <c r="BU104" s="124"/>
      <c r="BV104" s="124"/>
      <c r="BW104" s="124"/>
      <c r="BX104" s="124"/>
      <c r="BY104" s="124"/>
      <c r="BZ104" s="124"/>
      <c r="CA104" s="124"/>
      <c r="CB104" s="124"/>
      <c r="CC104" s="2"/>
      <c r="CD104" s="2"/>
      <c r="CE104" s="2"/>
    </row>
    <row x14ac:dyDescent="0.25" r="105" customHeight="1" ht="13.5">
      <c r="A105" s="2"/>
      <c r="B105" s="3"/>
      <c r="C105" s="2"/>
      <c r="D105" s="123" t="s">
        <v>183</v>
      </c>
      <c r="E105" s="3"/>
      <c r="F105" s="3"/>
      <c r="G105" s="3"/>
      <c r="H105" s="3"/>
      <c r="I105" s="3"/>
      <c r="J105" s="3"/>
      <c r="K105" s="368">
        <f>S105*W105</f>
      </c>
      <c r="L105" s="368">
        <f>T105*X105</f>
      </c>
      <c r="M105" s="368">
        <f>U105*Y105</f>
      </c>
      <c r="N105" s="2"/>
      <c r="O105" s="303">
        <f>1-P162</f>
      </c>
      <c r="P105" s="304" t="s">
        <v>513</v>
      </c>
      <c r="Q105" s="304">
        <f>O162</f>
      </c>
      <c r="R105" s="319">
        <v>1</v>
      </c>
      <c r="S105" s="63">
        <f>$O105*ProjectedP205_Consumption!K27</f>
      </c>
      <c r="T105" s="63">
        <f>$O105*ProjectedP205_Consumption!L27</f>
      </c>
      <c r="U105" s="372">
        <f>$O105*ProjectedP205_Consumption!M27</f>
      </c>
      <c r="V105" s="160">
        <v>0.36</v>
      </c>
      <c r="W105" s="160">
        <f>$W$91</f>
      </c>
      <c r="X105" s="160">
        <f>X105+5%</f>
      </c>
      <c r="Y105" s="373">
        <f>Y105+5%</f>
      </c>
      <c r="Z105" s="124"/>
      <c r="AA105" s="124"/>
      <c r="AB105" s="124"/>
      <c r="AC105" s="297"/>
      <c r="AD105" s="297"/>
      <c r="AE105" s="297"/>
      <c r="AF105" s="297"/>
      <c r="AG105" s="297"/>
      <c r="AH105" s="297"/>
      <c r="AI105" s="160"/>
      <c r="AJ105" s="160"/>
      <c r="AK105" s="160"/>
      <c r="AL105" s="297"/>
      <c r="AM105" s="297"/>
      <c r="AN105" s="297"/>
      <c r="AO105" s="124"/>
      <c r="AP105" s="124"/>
      <c r="AQ105" s="124"/>
      <c r="AR105" s="297"/>
      <c r="AS105" s="297"/>
      <c r="AT105" s="297"/>
      <c r="AU105" s="297"/>
      <c r="AV105" s="297"/>
      <c r="AW105" s="297"/>
      <c r="AX105" s="124"/>
      <c r="AY105" s="124"/>
      <c r="AZ105" s="124"/>
      <c r="BA105" s="63"/>
      <c r="BB105" s="63"/>
      <c r="BC105" s="63"/>
      <c r="BD105" s="63"/>
      <c r="BE105" s="63"/>
      <c r="BF105" s="63"/>
      <c r="BG105" s="63"/>
      <c r="BH105" s="63"/>
      <c r="BI105" s="63"/>
      <c r="BJ105" s="63"/>
      <c r="BK105" s="63"/>
      <c r="BL105" s="63"/>
      <c r="BM105" s="124"/>
      <c r="BN105" s="124"/>
      <c r="BO105" s="124"/>
      <c r="BP105" s="124"/>
      <c r="BQ105" s="124"/>
      <c r="BR105" s="124"/>
      <c r="BS105" s="124"/>
      <c r="BT105" s="124"/>
      <c r="BU105" s="124"/>
      <c r="BV105" s="124"/>
      <c r="BW105" s="124"/>
      <c r="BX105" s="124"/>
      <c r="BY105" s="124"/>
      <c r="BZ105" s="124"/>
      <c r="CA105" s="124"/>
      <c r="CB105" s="124"/>
      <c r="CC105" s="2"/>
      <c r="CD105" s="2"/>
      <c r="CE105" s="2"/>
    </row>
    <row x14ac:dyDescent="0.25" r="106" customHeight="1" ht="13.5">
      <c r="A106" s="2"/>
      <c r="B106" s="3"/>
      <c r="C106" s="2"/>
      <c r="D106" s="123" t="s">
        <v>161</v>
      </c>
      <c r="E106" s="3"/>
      <c r="F106" s="3"/>
      <c r="G106" s="3"/>
      <c r="H106" s="3"/>
      <c r="I106" s="3"/>
      <c r="J106" s="3"/>
      <c r="K106" s="368">
        <f>S106*W106</f>
      </c>
      <c r="L106" s="368">
        <f>T106*X106</f>
      </c>
      <c r="M106" s="368">
        <f>U106*Y106</f>
      </c>
      <c r="N106" s="2"/>
      <c r="O106" s="303">
        <f>1-P163</f>
      </c>
      <c r="P106" s="304" t="s">
        <v>513</v>
      </c>
      <c r="Q106" s="304">
        <f>O163</f>
      </c>
      <c r="R106" s="319">
        <v>1</v>
      </c>
      <c r="S106" s="63">
        <f>$O106*ProjectedP205_Consumption!K28</f>
      </c>
      <c r="T106" s="63">
        <f>$O106*ProjectedP205_Consumption!L28</f>
      </c>
      <c r="U106" s="372">
        <f>$O106*ProjectedP205_Consumption!M28</f>
      </c>
      <c r="V106" s="303">
        <v>0.2</v>
      </c>
      <c r="W106" s="303">
        <f>W106+5%</f>
      </c>
      <c r="X106" s="303">
        <f>X106+5%</f>
      </c>
      <c r="Y106" s="306">
        <f>Y106+5%</f>
      </c>
      <c r="Z106" s="124"/>
      <c r="AA106" s="124"/>
      <c r="AB106" s="124"/>
      <c r="AC106" s="297"/>
      <c r="AD106" s="297"/>
      <c r="AE106" s="297"/>
      <c r="AF106" s="297"/>
      <c r="AG106" s="297"/>
      <c r="AH106" s="297"/>
      <c r="AI106" s="160"/>
      <c r="AJ106" s="160"/>
      <c r="AK106" s="160"/>
      <c r="AL106" s="297"/>
      <c r="AM106" s="297"/>
      <c r="AN106" s="297"/>
      <c r="AO106" s="290"/>
      <c r="AP106" s="290"/>
      <c r="AQ106" s="290"/>
      <c r="AR106" s="297"/>
      <c r="AS106" s="297"/>
      <c r="AT106" s="297"/>
      <c r="AU106" s="297"/>
      <c r="AV106" s="297"/>
      <c r="AW106" s="297"/>
      <c r="AX106" s="124"/>
      <c r="AY106" s="124"/>
      <c r="AZ106" s="124"/>
      <c r="BA106" s="63"/>
      <c r="BB106" s="63"/>
      <c r="BC106" s="63"/>
      <c r="BD106" s="63"/>
      <c r="BE106" s="63"/>
      <c r="BF106" s="63"/>
      <c r="BG106" s="63"/>
      <c r="BH106" s="63"/>
      <c r="BI106" s="63"/>
      <c r="BJ106" s="63"/>
      <c r="BK106" s="63"/>
      <c r="BL106" s="63"/>
      <c r="BM106" s="124"/>
      <c r="BN106" s="124"/>
      <c r="BO106" s="124"/>
      <c r="BP106" s="124"/>
      <c r="BQ106" s="124"/>
      <c r="BR106" s="124"/>
      <c r="BS106" s="124"/>
      <c r="BT106" s="124"/>
      <c r="BU106" s="124"/>
      <c r="BV106" s="124"/>
      <c r="BW106" s="124"/>
      <c r="BX106" s="124"/>
      <c r="BY106" s="124"/>
      <c r="BZ106" s="124"/>
      <c r="CA106" s="124"/>
      <c r="CB106" s="124"/>
      <c r="CC106" s="2"/>
      <c r="CD106" s="2"/>
      <c r="CE106" s="2"/>
    </row>
    <row x14ac:dyDescent="0.25" r="107" customHeight="1" ht="13.5">
      <c r="A107" s="2"/>
      <c r="B107" s="3"/>
      <c r="C107" s="2"/>
      <c r="D107" s="123" t="s">
        <v>219</v>
      </c>
      <c r="E107" s="3"/>
      <c r="F107" s="3"/>
      <c r="G107" s="3"/>
      <c r="H107" s="3"/>
      <c r="I107" s="3"/>
      <c r="J107" s="3"/>
      <c r="K107" s="368">
        <f>S107*W107</f>
      </c>
      <c r="L107" s="368">
        <f>T107*X107</f>
      </c>
      <c r="M107" s="368">
        <f>U107*Y107</f>
      </c>
      <c r="N107" s="2"/>
      <c r="O107" s="303">
        <f>1-P164</f>
      </c>
      <c r="P107" s="304" t="s">
        <v>513</v>
      </c>
      <c r="Q107" s="304">
        <f>O164</f>
      </c>
      <c r="R107" s="319">
        <v>2</v>
      </c>
      <c r="S107" s="63">
        <f>$O107*ProjectedP205_Consumption!K29</f>
      </c>
      <c r="T107" s="63">
        <f>$O107*ProjectedP205_Consumption!L29</f>
      </c>
      <c r="U107" s="372">
        <f>$O107*ProjectedP205_Consumption!M29</f>
      </c>
      <c r="V107" s="160">
        <f>$V$91</f>
      </c>
      <c r="W107" s="160">
        <f>$W$91</f>
      </c>
      <c r="X107" s="160">
        <f>X107+5%</f>
      </c>
      <c r="Y107" s="373">
        <f>Y107+5%</f>
      </c>
      <c r="Z107" s="124"/>
      <c r="AA107" s="124"/>
      <c r="AB107" s="124"/>
      <c r="AC107" s="297"/>
      <c r="AD107" s="297"/>
      <c r="AE107" s="297"/>
      <c r="AF107" s="297"/>
      <c r="AG107" s="297"/>
      <c r="AH107" s="297"/>
      <c r="AI107" s="160"/>
      <c r="AJ107" s="160"/>
      <c r="AK107" s="160"/>
      <c r="AL107" s="297"/>
      <c r="AM107" s="297"/>
      <c r="AN107" s="297"/>
      <c r="AO107" s="290"/>
      <c r="AP107" s="290"/>
      <c r="AQ107" s="290"/>
      <c r="AR107" s="297"/>
      <c r="AS107" s="297"/>
      <c r="AT107" s="297"/>
      <c r="AU107" s="297"/>
      <c r="AV107" s="297"/>
      <c r="AW107" s="297"/>
      <c r="AX107" s="124"/>
      <c r="AY107" s="124"/>
      <c r="AZ107" s="124"/>
      <c r="BA107" s="63"/>
      <c r="BB107" s="63"/>
      <c r="BC107" s="63"/>
      <c r="BD107" s="63"/>
      <c r="BE107" s="63"/>
      <c r="BF107" s="63"/>
      <c r="BG107" s="63"/>
      <c r="BH107" s="63"/>
      <c r="BI107" s="63"/>
      <c r="BJ107" s="63"/>
      <c r="BK107" s="63"/>
      <c r="BL107" s="63"/>
      <c r="BM107" s="124"/>
      <c r="BN107" s="124"/>
      <c r="BO107" s="124"/>
      <c r="BP107" s="124"/>
      <c r="BQ107" s="124"/>
      <c r="BR107" s="124"/>
      <c r="BS107" s="124"/>
      <c r="BT107" s="124"/>
      <c r="BU107" s="124"/>
      <c r="BV107" s="124"/>
      <c r="BW107" s="124"/>
      <c r="BX107" s="124"/>
      <c r="BY107" s="124"/>
      <c r="BZ107" s="124"/>
      <c r="CA107" s="124"/>
      <c r="CB107" s="124"/>
      <c r="CC107" s="2"/>
      <c r="CD107" s="2"/>
      <c r="CE107" s="2"/>
    </row>
    <row x14ac:dyDescent="0.25" r="108" customHeight="1" ht="13.5">
      <c r="A108" s="2"/>
      <c r="B108" s="3"/>
      <c r="C108" s="2"/>
      <c r="D108" s="123" t="s">
        <v>159</v>
      </c>
      <c r="E108" s="3"/>
      <c r="F108" s="3"/>
      <c r="G108" s="3"/>
      <c r="H108" s="3"/>
      <c r="I108" s="3"/>
      <c r="J108" s="3"/>
      <c r="K108" s="368">
        <f>S108*W108</f>
      </c>
      <c r="L108" s="368">
        <f>T108*X108</f>
      </c>
      <c r="M108" s="368">
        <f>U108*Y108</f>
      </c>
      <c r="N108" s="2"/>
      <c r="O108" s="303">
        <f>1-P165</f>
      </c>
      <c r="P108" s="304" t="s">
        <v>513</v>
      </c>
      <c r="Q108" s="304">
        <f>O165</f>
      </c>
      <c r="R108" s="319">
        <v>0</v>
      </c>
      <c r="S108" s="63">
        <f>$O108*ProjectedP205_Consumption!K30</f>
      </c>
      <c r="T108" s="63">
        <f>$O108*ProjectedP205_Consumption!L30</f>
      </c>
      <c r="U108" s="372">
        <f>$O108*ProjectedP205_Consumption!M30</f>
      </c>
      <c r="V108" s="160">
        <v>0.36</v>
      </c>
      <c r="W108" s="160">
        <f>$W$91</f>
      </c>
      <c r="X108" s="160">
        <f>X108+5%</f>
      </c>
      <c r="Y108" s="373">
        <f>Y108+5%</f>
      </c>
      <c r="Z108" s="124"/>
      <c r="AA108" s="124"/>
      <c r="AB108" s="124"/>
      <c r="AC108" s="297"/>
      <c r="AD108" s="297"/>
      <c r="AE108" s="297"/>
      <c r="AF108" s="297"/>
      <c r="AG108" s="297"/>
      <c r="AH108" s="297"/>
      <c r="AI108" s="160"/>
      <c r="AJ108" s="160"/>
      <c r="AK108" s="160"/>
      <c r="AL108" s="297"/>
      <c r="AM108" s="297"/>
      <c r="AN108" s="297"/>
      <c r="AO108" s="290"/>
      <c r="AP108" s="290"/>
      <c r="AQ108" s="290"/>
      <c r="AR108" s="297"/>
      <c r="AS108" s="297"/>
      <c r="AT108" s="297"/>
      <c r="AU108" s="297"/>
      <c r="AV108" s="297"/>
      <c r="AW108" s="297"/>
      <c r="AX108" s="124"/>
      <c r="AY108" s="124"/>
      <c r="AZ108" s="124"/>
      <c r="BA108" s="63"/>
      <c r="BB108" s="63"/>
      <c r="BC108" s="63"/>
      <c r="BD108" s="63"/>
      <c r="BE108" s="63"/>
      <c r="BF108" s="63"/>
      <c r="BG108" s="63"/>
      <c r="BH108" s="63"/>
      <c r="BI108" s="63"/>
      <c r="BJ108" s="63"/>
      <c r="BK108" s="63"/>
      <c r="BL108" s="63"/>
      <c r="BM108" s="124"/>
      <c r="BN108" s="124"/>
      <c r="BO108" s="124"/>
      <c r="BP108" s="124"/>
      <c r="BQ108" s="124"/>
      <c r="BR108" s="124"/>
      <c r="BS108" s="124"/>
      <c r="BT108" s="124"/>
      <c r="BU108" s="124"/>
      <c r="BV108" s="124"/>
      <c r="BW108" s="124"/>
      <c r="BX108" s="124"/>
      <c r="BY108" s="124"/>
      <c r="BZ108" s="124"/>
      <c r="CA108" s="124"/>
      <c r="CB108" s="124"/>
      <c r="CC108" s="2"/>
      <c r="CD108" s="2"/>
      <c r="CE108" s="2"/>
    </row>
    <row x14ac:dyDescent="0.25" r="109" customHeight="1" ht="13.5">
      <c r="A109" s="2"/>
      <c r="B109" s="3"/>
      <c r="C109" s="2"/>
      <c r="D109" s="123" t="s">
        <v>163</v>
      </c>
      <c r="E109" s="3"/>
      <c r="F109" s="3"/>
      <c r="G109" s="3"/>
      <c r="H109" s="3"/>
      <c r="I109" s="3"/>
      <c r="J109" s="3"/>
      <c r="K109" s="368">
        <f>S109*W109</f>
      </c>
      <c r="L109" s="368">
        <f>T109*X109</f>
      </c>
      <c r="M109" s="368">
        <f>U109*Y109</f>
      </c>
      <c r="N109" s="2"/>
      <c r="O109" s="303">
        <f>1-P166</f>
      </c>
      <c r="P109" s="304" t="s">
        <v>513</v>
      </c>
      <c r="Q109" s="304">
        <f>O166</f>
      </c>
      <c r="R109" s="319">
        <v>2</v>
      </c>
      <c r="S109" s="63">
        <f>$O109*ProjectedP205_Consumption!K31</f>
      </c>
      <c r="T109" s="63">
        <f>$O109*ProjectedP205_Consumption!L31</f>
      </c>
      <c r="U109" s="372">
        <f>$O109*ProjectedP205_Consumption!M31</f>
      </c>
      <c r="V109" s="160">
        <v>0.36</v>
      </c>
      <c r="W109" s="160">
        <f>$W$91</f>
      </c>
      <c r="X109" s="160">
        <f>X109+5%</f>
      </c>
      <c r="Y109" s="373">
        <f>Y109+5%</f>
      </c>
      <c r="Z109" s="124"/>
      <c r="AA109" s="124"/>
      <c r="AB109" s="124"/>
      <c r="AC109" s="297"/>
      <c r="AD109" s="297"/>
      <c r="AE109" s="297"/>
      <c r="AF109" s="297"/>
      <c r="AG109" s="297"/>
      <c r="AH109" s="297"/>
      <c r="AI109" s="160"/>
      <c r="AJ109" s="160"/>
      <c r="AK109" s="160"/>
      <c r="AL109" s="297"/>
      <c r="AM109" s="297"/>
      <c r="AN109" s="297"/>
      <c r="AO109" s="290"/>
      <c r="AP109" s="290"/>
      <c r="AQ109" s="290"/>
      <c r="AR109" s="297"/>
      <c r="AS109" s="297"/>
      <c r="AT109" s="297"/>
      <c r="AU109" s="297"/>
      <c r="AV109" s="297"/>
      <c r="AW109" s="297"/>
      <c r="AX109" s="124"/>
      <c r="AY109" s="124"/>
      <c r="AZ109" s="124"/>
      <c r="BA109" s="63"/>
      <c r="BB109" s="63"/>
      <c r="BC109" s="63"/>
      <c r="BD109" s="63"/>
      <c r="BE109" s="63"/>
      <c r="BF109" s="63"/>
      <c r="BG109" s="63"/>
      <c r="BH109" s="63"/>
      <c r="BI109" s="63"/>
      <c r="BJ109" s="63"/>
      <c r="BK109" s="63"/>
      <c r="BL109" s="63"/>
      <c r="BM109" s="124"/>
      <c r="BN109" s="124"/>
      <c r="BO109" s="124"/>
      <c r="BP109" s="124"/>
      <c r="BQ109" s="124"/>
      <c r="BR109" s="124"/>
      <c r="BS109" s="124"/>
      <c r="BT109" s="124"/>
      <c r="BU109" s="124"/>
      <c r="BV109" s="124"/>
      <c r="BW109" s="124"/>
      <c r="BX109" s="124"/>
      <c r="BY109" s="124"/>
      <c r="BZ109" s="124"/>
      <c r="CA109" s="124"/>
      <c r="CB109" s="124"/>
      <c r="CC109" s="2"/>
      <c r="CD109" s="2"/>
      <c r="CE109" s="2"/>
    </row>
    <row x14ac:dyDescent="0.25" r="110" customHeight="1" ht="13.5">
      <c r="A110" s="2"/>
      <c r="B110" s="3"/>
      <c r="C110" s="2"/>
      <c r="D110" s="123" t="s">
        <v>227</v>
      </c>
      <c r="E110" s="3"/>
      <c r="F110" s="3"/>
      <c r="G110" s="3"/>
      <c r="H110" s="3"/>
      <c r="I110" s="3"/>
      <c r="J110" s="3"/>
      <c r="K110" s="368">
        <f>S110*W110</f>
      </c>
      <c r="L110" s="368">
        <f>T110*X110</f>
      </c>
      <c r="M110" s="368">
        <f>U110*Y110</f>
      </c>
      <c r="N110" s="2"/>
      <c r="O110" s="303">
        <f>1-P167</f>
      </c>
      <c r="P110" s="304" t="s">
        <v>513</v>
      </c>
      <c r="Q110" s="304">
        <f>O167</f>
      </c>
      <c r="R110" s="319">
        <v>1</v>
      </c>
      <c r="S110" s="63">
        <f>$O110*ProjectedP205_Consumption!K32</f>
      </c>
      <c r="T110" s="63">
        <f>$O110*ProjectedP205_Consumption!L32</f>
      </c>
      <c r="U110" s="372">
        <f>$O110*ProjectedP205_Consumption!M32</f>
      </c>
      <c r="V110" s="160">
        <v>0.36</v>
      </c>
      <c r="W110" s="160">
        <f>$W$91</f>
      </c>
      <c r="X110" s="160">
        <f>X110+5%</f>
      </c>
      <c r="Y110" s="373">
        <f>Y110+5%</f>
      </c>
      <c r="Z110" s="124"/>
      <c r="AA110" s="124"/>
      <c r="AB110" s="124"/>
      <c r="AC110" s="297"/>
      <c r="AD110" s="297"/>
      <c r="AE110" s="297"/>
      <c r="AF110" s="297"/>
      <c r="AG110" s="297"/>
      <c r="AH110" s="297"/>
      <c r="AI110" s="160"/>
      <c r="AJ110" s="160"/>
      <c r="AK110" s="160"/>
      <c r="AL110" s="297"/>
      <c r="AM110" s="297"/>
      <c r="AN110" s="297"/>
      <c r="AO110" s="290"/>
      <c r="AP110" s="290"/>
      <c r="AQ110" s="290"/>
      <c r="AR110" s="297"/>
      <c r="AS110" s="297"/>
      <c r="AT110" s="297"/>
      <c r="AU110" s="297"/>
      <c r="AV110" s="297"/>
      <c r="AW110" s="297"/>
      <c r="AX110" s="124"/>
      <c r="AY110" s="124"/>
      <c r="AZ110" s="124"/>
      <c r="BA110" s="63"/>
      <c r="BB110" s="63"/>
      <c r="BC110" s="63"/>
      <c r="BD110" s="63"/>
      <c r="BE110" s="63"/>
      <c r="BF110" s="63"/>
      <c r="BG110" s="63"/>
      <c r="BH110" s="63"/>
      <c r="BI110" s="63"/>
      <c r="BJ110" s="63"/>
      <c r="BK110" s="63"/>
      <c r="BL110" s="63"/>
      <c r="BM110" s="124"/>
      <c r="BN110" s="124"/>
      <c r="BO110" s="124"/>
      <c r="BP110" s="124"/>
      <c r="BQ110" s="124"/>
      <c r="BR110" s="124"/>
      <c r="BS110" s="124"/>
      <c r="BT110" s="124"/>
      <c r="BU110" s="124"/>
      <c r="BV110" s="124"/>
      <c r="BW110" s="124"/>
      <c r="BX110" s="124"/>
      <c r="BY110" s="124"/>
      <c r="BZ110" s="124"/>
      <c r="CA110" s="124"/>
      <c r="CB110" s="124"/>
      <c r="CC110" s="2"/>
      <c r="CD110" s="2"/>
      <c r="CE110" s="2"/>
    </row>
    <row x14ac:dyDescent="0.25" r="111" customHeight="1" ht="13.5">
      <c r="A111" s="2"/>
      <c r="B111" s="3"/>
      <c r="C111" s="2"/>
      <c r="D111" s="123" t="s">
        <v>255</v>
      </c>
      <c r="E111" s="3"/>
      <c r="F111" s="3"/>
      <c r="G111" s="3"/>
      <c r="H111" s="3"/>
      <c r="I111" s="3"/>
      <c r="J111" s="3"/>
      <c r="K111" s="368">
        <f>S111*W111</f>
      </c>
      <c r="L111" s="368">
        <f>T111*X111</f>
      </c>
      <c r="M111" s="368">
        <f>U111*Y111</f>
      </c>
      <c r="N111" s="2"/>
      <c r="O111" s="303">
        <f>1-P168</f>
      </c>
      <c r="P111" s="304" t="s">
        <v>514</v>
      </c>
      <c r="Q111" s="304">
        <f>O168</f>
      </c>
      <c r="R111" s="319">
        <v>1</v>
      </c>
      <c r="S111" s="63">
        <f>$O111*ProjectedP205_Consumption!K33</f>
      </c>
      <c r="T111" s="63">
        <f>$O111*ProjectedP205_Consumption!L33</f>
      </c>
      <c r="U111" s="372">
        <f>$O111*ProjectedP205_Consumption!M33</f>
      </c>
      <c r="V111" s="303">
        <v>0</v>
      </c>
      <c r="W111" s="303">
        <f>W111+5%</f>
      </c>
      <c r="X111" s="303">
        <f>X111+5%</f>
      </c>
      <c r="Y111" s="306">
        <f>Y111+5%</f>
      </c>
      <c r="Z111" s="124"/>
      <c r="AA111" s="124"/>
      <c r="AB111" s="124"/>
      <c r="AC111" s="297"/>
      <c r="AD111" s="297"/>
      <c r="AE111" s="297"/>
      <c r="AF111" s="297"/>
      <c r="AG111" s="297"/>
      <c r="AH111" s="297"/>
      <c r="AI111" s="160"/>
      <c r="AJ111" s="160"/>
      <c r="AK111" s="160"/>
      <c r="AL111" s="255"/>
      <c r="AM111" s="297"/>
      <c r="AN111" s="297"/>
      <c r="AO111" s="124"/>
      <c r="AP111" s="124"/>
      <c r="AQ111" s="124"/>
      <c r="AR111" s="255"/>
      <c r="AS111" s="297"/>
      <c r="AT111" s="297"/>
      <c r="AU111" s="255"/>
      <c r="AV111" s="297"/>
      <c r="AW111" s="297"/>
      <c r="AX111" s="124"/>
      <c r="AY111" s="124"/>
      <c r="AZ111" s="124"/>
      <c r="BA111" s="63"/>
      <c r="BB111" s="63"/>
      <c r="BC111" s="63"/>
      <c r="BD111" s="63"/>
      <c r="BE111" s="63"/>
      <c r="BF111" s="63"/>
      <c r="BG111" s="63"/>
      <c r="BH111" s="63"/>
      <c r="BI111" s="63"/>
      <c r="BJ111" s="63"/>
      <c r="BK111" s="63"/>
      <c r="BL111" s="63"/>
      <c r="BM111" s="124"/>
      <c r="BN111" s="124"/>
      <c r="BO111" s="124"/>
      <c r="BP111" s="124"/>
      <c r="BQ111" s="124"/>
      <c r="BR111" s="124"/>
      <c r="BS111" s="124"/>
      <c r="BT111" s="124"/>
      <c r="BU111" s="124"/>
      <c r="BV111" s="124"/>
      <c r="BW111" s="124"/>
      <c r="BX111" s="124"/>
      <c r="BY111" s="124"/>
      <c r="BZ111" s="124"/>
      <c r="CA111" s="124"/>
      <c r="CB111" s="124"/>
      <c r="CC111" s="2"/>
      <c r="CD111" s="2"/>
      <c r="CE111" s="2"/>
    </row>
    <row x14ac:dyDescent="0.25" r="112" customHeight="1" ht="13.5">
      <c r="A112" s="2"/>
      <c r="B112" s="3"/>
      <c r="C112" s="2"/>
      <c r="D112" s="326" t="s">
        <v>336</v>
      </c>
      <c r="E112" s="364"/>
      <c r="F112" s="364"/>
      <c r="G112" s="364"/>
      <c r="H112" s="364"/>
      <c r="I112" s="364"/>
      <c r="J112" s="327"/>
      <c r="K112" s="327">
        <f>SUM(K91:K111)</f>
      </c>
      <c r="L112" s="327">
        <f>SUM(L91:L111)</f>
      </c>
      <c r="M112" s="327">
        <f>SUM(M91:M111)</f>
      </c>
      <c r="N112" s="2"/>
      <c r="O112" s="374"/>
      <c r="P112" s="181"/>
      <c r="Q112" s="181"/>
      <c r="R112" s="375"/>
      <c r="S112" s="376">
        <f>SUM(S91:S111)</f>
      </c>
      <c r="T112" s="376">
        <f>SUM(T91:T111)</f>
      </c>
      <c r="U112" s="46">
        <f>SUM(U91:U111)</f>
      </c>
      <c r="V112" s="181"/>
      <c r="W112" s="181"/>
      <c r="X112" s="181"/>
      <c r="Y112" s="375"/>
      <c r="Z112" s="124"/>
      <c r="AA112" s="124"/>
      <c r="AB112" s="124"/>
      <c r="AC112" s="124"/>
      <c r="AD112" s="124"/>
      <c r="AE112" s="124"/>
      <c r="AF112" s="124"/>
      <c r="AG112" s="124"/>
      <c r="AH112" s="124"/>
      <c r="AI112" s="124"/>
      <c r="AJ112" s="124"/>
      <c r="AK112" s="124"/>
      <c r="AL112" s="124"/>
      <c r="AM112" s="124"/>
      <c r="AN112" s="124"/>
      <c r="AO112" s="124"/>
      <c r="AP112" s="124"/>
      <c r="AQ112" s="124"/>
      <c r="AR112" s="124"/>
      <c r="AS112" s="124"/>
      <c r="AT112" s="124"/>
      <c r="AU112" s="124"/>
      <c r="AV112" s="124"/>
      <c r="AW112" s="124"/>
      <c r="AX112" s="300"/>
      <c r="AY112" s="300"/>
      <c r="AZ112" s="300"/>
      <c r="BA112" s="124"/>
      <c r="BB112" s="124"/>
      <c r="BC112" s="124"/>
      <c r="BD112" s="124"/>
      <c r="BE112" s="124"/>
      <c r="BF112" s="124"/>
      <c r="BG112" s="124"/>
      <c r="BH112" s="124"/>
      <c r="BI112" s="124"/>
      <c r="BJ112" s="124"/>
      <c r="BK112" s="124"/>
      <c r="BL112" s="124"/>
      <c r="BM112" s="124"/>
      <c r="BN112" s="124"/>
      <c r="BO112" s="124"/>
      <c r="BP112" s="124"/>
      <c r="BQ112" s="124"/>
      <c r="BR112" s="124"/>
      <c r="BS112" s="124"/>
      <c r="BT112" s="124"/>
      <c r="BU112" s="124"/>
      <c r="BV112" s="124"/>
      <c r="BW112" s="124"/>
      <c r="BX112" s="124"/>
      <c r="BY112" s="124"/>
      <c r="BZ112" s="124"/>
      <c r="CA112" s="124"/>
      <c r="CB112" s="124"/>
      <c r="CC112" s="2"/>
      <c r="CD112" s="2"/>
      <c r="CE112" s="2"/>
    </row>
    <row x14ac:dyDescent="0.25" r="113" customHeight="1" ht="13.5">
      <c r="A113" s="2"/>
      <c r="B113" s="3"/>
      <c r="C113" s="2"/>
      <c r="D113" s="377" t="s">
        <v>515</v>
      </c>
      <c r="E113" s="124"/>
      <c r="F113" s="124"/>
      <c r="G113" s="124"/>
      <c r="H113" s="124"/>
      <c r="I113" s="124"/>
      <c r="J113" s="368"/>
      <c r="K113" s="369">
        <f>K112/(ProjectedP205_Consumption!K34*90%)</f>
      </c>
      <c r="L113" s="369">
        <f>L112/(ProjectedP205_Consumption!L34*90%)</f>
      </c>
      <c r="M113" s="369">
        <f>M112/(ProjectedP205_Consumption!M34*90%)</f>
      </c>
      <c r="N113" s="2"/>
      <c r="O113" s="299"/>
      <c r="P113" s="124"/>
      <c r="Q113" s="124"/>
      <c r="R113" s="124"/>
      <c r="S113" s="63"/>
      <c r="T113" s="63"/>
      <c r="U113" s="63"/>
      <c r="V113" s="124"/>
      <c r="W113" s="124"/>
      <c r="X113" s="124"/>
      <c r="Y113" s="124"/>
      <c r="Z113" s="124"/>
      <c r="AA113" s="124"/>
      <c r="AB113" s="124"/>
      <c r="AC113" s="124"/>
      <c r="AD113" s="124"/>
      <c r="AE113" s="124"/>
      <c r="AF113" s="124"/>
      <c r="AG113" s="124"/>
      <c r="AH113" s="124"/>
      <c r="AI113" s="124"/>
      <c r="AJ113" s="124"/>
      <c r="AK113" s="124"/>
      <c r="AL113" s="124"/>
      <c r="AM113" s="124"/>
      <c r="AN113" s="124"/>
      <c r="AO113" s="124"/>
      <c r="AP113" s="124"/>
      <c r="AQ113" s="124"/>
      <c r="AR113" s="124"/>
      <c r="AS113" s="124"/>
      <c r="AT113" s="124"/>
      <c r="AU113" s="124"/>
      <c r="AV113" s="124"/>
      <c r="AW113" s="124"/>
      <c r="AX113" s="300"/>
      <c r="AY113" s="300"/>
      <c r="AZ113" s="300"/>
      <c r="BA113" s="124"/>
      <c r="BB113" s="124"/>
      <c r="BC113" s="124"/>
      <c r="BD113" s="124"/>
      <c r="BE113" s="124"/>
      <c r="BF113" s="124"/>
      <c r="BG113" s="124"/>
      <c r="BH113" s="124"/>
      <c r="BI113" s="124"/>
      <c r="BJ113" s="124"/>
      <c r="BK113" s="124"/>
      <c r="BL113" s="124"/>
      <c r="BM113" s="124"/>
      <c r="BN113" s="124"/>
      <c r="BO113" s="124"/>
      <c r="BP113" s="124"/>
      <c r="BQ113" s="124"/>
      <c r="BR113" s="124"/>
      <c r="BS113" s="124"/>
      <c r="BT113" s="124"/>
      <c r="BU113" s="124"/>
      <c r="BV113" s="124"/>
      <c r="BW113" s="124"/>
      <c r="BX113" s="124"/>
      <c r="BY113" s="124"/>
      <c r="BZ113" s="124"/>
      <c r="CA113" s="124"/>
      <c r="CB113" s="124"/>
      <c r="CC113" s="2"/>
      <c r="CD113" s="2"/>
      <c r="CE113" s="2"/>
    </row>
    <row x14ac:dyDescent="0.25" r="114" customHeight="1" ht="13.5">
      <c r="A114" s="2"/>
      <c r="B114" s="3"/>
      <c r="C114" s="124"/>
      <c r="D114" s="124"/>
      <c r="E114" s="124"/>
      <c r="F114" s="124"/>
      <c r="G114" s="124"/>
      <c r="H114" s="124"/>
      <c r="I114" s="124"/>
      <c r="J114" s="124"/>
      <c r="K114" s="124"/>
      <c r="L114" s="124"/>
      <c r="M114" s="124"/>
      <c r="N114" s="2"/>
      <c r="O114" s="299"/>
      <c r="P114" s="124"/>
      <c r="Q114" s="124"/>
      <c r="R114" s="124"/>
      <c r="S114" s="63"/>
      <c r="T114" s="63"/>
      <c r="U114" s="63"/>
      <c r="V114" s="124"/>
      <c r="W114" s="124"/>
      <c r="X114" s="124"/>
      <c r="Y114" s="124"/>
      <c r="Z114" s="124"/>
      <c r="AA114" s="124"/>
      <c r="AB114" s="124"/>
      <c r="AC114" s="124"/>
      <c r="AD114" s="124"/>
      <c r="AE114" s="124"/>
      <c r="AF114" s="124"/>
      <c r="AG114" s="124"/>
      <c r="AH114" s="124"/>
      <c r="AI114" s="124"/>
      <c r="AJ114" s="124"/>
      <c r="AK114" s="124"/>
      <c r="AL114" s="124"/>
      <c r="AM114" s="124"/>
      <c r="AN114" s="124"/>
      <c r="AO114" s="124"/>
      <c r="AP114" s="124"/>
      <c r="AQ114" s="124"/>
      <c r="AR114" s="124"/>
      <c r="AS114" s="124"/>
      <c r="AT114" s="124"/>
      <c r="AU114" s="124"/>
      <c r="AV114" s="124"/>
      <c r="AW114" s="124"/>
      <c r="AX114" s="300"/>
      <c r="AY114" s="300"/>
      <c r="AZ114" s="300"/>
      <c r="BA114" s="124"/>
      <c r="BB114" s="124"/>
      <c r="BC114" s="124"/>
      <c r="BD114" s="124"/>
      <c r="BE114" s="124"/>
      <c r="BF114" s="124"/>
      <c r="BG114" s="124"/>
      <c r="BH114" s="124"/>
      <c r="BI114" s="124"/>
      <c r="BJ114" s="124"/>
      <c r="BK114" s="124"/>
      <c r="BL114" s="124"/>
      <c r="BM114" s="124"/>
      <c r="BN114" s="124"/>
      <c r="BO114" s="124"/>
      <c r="BP114" s="124"/>
      <c r="BQ114" s="124"/>
      <c r="BR114" s="124"/>
      <c r="BS114" s="124"/>
      <c r="BT114" s="124"/>
      <c r="BU114" s="124"/>
      <c r="BV114" s="124"/>
      <c r="BW114" s="124"/>
      <c r="BX114" s="124"/>
      <c r="BY114" s="124"/>
      <c r="BZ114" s="124"/>
      <c r="CA114" s="124"/>
      <c r="CB114" s="124"/>
      <c r="CC114" s="2"/>
      <c r="CD114" s="2"/>
      <c r="CE114" s="2"/>
    </row>
    <row x14ac:dyDescent="0.25" r="115" customHeight="1" ht="13.5">
      <c r="A115" s="2"/>
      <c r="B115" s="3"/>
      <c r="C115" s="2"/>
      <c r="D115" s="2"/>
      <c r="E115" s="3"/>
      <c r="F115" s="3"/>
      <c r="G115" s="3"/>
      <c r="H115" s="3"/>
      <c r="I115" s="3"/>
      <c r="J115" s="3"/>
      <c r="K115" s="108"/>
      <c r="L115" s="108"/>
      <c r="M115" s="108"/>
      <c r="N115" s="2"/>
      <c r="O115" s="3"/>
      <c r="P115" s="3"/>
      <c r="Q115" s="3"/>
      <c r="R115" s="3"/>
      <c r="S115" s="3"/>
      <c r="T115" s="3"/>
      <c r="U115" s="3"/>
      <c r="V115" s="3"/>
      <c r="W115" s="3"/>
      <c r="X115" s="3"/>
      <c r="Y115" s="3"/>
      <c r="Z115" s="124"/>
      <c r="AA115" s="124"/>
      <c r="AB115" s="124"/>
      <c r="AC115" s="124"/>
      <c r="AD115" s="307"/>
      <c r="AE115" s="307"/>
      <c r="AF115" s="307"/>
      <c r="AG115" s="124"/>
      <c r="AH115" s="124"/>
      <c r="AI115" s="124"/>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4"/>
      <c r="BE115" s="124"/>
      <c r="BF115" s="124"/>
      <c r="BG115" s="124"/>
      <c r="BH115" s="124"/>
      <c r="BI115" s="124"/>
      <c r="BJ115" s="124"/>
      <c r="BK115" s="124"/>
      <c r="BL115" s="124"/>
      <c r="BM115" s="124"/>
      <c r="BN115" s="124"/>
      <c r="BO115" s="124"/>
      <c r="BP115" s="124"/>
      <c r="BQ115" s="124"/>
      <c r="BR115" s="124"/>
      <c r="BS115" s="124"/>
      <c r="BT115" s="124"/>
      <c r="BU115" s="124"/>
      <c r="BV115" s="124"/>
      <c r="BW115" s="124"/>
      <c r="BX115" s="124"/>
      <c r="BY115" s="124"/>
      <c r="BZ115" s="124"/>
      <c r="CA115" s="124"/>
      <c r="CB115" s="124"/>
      <c r="CC115" s="2"/>
      <c r="CD115" s="2"/>
      <c r="CE115" s="2"/>
    </row>
    <row x14ac:dyDescent="0.25" r="116" customHeight="1" ht="13.5">
      <c r="A116" s="2"/>
      <c r="B116" s="3"/>
      <c r="C116" s="2"/>
      <c r="D116" s="240" t="s">
        <v>467</v>
      </c>
      <c r="E116" s="3"/>
      <c r="F116" s="3"/>
      <c r="G116" s="3"/>
      <c r="H116" s="3"/>
      <c r="I116" s="3"/>
      <c r="J116" s="3"/>
      <c r="K116" s="108"/>
      <c r="L116" s="108"/>
      <c r="M116" s="108"/>
      <c r="N116" s="2"/>
      <c r="O116" s="279" t="s">
        <v>493</v>
      </c>
      <c r="P116" s="3"/>
      <c r="Q116" s="3"/>
      <c r="R116" s="3"/>
      <c r="S116" s="279" t="s">
        <v>509</v>
      </c>
      <c r="T116" s="3"/>
      <c r="U116" s="3"/>
      <c r="V116" s="279" t="s">
        <v>510</v>
      </c>
      <c r="W116" s="3"/>
      <c r="X116" s="3"/>
      <c r="Y116" s="3"/>
      <c r="Z116" s="308"/>
      <c r="AA116" s="124"/>
      <c r="AB116" s="124"/>
      <c r="AC116" s="63"/>
      <c r="AD116" s="307"/>
      <c r="AE116" s="307"/>
      <c r="AF116" s="307"/>
      <c r="AG116" s="124"/>
      <c r="AH116" s="124"/>
      <c r="AI116" s="290"/>
      <c r="AJ116" s="124"/>
      <c r="AK116" s="124"/>
      <c r="AL116" s="290"/>
      <c r="AM116" s="124"/>
      <c r="AN116" s="124"/>
      <c r="AO116" s="290"/>
      <c r="AP116" s="124"/>
      <c r="AQ116" s="124"/>
      <c r="AR116" s="124"/>
      <c r="AS116" s="124"/>
      <c r="AT116" s="124"/>
      <c r="AU116" s="124"/>
      <c r="AV116" s="124"/>
      <c r="AW116" s="124"/>
      <c r="AX116" s="124"/>
      <c r="AY116" s="124"/>
      <c r="AZ116" s="124"/>
      <c r="BA116" s="124"/>
      <c r="BB116" s="124"/>
      <c r="BC116" s="124"/>
      <c r="BD116" s="124"/>
      <c r="BE116" s="124"/>
      <c r="BF116" s="124"/>
      <c r="BG116" s="124"/>
      <c r="BH116" s="124"/>
      <c r="BI116" s="124"/>
      <c r="BJ116" s="124"/>
      <c r="BK116" s="124"/>
      <c r="BL116" s="124"/>
      <c r="BM116" s="124"/>
      <c r="BN116" s="124"/>
      <c r="BO116" s="124"/>
      <c r="BP116" s="124"/>
      <c r="BQ116" s="124"/>
      <c r="BR116" s="124"/>
      <c r="BS116" s="124"/>
      <c r="BT116" s="124"/>
      <c r="BU116" s="124"/>
      <c r="BV116" s="124"/>
      <c r="BW116" s="124"/>
      <c r="BX116" s="124"/>
      <c r="BY116" s="124"/>
      <c r="BZ116" s="124"/>
      <c r="CA116" s="124"/>
      <c r="CB116" s="124"/>
      <c r="CC116" s="2"/>
      <c r="CD116" s="2"/>
      <c r="CE116" s="2"/>
    </row>
    <row x14ac:dyDescent="0.25" r="117" customHeight="1" ht="13.5">
      <c r="A117" s="2"/>
      <c r="B117" s="3"/>
      <c r="C117" s="2"/>
      <c r="D117" s="241" t="s">
        <v>468</v>
      </c>
      <c r="E117" s="3"/>
      <c r="F117" s="3"/>
      <c r="G117" s="3"/>
      <c r="H117" s="3"/>
      <c r="I117" s="3"/>
      <c r="J117" s="3"/>
      <c r="K117" s="108"/>
      <c r="L117" s="108"/>
      <c r="M117" s="108"/>
      <c r="N117" s="2"/>
      <c r="O117" s="3"/>
      <c r="P117" s="3"/>
      <c r="Q117" s="3"/>
      <c r="R117" s="3"/>
      <c r="S117" s="3"/>
      <c r="T117" s="3"/>
      <c r="U117" s="3"/>
      <c r="V117" s="3"/>
      <c r="W117" s="3"/>
      <c r="X117" s="3"/>
      <c r="Y117" s="3"/>
      <c r="Z117" s="124"/>
      <c r="AA117" s="63"/>
      <c r="AB117" s="124"/>
      <c r="AC117" s="124"/>
      <c r="AD117" s="307"/>
      <c r="AE117" s="307"/>
      <c r="AF117" s="124"/>
      <c r="AG117" s="307"/>
      <c r="AH117" s="307"/>
      <c r="AI117" s="124"/>
      <c r="AJ117" s="124"/>
      <c r="AK117" s="124"/>
      <c r="AL117" s="124"/>
      <c r="AM117" s="124"/>
      <c r="AN117" s="124"/>
      <c r="AO117" s="124"/>
      <c r="AP117" s="124"/>
      <c r="AQ117" s="124"/>
      <c r="AR117" s="290"/>
      <c r="AS117" s="124"/>
      <c r="AT117" s="124"/>
      <c r="AU117" s="290"/>
      <c r="AV117" s="124"/>
      <c r="AW117" s="124"/>
      <c r="AX117" s="124"/>
      <c r="AY117" s="124"/>
      <c r="AZ117" s="124"/>
      <c r="BA117" s="63"/>
      <c r="BB117" s="124"/>
      <c r="BC117" s="124"/>
      <c r="BD117" s="124"/>
      <c r="BE117" s="63"/>
      <c r="BF117" s="124"/>
      <c r="BG117" s="124"/>
      <c r="BH117" s="124"/>
      <c r="BI117" s="63"/>
      <c r="BJ117" s="124"/>
      <c r="BK117" s="124"/>
      <c r="BL117" s="124"/>
      <c r="BM117" s="63"/>
      <c r="BN117" s="63"/>
      <c r="BO117" s="124"/>
      <c r="BP117" s="124"/>
      <c r="BQ117" s="63"/>
      <c r="BR117" s="63"/>
      <c r="BS117" s="124"/>
      <c r="BT117" s="124"/>
      <c r="BU117" s="63"/>
      <c r="BV117" s="63"/>
      <c r="BW117" s="124"/>
      <c r="BX117" s="124"/>
      <c r="BY117" s="124"/>
      <c r="BZ117" s="124"/>
      <c r="CA117" s="124"/>
      <c r="CB117" s="124"/>
      <c r="CC117" s="2"/>
      <c r="CD117" s="2"/>
      <c r="CE117" s="2"/>
    </row>
    <row x14ac:dyDescent="0.25" r="118" customHeight="1" ht="13.5">
      <c r="A118" s="2"/>
      <c r="B118" s="3"/>
      <c r="C118" s="2"/>
      <c r="D118" s="246" t="s">
        <v>475</v>
      </c>
      <c r="E118" s="257">
        <v>2017</v>
      </c>
      <c r="F118" s="257">
        <v>2018</v>
      </c>
      <c r="G118" s="257">
        <v>2019</v>
      </c>
      <c r="H118" s="257">
        <v>2020</v>
      </c>
      <c r="I118" s="257">
        <v>2021</v>
      </c>
      <c r="J118" s="257">
        <v>2022</v>
      </c>
      <c r="K118" s="257">
        <v>2023</v>
      </c>
      <c r="L118" s="257">
        <v>2024</v>
      </c>
      <c r="M118" s="257">
        <v>2025</v>
      </c>
      <c r="N118" s="2"/>
      <c r="O118" s="257" t="s">
        <v>511</v>
      </c>
      <c r="P118" s="257" t="s">
        <v>512</v>
      </c>
      <c r="Q118" s="257" t="s">
        <v>494</v>
      </c>
      <c r="R118" s="257" t="s">
        <v>495</v>
      </c>
      <c r="S118" s="257">
        <v>2023</v>
      </c>
      <c r="T118" s="257">
        <v>2024</v>
      </c>
      <c r="U118" s="257">
        <v>2025</v>
      </c>
      <c r="V118" s="257">
        <v>2022</v>
      </c>
      <c r="W118" s="257">
        <v>2023</v>
      </c>
      <c r="X118" s="257">
        <v>2024</v>
      </c>
      <c r="Y118" s="257">
        <v>2025</v>
      </c>
      <c r="Z118" s="312"/>
      <c r="AA118" s="312"/>
      <c r="AB118" s="312"/>
      <c r="AC118" s="160"/>
      <c r="AD118" s="160"/>
      <c r="AE118" s="160"/>
      <c r="AF118" s="160"/>
      <c r="AG118" s="160"/>
      <c r="AH118" s="160"/>
      <c r="AI118" s="160"/>
      <c r="AJ118" s="160"/>
      <c r="AK118" s="160"/>
      <c r="AL118" s="160"/>
      <c r="AM118" s="160"/>
      <c r="AN118" s="160"/>
      <c r="AO118" s="160"/>
      <c r="AP118" s="160"/>
      <c r="AQ118" s="160"/>
      <c r="AR118" s="160"/>
      <c r="AS118" s="160"/>
      <c r="AT118" s="160"/>
      <c r="AU118" s="160"/>
      <c r="AV118" s="160"/>
      <c r="AW118" s="160"/>
      <c r="AX118" s="160"/>
      <c r="AY118" s="160"/>
      <c r="AZ118" s="160"/>
      <c r="BA118" s="124"/>
      <c r="BB118" s="124"/>
      <c r="BC118" s="124"/>
      <c r="BD118" s="124"/>
      <c r="BE118" s="124"/>
      <c r="BF118" s="124"/>
      <c r="BG118" s="124"/>
      <c r="BH118" s="124"/>
      <c r="BI118" s="124"/>
      <c r="BJ118" s="124"/>
      <c r="BK118" s="124"/>
      <c r="BL118" s="124"/>
      <c r="BM118" s="124"/>
      <c r="BN118" s="124"/>
      <c r="BO118" s="124"/>
      <c r="BP118" s="124"/>
      <c r="BQ118" s="124"/>
      <c r="BR118" s="124"/>
      <c r="BS118" s="124"/>
      <c r="BT118" s="124"/>
      <c r="BU118" s="124"/>
      <c r="BV118" s="124"/>
      <c r="BW118" s="124"/>
      <c r="BX118" s="124"/>
      <c r="BY118" s="124"/>
      <c r="BZ118" s="124"/>
      <c r="CA118" s="124"/>
      <c r="CB118" s="124"/>
      <c r="CC118" s="2"/>
      <c r="CD118" s="2"/>
      <c r="CE118" s="2"/>
    </row>
    <row x14ac:dyDescent="0.25" r="119" customHeight="1" ht="13.5">
      <c r="A119" s="2"/>
      <c r="B119" s="3"/>
      <c r="C119" s="2"/>
      <c r="D119" s="123" t="s">
        <v>179</v>
      </c>
      <c r="E119" s="3"/>
      <c r="F119" s="3"/>
      <c r="G119" s="3"/>
      <c r="H119" s="3"/>
      <c r="I119" s="3"/>
      <c r="J119" s="3"/>
      <c r="K119" s="368">
        <f>S119*W119</f>
      </c>
      <c r="L119" s="368">
        <f>T119*X119</f>
      </c>
      <c r="M119" s="368">
        <f>U119*Y119</f>
      </c>
      <c r="N119" s="2"/>
      <c r="O119" s="303">
        <f>O91</f>
      </c>
      <c r="P119" s="304">
        <f>P91</f>
      </c>
      <c r="Q119" s="304">
        <f>Q91</f>
      </c>
      <c r="R119" s="319">
        <f>R91</f>
      </c>
      <c r="S119" s="63">
        <f>ProjectedP205_Consumption!K41*$O119</f>
      </c>
      <c r="T119" s="63">
        <f>ProjectedP205_Consumption!L41*O119</f>
      </c>
      <c r="U119" s="372">
        <f>ProjectedP205_Consumption!M41*O119</f>
      </c>
      <c r="V119" s="160">
        <f>$V$91</f>
      </c>
      <c r="W119" s="160">
        <f>W91</f>
      </c>
      <c r="X119" s="160">
        <f>X91</f>
      </c>
      <c r="Y119" s="373">
        <f>Y91</f>
      </c>
      <c r="Z119" s="297"/>
      <c r="AA119" s="297"/>
      <c r="AB119" s="297"/>
      <c r="AC119" s="297"/>
      <c r="AD119" s="297"/>
      <c r="AE119" s="297"/>
      <c r="AF119" s="297"/>
      <c r="AG119" s="297"/>
      <c r="AH119" s="297"/>
      <c r="AI119" s="160"/>
      <c r="AJ119" s="160"/>
      <c r="AK119" s="160"/>
      <c r="AL119" s="297"/>
      <c r="AM119" s="297"/>
      <c r="AN119" s="297"/>
      <c r="AO119" s="297"/>
      <c r="AP119" s="297"/>
      <c r="AQ119" s="297"/>
      <c r="AR119" s="297"/>
      <c r="AS119" s="297"/>
      <c r="AT119" s="297"/>
      <c r="AU119" s="297"/>
      <c r="AV119" s="297"/>
      <c r="AW119" s="297"/>
      <c r="AX119" s="124"/>
      <c r="AY119" s="124"/>
      <c r="AZ119" s="124"/>
      <c r="BA119" s="63"/>
      <c r="BB119" s="63"/>
      <c r="BC119" s="63"/>
      <c r="BD119" s="124"/>
      <c r="BE119" s="63"/>
      <c r="BF119" s="63"/>
      <c r="BG119" s="63"/>
      <c r="BH119" s="124"/>
      <c r="BI119" s="63"/>
      <c r="BJ119" s="63"/>
      <c r="BK119" s="63"/>
      <c r="BL119" s="63"/>
      <c r="BM119" s="124"/>
      <c r="BN119" s="124"/>
      <c r="BO119" s="124"/>
      <c r="BP119" s="124"/>
      <c r="BQ119" s="124"/>
      <c r="BR119" s="124"/>
      <c r="BS119" s="124"/>
      <c r="BT119" s="124"/>
      <c r="BU119" s="124"/>
      <c r="BV119" s="124"/>
      <c r="BW119" s="124"/>
      <c r="BX119" s="124"/>
      <c r="BY119" s="124"/>
      <c r="BZ119" s="124"/>
      <c r="CA119" s="124"/>
      <c r="CB119" s="124"/>
      <c r="CC119" s="2"/>
      <c r="CD119" s="2"/>
      <c r="CE119" s="2"/>
    </row>
    <row x14ac:dyDescent="0.25" r="120" customHeight="1" ht="13.5">
      <c r="A120" s="2"/>
      <c r="B120" s="3"/>
      <c r="C120" s="2"/>
      <c r="D120" s="123" t="s">
        <v>231</v>
      </c>
      <c r="E120" s="3"/>
      <c r="F120" s="3"/>
      <c r="G120" s="3"/>
      <c r="H120" s="3"/>
      <c r="I120" s="3"/>
      <c r="J120" s="3"/>
      <c r="K120" s="368">
        <f>S120*W120</f>
      </c>
      <c r="L120" s="368">
        <f>T120*X120</f>
      </c>
      <c r="M120" s="368">
        <f>U120*Y120</f>
      </c>
      <c r="N120" s="2"/>
      <c r="O120" s="303">
        <f>O92</f>
      </c>
      <c r="P120" s="304">
        <f>P92</f>
      </c>
      <c r="Q120" s="304">
        <f>Q92</f>
      </c>
      <c r="R120" s="319">
        <f>R92</f>
      </c>
      <c r="S120" s="63">
        <f>ProjectedP205_Consumption!K42*$O120</f>
      </c>
      <c r="T120" s="63">
        <f>ProjectedP205_Consumption!L42*O120</f>
      </c>
      <c r="U120" s="372">
        <f>ProjectedP205_Consumption!M42*O120</f>
      </c>
      <c r="V120" s="160">
        <f>V92</f>
      </c>
      <c r="W120" s="160">
        <f>W92</f>
      </c>
      <c r="X120" s="160">
        <f>X92</f>
      </c>
      <c r="Y120" s="373">
        <f>Y92</f>
      </c>
      <c r="Z120" s="297"/>
      <c r="AA120" s="297"/>
      <c r="AB120" s="297"/>
      <c r="AC120" s="297"/>
      <c r="AD120" s="297"/>
      <c r="AE120" s="297"/>
      <c r="AF120" s="297"/>
      <c r="AG120" s="297"/>
      <c r="AH120" s="297"/>
      <c r="AI120" s="160"/>
      <c r="AJ120" s="160"/>
      <c r="AK120" s="160"/>
      <c r="AL120" s="297"/>
      <c r="AM120" s="297"/>
      <c r="AN120" s="297"/>
      <c r="AO120" s="297"/>
      <c r="AP120" s="297"/>
      <c r="AQ120" s="297"/>
      <c r="AR120" s="297"/>
      <c r="AS120" s="297"/>
      <c r="AT120" s="297"/>
      <c r="AU120" s="297"/>
      <c r="AV120" s="297"/>
      <c r="AW120" s="297"/>
      <c r="AX120" s="124"/>
      <c r="AY120" s="124"/>
      <c r="AZ120" s="124"/>
      <c r="BA120" s="63"/>
      <c r="BB120" s="63"/>
      <c r="BC120" s="63"/>
      <c r="BD120" s="124"/>
      <c r="BE120" s="63"/>
      <c r="BF120" s="63"/>
      <c r="BG120" s="63"/>
      <c r="BH120" s="124"/>
      <c r="BI120" s="63"/>
      <c r="BJ120" s="63"/>
      <c r="BK120" s="63"/>
      <c r="BL120" s="63"/>
      <c r="BM120" s="124"/>
      <c r="BN120" s="124"/>
      <c r="BO120" s="124"/>
      <c r="BP120" s="124"/>
      <c r="BQ120" s="124"/>
      <c r="BR120" s="124"/>
      <c r="BS120" s="124"/>
      <c r="BT120" s="124"/>
      <c r="BU120" s="124"/>
      <c r="BV120" s="124"/>
      <c r="BW120" s="124"/>
      <c r="BX120" s="124"/>
      <c r="BY120" s="124"/>
      <c r="BZ120" s="124"/>
      <c r="CA120" s="124"/>
      <c r="CB120" s="124"/>
      <c r="CC120" s="2"/>
      <c r="CD120" s="2"/>
      <c r="CE120" s="2"/>
    </row>
    <row x14ac:dyDescent="0.25" r="121" customHeight="1" ht="13.5">
      <c r="A121" s="2"/>
      <c r="B121" s="3"/>
      <c r="C121" s="2"/>
      <c r="D121" s="123" t="s">
        <v>141</v>
      </c>
      <c r="E121" s="3"/>
      <c r="F121" s="3"/>
      <c r="G121" s="3"/>
      <c r="H121" s="3"/>
      <c r="I121" s="3"/>
      <c r="J121" s="3"/>
      <c r="K121" s="368">
        <f>S121*W121</f>
      </c>
      <c r="L121" s="368">
        <f>T121*X121</f>
      </c>
      <c r="M121" s="368">
        <f>U121*Y121</f>
      </c>
      <c r="N121" s="2"/>
      <c r="O121" s="303">
        <f>O93</f>
      </c>
      <c r="P121" s="304">
        <f>P93</f>
      </c>
      <c r="Q121" s="304">
        <f>Q93</f>
      </c>
      <c r="R121" s="319">
        <f>R93</f>
      </c>
      <c r="S121" s="63">
        <f>ProjectedP205_Consumption!K43*$O121</f>
      </c>
      <c r="T121" s="63">
        <f>ProjectedP205_Consumption!L43*O121</f>
      </c>
      <c r="U121" s="372">
        <f>ProjectedP205_Consumption!M43*O121</f>
      </c>
      <c r="V121" s="160">
        <f>V93</f>
      </c>
      <c r="W121" s="160">
        <f>W93</f>
      </c>
      <c r="X121" s="160">
        <f>X93</f>
      </c>
      <c r="Y121" s="373">
        <f>Y93</f>
      </c>
      <c r="Z121" s="297"/>
      <c r="AA121" s="297"/>
      <c r="AB121" s="297"/>
      <c r="AC121" s="297"/>
      <c r="AD121" s="297"/>
      <c r="AE121" s="297"/>
      <c r="AF121" s="297"/>
      <c r="AG121" s="297"/>
      <c r="AH121" s="297"/>
      <c r="AI121" s="160"/>
      <c r="AJ121" s="160"/>
      <c r="AK121" s="160"/>
      <c r="AL121" s="297"/>
      <c r="AM121" s="297"/>
      <c r="AN121" s="297"/>
      <c r="AO121" s="297"/>
      <c r="AP121" s="297"/>
      <c r="AQ121" s="297"/>
      <c r="AR121" s="297"/>
      <c r="AS121" s="297"/>
      <c r="AT121" s="297"/>
      <c r="AU121" s="297"/>
      <c r="AV121" s="297"/>
      <c r="AW121" s="297"/>
      <c r="AX121" s="124"/>
      <c r="AY121" s="124"/>
      <c r="AZ121" s="124"/>
      <c r="BA121" s="63"/>
      <c r="BB121" s="63"/>
      <c r="BC121" s="63"/>
      <c r="BD121" s="124"/>
      <c r="BE121" s="63"/>
      <c r="BF121" s="63"/>
      <c r="BG121" s="63"/>
      <c r="BH121" s="124"/>
      <c r="BI121" s="63"/>
      <c r="BJ121" s="63"/>
      <c r="BK121" s="63"/>
      <c r="BL121" s="63"/>
      <c r="BM121" s="124"/>
      <c r="BN121" s="124"/>
      <c r="BO121" s="124"/>
      <c r="BP121" s="124"/>
      <c r="BQ121" s="124"/>
      <c r="BR121" s="124"/>
      <c r="BS121" s="124"/>
      <c r="BT121" s="124"/>
      <c r="BU121" s="124"/>
      <c r="BV121" s="124"/>
      <c r="BW121" s="124"/>
      <c r="BX121" s="124"/>
      <c r="BY121" s="124"/>
      <c r="BZ121" s="124"/>
      <c r="CA121" s="124"/>
      <c r="CB121" s="124"/>
      <c r="CC121" s="2"/>
      <c r="CD121" s="2"/>
      <c r="CE121" s="2"/>
    </row>
    <row x14ac:dyDescent="0.25" r="122" customHeight="1" ht="13.5">
      <c r="A122" s="2"/>
      <c r="B122" s="3"/>
      <c r="C122" s="2"/>
      <c r="D122" s="123" t="s">
        <v>247</v>
      </c>
      <c r="E122" s="3"/>
      <c r="F122" s="3"/>
      <c r="G122" s="3"/>
      <c r="H122" s="3"/>
      <c r="I122" s="3"/>
      <c r="J122" s="3"/>
      <c r="K122" s="368">
        <f>S122*W122</f>
      </c>
      <c r="L122" s="368">
        <f>T122*X122</f>
      </c>
      <c r="M122" s="368">
        <f>U122*Y122</f>
      </c>
      <c r="N122" s="2"/>
      <c r="O122" s="303">
        <f>O94</f>
      </c>
      <c r="P122" s="304">
        <f>P94</f>
      </c>
      <c r="Q122" s="304">
        <f>Q94</f>
      </c>
      <c r="R122" s="319">
        <f>R94</f>
      </c>
      <c r="S122" s="63">
        <f>ProjectedP205_Consumption!K44*$O122</f>
      </c>
      <c r="T122" s="63">
        <f>ProjectedP205_Consumption!L44*O122</f>
      </c>
      <c r="U122" s="372">
        <f>ProjectedP205_Consumption!M44*O122</f>
      </c>
      <c r="V122" s="160">
        <f>V94</f>
      </c>
      <c r="W122" s="160">
        <f>W94</f>
      </c>
      <c r="X122" s="160">
        <f>X94</f>
      </c>
      <c r="Y122" s="373">
        <f>Y94</f>
      </c>
      <c r="Z122" s="297"/>
      <c r="AA122" s="297"/>
      <c r="AB122" s="297"/>
      <c r="AC122" s="297"/>
      <c r="AD122" s="297"/>
      <c r="AE122" s="297"/>
      <c r="AF122" s="297"/>
      <c r="AG122" s="297"/>
      <c r="AH122" s="297"/>
      <c r="AI122" s="160"/>
      <c r="AJ122" s="160"/>
      <c r="AK122" s="160"/>
      <c r="AL122" s="297"/>
      <c r="AM122" s="297"/>
      <c r="AN122" s="297"/>
      <c r="AO122" s="297"/>
      <c r="AP122" s="297"/>
      <c r="AQ122" s="297"/>
      <c r="AR122" s="297"/>
      <c r="AS122" s="297"/>
      <c r="AT122" s="297"/>
      <c r="AU122" s="297"/>
      <c r="AV122" s="297"/>
      <c r="AW122" s="297"/>
      <c r="AX122" s="124"/>
      <c r="AY122" s="124"/>
      <c r="AZ122" s="124"/>
      <c r="BA122" s="63"/>
      <c r="BB122" s="63"/>
      <c r="BC122" s="63"/>
      <c r="BD122" s="124"/>
      <c r="BE122" s="63"/>
      <c r="BF122" s="63"/>
      <c r="BG122" s="63"/>
      <c r="BH122" s="124"/>
      <c r="BI122" s="63"/>
      <c r="BJ122" s="63"/>
      <c r="BK122" s="63"/>
      <c r="BL122" s="63"/>
      <c r="BM122" s="124"/>
      <c r="BN122" s="124"/>
      <c r="BO122" s="124"/>
      <c r="BP122" s="124"/>
      <c r="BQ122" s="124"/>
      <c r="BR122" s="124"/>
      <c r="BS122" s="124"/>
      <c r="BT122" s="124"/>
      <c r="BU122" s="124"/>
      <c r="BV122" s="124"/>
      <c r="BW122" s="124"/>
      <c r="BX122" s="124"/>
      <c r="BY122" s="124"/>
      <c r="BZ122" s="124"/>
      <c r="CA122" s="124"/>
      <c r="CB122" s="124"/>
      <c r="CC122" s="2"/>
      <c r="CD122" s="2"/>
      <c r="CE122" s="2"/>
    </row>
    <row x14ac:dyDescent="0.25" r="123" customHeight="1" ht="13.5">
      <c r="A123" s="2"/>
      <c r="B123" s="3"/>
      <c r="C123" s="2"/>
      <c r="D123" s="123" t="s">
        <v>175</v>
      </c>
      <c r="E123" s="3"/>
      <c r="F123" s="3"/>
      <c r="G123" s="3"/>
      <c r="H123" s="3"/>
      <c r="I123" s="3"/>
      <c r="J123" s="3"/>
      <c r="K123" s="368">
        <f>S123*W123</f>
      </c>
      <c r="L123" s="368">
        <f>T123*X123</f>
      </c>
      <c r="M123" s="368">
        <f>U123*Y123</f>
      </c>
      <c r="N123" s="2"/>
      <c r="O123" s="303">
        <f>O95</f>
      </c>
      <c r="P123" s="304">
        <f>P95</f>
      </c>
      <c r="Q123" s="304">
        <f>Q95</f>
      </c>
      <c r="R123" s="319">
        <f>R95</f>
      </c>
      <c r="S123" s="63">
        <f>ProjectedP205_Consumption!K45*$O123</f>
      </c>
      <c r="T123" s="63">
        <f>ProjectedP205_Consumption!L45*O123</f>
      </c>
      <c r="U123" s="372">
        <f>ProjectedP205_Consumption!M45*O123</f>
      </c>
      <c r="V123" s="160">
        <f>V95</f>
      </c>
      <c r="W123" s="160">
        <f>W95</f>
      </c>
      <c r="X123" s="160">
        <f>X95</f>
      </c>
      <c r="Y123" s="373">
        <f>Y95</f>
      </c>
      <c r="Z123" s="297"/>
      <c r="AA123" s="297"/>
      <c r="AB123" s="297"/>
      <c r="AC123" s="297"/>
      <c r="AD123" s="297"/>
      <c r="AE123" s="297"/>
      <c r="AF123" s="297"/>
      <c r="AG123" s="297"/>
      <c r="AH123" s="297"/>
      <c r="AI123" s="160"/>
      <c r="AJ123" s="160"/>
      <c r="AK123" s="160"/>
      <c r="AL123" s="297"/>
      <c r="AM123" s="297"/>
      <c r="AN123" s="297"/>
      <c r="AO123" s="297"/>
      <c r="AP123" s="297"/>
      <c r="AQ123" s="297"/>
      <c r="AR123" s="297"/>
      <c r="AS123" s="297"/>
      <c r="AT123" s="297"/>
      <c r="AU123" s="297"/>
      <c r="AV123" s="297"/>
      <c r="AW123" s="297"/>
      <c r="AX123" s="124"/>
      <c r="AY123" s="124"/>
      <c r="AZ123" s="124"/>
      <c r="BA123" s="63"/>
      <c r="BB123" s="63"/>
      <c r="BC123" s="63"/>
      <c r="BD123" s="124"/>
      <c r="BE123" s="63"/>
      <c r="BF123" s="63"/>
      <c r="BG123" s="63"/>
      <c r="BH123" s="124"/>
      <c r="BI123" s="63"/>
      <c r="BJ123" s="63"/>
      <c r="BK123" s="63"/>
      <c r="BL123" s="63"/>
      <c r="BM123" s="124"/>
      <c r="BN123" s="124"/>
      <c r="BO123" s="124"/>
      <c r="BP123" s="124"/>
      <c r="BQ123" s="124"/>
      <c r="BR123" s="124"/>
      <c r="BS123" s="124"/>
      <c r="BT123" s="124"/>
      <c r="BU123" s="124"/>
      <c r="BV123" s="124"/>
      <c r="BW123" s="124"/>
      <c r="BX123" s="124"/>
      <c r="BY123" s="124"/>
      <c r="BZ123" s="124"/>
      <c r="CA123" s="124"/>
      <c r="CB123" s="124"/>
      <c r="CC123" s="2"/>
      <c r="CD123" s="2"/>
      <c r="CE123" s="2"/>
    </row>
    <row x14ac:dyDescent="0.25" r="124" customHeight="1" ht="13.5">
      <c r="A124" s="2"/>
      <c r="B124" s="3"/>
      <c r="C124" s="2"/>
      <c r="D124" s="123" t="s">
        <v>131</v>
      </c>
      <c r="E124" s="3"/>
      <c r="F124" s="3"/>
      <c r="G124" s="3"/>
      <c r="H124" s="3"/>
      <c r="I124" s="3"/>
      <c r="J124" s="3"/>
      <c r="K124" s="368">
        <f>S124*W124</f>
      </c>
      <c r="L124" s="368">
        <f>T124*X124</f>
      </c>
      <c r="M124" s="368">
        <f>U124*Y124</f>
      </c>
      <c r="N124" s="2"/>
      <c r="O124" s="303">
        <f>O96</f>
      </c>
      <c r="P124" s="304">
        <f>P96</f>
      </c>
      <c r="Q124" s="304">
        <f>Q96</f>
      </c>
      <c r="R124" s="319">
        <f>R96</f>
      </c>
      <c r="S124" s="63">
        <f>ProjectedP205_Consumption!K46*$O124</f>
      </c>
      <c r="T124" s="63">
        <f>ProjectedP205_Consumption!L46*O124</f>
      </c>
      <c r="U124" s="372">
        <f>ProjectedP205_Consumption!M46*O124</f>
      </c>
      <c r="V124" s="160">
        <f>V96</f>
      </c>
      <c r="W124" s="160">
        <f>W96</f>
      </c>
      <c r="X124" s="160">
        <f>X96</f>
      </c>
      <c r="Y124" s="373">
        <f>Y96</f>
      </c>
      <c r="Z124" s="297"/>
      <c r="AA124" s="297"/>
      <c r="AB124" s="297"/>
      <c r="AC124" s="297"/>
      <c r="AD124" s="297"/>
      <c r="AE124" s="297"/>
      <c r="AF124" s="297"/>
      <c r="AG124" s="297"/>
      <c r="AH124" s="297"/>
      <c r="AI124" s="160"/>
      <c r="AJ124" s="160"/>
      <c r="AK124" s="160"/>
      <c r="AL124" s="297"/>
      <c r="AM124" s="297"/>
      <c r="AN124" s="297"/>
      <c r="AO124" s="297"/>
      <c r="AP124" s="297"/>
      <c r="AQ124" s="297"/>
      <c r="AR124" s="297"/>
      <c r="AS124" s="297"/>
      <c r="AT124" s="297"/>
      <c r="AU124" s="297"/>
      <c r="AV124" s="297"/>
      <c r="AW124" s="297"/>
      <c r="AX124" s="124"/>
      <c r="AY124" s="124"/>
      <c r="AZ124" s="124"/>
      <c r="BA124" s="63"/>
      <c r="BB124" s="63"/>
      <c r="BC124" s="63"/>
      <c r="BD124" s="124"/>
      <c r="BE124" s="63"/>
      <c r="BF124" s="63"/>
      <c r="BG124" s="63"/>
      <c r="BH124" s="124"/>
      <c r="BI124" s="63"/>
      <c r="BJ124" s="63"/>
      <c r="BK124" s="63"/>
      <c r="BL124" s="63"/>
      <c r="BM124" s="124"/>
      <c r="BN124" s="124"/>
      <c r="BO124" s="124"/>
      <c r="BP124" s="124"/>
      <c r="BQ124" s="124"/>
      <c r="BR124" s="124"/>
      <c r="BS124" s="124"/>
      <c r="BT124" s="124"/>
      <c r="BU124" s="124"/>
      <c r="BV124" s="124"/>
      <c r="BW124" s="124"/>
      <c r="BX124" s="124"/>
      <c r="BY124" s="124"/>
      <c r="BZ124" s="124"/>
      <c r="CA124" s="124"/>
      <c r="CB124" s="124"/>
      <c r="CC124" s="2"/>
      <c r="CD124" s="2"/>
      <c r="CE124" s="2"/>
    </row>
    <row x14ac:dyDescent="0.25" r="125" customHeight="1" ht="13.5">
      <c r="A125" s="2"/>
      <c r="B125" s="3"/>
      <c r="C125" s="2"/>
      <c r="D125" s="123" t="s">
        <v>237</v>
      </c>
      <c r="E125" s="3"/>
      <c r="F125" s="3"/>
      <c r="G125" s="3"/>
      <c r="H125" s="3"/>
      <c r="I125" s="3"/>
      <c r="J125" s="3"/>
      <c r="K125" s="368">
        <f>S125*W125</f>
      </c>
      <c r="L125" s="368">
        <f>T125*X125</f>
      </c>
      <c r="M125" s="368">
        <f>U125*Y125</f>
      </c>
      <c r="N125" s="2"/>
      <c r="O125" s="303">
        <f>O97</f>
      </c>
      <c r="P125" s="304">
        <f>P97</f>
      </c>
      <c r="Q125" s="304">
        <f>Q97</f>
      </c>
      <c r="R125" s="319">
        <f>R97</f>
      </c>
      <c r="S125" s="63">
        <f>ProjectedP205_Consumption!K47*$O125</f>
      </c>
      <c r="T125" s="63">
        <f>ProjectedP205_Consumption!L47*O125</f>
      </c>
      <c r="U125" s="372">
        <f>ProjectedP205_Consumption!M47*O125</f>
      </c>
      <c r="V125" s="160">
        <f>V97</f>
      </c>
      <c r="W125" s="160">
        <f>W97</f>
      </c>
      <c r="X125" s="160">
        <f>X97</f>
      </c>
      <c r="Y125" s="373">
        <f>Y97</f>
      </c>
      <c r="Z125" s="297"/>
      <c r="AA125" s="297"/>
      <c r="AB125" s="297"/>
      <c r="AC125" s="297"/>
      <c r="AD125" s="297"/>
      <c r="AE125" s="297"/>
      <c r="AF125" s="297"/>
      <c r="AG125" s="297"/>
      <c r="AH125" s="297"/>
      <c r="AI125" s="160"/>
      <c r="AJ125" s="160"/>
      <c r="AK125" s="160"/>
      <c r="AL125" s="297"/>
      <c r="AM125" s="297"/>
      <c r="AN125" s="297"/>
      <c r="AO125" s="297"/>
      <c r="AP125" s="297"/>
      <c r="AQ125" s="297"/>
      <c r="AR125" s="297"/>
      <c r="AS125" s="297"/>
      <c r="AT125" s="297"/>
      <c r="AU125" s="297"/>
      <c r="AV125" s="297"/>
      <c r="AW125" s="297"/>
      <c r="AX125" s="124"/>
      <c r="AY125" s="124"/>
      <c r="AZ125" s="124"/>
      <c r="BA125" s="63"/>
      <c r="BB125" s="63"/>
      <c r="BC125" s="63"/>
      <c r="BD125" s="124"/>
      <c r="BE125" s="63"/>
      <c r="BF125" s="63"/>
      <c r="BG125" s="63"/>
      <c r="BH125" s="124"/>
      <c r="BI125" s="63"/>
      <c r="BJ125" s="63"/>
      <c r="BK125" s="63"/>
      <c r="BL125" s="63"/>
      <c r="BM125" s="124"/>
      <c r="BN125" s="124"/>
      <c r="BO125" s="124"/>
      <c r="BP125" s="124"/>
      <c r="BQ125" s="124"/>
      <c r="BR125" s="124"/>
      <c r="BS125" s="124"/>
      <c r="BT125" s="124"/>
      <c r="BU125" s="124"/>
      <c r="BV125" s="124"/>
      <c r="BW125" s="124"/>
      <c r="BX125" s="124"/>
      <c r="BY125" s="124"/>
      <c r="BZ125" s="124"/>
      <c r="CA125" s="124"/>
      <c r="CB125" s="124"/>
      <c r="CC125" s="2"/>
      <c r="CD125" s="2"/>
      <c r="CE125" s="2"/>
    </row>
    <row x14ac:dyDescent="0.25" r="126" customHeight="1" ht="13.5">
      <c r="A126" s="2"/>
      <c r="B126" s="3"/>
      <c r="C126" s="2"/>
      <c r="D126" s="123" t="s">
        <v>139</v>
      </c>
      <c r="E126" s="3"/>
      <c r="F126" s="3"/>
      <c r="G126" s="3"/>
      <c r="H126" s="3"/>
      <c r="I126" s="3"/>
      <c r="J126" s="3"/>
      <c r="K126" s="368">
        <f>S126*W126</f>
      </c>
      <c r="L126" s="368">
        <f>T126*X126</f>
      </c>
      <c r="M126" s="368">
        <f>U126*Y126</f>
      </c>
      <c r="N126" s="2"/>
      <c r="O126" s="303">
        <f>O98</f>
      </c>
      <c r="P126" s="304">
        <f>P98</f>
      </c>
      <c r="Q126" s="304">
        <f>Q98</f>
      </c>
      <c r="R126" s="319">
        <f>R98</f>
      </c>
      <c r="S126" s="63">
        <f>ProjectedP205_Consumption!K48*$O126</f>
      </c>
      <c r="T126" s="63">
        <f>ProjectedP205_Consumption!L48*O126</f>
      </c>
      <c r="U126" s="372">
        <f>ProjectedP205_Consumption!M48*O126</f>
      </c>
      <c r="V126" s="160">
        <f>V98</f>
      </c>
      <c r="W126" s="160">
        <f>W98</f>
      </c>
      <c r="X126" s="160">
        <f>X98</f>
      </c>
      <c r="Y126" s="373">
        <f>Y98</f>
      </c>
      <c r="Z126" s="297"/>
      <c r="AA126" s="297"/>
      <c r="AB126" s="297"/>
      <c r="AC126" s="297"/>
      <c r="AD126" s="297"/>
      <c r="AE126" s="297"/>
      <c r="AF126" s="297"/>
      <c r="AG126" s="297"/>
      <c r="AH126" s="297"/>
      <c r="AI126" s="160"/>
      <c r="AJ126" s="160"/>
      <c r="AK126" s="160"/>
      <c r="AL126" s="297"/>
      <c r="AM126" s="297"/>
      <c r="AN126" s="297"/>
      <c r="AO126" s="297"/>
      <c r="AP126" s="297"/>
      <c r="AQ126" s="297"/>
      <c r="AR126" s="297"/>
      <c r="AS126" s="297"/>
      <c r="AT126" s="297"/>
      <c r="AU126" s="297"/>
      <c r="AV126" s="297"/>
      <c r="AW126" s="297"/>
      <c r="AX126" s="124"/>
      <c r="AY126" s="124"/>
      <c r="AZ126" s="124"/>
      <c r="BA126" s="63"/>
      <c r="BB126" s="63"/>
      <c r="BC126" s="63"/>
      <c r="BD126" s="124"/>
      <c r="BE126" s="63"/>
      <c r="BF126" s="63"/>
      <c r="BG126" s="63"/>
      <c r="BH126" s="124"/>
      <c r="BI126" s="63"/>
      <c r="BJ126" s="63"/>
      <c r="BK126" s="63"/>
      <c r="BL126" s="63"/>
      <c r="BM126" s="124"/>
      <c r="BN126" s="124"/>
      <c r="BO126" s="124"/>
      <c r="BP126" s="124"/>
      <c r="BQ126" s="124"/>
      <c r="BR126" s="124"/>
      <c r="BS126" s="124"/>
      <c r="BT126" s="124"/>
      <c r="BU126" s="124"/>
      <c r="BV126" s="124"/>
      <c r="BW126" s="124"/>
      <c r="BX126" s="124"/>
      <c r="BY126" s="124"/>
      <c r="BZ126" s="124"/>
      <c r="CA126" s="124"/>
      <c r="CB126" s="124"/>
      <c r="CC126" s="2"/>
      <c r="CD126" s="2"/>
      <c r="CE126" s="2"/>
    </row>
    <row x14ac:dyDescent="0.25" r="127" customHeight="1" ht="13.5">
      <c r="A127" s="2"/>
      <c r="B127" s="3"/>
      <c r="C127" s="2"/>
      <c r="D127" s="123" t="s">
        <v>241</v>
      </c>
      <c r="E127" s="3"/>
      <c r="F127" s="3"/>
      <c r="G127" s="3"/>
      <c r="H127" s="3"/>
      <c r="I127" s="3"/>
      <c r="J127" s="3"/>
      <c r="K127" s="368">
        <f>S127*W127</f>
      </c>
      <c r="L127" s="368">
        <f>T127*X127</f>
      </c>
      <c r="M127" s="368">
        <f>U127*Y127</f>
      </c>
      <c r="N127" s="2"/>
      <c r="O127" s="303">
        <f>O99</f>
      </c>
      <c r="P127" s="304">
        <f>P99</f>
      </c>
      <c r="Q127" s="304">
        <f>Q99</f>
      </c>
      <c r="R127" s="319">
        <f>R99</f>
      </c>
      <c r="S127" s="63">
        <f>ProjectedP205_Consumption!K49*$O127</f>
      </c>
      <c r="T127" s="63">
        <f>ProjectedP205_Consumption!L49*O127</f>
      </c>
      <c r="U127" s="372">
        <f>ProjectedP205_Consumption!M49*O127</f>
      </c>
      <c r="V127" s="160">
        <f>V99</f>
      </c>
      <c r="W127" s="160">
        <f>W99</f>
      </c>
      <c r="X127" s="160">
        <f>X99</f>
      </c>
      <c r="Y127" s="373">
        <f>Y99</f>
      </c>
      <c r="Z127" s="297"/>
      <c r="AA127" s="297"/>
      <c r="AB127" s="297"/>
      <c r="AC127" s="297"/>
      <c r="AD127" s="297"/>
      <c r="AE127" s="297"/>
      <c r="AF127" s="297"/>
      <c r="AG127" s="297"/>
      <c r="AH127" s="297"/>
      <c r="AI127" s="160"/>
      <c r="AJ127" s="160"/>
      <c r="AK127" s="160"/>
      <c r="AL127" s="297"/>
      <c r="AM127" s="297"/>
      <c r="AN127" s="297"/>
      <c r="AO127" s="297"/>
      <c r="AP127" s="297"/>
      <c r="AQ127" s="297"/>
      <c r="AR127" s="297"/>
      <c r="AS127" s="297"/>
      <c r="AT127" s="297"/>
      <c r="AU127" s="297"/>
      <c r="AV127" s="297"/>
      <c r="AW127" s="297"/>
      <c r="AX127" s="124"/>
      <c r="AY127" s="124"/>
      <c r="AZ127" s="124"/>
      <c r="BA127" s="63"/>
      <c r="BB127" s="63"/>
      <c r="BC127" s="63"/>
      <c r="BD127" s="124"/>
      <c r="BE127" s="63"/>
      <c r="BF127" s="63"/>
      <c r="BG127" s="63"/>
      <c r="BH127" s="124"/>
      <c r="BI127" s="63"/>
      <c r="BJ127" s="63"/>
      <c r="BK127" s="63"/>
      <c r="BL127" s="63"/>
      <c r="BM127" s="124"/>
      <c r="BN127" s="124"/>
      <c r="BO127" s="124"/>
      <c r="BP127" s="124"/>
      <c r="BQ127" s="124"/>
      <c r="BR127" s="124"/>
      <c r="BS127" s="124"/>
      <c r="BT127" s="124"/>
      <c r="BU127" s="124"/>
      <c r="BV127" s="124"/>
      <c r="BW127" s="124"/>
      <c r="BX127" s="124"/>
      <c r="BY127" s="124"/>
      <c r="BZ127" s="124"/>
      <c r="CA127" s="124"/>
      <c r="CB127" s="124"/>
      <c r="CC127" s="2"/>
      <c r="CD127" s="2"/>
      <c r="CE127" s="2"/>
    </row>
    <row x14ac:dyDescent="0.25" r="128" customHeight="1" ht="13.5">
      <c r="A128" s="2"/>
      <c r="B128" s="3"/>
      <c r="C128" s="2"/>
      <c r="D128" s="123" t="s">
        <v>249</v>
      </c>
      <c r="E128" s="3"/>
      <c r="F128" s="3"/>
      <c r="G128" s="3"/>
      <c r="H128" s="3"/>
      <c r="I128" s="3"/>
      <c r="J128" s="3"/>
      <c r="K128" s="368">
        <f>S128*W128</f>
      </c>
      <c r="L128" s="368">
        <f>T128*X128</f>
      </c>
      <c r="M128" s="368">
        <f>U128*Y128</f>
      </c>
      <c r="N128" s="2"/>
      <c r="O128" s="303">
        <f>O100</f>
      </c>
      <c r="P128" s="304">
        <f>P100</f>
      </c>
      <c r="Q128" s="304">
        <f>Q100</f>
      </c>
      <c r="R128" s="319">
        <f>R100</f>
      </c>
      <c r="S128" s="63">
        <f>ProjectedP205_Consumption!K50*$O128</f>
      </c>
      <c r="T128" s="63">
        <f>ProjectedP205_Consumption!L50*O128</f>
      </c>
      <c r="U128" s="372">
        <f>ProjectedP205_Consumption!M50*O128</f>
      </c>
      <c r="V128" s="160">
        <f>V100</f>
      </c>
      <c r="W128" s="160">
        <f>W100</f>
      </c>
      <c r="X128" s="160">
        <f>X100</f>
      </c>
      <c r="Y128" s="373">
        <f>Y100</f>
      </c>
      <c r="Z128" s="297"/>
      <c r="AA128" s="297"/>
      <c r="AB128" s="297"/>
      <c r="AC128" s="297"/>
      <c r="AD128" s="297"/>
      <c r="AE128" s="297"/>
      <c r="AF128" s="297"/>
      <c r="AG128" s="297"/>
      <c r="AH128" s="297"/>
      <c r="AI128" s="160"/>
      <c r="AJ128" s="160"/>
      <c r="AK128" s="160"/>
      <c r="AL128" s="297"/>
      <c r="AM128" s="297"/>
      <c r="AN128" s="297"/>
      <c r="AO128" s="297"/>
      <c r="AP128" s="297"/>
      <c r="AQ128" s="297"/>
      <c r="AR128" s="297"/>
      <c r="AS128" s="297"/>
      <c r="AT128" s="297"/>
      <c r="AU128" s="297"/>
      <c r="AV128" s="297"/>
      <c r="AW128" s="297"/>
      <c r="AX128" s="124"/>
      <c r="AY128" s="124"/>
      <c r="AZ128" s="124"/>
      <c r="BA128" s="63"/>
      <c r="BB128" s="63"/>
      <c r="BC128" s="63"/>
      <c r="BD128" s="124"/>
      <c r="BE128" s="63"/>
      <c r="BF128" s="63"/>
      <c r="BG128" s="63"/>
      <c r="BH128" s="124"/>
      <c r="BI128" s="63"/>
      <c r="BJ128" s="63"/>
      <c r="BK128" s="63"/>
      <c r="BL128" s="63"/>
      <c r="BM128" s="124"/>
      <c r="BN128" s="124"/>
      <c r="BO128" s="124"/>
      <c r="BP128" s="124"/>
      <c r="BQ128" s="124"/>
      <c r="BR128" s="124"/>
      <c r="BS128" s="124"/>
      <c r="BT128" s="124"/>
      <c r="BU128" s="124"/>
      <c r="BV128" s="124"/>
      <c r="BW128" s="124"/>
      <c r="BX128" s="124"/>
      <c r="BY128" s="124"/>
      <c r="BZ128" s="124"/>
      <c r="CA128" s="124"/>
      <c r="CB128" s="124"/>
      <c r="CC128" s="2"/>
      <c r="CD128" s="2"/>
      <c r="CE128" s="2"/>
    </row>
    <row x14ac:dyDescent="0.25" r="129" customHeight="1" ht="13.5">
      <c r="A129" s="2"/>
      <c r="B129" s="3"/>
      <c r="C129" s="2"/>
      <c r="D129" s="123" t="s">
        <v>235</v>
      </c>
      <c r="E129" s="3"/>
      <c r="F129" s="3"/>
      <c r="G129" s="3"/>
      <c r="H129" s="3"/>
      <c r="I129" s="3"/>
      <c r="J129" s="3"/>
      <c r="K129" s="368">
        <f>S129*W129</f>
      </c>
      <c r="L129" s="368">
        <f>T129*X129</f>
      </c>
      <c r="M129" s="368">
        <f>U129*Y129</f>
      </c>
      <c r="N129" s="2"/>
      <c r="O129" s="303">
        <f>O101</f>
      </c>
      <c r="P129" s="304">
        <f>P101</f>
      </c>
      <c r="Q129" s="304">
        <f>Q101</f>
      </c>
      <c r="R129" s="319">
        <f>R101</f>
      </c>
      <c r="S129" s="63">
        <f>ProjectedP205_Consumption!K51*$O129</f>
      </c>
      <c r="T129" s="63">
        <f>ProjectedP205_Consumption!L51*O129</f>
      </c>
      <c r="U129" s="372">
        <f>ProjectedP205_Consumption!M51*O129</f>
      </c>
      <c r="V129" s="160">
        <f>V101</f>
      </c>
      <c r="W129" s="160">
        <f>W101</f>
      </c>
      <c r="X129" s="160">
        <f>X101</f>
      </c>
      <c r="Y129" s="373">
        <f>Y101</f>
      </c>
      <c r="Z129" s="297"/>
      <c r="AA129" s="297"/>
      <c r="AB129" s="297"/>
      <c r="AC129" s="297"/>
      <c r="AD129" s="297"/>
      <c r="AE129" s="297"/>
      <c r="AF129" s="297"/>
      <c r="AG129" s="297"/>
      <c r="AH129" s="297"/>
      <c r="AI129" s="160"/>
      <c r="AJ129" s="160"/>
      <c r="AK129" s="160"/>
      <c r="AL129" s="297"/>
      <c r="AM129" s="297"/>
      <c r="AN129" s="297"/>
      <c r="AO129" s="297"/>
      <c r="AP129" s="297"/>
      <c r="AQ129" s="297"/>
      <c r="AR129" s="297"/>
      <c r="AS129" s="297"/>
      <c r="AT129" s="297"/>
      <c r="AU129" s="297"/>
      <c r="AV129" s="297"/>
      <c r="AW129" s="297"/>
      <c r="AX129" s="124"/>
      <c r="AY129" s="124"/>
      <c r="AZ129" s="124"/>
      <c r="BA129" s="63"/>
      <c r="BB129" s="63"/>
      <c r="BC129" s="63"/>
      <c r="BD129" s="124"/>
      <c r="BE129" s="63"/>
      <c r="BF129" s="63"/>
      <c r="BG129" s="63"/>
      <c r="BH129" s="124"/>
      <c r="BI129" s="63"/>
      <c r="BJ129" s="63"/>
      <c r="BK129" s="63"/>
      <c r="BL129" s="63"/>
      <c r="BM129" s="124"/>
      <c r="BN129" s="124"/>
      <c r="BO129" s="124"/>
      <c r="BP129" s="124"/>
      <c r="BQ129" s="124"/>
      <c r="BR129" s="124"/>
      <c r="BS129" s="124"/>
      <c r="BT129" s="124"/>
      <c r="BU129" s="124"/>
      <c r="BV129" s="124"/>
      <c r="BW129" s="124"/>
      <c r="BX129" s="124"/>
      <c r="BY129" s="124"/>
      <c r="BZ129" s="124"/>
      <c r="CA129" s="124"/>
      <c r="CB129" s="124"/>
      <c r="CC129" s="2"/>
      <c r="CD129" s="2"/>
      <c r="CE129" s="2"/>
    </row>
    <row x14ac:dyDescent="0.25" r="130" customHeight="1" ht="13.5">
      <c r="A130" s="2"/>
      <c r="B130" s="3"/>
      <c r="C130" s="2"/>
      <c r="D130" s="123" t="s">
        <v>125</v>
      </c>
      <c r="E130" s="3"/>
      <c r="F130" s="3"/>
      <c r="G130" s="3"/>
      <c r="H130" s="3"/>
      <c r="I130" s="3"/>
      <c r="J130" s="3"/>
      <c r="K130" s="368">
        <f>S130*W130</f>
      </c>
      <c r="L130" s="368">
        <f>T130*X130</f>
      </c>
      <c r="M130" s="368">
        <f>U130*Y130</f>
      </c>
      <c r="N130" s="2"/>
      <c r="O130" s="303">
        <f>O102</f>
      </c>
      <c r="P130" s="304">
        <f>P102</f>
      </c>
      <c r="Q130" s="304">
        <f>Q102</f>
      </c>
      <c r="R130" s="319">
        <f>R102</f>
      </c>
      <c r="S130" s="63">
        <f>ProjectedP205_Consumption!K52*$O130</f>
      </c>
      <c r="T130" s="63">
        <f>ProjectedP205_Consumption!L52*O130</f>
      </c>
      <c r="U130" s="372">
        <f>ProjectedP205_Consumption!M52*O130</f>
      </c>
      <c r="V130" s="160">
        <f>V102</f>
      </c>
      <c r="W130" s="160">
        <f>W102</f>
      </c>
      <c r="X130" s="160">
        <f>X102</f>
      </c>
      <c r="Y130" s="373">
        <f>Y102</f>
      </c>
      <c r="Z130" s="297"/>
      <c r="AA130" s="297"/>
      <c r="AB130" s="297"/>
      <c r="AC130" s="297"/>
      <c r="AD130" s="297"/>
      <c r="AE130" s="297"/>
      <c r="AF130" s="297"/>
      <c r="AG130" s="297"/>
      <c r="AH130" s="297"/>
      <c r="AI130" s="160"/>
      <c r="AJ130" s="160"/>
      <c r="AK130" s="160"/>
      <c r="AL130" s="297"/>
      <c r="AM130" s="297"/>
      <c r="AN130" s="297"/>
      <c r="AO130" s="297"/>
      <c r="AP130" s="297"/>
      <c r="AQ130" s="297"/>
      <c r="AR130" s="297"/>
      <c r="AS130" s="297"/>
      <c r="AT130" s="297"/>
      <c r="AU130" s="297"/>
      <c r="AV130" s="297"/>
      <c r="AW130" s="297"/>
      <c r="AX130" s="124"/>
      <c r="AY130" s="124"/>
      <c r="AZ130" s="124"/>
      <c r="BA130" s="63"/>
      <c r="BB130" s="63"/>
      <c r="BC130" s="63"/>
      <c r="BD130" s="124"/>
      <c r="BE130" s="63"/>
      <c r="BF130" s="63"/>
      <c r="BG130" s="63"/>
      <c r="BH130" s="124"/>
      <c r="BI130" s="63"/>
      <c r="BJ130" s="63"/>
      <c r="BK130" s="63"/>
      <c r="BL130" s="63"/>
      <c r="BM130" s="124"/>
      <c r="BN130" s="124"/>
      <c r="BO130" s="124"/>
      <c r="BP130" s="124"/>
      <c r="BQ130" s="124"/>
      <c r="BR130" s="124"/>
      <c r="BS130" s="124"/>
      <c r="BT130" s="124"/>
      <c r="BU130" s="124"/>
      <c r="BV130" s="124"/>
      <c r="BW130" s="124"/>
      <c r="BX130" s="124"/>
      <c r="BY130" s="124"/>
      <c r="BZ130" s="124"/>
      <c r="CA130" s="124"/>
      <c r="CB130" s="124"/>
      <c r="CC130" s="2"/>
      <c r="CD130" s="2"/>
      <c r="CE130" s="2"/>
    </row>
    <row x14ac:dyDescent="0.25" r="131" customHeight="1" ht="13.5">
      <c r="A131" s="2"/>
      <c r="B131" s="3"/>
      <c r="C131" s="2"/>
      <c r="D131" s="123" t="s">
        <v>209</v>
      </c>
      <c r="E131" s="3"/>
      <c r="F131" s="3"/>
      <c r="G131" s="3"/>
      <c r="H131" s="3"/>
      <c r="I131" s="3"/>
      <c r="J131" s="3"/>
      <c r="K131" s="368">
        <f>S131*W131</f>
      </c>
      <c r="L131" s="368">
        <f>T131*X131</f>
      </c>
      <c r="M131" s="368">
        <f>U131*Y131</f>
      </c>
      <c r="N131" s="2"/>
      <c r="O131" s="303">
        <f>O103</f>
      </c>
      <c r="P131" s="304">
        <f>P103</f>
      </c>
      <c r="Q131" s="304">
        <f>Q103</f>
      </c>
      <c r="R131" s="319">
        <f>R103</f>
      </c>
      <c r="S131" s="63">
        <f>ProjectedP205_Consumption!K53*$O131</f>
      </c>
      <c r="T131" s="63">
        <f>ProjectedP205_Consumption!L53*O131</f>
      </c>
      <c r="U131" s="372">
        <f>ProjectedP205_Consumption!M53*O131</f>
      </c>
      <c r="V131" s="160">
        <f>V103</f>
      </c>
      <c r="W131" s="160">
        <f>W103</f>
      </c>
      <c r="X131" s="160">
        <f>X103</f>
      </c>
      <c r="Y131" s="373">
        <f>Y103</f>
      </c>
      <c r="Z131" s="297"/>
      <c r="AA131" s="297"/>
      <c r="AB131" s="297"/>
      <c r="AC131" s="297"/>
      <c r="AD131" s="297"/>
      <c r="AE131" s="297"/>
      <c r="AF131" s="297"/>
      <c r="AG131" s="297"/>
      <c r="AH131" s="297"/>
      <c r="AI131" s="160"/>
      <c r="AJ131" s="160"/>
      <c r="AK131" s="160"/>
      <c r="AL131" s="297"/>
      <c r="AM131" s="297"/>
      <c r="AN131" s="297"/>
      <c r="AO131" s="297"/>
      <c r="AP131" s="297"/>
      <c r="AQ131" s="297"/>
      <c r="AR131" s="297"/>
      <c r="AS131" s="297"/>
      <c r="AT131" s="297"/>
      <c r="AU131" s="297"/>
      <c r="AV131" s="297"/>
      <c r="AW131" s="297"/>
      <c r="AX131" s="124"/>
      <c r="AY131" s="124"/>
      <c r="AZ131" s="124"/>
      <c r="BA131" s="63"/>
      <c r="BB131" s="63"/>
      <c r="BC131" s="63"/>
      <c r="BD131" s="124"/>
      <c r="BE131" s="63"/>
      <c r="BF131" s="63"/>
      <c r="BG131" s="63"/>
      <c r="BH131" s="124"/>
      <c r="BI131" s="63"/>
      <c r="BJ131" s="63"/>
      <c r="BK131" s="63"/>
      <c r="BL131" s="63"/>
      <c r="BM131" s="124"/>
      <c r="BN131" s="124"/>
      <c r="BO131" s="124"/>
      <c r="BP131" s="124"/>
      <c r="BQ131" s="124"/>
      <c r="BR131" s="124"/>
      <c r="BS131" s="124"/>
      <c r="BT131" s="124"/>
      <c r="BU131" s="124"/>
      <c r="BV131" s="124"/>
      <c r="BW131" s="124"/>
      <c r="BX131" s="124"/>
      <c r="BY131" s="124"/>
      <c r="BZ131" s="124"/>
      <c r="CA131" s="124"/>
      <c r="CB131" s="124"/>
      <c r="CC131" s="2"/>
      <c r="CD131" s="2"/>
      <c r="CE131" s="2"/>
    </row>
    <row x14ac:dyDescent="0.25" r="132" customHeight="1" ht="13.5">
      <c r="A132" s="2"/>
      <c r="B132" s="3"/>
      <c r="C132" s="2"/>
      <c r="D132" s="123" t="s">
        <v>223</v>
      </c>
      <c r="E132" s="3"/>
      <c r="F132" s="3"/>
      <c r="G132" s="3"/>
      <c r="H132" s="3"/>
      <c r="I132" s="3"/>
      <c r="J132" s="3"/>
      <c r="K132" s="368">
        <f>S132*W132</f>
      </c>
      <c r="L132" s="368">
        <f>T132*X132</f>
      </c>
      <c r="M132" s="368">
        <f>U132*Y132</f>
      </c>
      <c r="N132" s="2"/>
      <c r="O132" s="303">
        <f>O104</f>
      </c>
      <c r="P132" s="304">
        <f>P104</f>
      </c>
      <c r="Q132" s="304">
        <f>Q104</f>
      </c>
      <c r="R132" s="319">
        <f>R104</f>
      </c>
      <c r="S132" s="63">
        <f>ProjectedP205_Consumption!K54*$O132</f>
      </c>
      <c r="T132" s="63">
        <f>ProjectedP205_Consumption!L54*O132</f>
      </c>
      <c r="U132" s="372">
        <f>ProjectedP205_Consumption!M54*O132</f>
      </c>
      <c r="V132" s="160">
        <f>V104</f>
      </c>
      <c r="W132" s="160">
        <f>W104</f>
      </c>
      <c r="X132" s="160">
        <f>X104</f>
      </c>
      <c r="Y132" s="373">
        <f>Y104</f>
      </c>
      <c r="Z132" s="297"/>
      <c r="AA132" s="297"/>
      <c r="AB132" s="297"/>
      <c r="AC132" s="297"/>
      <c r="AD132" s="297"/>
      <c r="AE132" s="297"/>
      <c r="AF132" s="297"/>
      <c r="AG132" s="297"/>
      <c r="AH132" s="297"/>
      <c r="AI132" s="160"/>
      <c r="AJ132" s="160"/>
      <c r="AK132" s="160"/>
      <c r="AL132" s="297"/>
      <c r="AM132" s="297"/>
      <c r="AN132" s="297"/>
      <c r="AO132" s="297"/>
      <c r="AP132" s="297"/>
      <c r="AQ132" s="297"/>
      <c r="AR132" s="297"/>
      <c r="AS132" s="297"/>
      <c r="AT132" s="297"/>
      <c r="AU132" s="297"/>
      <c r="AV132" s="297"/>
      <c r="AW132" s="297"/>
      <c r="AX132" s="124"/>
      <c r="AY132" s="124"/>
      <c r="AZ132" s="124"/>
      <c r="BA132" s="63"/>
      <c r="BB132" s="63"/>
      <c r="BC132" s="63"/>
      <c r="BD132" s="124"/>
      <c r="BE132" s="63"/>
      <c r="BF132" s="63"/>
      <c r="BG132" s="63"/>
      <c r="BH132" s="124"/>
      <c r="BI132" s="63"/>
      <c r="BJ132" s="63"/>
      <c r="BK132" s="63"/>
      <c r="BL132" s="63"/>
      <c r="BM132" s="124"/>
      <c r="BN132" s="124"/>
      <c r="BO132" s="124"/>
      <c r="BP132" s="124"/>
      <c r="BQ132" s="124"/>
      <c r="BR132" s="124"/>
      <c r="BS132" s="124"/>
      <c r="BT132" s="124"/>
      <c r="BU132" s="124"/>
      <c r="BV132" s="124"/>
      <c r="BW132" s="124"/>
      <c r="BX132" s="124"/>
      <c r="BY132" s="124"/>
      <c r="BZ132" s="124"/>
      <c r="CA132" s="124"/>
      <c r="CB132" s="124"/>
      <c r="CC132" s="2"/>
      <c r="CD132" s="2"/>
      <c r="CE132" s="2"/>
    </row>
    <row x14ac:dyDescent="0.25" r="133" customHeight="1" ht="13.5">
      <c r="A133" s="2"/>
      <c r="B133" s="3"/>
      <c r="C133" s="2"/>
      <c r="D133" s="123" t="s">
        <v>183</v>
      </c>
      <c r="E133" s="3"/>
      <c r="F133" s="3"/>
      <c r="G133" s="3"/>
      <c r="H133" s="3"/>
      <c r="I133" s="3"/>
      <c r="J133" s="3"/>
      <c r="K133" s="368">
        <f>S133*W133</f>
      </c>
      <c r="L133" s="368">
        <f>T133*X133</f>
      </c>
      <c r="M133" s="368">
        <f>U133*Y133</f>
      </c>
      <c r="N133" s="2"/>
      <c r="O133" s="303">
        <f>O105</f>
      </c>
      <c r="P133" s="304">
        <f>P105</f>
      </c>
      <c r="Q133" s="304">
        <f>Q105</f>
      </c>
      <c r="R133" s="319">
        <f>R105</f>
      </c>
      <c r="S133" s="63">
        <f>ProjectedP205_Consumption!K55*$O133</f>
      </c>
      <c r="T133" s="63">
        <f>ProjectedP205_Consumption!L55*O133</f>
      </c>
      <c r="U133" s="372">
        <f>ProjectedP205_Consumption!M55*O133</f>
      </c>
      <c r="V133" s="160">
        <f>V105</f>
      </c>
      <c r="W133" s="160">
        <f>W105</f>
      </c>
      <c r="X133" s="160">
        <f>X105</f>
      </c>
      <c r="Y133" s="373">
        <f>Y105</f>
      </c>
      <c r="Z133" s="297"/>
      <c r="AA133" s="297"/>
      <c r="AB133" s="297"/>
      <c r="AC133" s="297"/>
      <c r="AD133" s="297"/>
      <c r="AE133" s="297"/>
      <c r="AF133" s="297"/>
      <c r="AG133" s="297"/>
      <c r="AH133" s="297"/>
      <c r="AI133" s="160"/>
      <c r="AJ133" s="160"/>
      <c r="AK133" s="160"/>
      <c r="AL133" s="297"/>
      <c r="AM133" s="297"/>
      <c r="AN133" s="297"/>
      <c r="AO133" s="297"/>
      <c r="AP133" s="297"/>
      <c r="AQ133" s="297"/>
      <c r="AR133" s="297"/>
      <c r="AS133" s="297"/>
      <c r="AT133" s="297"/>
      <c r="AU133" s="297"/>
      <c r="AV133" s="297"/>
      <c r="AW133" s="297"/>
      <c r="AX133" s="124"/>
      <c r="AY133" s="124"/>
      <c r="AZ133" s="124"/>
      <c r="BA133" s="63"/>
      <c r="BB133" s="63"/>
      <c r="BC133" s="63"/>
      <c r="BD133" s="124"/>
      <c r="BE133" s="63"/>
      <c r="BF133" s="63"/>
      <c r="BG133" s="63"/>
      <c r="BH133" s="124"/>
      <c r="BI133" s="63"/>
      <c r="BJ133" s="63"/>
      <c r="BK133" s="63"/>
      <c r="BL133" s="63"/>
      <c r="BM133" s="124"/>
      <c r="BN133" s="124"/>
      <c r="BO133" s="124"/>
      <c r="BP133" s="124"/>
      <c r="BQ133" s="124"/>
      <c r="BR133" s="124"/>
      <c r="BS133" s="124"/>
      <c r="BT133" s="124"/>
      <c r="BU133" s="124"/>
      <c r="BV133" s="124"/>
      <c r="BW133" s="124"/>
      <c r="BX133" s="124"/>
      <c r="BY133" s="124"/>
      <c r="BZ133" s="124"/>
      <c r="CA133" s="124"/>
      <c r="CB133" s="124"/>
      <c r="CC133" s="2"/>
      <c r="CD133" s="2"/>
      <c r="CE133" s="2"/>
    </row>
    <row x14ac:dyDescent="0.25" r="134" customHeight="1" ht="13.5">
      <c r="A134" s="2"/>
      <c r="B134" s="3"/>
      <c r="C134" s="2"/>
      <c r="D134" s="123" t="s">
        <v>161</v>
      </c>
      <c r="E134" s="3"/>
      <c r="F134" s="3"/>
      <c r="G134" s="3"/>
      <c r="H134" s="3"/>
      <c r="I134" s="3"/>
      <c r="J134" s="3"/>
      <c r="K134" s="368">
        <f>S134*W134</f>
      </c>
      <c r="L134" s="368">
        <f>T134*X134</f>
      </c>
      <c r="M134" s="368">
        <f>U134*Y134</f>
      </c>
      <c r="N134" s="2"/>
      <c r="O134" s="303">
        <f>O106</f>
      </c>
      <c r="P134" s="304">
        <f>P106</f>
      </c>
      <c r="Q134" s="304">
        <f>Q106</f>
      </c>
      <c r="R134" s="319">
        <f>R106</f>
      </c>
      <c r="S134" s="63">
        <f>ProjectedP205_Consumption!K56*$O134</f>
      </c>
      <c r="T134" s="63">
        <f>ProjectedP205_Consumption!L56*O134</f>
      </c>
      <c r="U134" s="372">
        <f>ProjectedP205_Consumption!M56*O134</f>
      </c>
      <c r="V134" s="160">
        <f>V106</f>
      </c>
      <c r="W134" s="160">
        <f>W106</f>
      </c>
      <c r="X134" s="160">
        <f>X106</f>
      </c>
      <c r="Y134" s="373">
        <f>Y106</f>
      </c>
      <c r="Z134" s="297"/>
      <c r="AA134" s="297"/>
      <c r="AB134" s="297"/>
      <c r="AC134" s="297"/>
      <c r="AD134" s="297"/>
      <c r="AE134" s="297"/>
      <c r="AF134" s="297"/>
      <c r="AG134" s="297"/>
      <c r="AH134" s="297"/>
      <c r="AI134" s="160"/>
      <c r="AJ134" s="160"/>
      <c r="AK134" s="160"/>
      <c r="AL134" s="297"/>
      <c r="AM134" s="297"/>
      <c r="AN134" s="297"/>
      <c r="AO134" s="297"/>
      <c r="AP134" s="297"/>
      <c r="AQ134" s="297"/>
      <c r="AR134" s="297"/>
      <c r="AS134" s="297"/>
      <c r="AT134" s="297"/>
      <c r="AU134" s="297"/>
      <c r="AV134" s="297"/>
      <c r="AW134" s="297"/>
      <c r="AX134" s="124"/>
      <c r="AY134" s="124"/>
      <c r="AZ134" s="124"/>
      <c r="BA134" s="63"/>
      <c r="BB134" s="63"/>
      <c r="BC134" s="63"/>
      <c r="BD134" s="124"/>
      <c r="BE134" s="63"/>
      <c r="BF134" s="63"/>
      <c r="BG134" s="63"/>
      <c r="BH134" s="124"/>
      <c r="BI134" s="63"/>
      <c r="BJ134" s="63"/>
      <c r="BK134" s="63"/>
      <c r="BL134" s="63"/>
      <c r="BM134" s="124"/>
      <c r="BN134" s="124"/>
      <c r="BO134" s="124"/>
      <c r="BP134" s="124"/>
      <c r="BQ134" s="124"/>
      <c r="BR134" s="124"/>
      <c r="BS134" s="124"/>
      <c r="BT134" s="124"/>
      <c r="BU134" s="124"/>
      <c r="BV134" s="124"/>
      <c r="BW134" s="124"/>
      <c r="BX134" s="124"/>
      <c r="BY134" s="124"/>
      <c r="BZ134" s="124"/>
      <c r="CA134" s="124"/>
      <c r="CB134" s="124"/>
      <c r="CC134" s="2"/>
      <c r="CD134" s="2"/>
      <c r="CE134" s="2"/>
    </row>
    <row x14ac:dyDescent="0.25" r="135" customHeight="1" ht="13.5">
      <c r="A135" s="2"/>
      <c r="B135" s="3"/>
      <c r="C135" s="2"/>
      <c r="D135" s="123" t="s">
        <v>219</v>
      </c>
      <c r="E135" s="3"/>
      <c r="F135" s="3"/>
      <c r="G135" s="3"/>
      <c r="H135" s="3"/>
      <c r="I135" s="3"/>
      <c r="J135" s="3"/>
      <c r="K135" s="368">
        <f>S135*W135</f>
      </c>
      <c r="L135" s="368">
        <f>T135*X135</f>
      </c>
      <c r="M135" s="368">
        <f>U135*Y135</f>
      </c>
      <c r="N135" s="2"/>
      <c r="O135" s="303">
        <f>O107</f>
      </c>
      <c r="P135" s="304">
        <f>P107</f>
      </c>
      <c r="Q135" s="304">
        <f>Q107</f>
      </c>
      <c r="R135" s="319">
        <f>R107</f>
      </c>
      <c r="S135" s="63">
        <f>ProjectedP205_Consumption!K57*$O135</f>
      </c>
      <c r="T135" s="63">
        <f>ProjectedP205_Consumption!L57*O135</f>
      </c>
      <c r="U135" s="372">
        <f>ProjectedP205_Consumption!M57*O135</f>
      </c>
      <c r="V135" s="160">
        <f>V107</f>
      </c>
      <c r="W135" s="160">
        <f>W107</f>
      </c>
      <c r="X135" s="160">
        <f>X107</f>
      </c>
      <c r="Y135" s="373">
        <f>Y107</f>
      </c>
      <c r="Z135" s="297"/>
      <c r="AA135" s="297"/>
      <c r="AB135" s="297"/>
      <c r="AC135" s="297"/>
      <c r="AD135" s="297"/>
      <c r="AE135" s="297"/>
      <c r="AF135" s="297"/>
      <c r="AG135" s="297"/>
      <c r="AH135" s="297"/>
      <c r="AI135" s="160"/>
      <c r="AJ135" s="160"/>
      <c r="AK135" s="160"/>
      <c r="AL135" s="297"/>
      <c r="AM135" s="297"/>
      <c r="AN135" s="297"/>
      <c r="AO135" s="297"/>
      <c r="AP135" s="297"/>
      <c r="AQ135" s="297"/>
      <c r="AR135" s="297"/>
      <c r="AS135" s="297"/>
      <c r="AT135" s="297"/>
      <c r="AU135" s="297"/>
      <c r="AV135" s="297"/>
      <c r="AW135" s="297"/>
      <c r="AX135" s="124"/>
      <c r="AY135" s="124"/>
      <c r="AZ135" s="124"/>
      <c r="BA135" s="63"/>
      <c r="BB135" s="63"/>
      <c r="BC135" s="63"/>
      <c r="BD135" s="124"/>
      <c r="BE135" s="63"/>
      <c r="BF135" s="63"/>
      <c r="BG135" s="63"/>
      <c r="BH135" s="124"/>
      <c r="BI135" s="63"/>
      <c r="BJ135" s="63"/>
      <c r="BK135" s="63"/>
      <c r="BL135" s="63"/>
      <c r="BM135" s="124"/>
      <c r="BN135" s="124"/>
      <c r="BO135" s="124"/>
      <c r="BP135" s="124"/>
      <c r="BQ135" s="124"/>
      <c r="BR135" s="124"/>
      <c r="BS135" s="124"/>
      <c r="BT135" s="124"/>
      <c r="BU135" s="124"/>
      <c r="BV135" s="124"/>
      <c r="BW135" s="124"/>
      <c r="BX135" s="124"/>
      <c r="BY135" s="124"/>
      <c r="BZ135" s="124"/>
      <c r="CA135" s="124"/>
      <c r="CB135" s="124"/>
      <c r="CC135" s="2"/>
      <c r="CD135" s="2"/>
      <c r="CE135" s="2"/>
    </row>
    <row x14ac:dyDescent="0.25" r="136" customHeight="1" ht="13.5">
      <c r="A136" s="2"/>
      <c r="B136" s="3"/>
      <c r="C136" s="2"/>
      <c r="D136" s="123" t="s">
        <v>159</v>
      </c>
      <c r="E136" s="3"/>
      <c r="F136" s="3"/>
      <c r="G136" s="3"/>
      <c r="H136" s="3"/>
      <c r="I136" s="3"/>
      <c r="J136" s="3"/>
      <c r="K136" s="368">
        <f>S136*W136</f>
      </c>
      <c r="L136" s="368">
        <f>T136*X136</f>
      </c>
      <c r="M136" s="368">
        <f>U136*Y136</f>
      </c>
      <c r="N136" s="2"/>
      <c r="O136" s="303">
        <f>O108</f>
      </c>
      <c r="P136" s="304">
        <f>P108</f>
      </c>
      <c r="Q136" s="304">
        <f>Q108</f>
      </c>
      <c r="R136" s="319">
        <f>R108</f>
      </c>
      <c r="S136" s="63">
        <f>ProjectedP205_Consumption!K58*$O136</f>
      </c>
      <c r="T136" s="63">
        <f>ProjectedP205_Consumption!L58*O136</f>
      </c>
      <c r="U136" s="372">
        <f>ProjectedP205_Consumption!M58*O136</f>
      </c>
      <c r="V136" s="160">
        <f>V108</f>
      </c>
      <c r="W136" s="160">
        <f>W108</f>
      </c>
      <c r="X136" s="160">
        <f>X108</f>
      </c>
      <c r="Y136" s="373">
        <f>Y108</f>
      </c>
      <c r="Z136" s="297"/>
      <c r="AA136" s="297"/>
      <c r="AB136" s="297"/>
      <c r="AC136" s="297"/>
      <c r="AD136" s="297"/>
      <c r="AE136" s="297"/>
      <c r="AF136" s="297"/>
      <c r="AG136" s="297"/>
      <c r="AH136" s="297"/>
      <c r="AI136" s="160"/>
      <c r="AJ136" s="160"/>
      <c r="AK136" s="160"/>
      <c r="AL136" s="297"/>
      <c r="AM136" s="297"/>
      <c r="AN136" s="297"/>
      <c r="AO136" s="297"/>
      <c r="AP136" s="297"/>
      <c r="AQ136" s="297"/>
      <c r="AR136" s="297"/>
      <c r="AS136" s="297"/>
      <c r="AT136" s="297"/>
      <c r="AU136" s="297"/>
      <c r="AV136" s="297"/>
      <c r="AW136" s="297"/>
      <c r="AX136" s="124"/>
      <c r="AY136" s="124"/>
      <c r="AZ136" s="124"/>
      <c r="BA136" s="63"/>
      <c r="BB136" s="63"/>
      <c r="BC136" s="63"/>
      <c r="BD136" s="124"/>
      <c r="BE136" s="63"/>
      <c r="BF136" s="63"/>
      <c r="BG136" s="63"/>
      <c r="BH136" s="124"/>
      <c r="BI136" s="63"/>
      <c r="BJ136" s="63"/>
      <c r="BK136" s="63"/>
      <c r="BL136" s="63"/>
      <c r="BM136" s="124"/>
      <c r="BN136" s="124"/>
      <c r="BO136" s="124"/>
      <c r="BP136" s="124"/>
      <c r="BQ136" s="124"/>
      <c r="BR136" s="124"/>
      <c r="BS136" s="124"/>
      <c r="BT136" s="124"/>
      <c r="BU136" s="124"/>
      <c r="BV136" s="124"/>
      <c r="BW136" s="124"/>
      <c r="BX136" s="124"/>
      <c r="BY136" s="124"/>
      <c r="BZ136" s="124"/>
      <c r="CA136" s="124"/>
      <c r="CB136" s="124"/>
      <c r="CC136" s="2"/>
      <c r="CD136" s="2"/>
      <c r="CE136" s="2"/>
    </row>
    <row x14ac:dyDescent="0.25" r="137" customHeight="1" ht="13.5">
      <c r="A137" s="2"/>
      <c r="B137" s="3"/>
      <c r="C137" s="2"/>
      <c r="D137" s="123" t="s">
        <v>163</v>
      </c>
      <c r="E137" s="3"/>
      <c r="F137" s="3"/>
      <c r="G137" s="3"/>
      <c r="H137" s="3"/>
      <c r="I137" s="3"/>
      <c r="J137" s="3"/>
      <c r="K137" s="368">
        <f>S137*W137</f>
      </c>
      <c r="L137" s="368">
        <f>T137*X137</f>
      </c>
      <c r="M137" s="368">
        <f>U137*Y137</f>
      </c>
      <c r="N137" s="2"/>
      <c r="O137" s="303">
        <f>O109</f>
      </c>
      <c r="P137" s="304">
        <f>P109</f>
      </c>
      <c r="Q137" s="304">
        <f>Q109</f>
      </c>
      <c r="R137" s="319">
        <f>R109</f>
      </c>
      <c r="S137" s="63">
        <f>ProjectedP205_Consumption!K59*$O137</f>
      </c>
      <c r="T137" s="63">
        <f>ProjectedP205_Consumption!L59*O137</f>
      </c>
      <c r="U137" s="372">
        <f>ProjectedP205_Consumption!M59*O137</f>
      </c>
      <c r="V137" s="160">
        <f>V109</f>
      </c>
      <c r="W137" s="160">
        <f>W109</f>
      </c>
      <c r="X137" s="160">
        <f>X109</f>
      </c>
      <c r="Y137" s="373">
        <f>Y109</f>
      </c>
      <c r="Z137" s="297"/>
      <c r="AA137" s="297"/>
      <c r="AB137" s="297"/>
      <c r="AC137" s="297"/>
      <c r="AD137" s="297"/>
      <c r="AE137" s="297"/>
      <c r="AF137" s="297"/>
      <c r="AG137" s="297"/>
      <c r="AH137" s="297"/>
      <c r="AI137" s="160"/>
      <c r="AJ137" s="160"/>
      <c r="AK137" s="160"/>
      <c r="AL137" s="297"/>
      <c r="AM137" s="297"/>
      <c r="AN137" s="297"/>
      <c r="AO137" s="297"/>
      <c r="AP137" s="297"/>
      <c r="AQ137" s="297"/>
      <c r="AR137" s="297"/>
      <c r="AS137" s="297"/>
      <c r="AT137" s="297"/>
      <c r="AU137" s="297"/>
      <c r="AV137" s="297"/>
      <c r="AW137" s="297"/>
      <c r="AX137" s="124"/>
      <c r="AY137" s="124"/>
      <c r="AZ137" s="124"/>
      <c r="BA137" s="63"/>
      <c r="BB137" s="63"/>
      <c r="BC137" s="63"/>
      <c r="BD137" s="124"/>
      <c r="BE137" s="63"/>
      <c r="BF137" s="63"/>
      <c r="BG137" s="63"/>
      <c r="BH137" s="124"/>
      <c r="BI137" s="63"/>
      <c r="BJ137" s="63"/>
      <c r="BK137" s="63"/>
      <c r="BL137" s="63"/>
      <c r="BM137" s="124"/>
      <c r="BN137" s="124"/>
      <c r="BO137" s="124"/>
      <c r="BP137" s="124"/>
      <c r="BQ137" s="124"/>
      <c r="BR137" s="124"/>
      <c r="BS137" s="124"/>
      <c r="BT137" s="124"/>
      <c r="BU137" s="124"/>
      <c r="BV137" s="124"/>
      <c r="BW137" s="124"/>
      <c r="BX137" s="124"/>
      <c r="BY137" s="124"/>
      <c r="BZ137" s="124"/>
      <c r="CA137" s="124"/>
      <c r="CB137" s="124"/>
      <c r="CC137" s="2"/>
      <c r="CD137" s="2"/>
      <c r="CE137" s="2"/>
    </row>
    <row x14ac:dyDescent="0.25" r="138" customHeight="1" ht="13.5">
      <c r="A138" s="2"/>
      <c r="B138" s="3"/>
      <c r="C138" s="2"/>
      <c r="D138" s="123" t="s">
        <v>227</v>
      </c>
      <c r="E138" s="3"/>
      <c r="F138" s="3"/>
      <c r="G138" s="3"/>
      <c r="H138" s="3"/>
      <c r="I138" s="3"/>
      <c r="J138" s="3"/>
      <c r="K138" s="368">
        <f>S138*W138</f>
      </c>
      <c r="L138" s="368">
        <f>T138*X138</f>
      </c>
      <c r="M138" s="368">
        <f>U138*Y138</f>
      </c>
      <c r="N138" s="2"/>
      <c r="O138" s="303">
        <f>O110</f>
      </c>
      <c r="P138" s="304">
        <f>P110</f>
      </c>
      <c r="Q138" s="304">
        <f>Q110</f>
      </c>
      <c r="R138" s="319">
        <f>R110</f>
      </c>
      <c r="S138" s="63">
        <f>ProjectedP205_Consumption!K60*$O138</f>
      </c>
      <c r="T138" s="63">
        <f>ProjectedP205_Consumption!L60*O138</f>
      </c>
      <c r="U138" s="372">
        <f>ProjectedP205_Consumption!M60*O138</f>
      </c>
      <c r="V138" s="160">
        <f>V110</f>
      </c>
      <c r="W138" s="160">
        <f>W110</f>
      </c>
      <c r="X138" s="160">
        <f>X110</f>
      </c>
      <c r="Y138" s="373">
        <f>Y110</f>
      </c>
      <c r="Z138" s="297"/>
      <c r="AA138" s="297"/>
      <c r="AB138" s="297"/>
      <c r="AC138" s="297"/>
      <c r="AD138" s="297"/>
      <c r="AE138" s="297"/>
      <c r="AF138" s="297"/>
      <c r="AG138" s="297"/>
      <c r="AH138" s="297"/>
      <c r="AI138" s="160"/>
      <c r="AJ138" s="160"/>
      <c r="AK138" s="160"/>
      <c r="AL138" s="297"/>
      <c r="AM138" s="297"/>
      <c r="AN138" s="297"/>
      <c r="AO138" s="297"/>
      <c r="AP138" s="297"/>
      <c r="AQ138" s="297"/>
      <c r="AR138" s="297"/>
      <c r="AS138" s="297"/>
      <c r="AT138" s="297"/>
      <c r="AU138" s="297"/>
      <c r="AV138" s="297"/>
      <c r="AW138" s="297"/>
      <c r="AX138" s="124"/>
      <c r="AY138" s="124"/>
      <c r="AZ138" s="124"/>
      <c r="BA138" s="63"/>
      <c r="BB138" s="63"/>
      <c r="BC138" s="63"/>
      <c r="BD138" s="124"/>
      <c r="BE138" s="63"/>
      <c r="BF138" s="63"/>
      <c r="BG138" s="63"/>
      <c r="BH138" s="124"/>
      <c r="BI138" s="63"/>
      <c r="BJ138" s="63"/>
      <c r="BK138" s="63"/>
      <c r="BL138" s="63"/>
      <c r="BM138" s="124"/>
      <c r="BN138" s="124"/>
      <c r="BO138" s="124"/>
      <c r="BP138" s="124"/>
      <c r="BQ138" s="124"/>
      <c r="BR138" s="124"/>
      <c r="BS138" s="124"/>
      <c r="BT138" s="124"/>
      <c r="BU138" s="124"/>
      <c r="BV138" s="124"/>
      <c r="BW138" s="124"/>
      <c r="BX138" s="124"/>
      <c r="BY138" s="124"/>
      <c r="BZ138" s="124"/>
      <c r="CA138" s="124"/>
      <c r="CB138" s="124"/>
      <c r="CC138" s="2"/>
      <c r="CD138" s="2"/>
      <c r="CE138" s="2"/>
    </row>
    <row x14ac:dyDescent="0.25" r="139" customHeight="1" ht="13.5">
      <c r="A139" s="2"/>
      <c r="B139" s="3"/>
      <c r="C139" s="2"/>
      <c r="D139" s="123" t="s">
        <v>255</v>
      </c>
      <c r="E139" s="3"/>
      <c r="F139" s="3"/>
      <c r="G139" s="3"/>
      <c r="H139" s="3"/>
      <c r="I139" s="3"/>
      <c r="J139" s="3"/>
      <c r="K139" s="368">
        <f>S139*W139</f>
      </c>
      <c r="L139" s="368">
        <f>T139*X139</f>
      </c>
      <c r="M139" s="368">
        <f>U139*Y139</f>
      </c>
      <c r="N139" s="2"/>
      <c r="O139" s="303">
        <f>O111</f>
      </c>
      <c r="P139" s="304">
        <f>P111</f>
      </c>
      <c r="Q139" s="304">
        <f>Q111</f>
      </c>
      <c r="R139" s="319">
        <f>R111</f>
      </c>
      <c r="S139" s="63">
        <f>ProjectedP205_Consumption!K61*$O139</f>
      </c>
      <c r="T139" s="63">
        <f>ProjectedP205_Consumption!L61*O139</f>
      </c>
      <c r="U139" s="372">
        <f>ProjectedP205_Consumption!M61*O139</f>
      </c>
      <c r="V139" s="160">
        <f>V111</f>
      </c>
      <c r="W139" s="160">
        <f>W111</f>
      </c>
      <c r="X139" s="160">
        <f>X111</f>
      </c>
      <c r="Y139" s="373">
        <f>Y111</f>
      </c>
      <c r="Z139" s="297"/>
      <c r="AA139" s="297"/>
      <c r="AB139" s="297"/>
      <c r="AC139" s="297"/>
      <c r="AD139" s="297"/>
      <c r="AE139" s="297"/>
      <c r="AF139" s="297"/>
      <c r="AG139" s="297"/>
      <c r="AH139" s="297"/>
      <c r="AI139" s="160"/>
      <c r="AJ139" s="160"/>
      <c r="AK139" s="160"/>
      <c r="AL139" s="297"/>
      <c r="AM139" s="297"/>
      <c r="AN139" s="297"/>
      <c r="AO139" s="297"/>
      <c r="AP139" s="297"/>
      <c r="AQ139" s="297"/>
      <c r="AR139" s="297"/>
      <c r="AS139" s="297"/>
      <c r="AT139" s="297"/>
      <c r="AU139" s="297"/>
      <c r="AV139" s="297"/>
      <c r="AW139" s="297"/>
      <c r="AX139" s="124"/>
      <c r="AY139" s="124"/>
      <c r="AZ139" s="124"/>
      <c r="BA139" s="63"/>
      <c r="BB139" s="63"/>
      <c r="BC139" s="63"/>
      <c r="BD139" s="124"/>
      <c r="BE139" s="63"/>
      <c r="BF139" s="63"/>
      <c r="BG139" s="63"/>
      <c r="BH139" s="124"/>
      <c r="BI139" s="63"/>
      <c r="BJ139" s="63"/>
      <c r="BK139" s="63"/>
      <c r="BL139" s="63"/>
      <c r="BM139" s="124"/>
      <c r="BN139" s="124"/>
      <c r="BO139" s="124"/>
      <c r="BP139" s="124"/>
      <c r="BQ139" s="124"/>
      <c r="BR139" s="124"/>
      <c r="BS139" s="124"/>
      <c r="BT139" s="124"/>
      <c r="BU139" s="124"/>
      <c r="BV139" s="124"/>
      <c r="BW139" s="124"/>
      <c r="BX139" s="124"/>
      <c r="BY139" s="124"/>
      <c r="BZ139" s="124"/>
      <c r="CA139" s="124"/>
      <c r="CB139" s="124"/>
      <c r="CC139" s="2"/>
      <c r="CD139" s="2"/>
      <c r="CE139" s="2"/>
    </row>
    <row x14ac:dyDescent="0.25" r="140" customHeight="1" ht="13.5">
      <c r="A140" s="2"/>
      <c r="B140" s="3"/>
      <c r="C140" s="2"/>
      <c r="D140" s="326" t="s">
        <v>336</v>
      </c>
      <c r="E140" s="364"/>
      <c r="F140" s="364"/>
      <c r="G140" s="364"/>
      <c r="H140" s="364"/>
      <c r="I140" s="364"/>
      <c r="J140" s="327"/>
      <c r="K140" s="327">
        <f>SUM(K119:K139)</f>
      </c>
      <c r="L140" s="327">
        <f>SUM(L119:L139)</f>
      </c>
      <c r="M140" s="327">
        <f>SUM(M119:M139)</f>
      </c>
      <c r="N140" s="2"/>
      <c r="O140" s="374"/>
      <c r="P140" s="181"/>
      <c r="Q140" s="181"/>
      <c r="R140" s="375"/>
      <c r="S140" s="376">
        <f>SUM(S119:S139)</f>
      </c>
      <c r="T140" s="376">
        <f>SUM(T119:T139)</f>
      </c>
      <c r="U140" s="46">
        <f>SUM(U119:U139)</f>
      </c>
      <c r="V140" s="181"/>
      <c r="W140" s="181"/>
      <c r="X140" s="181"/>
      <c r="Y140" s="375"/>
      <c r="Z140" s="124"/>
      <c r="AA140" s="124"/>
      <c r="AB140" s="124"/>
      <c r="AC140" s="124"/>
      <c r="AD140" s="124"/>
      <c r="AE140" s="124"/>
      <c r="AF140" s="124"/>
      <c r="AG140" s="124"/>
      <c r="AH140" s="124"/>
      <c r="AI140" s="124"/>
      <c r="AJ140" s="124"/>
      <c r="AK140" s="124"/>
      <c r="AL140" s="124"/>
      <c r="AM140" s="124"/>
      <c r="AN140" s="124"/>
      <c r="AO140" s="124"/>
      <c r="AP140" s="124"/>
      <c r="AQ140" s="124"/>
      <c r="AR140" s="124"/>
      <c r="AS140" s="124"/>
      <c r="AT140" s="124"/>
      <c r="AU140" s="124"/>
      <c r="AV140" s="124"/>
      <c r="AW140" s="124"/>
      <c r="AX140" s="300"/>
      <c r="AY140" s="300"/>
      <c r="AZ140" s="300"/>
      <c r="BA140" s="63"/>
      <c r="BB140" s="63"/>
      <c r="BC140" s="63"/>
      <c r="BD140" s="63"/>
      <c r="BE140" s="63"/>
      <c r="BF140" s="63"/>
      <c r="BG140" s="63"/>
      <c r="BH140" s="63"/>
      <c r="BI140" s="63"/>
      <c r="BJ140" s="63"/>
      <c r="BK140" s="63"/>
      <c r="BL140" s="63"/>
      <c r="BM140" s="124"/>
      <c r="BN140" s="124"/>
      <c r="BO140" s="124"/>
      <c r="BP140" s="124"/>
      <c r="BQ140" s="124"/>
      <c r="BR140" s="124"/>
      <c r="BS140" s="124"/>
      <c r="BT140" s="124"/>
      <c r="BU140" s="124"/>
      <c r="BV140" s="124"/>
      <c r="BW140" s="124"/>
      <c r="BX140" s="124"/>
      <c r="BY140" s="124"/>
      <c r="BZ140" s="124"/>
      <c r="CA140" s="124"/>
      <c r="CB140" s="124"/>
      <c r="CC140" s="2"/>
      <c r="CD140" s="2"/>
      <c r="CE140" s="2"/>
    </row>
    <row x14ac:dyDescent="0.25" r="141" customHeight="1" ht="13.5">
      <c r="A141" s="2"/>
      <c r="B141" s="3"/>
      <c r="C141" s="2"/>
      <c r="D141" s="377" t="s">
        <v>515</v>
      </c>
      <c r="E141" s="124"/>
      <c r="F141" s="124"/>
      <c r="G141" s="124"/>
      <c r="H141" s="124"/>
      <c r="I141" s="124"/>
      <c r="J141" s="368"/>
      <c r="K141" s="369">
        <f>K140/(ProjectedP205_Consumption!K62*90%)</f>
      </c>
      <c r="L141" s="369">
        <f>L140/(ProjectedP205_Consumption!L62*90%)</f>
      </c>
      <c r="M141" s="369">
        <f>M140/(ProjectedP205_Consumption!M62*90%)</f>
      </c>
      <c r="N141" s="2"/>
      <c r="O141" s="299"/>
      <c r="P141" s="124"/>
      <c r="Q141" s="124"/>
      <c r="R141" s="124"/>
      <c r="S141" s="63"/>
      <c r="T141" s="63"/>
      <c r="U141" s="63"/>
      <c r="V141" s="124"/>
      <c r="W141" s="124"/>
      <c r="X141" s="124"/>
      <c r="Y141" s="124"/>
      <c r="Z141" s="124"/>
      <c r="AA141" s="124"/>
      <c r="AB141" s="124"/>
      <c r="AC141" s="124"/>
      <c r="AD141" s="124"/>
      <c r="AE141" s="124"/>
      <c r="AF141" s="124"/>
      <c r="AG141" s="124"/>
      <c r="AH141" s="124"/>
      <c r="AI141" s="124"/>
      <c r="AJ141" s="124"/>
      <c r="AK141" s="124"/>
      <c r="AL141" s="124"/>
      <c r="AM141" s="124"/>
      <c r="AN141" s="124"/>
      <c r="AO141" s="124"/>
      <c r="AP141" s="124"/>
      <c r="AQ141" s="124"/>
      <c r="AR141" s="124"/>
      <c r="AS141" s="124"/>
      <c r="AT141" s="124"/>
      <c r="AU141" s="124"/>
      <c r="AV141" s="124"/>
      <c r="AW141" s="124"/>
      <c r="AX141" s="300"/>
      <c r="AY141" s="300"/>
      <c r="AZ141" s="300"/>
      <c r="BA141" s="63"/>
      <c r="BB141" s="63"/>
      <c r="BC141" s="63"/>
      <c r="BD141" s="63"/>
      <c r="BE141" s="63"/>
      <c r="BF141" s="63"/>
      <c r="BG141" s="63"/>
      <c r="BH141" s="63"/>
      <c r="BI141" s="63"/>
      <c r="BJ141" s="63"/>
      <c r="BK141" s="63"/>
      <c r="BL141" s="63"/>
      <c r="BM141" s="124"/>
      <c r="BN141" s="124"/>
      <c r="BO141" s="124"/>
      <c r="BP141" s="124"/>
      <c r="BQ141" s="124"/>
      <c r="BR141" s="124"/>
      <c r="BS141" s="124"/>
      <c r="BT141" s="124"/>
      <c r="BU141" s="124"/>
      <c r="BV141" s="124"/>
      <c r="BW141" s="124"/>
      <c r="BX141" s="124"/>
      <c r="BY141" s="124"/>
      <c r="BZ141" s="124"/>
      <c r="CA141" s="124"/>
      <c r="CB141" s="124"/>
      <c r="CC141" s="2"/>
      <c r="CD141" s="2"/>
      <c r="CE141" s="2"/>
    </row>
    <row x14ac:dyDescent="0.25" r="142" customHeight="1" ht="13.5">
      <c r="A142" s="2"/>
      <c r="B142" s="3"/>
      <c r="C142" s="2"/>
      <c r="D142" s="2"/>
      <c r="E142" s="3"/>
      <c r="F142" s="3"/>
      <c r="G142" s="3"/>
      <c r="H142" s="3"/>
      <c r="I142" s="3"/>
      <c r="J142" s="3"/>
      <c r="K142" s="108"/>
      <c r="L142" s="108"/>
      <c r="M142" s="108"/>
      <c r="N142" s="2"/>
      <c r="O142" s="3"/>
      <c r="P142" s="3"/>
      <c r="Q142" s="3"/>
      <c r="R142" s="3"/>
      <c r="S142" s="3"/>
      <c r="T142" s="3"/>
      <c r="U142" s="3"/>
      <c r="V142" s="3"/>
      <c r="W142" s="3"/>
      <c r="X142" s="3"/>
      <c r="Y142" s="3"/>
      <c r="Z142" s="3"/>
      <c r="AA142" s="3"/>
      <c r="AB142" s="3"/>
      <c r="AC142" s="124"/>
      <c r="AD142" s="124"/>
      <c r="AE142" s="124"/>
      <c r="AF142" s="124"/>
      <c r="AG142" s="307"/>
      <c r="AH142" s="307"/>
      <c r="AI142" s="307"/>
      <c r="AJ142" s="124"/>
      <c r="AK142" s="124"/>
      <c r="AL142" s="124"/>
      <c r="AM142" s="124"/>
      <c r="AN142" s="124"/>
      <c r="AO142" s="124"/>
      <c r="AP142" s="124"/>
      <c r="AQ142" s="124"/>
      <c r="AR142" s="124"/>
      <c r="AS142" s="124"/>
      <c r="AT142" s="124"/>
      <c r="AU142" s="124"/>
      <c r="AV142" s="124"/>
      <c r="AW142" s="124"/>
      <c r="AX142" s="124"/>
      <c r="AY142" s="124"/>
      <c r="AZ142" s="124"/>
      <c r="BA142" s="63"/>
      <c r="BB142" s="63"/>
      <c r="BC142" s="63"/>
      <c r="BD142" s="124"/>
      <c r="BE142" s="124"/>
      <c r="BF142" s="124"/>
      <c r="BG142" s="124"/>
      <c r="BH142" s="124"/>
      <c r="BI142" s="124"/>
      <c r="BJ142" s="124"/>
      <c r="BK142" s="124"/>
      <c r="BL142" s="124"/>
      <c r="BM142" s="124"/>
      <c r="BN142" s="124"/>
      <c r="BO142" s="124"/>
      <c r="BP142" s="124"/>
      <c r="BQ142" s="124"/>
      <c r="BR142" s="124"/>
      <c r="BS142" s="124"/>
      <c r="BT142" s="124"/>
      <c r="BU142" s="124"/>
      <c r="BV142" s="124"/>
      <c r="BW142" s="124"/>
      <c r="BX142" s="124"/>
      <c r="BY142" s="124"/>
      <c r="BZ142" s="124"/>
      <c r="CA142" s="124"/>
      <c r="CB142" s="124"/>
      <c r="CC142" s="124"/>
      <c r="CD142" s="124"/>
      <c r="CE142" s="124"/>
    </row>
    <row x14ac:dyDescent="0.25" r="143" customHeight="1" ht="13.5">
      <c r="A143" s="2"/>
      <c r="B143" s="198">
        <v>5</v>
      </c>
      <c r="C143" s="2"/>
      <c r="D143" s="275" t="s">
        <v>496</v>
      </c>
      <c r="E143" s="3"/>
      <c r="F143" s="3"/>
      <c r="G143" s="3"/>
      <c r="H143" s="3"/>
      <c r="I143" s="3"/>
      <c r="J143" s="3"/>
      <c r="K143" s="108"/>
      <c r="L143" s="108"/>
      <c r="M143" s="108"/>
      <c r="N143" s="2"/>
      <c r="O143" s="3"/>
      <c r="P143" s="3"/>
      <c r="Q143" s="3"/>
      <c r="R143" s="3"/>
      <c r="S143" s="3"/>
      <c r="T143" s="3"/>
      <c r="U143" s="3"/>
      <c r="V143" s="3"/>
      <c r="W143" s="3"/>
      <c r="X143" s="3"/>
      <c r="Y143" s="3"/>
      <c r="Z143" s="3"/>
      <c r="AA143" s="3"/>
      <c r="AB143" s="3"/>
      <c r="AC143" s="124"/>
      <c r="AD143" s="124"/>
      <c r="AE143" s="124"/>
      <c r="AF143" s="124"/>
      <c r="AG143" s="124"/>
      <c r="AH143" s="124"/>
      <c r="AI143" s="124"/>
      <c r="AJ143" s="124"/>
      <c r="AK143" s="124"/>
      <c r="AL143" s="124"/>
      <c r="AM143" s="124"/>
      <c r="AN143" s="124"/>
      <c r="AO143" s="124"/>
      <c r="AP143" s="124"/>
      <c r="AQ143" s="124"/>
      <c r="AR143" s="124"/>
      <c r="AS143" s="124"/>
      <c r="AT143" s="124"/>
      <c r="AU143" s="124"/>
      <c r="AV143" s="124"/>
      <c r="AW143" s="124"/>
      <c r="AX143" s="124"/>
      <c r="AY143" s="124"/>
      <c r="AZ143" s="124"/>
      <c r="BA143" s="124"/>
      <c r="BB143" s="124"/>
      <c r="BC143" s="124"/>
      <c r="BD143" s="124"/>
      <c r="BE143" s="124"/>
      <c r="BF143" s="124"/>
      <c r="BG143" s="124"/>
      <c r="BH143" s="124"/>
      <c r="BI143" s="124"/>
      <c r="BJ143" s="124"/>
      <c r="BK143" s="124"/>
      <c r="BL143" s="124"/>
      <c r="BM143" s="124"/>
      <c r="BN143" s="124"/>
      <c r="BO143" s="124"/>
      <c r="BP143" s="124"/>
      <c r="BQ143" s="124"/>
      <c r="BR143" s="124"/>
      <c r="BS143" s="124"/>
      <c r="BT143" s="124"/>
      <c r="BU143" s="124"/>
      <c r="BV143" s="124"/>
      <c r="BW143" s="124"/>
      <c r="BX143" s="124"/>
      <c r="BY143" s="124"/>
      <c r="BZ143" s="124"/>
      <c r="CA143" s="124"/>
      <c r="CB143" s="124"/>
      <c r="CC143" s="124"/>
      <c r="CD143" s="124"/>
      <c r="CE143" s="124"/>
    </row>
    <row x14ac:dyDescent="0.25" r="144" customHeight="1" ht="13.5">
      <c r="A144" s="2"/>
      <c r="B144" s="3"/>
      <c r="C144" s="2"/>
      <c r="D144" s="2"/>
      <c r="E144" s="3"/>
      <c r="F144" s="3"/>
      <c r="G144" s="3"/>
      <c r="H144" s="3"/>
      <c r="I144" s="3"/>
      <c r="J144" s="3"/>
      <c r="K144" s="108"/>
      <c r="L144" s="108"/>
      <c r="M144" s="108"/>
      <c r="N144" s="2"/>
      <c r="O144" s="124"/>
      <c r="P144" s="124"/>
      <c r="Q144" s="124"/>
      <c r="R144" s="124"/>
      <c r="S144" s="124"/>
      <c r="T144" s="124"/>
      <c r="U144" s="124"/>
      <c r="V144" s="124"/>
      <c r="W144" s="124"/>
      <c r="X144" s="124"/>
      <c r="Y144" s="124"/>
      <c r="Z144" s="124"/>
      <c r="AA144" s="124"/>
      <c r="AB144" s="124"/>
      <c r="AC144" s="124"/>
      <c r="AD144" s="124"/>
      <c r="AE144" s="124"/>
      <c r="AF144" s="124"/>
      <c r="AG144" s="124"/>
      <c r="AH144" s="124"/>
      <c r="AI144" s="124"/>
      <c r="AJ144" s="124"/>
      <c r="AK144" s="124"/>
      <c r="AL144" s="124"/>
      <c r="AM144" s="124"/>
      <c r="AN144" s="124"/>
      <c r="AO144" s="124"/>
      <c r="AP144" s="124"/>
      <c r="AQ144" s="124"/>
      <c r="AR144" s="124"/>
      <c r="AS144" s="124"/>
      <c r="AT144" s="124"/>
      <c r="AU144" s="124"/>
      <c r="AV144" s="124"/>
      <c r="AW144" s="124"/>
      <c r="AX144" s="124"/>
      <c r="AY144" s="124"/>
      <c r="AZ144" s="124"/>
      <c r="BA144" s="124"/>
      <c r="BB144" s="124"/>
      <c r="BC144" s="124"/>
      <c r="BD144" s="124"/>
      <c r="BE144" s="124"/>
      <c r="BF144" s="124"/>
      <c r="BG144" s="124"/>
      <c r="BH144" s="124"/>
      <c r="BI144" s="124"/>
      <c r="BJ144" s="124"/>
      <c r="BK144" s="124"/>
      <c r="BL144" s="124"/>
      <c r="BM144" s="2"/>
      <c r="BN144" s="2"/>
      <c r="BO144" s="2"/>
      <c r="BP144" s="2"/>
      <c r="BQ144" s="2"/>
      <c r="BR144" s="2"/>
      <c r="BS144" s="2"/>
      <c r="BT144" s="2"/>
      <c r="BU144" s="2"/>
      <c r="BV144" s="2"/>
      <c r="BW144" s="2"/>
      <c r="BX144" s="2"/>
      <c r="BY144" s="2"/>
      <c r="BZ144" s="2"/>
      <c r="CA144" s="2"/>
      <c r="CB144" s="2"/>
      <c r="CC144" s="2"/>
      <c r="CD144" s="2"/>
      <c r="CE144" s="2"/>
    </row>
    <row x14ac:dyDescent="0.25" r="145" customHeight="1" ht="13.5">
      <c r="A145" s="2"/>
      <c r="B145" s="3"/>
      <c r="C145" s="2"/>
      <c r="D145" s="240" t="s">
        <v>467</v>
      </c>
      <c r="E145" s="3"/>
      <c r="F145" s="3"/>
      <c r="G145" s="3"/>
      <c r="H145" s="3"/>
      <c r="I145" s="3"/>
      <c r="J145" s="3"/>
      <c r="K145" s="108"/>
      <c r="L145" s="108"/>
      <c r="M145" s="108"/>
      <c r="N145" s="2"/>
      <c r="O145" s="378"/>
      <c r="P145" s="378"/>
      <c r="Q145" s="378"/>
      <c r="R145" s="378"/>
      <c r="S145" s="378"/>
      <c r="T145" s="378"/>
      <c r="U145" s="378"/>
      <c r="V145" s="378"/>
      <c r="W145" s="378"/>
      <c r="X145" s="378"/>
      <c r="Y145" s="378"/>
      <c r="Z145" s="378"/>
      <c r="AA145" s="378"/>
      <c r="AB145" s="378"/>
      <c r="AC145" s="290"/>
      <c r="AD145" s="378"/>
      <c r="AE145" s="290"/>
      <c r="AF145" s="290"/>
      <c r="AG145" s="290"/>
      <c r="AH145" s="290"/>
      <c r="AI145" s="290"/>
      <c r="AJ145" s="290"/>
      <c r="AK145" s="290"/>
      <c r="AL145" s="290"/>
      <c r="AM145" s="124"/>
      <c r="AN145" s="124"/>
      <c r="AO145" s="124"/>
      <c r="AP145" s="124"/>
      <c r="AQ145" s="124"/>
      <c r="AR145" s="124"/>
      <c r="AS145" s="124"/>
      <c r="AT145" s="124"/>
      <c r="AU145" s="124"/>
      <c r="AV145" s="124"/>
      <c r="AW145" s="124"/>
      <c r="AX145" s="124"/>
      <c r="AY145" s="124"/>
      <c r="AZ145" s="124"/>
      <c r="BA145" s="290"/>
      <c r="BB145" s="124"/>
      <c r="BC145" s="124"/>
      <c r="BD145" s="290"/>
      <c r="BE145" s="124"/>
      <c r="BF145" s="124"/>
      <c r="BG145" s="124"/>
      <c r="BH145" s="124"/>
      <c r="BI145" s="124"/>
      <c r="BJ145" s="124"/>
      <c r="BK145" s="124"/>
      <c r="BL145" s="124"/>
      <c r="BM145" s="2"/>
      <c r="BN145" s="2"/>
      <c r="BO145" s="2"/>
      <c r="BP145" s="2"/>
      <c r="BQ145" s="2"/>
      <c r="BR145" s="2"/>
      <c r="BS145" s="2"/>
      <c r="BT145" s="2"/>
      <c r="BU145" s="2"/>
      <c r="BV145" s="2"/>
      <c r="BW145" s="2"/>
      <c r="BX145" s="2"/>
      <c r="BY145" s="2"/>
      <c r="BZ145" s="2"/>
      <c r="CA145" s="2"/>
      <c r="CB145" s="2"/>
      <c r="CC145" s="2"/>
      <c r="CD145" s="2"/>
      <c r="CE145" s="2"/>
    </row>
    <row x14ac:dyDescent="0.25" r="146" customHeight="1" ht="13.5">
      <c r="A146" s="2"/>
      <c r="B146" s="3"/>
      <c r="C146" s="2"/>
      <c r="D146" s="241" t="s">
        <v>468</v>
      </c>
      <c r="E146" s="3"/>
      <c r="F146" s="3"/>
      <c r="G146" s="3"/>
      <c r="H146" s="3"/>
      <c r="I146" s="3"/>
      <c r="J146" s="3"/>
      <c r="K146" s="108"/>
      <c r="L146" s="108"/>
      <c r="M146" s="108"/>
      <c r="N146" s="2"/>
      <c r="O146" s="379" t="s">
        <v>493</v>
      </c>
      <c r="P146" s="124"/>
      <c r="Q146" s="124"/>
      <c r="R146" s="124"/>
      <c r="S146" s="124"/>
      <c r="T146" s="124"/>
      <c r="U146" s="124"/>
      <c r="V146" s="124"/>
      <c r="W146" s="124"/>
      <c r="X146" s="124"/>
      <c r="Y146" s="124"/>
      <c r="Z146" s="350"/>
      <c r="AA146" s="350"/>
      <c r="AB146" s="350"/>
      <c r="AC146" s="124"/>
      <c r="AD146" s="124"/>
      <c r="AE146" s="124"/>
      <c r="AF146" s="124"/>
      <c r="AG146" s="124"/>
      <c r="AH146" s="124"/>
      <c r="AI146" s="124"/>
      <c r="AJ146" s="124"/>
      <c r="AK146" s="124"/>
      <c r="AL146" s="290"/>
      <c r="AM146" s="124"/>
      <c r="AN146" s="124"/>
      <c r="AO146" s="290"/>
      <c r="AP146" s="124"/>
      <c r="AQ146" s="124"/>
      <c r="AR146" s="290"/>
      <c r="AS146" s="124"/>
      <c r="AT146" s="124"/>
      <c r="AU146" s="290"/>
      <c r="AV146" s="124"/>
      <c r="AW146" s="124"/>
      <c r="AX146" s="63"/>
      <c r="AY146" s="124"/>
      <c r="AZ146" s="124"/>
      <c r="BA146" s="63"/>
      <c r="BB146" s="124"/>
      <c r="BC146" s="124"/>
      <c r="BD146" s="124"/>
      <c r="BE146" s="63"/>
      <c r="BF146" s="124"/>
      <c r="BG146" s="124"/>
      <c r="BH146" s="124"/>
      <c r="BI146" s="63"/>
      <c r="BJ146" s="124"/>
      <c r="BK146" s="124"/>
      <c r="BL146" s="124"/>
      <c r="BM146" s="2"/>
      <c r="BN146" s="2"/>
      <c r="BO146" s="2"/>
      <c r="BP146" s="63"/>
      <c r="BQ146" s="63"/>
      <c r="BR146" s="2"/>
      <c r="BS146" s="2"/>
      <c r="BT146" s="63"/>
      <c r="BU146" s="63"/>
      <c r="BV146" s="2"/>
      <c r="BW146" s="2"/>
      <c r="BX146" s="63"/>
      <c r="BY146" s="63"/>
      <c r="BZ146" s="2"/>
      <c r="CA146" s="2"/>
      <c r="CB146" s="2"/>
      <c r="CC146" s="2"/>
      <c r="CD146" s="2"/>
      <c r="CE146" s="2"/>
    </row>
    <row x14ac:dyDescent="0.25" r="147" customHeight="1" ht="13.5">
      <c r="A147" s="2"/>
      <c r="B147" s="3"/>
      <c r="C147" s="2"/>
      <c r="D147" s="246" t="s">
        <v>445</v>
      </c>
      <c r="E147" s="257">
        <v>2017</v>
      </c>
      <c r="F147" s="257">
        <v>2018</v>
      </c>
      <c r="G147" s="257">
        <v>2019</v>
      </c>
      <c r="H147" s="257">
        <v>2020</v>
      </c>
      <c r="I147" s="257">
        <v>2021</v>
      </c>
      <c r="J147" s="257">
        <v>2022</v>
      </c>
      <c r="K147" s="257">
        <v>2023</v>
      </c>
      <c r="L147" s="257">
        <v>2024</v>
      </c>
      <c r="M147" s="257">
        <v>2025</v>
      </c>
      <c r="N147" s="2"/>
      <c r="O147" s="173" t="s">
        <v>516</v>
      </c>
      <c r="P147" s="380" t="s">
        <v>517</v>
      </c>
      <c r="Q147" s="381" t="s">
        <v>518</v>
      </c>
      <c r="R147" s="381" t="s">
        <v>519</v>
      </c>
      <c r="S147" s="380" t="s">
        <v>520</v>
      </c>
      <c r="T147" s="382" t="s">
        <v>521</v>
      </c>
      <c r="U147" s="382" t="s">
        <v>522</v>
      </c>
      <c r="V147" s="381" t="s">
        <v>523</v>
      </c>
      <c r="W147" s="290"/>
      <c r="X147" s="350"/>
      <c r="Y147" s="350"/>
      <c r="Z147" s="153"/>
      <c r="AA147" s="153"/>
      <c r="AB147" s="153"/>
      <c r="AC147" s="153"/>
      <c r="AD147" s="153"/>
      <c r="AE147" s="153"/>
      <c r="AF147" s="310"/>
      <c r="AG147" s="310"/>
      <c r="AH147" s="310"/>
      <c r="AI147" s="153"/>
      <c r="AJ147" s="310"/>
      <c r="AK147" s="310"/>
      <c r="AL147" s="153"/>
      <c r="AM147" s="310"/>
      <c r="AN147" s="310"/>
      <c r="AO147" s="153"/>
      <c r="AP147" s="310"/>
      <c r="AQ147" s="310"/>
      <c r="AR147" s="153"/>
      <c r="AS147" s="310"/>
      <c r="AT147" s="310"/>
      <c r="AU147" s="153"/>
      <c r="AV147" s="310"/>
      <c r="AW147" s="310"/>
      <c r="AX147" s="63"/>
      <c r="AY147" s="63"/>
      <c r="AZ147" s="63"/>
      <c r="BA147" s="124"/>
      <c r="BB147" s="124"/>
      <c r="BC147" s="124"/>
      <c r="BD147" s="124"/>
      <c r="BE147" s="124"/>
      <c r="BF147" s="124"/>
      <c r="BG147" s="124"/>
      <c r="BH147" s="124"/>
      <c r="BI147" s="124"/>
      <c r="BJ147" s="124"/>
      <c r="BK147" s="124"/>
      <c r="BL147" s="124"/>
      <c r="BM147" s="63"/>
      <c r="BN147" s="63"/>
      <c r="BO147" s="63"/>
      <c r="BP147" s="124"/>
      <c r="BQ147" s="124"/>
      <c r="BR147" s="124"/>
      <c r="BS147" s="124"/>
      <c r="BT147" s="124"/>
      <c r="BU147" s="124"/>
      <c r="BV147" s="124"/>
      <c r="BW147" s="124"/>
      <c r="BX147" s="124"/>
      <c r="BY147" s="124"/>
      <c r="BZ147" s="124"/>
      <c r="CA147" s="124"/>
      <c r="CB147" s="124"/>
      <c r="CC147" s="124"/>
      <c r="CD147" s="124"/>
      <c r="CE147" s="2"/>
    </row>
    <row x14ac:dyDescent="0.25" r="148" customHeight="1" ht="13.5">
      <c r="A148" s="2"/>
      <c r="B148" s="3"/>
      <c r="C148" s="2"/>
      <c r="D148" s="118" t="s">
        <v>179</v>
      </c>
      <c r="E148" s="312"/>
      <c r="F148" s="312"/>
      <c r="G148" s="312"/>
      <c r="H148" s="312"/>
      <c r="I148" s="312"/>
      <c r="J148" s="124"/>
      <c r="K148" s="368">
        <f>T148*Q148</f>
      </c>
      <c r="L148" s="368">
        <f>U148*R148</f>
      </c>
      <c r="M148" s="368">
        <f>V148*S148</f>
      </c>
      <c r="N148" s="2"/>
      <c r="O148" s="303" t="s">
        <v>355</v>
      </c>
      <c r="P148" s="306">
        <v>0.15</v>
      </c>
      <c r="Q148" s="383">
        <f>IF($O148="Yes",ProjectedP205_Consumption!K13*$P148,0)</f>
      </c>
      <c r="R148" s="383">
        <f>IF($O148="Yes",ProjectedP205_Consumption!L13*$P148,0)</f>
      </c>
      <c r="S148" s="384">
        <f>IF($O148="Yes",ProjectedP205_Consumption!M13*$P148,0)</f>
      </c>
      <c r="T148" s="350">
        <f>15%</f>
      </c>
      <c r="U148" s="350">
        <v>0.3</v>
      </c>
      <c r="V148" s="290">
        <v>0.45</v>
      </c>
      <c r="W148" s="290"/>
      <c r="X148" s="290"/>
      <c r="Y148" s="290"/>
      <c r="Z148" s="300"/>
      <c r="AA148" s="300"/>
      <c r="AB148" s="300"/>
      <c r="AC148" s="300"/>
      <c r="AD148" s="300"/>
      <c r="AE148" s="300"/>
      <c r="AF148" s="160"/>
      <c r="AG148" s="160"/>
      <c r="AH148" s="160"/>
      <c r="AI148" s="300"/>
      <c r="AJ148" s="300"/>
      <c r="AK148" s="300"/>
      <c r="AL148" s="350"/>
      <c r="AM148" s="350"/>
      <c r="AN148" s="350"/>
      <c r="AO148" s="300"/>
      <c r="AP148" s="300"/>
      <c r="AQ148" s="300"/>
      <c r="AR148" s="300"/>
      <c r="AS148" s="300"/>
      <c r="AT148" s="300"/>
      <c r="AU148" s="297"/>
      <c r="AV148" s="297"/>
      <c r="AW148" s="297"/>
      <c r="AX148" s="124"/>
      <c r="AY148" s="297"/>
      <c r="AZ148" s="297"/>
      <c r="BA148" s="63"/>
      <c r="BB148" s="63"/>
      <c r="BC148" s="63"/>
      <c r="BD148" s="63"/>
      <c r="BE148" s="63"/>
      <c r="BF148" s="63"/>
      <c r="BG148" s="63"/>
      <c r="BH148" s="63"/>
      <c r="BI148" s="63"/>
      <c r="BJ148" s="63"/>
      <c r="BK148" s="63"/>
      <c r="BL148" s="63"/>
      <c r="BM148" s="63"/>
      <c r="BN148" s="63"/>
      <c r="BO148" s="63"/>
      <c r="BP148" s="124"/>
      <c r="BQ148" s="124"/>
      <c r="BR148" s="124"/>
      <c r="BS148" s="124"/>
      <c r="BT148" s="124"/>
      <c r="BU148" s="124"/>
      <c r="BV148" s="124"/>
      <c r="BW148" s="124"/>
      <c r="BX148" s="124"/>
      <c r="BY148" s="124"/>
      <c r="BZ148" s="124"/>
      <c r="CA148" s="124"/>
      <c r="CB148" s="124"/>
      <c r="CC148" s="124"/>
      <c r="CD148" s="124"/>
      <c r="CE148" s="2"/>
    </row>
    <row x14ac:dyDescent="0.25" r="149" customHeight="1" ht="13.5">
      <c r="A149" s="2"/>
      <c r="B149" s="3"/>
      <c r="C149" s="2"/>
      <c r="D149" s="118" t="s">
        <v>231</v>
      </c>
      <c r="E149" s="312"/>
      <c r="F149" s="312"/>
      <c r="G149" s="312"/>
      <c r="H149" s="312"/>
      <c r="I149" s="312"/>
      <c r="J149" s="124"/>
      <c r="K149" s="368">
        <f>T149*Q149</f>
      </c>
      <c r="L149" s="368">
        <f>U149*R149</f>
      </c>
      <c r="M149" s="368">
        <f>V149*S149</f>
      </c>
      <c r="N149" s="2"/>
      <c r="O149" s="303" t="s">
        <v>355</v>
      </c>
      <c r="P149" s="306">
        <v>0.15</v>
      </c>
      <c r="Q149" s="383">
        <f>IF($O149="Yes",ProjectedP205_Consumption!K14*$P149,0)</f>
      </c>
      <c r="R149" s="383">
        <f>IF($O149="Yes",ProjectedP205_Consumption!L14*$P149,0)</f>
      </c>
      <c r="S149" s="384">
        <f>IF($O149="Yes",ProjectedP205_Consumption!M14*$P149,0)</f>
      </c>
      <c r="T149" s="350">
        <f>15%</f>
      </c>
      <c r="U149" s="350">
        <v>0.3</v>
      </c>
      <c r="V149" s="290">
        <v>0.45</v>
      </c>
      <c r="W149" s="290"/>
      <c r="X149" s="290"/>
      <c r="Y149" s="290"/>
      <c r="Z149" s="300"/>
      <c r="AA149" s="300"/>
      <c r="AB149" s="300"/>
      <c r="AC149" s="300"/>
      <c r="AD149" s="300"/>
      <c r="AE149" s="300"/>
      <c r="AF149" s="160"/>
      <c r="AG149" s="160"/>
      <c r="AH149" s="160"/>
      <c r="AI149" s="300"/>
      <c r="AJ149" s="300"/>
      <c r="AK149" s="300"/>
      <c r="AL149" s="350"/>
      <c r="AM149" s="350"/>
      <c r="AN149" s="350"/>
      <c r="AO149" s="300"/>
      <c r="AP149" s="300"/>
      <c r="AQ149" s="300"/>
      <c r="AR149" s="300"/>
      <c r="AS149" s="300"/>
      <c r="AT149" s="300"/>
      <c r="AU149" s="8"/>
      <c r="AV149" s="255"/>
      <c r="AW149" s="297"/>
      <c r="AX149" s="297"/>
      <c r="AY149" s="297"/>
      <c r="AZ149" s="297"/>
      <c r="BA149" s="63"/>
      <c r="BB149" s="63"/>
      <c r="BC149" s="63"/>
      <c r="BD149" s="63"/>
      <c r="BE149" s="63"/>
      <c r="BF149" s="63"/>
      <c r="BG149" s="63"/>
      <c r="BH149" s="63"/>
      <c r="BI149" s="63"/>
      <c r="BJ149" s="63"/>
      <c r="BK149" s="63"/>
      <c r="BL149" s="63"/>
      <c r="BM149" s="63"/>
      <c r="BN149" s="63"/>
      <c r="BO149" s="63"/>
      <c r="BP149" s="124"/>
      <c r="BQ149" s="124"/>
      <c r="BR149" s="124"/>
      <c r="BS149" s="124"/>
      <c r="BT149" s="124"/>
      <c r="BU149" s="124"/>
      <c r="BV149" s="124"/>
      <c r="BW149" s="124"/>
      <c r="BX149" s="124"/>
      <c r="BY149" s="124"/>
      <c r="BZ149" s="124"/>
      <c r="CA149" s="124"/>
      <c r="CB149" s="124"/>
      <c r="CC149" s="124"/>
      <c r="CD149" s="124"/>
      <c r="CE149" s="2"/>
    </row>
    <row x14ac:dyDescent="0.25" r="150" customHeight="1" ht="13.5">
      <c r="A150" s="2"/>
      <c r="B150" s="3"/>
      <c r="C150" s="2"/>
      <c r="D150" s="118" t="s">
        <v>141</v>
      </c>
      <c r="E150" s="312"/>
      <c r="F150" s="312"/>
      <c r="G150" s="312"/>
      <c r="H150" s="312"/>
      <c r="I150" s="312"/>
      <c r="J150" s="124"/>
      <c r="K150" s="368">
        <f>T150*Q150</f>
      </c>
      <c r="L150" s="368">
        <f>U150*R150</f>
      </c>
      <c r="M150" s="368">
        <f>V150*S150</f>
      </c>
      <c r="N150" s="2"/>
      <c r="O150" s="303" t="s">
        <v>357</v>
      </c>
      <c r="P150" s="306">
        <f>IF(O150="Yes",0.1,0)</f>
      </c>
      <c r="Q150" s="383">
        <f>IF($O150="Yes",ProjectedP205_Consumption!K15*$P150,0)</f>
      </c>
      <c r="R150" s="383">
        <f>IF($O150="Yes",ProjectedP205_Consumption!L15*$P150,0)</f>
      </c>
      <c r="S150" s="384">
        <f>IF($O150="Yes",ProjectedP205_Consumption!M15*$P150,0)</f>
      </c>
      <c r="T150" s="350">
        <f>15%</f>
      </c>
      <c r="U150" s="350">
        <v>0.3</v>
      </c>
      <c r="V150" s="290">
        <v>0.45</v>
      </c>
      <c r="W150" s="290"/>
      <c r="X150" s="290"/>
      <c r="Y150" s="290"/>
      <c r="Z150" s="300"/>
      <c r="AA150" s="300"/>
      <c r="AB150" s="300"/>
      <c r="AC150" s="300"/>
      <c r="AD150" s="300"/>
      <c r="AE150" s="300"/>
      <c r="AF150" s="160"/>
      <c r="AG150" s="160"/>
      <c r="AH150" s="160"/>
      <c r="AI150" s="300"/>
      <c r="AJ150" s="300"/>
      <c r="AK150" s="300"/>
      <c r="AL150" s="350"/>
      <c r="AM150" s="350"/>
      <c r="AN150" s="350"/>
      <c r="AO150" s="300"/>
      <c r="AP150" s="300"/>
      <c r="AQ150" s="300"/>
      <c r="AR150" s="300"/>
      <c r="AS150" s="300"/>
      <c r="AT150" s="300"/>
      <c r="AU150" s="297"/>
      <c r="AV150" s="297"/>
      <c r="AW150" s="297"/>
      <c r="AX150" s="297"/>
      <c r="AY150" s="297"/>
      <c r="AZ150" s="297"/>
      <c r="BA150" s="63"/>
      <c r="BB150" s="63"/>
      <c r="BC150" s="63"/>
      <c r="BD150" s="63"/>
      <c r="BE150" s="63"/>
      <c r="BF150" s="63"/>
      <c r="BG150" s="63"/>
      <c r="BH150" s="63"/>
      <c r="BI150" s="63"/>
      <c r="BJ150" s="63"/>
      <c r="BK150" s="63"/>
      <c r="BL150" s="63"/>
      <c r="BM150" s="63"/>
      <c r="BN150" s="63"/>
      <c r="BO150" s="63"/>
      <c r="BP150" s="124"/>
      <c r="BQ150" s="124"/>
      <c r="BR150" s="124"/>
      <c r="BS150" s="124"/>
      <c r="BT150" s="124"/>
      <c r="BU150" s="124"/>
      <c r="BV150" s="124"/>
      <c r="BW150" s="124"/>
      <c r="BX150" s="124"/>
      <c r="BY150" s="124"/>
      <c r="BZ150" s="124"/>
      <c r="CA150" s="124"/>
      <c r="CB150" s="124"/>
      <c r="CC150" s="124"/>
      <c r="CD150" s="124"/>
      <c r="CE150" s="2"/>
    </row>
    <row x14ac:dyDescent="0.25" r="151" customHeight="1" ht="13.5">
      <c r="A151" s="2"/>
      <c r="B151" s="3"/>
      <c r="C151" s="2"/>
      <c r="D151" s="118" t="s">
        <v>247</v>
      </c>
      <c r="E151" s="312"/>
      <c r="F151" s="312"/>
      <c r="G151" s="312"/>
      <c r="H151" s="312"/>
      <c r="I151" s="312"/>
      <c r="J151" s="124"/>
      <c r="K151" s="368">
        <f>T151*Q151</f>
      </c>
      <c r="L151" s="368">
        <f>U151*R151</f>
      </c>
      <c r="M151" s="368">
        <f>V151*S151</f>
      </c>
      <c r="N151" s="2"/>
      <c r="O151" s="303" t="s">
        <v>357</v>
      </c>
      <c r="P151" s="306">
        <f>IF(O151="Yes",0.1,0)</f>
      </c>
      <c r="Q151" s="383">
        <f>IF($O151="Yes",ProjectedP205_Consumption!K16*$P151,0)</f>
      </c>
      <c r="R151" s="383">
        <f>IF($O151="Yes",ProjectedP205_Consumption!L16*$P151,0)</f>
      </c>
      <c r="S151" s="384">
        <f>IF($O151="Yes",ProjectedP205_Consumption!M16*$P151,0)</f>
      </c>
      <c r="T151" s="350">
        <f>15%</f>
      </c>
      <c r="U151" s="350">
        <v>0.3</v>
      </c>
      <c r="V151" s="290">
        <v>0.45</v>
      </c>
      <c r="W151" s="290"/>
      <c r="X151" s="290"/>
      <c r="Y151" s="290"/>
      <c r="Z151" s="300"/>
      <c r="AA151" s="300"/>
      <c r="AB151" s="300"/>
      <c r="AC151" s="300"/>
      <c r="AD151" s="300"/>
      <c r="AE151" s="300"/>
      <c r="AF151" s="160"/>
      <c r="AG151" s="160"/>
      <c r="AH151" s="160"/>
      <c r="AI151" s="300"/>
      <c r="AJ151" s="300"/>
      <c r="AK151" s="300"/>
      <c r="AL151" s="350"/>
      <c r="AM151" s="350"/>
      <c r="AN151" s="350"/>
      <c r="AO151" s="300"/>
      <c r="AP151" s="300"/>
      <c r="AQ151" s="300"/>
      <c r="AR151" s="300"/>
      <c r="AS151" s="300"/>
      <c r="AT151" s="300"/>
      <c r="AU151" s="297"/>
      <c r="AV151" s="297"/>
      <c r="AW151" s="297"/>
      <c r="AX151" s="297"/>
      <c r="AY151" s="297"/>
      <c r="AZ151" s="297"/>
      <c r="BA151" s="63"/>
      <c r="BB151" s="63"/>
      <c r="BC151" s="63"/>
      <c r="BD151" s="63"/>
      <c r="BE151" s="63"/>
      <c r="BF151" s="63"/>
      <c r="BG151" s="63"/>
      <c r="BH151" s="63"/>
      <c r="BI151" s="63"/>
      <c r="BJ151" s="63"/>
      <c r="BK151" s="63"/>
      <c r="BL151" s="63"/>
      <c r="BM151" s="63"/>
      <c r="BN151" s="63"/>
      <c r="BO151" s="63"/>
      <c r="BP151" s="124"/>
      <c r="BQ151" s="124"/>
      <c r="BR151" s="124"/>
      <c r="BS151" s="124"/>
      <c r="BT151" s="124"/>
      <c r="BU151" s="124"/>
      <c r="BV151" s="124"/>
      <c r="BW151" s="124"/>
      <c r="BX151" s="124"/>
      <c r="BY151" s="124"/>
      <c r="BZ151" s="124"/>
      <c r="CA151" s="124"/>
      <c r="CB151" s="124"/>
      <c r="CC151" s="124"/>
      <c r="CD151" s="124"/>
      <c r="CE151" s="2"/>
    </row>
    <row x14ac:dyDescent="0.25" r="152" customHeight="1" ht="13.5">
      <c r="A152" s="2"/>
      <c r="B152" s="3"/>
      <c r="C152" s="2"/>
      <c r="D152" s="118" t="s">
        <v>175</v>
      </c>
      <c r="E152" s="312"/>
      <c r="F152" s="312"/>
      <c r="G152" s="312"/>
      <c r="H152" s="312"/>
      <c r="I152" s="312"/>
      <c r="J152" s="124"/>
      <c r="K152" s="368">
        <f>T152*Q152</f>
      </c>
      <c r="L152" s="368">
        <f>U152*R152</f>
      </c>
      <c r="M152" s="368">
        <f>V152*S152</f>
      </c>
      <c r="N152" s="2"/>
      <c r="O152" s="303" t="s">
        <v>357</v>
      </c>
      <c r="P152" s="306">
        <f>IF(O152="Yes",0.1,0)</f>
      </c>
      <c r="Q152" s="383">
        <f>IF($O152="Yes",ProjectedP205_Consumption!K17*$P152,0)</f>
      </c>
      <c r="R152" s="383">
        <f>IF($O152="Yes",ProjectedP205_Consumption!L17*$P152,0)</f>
      </c>
      <c r="S152" s="384">
        <f>IF($O152="Yes",ProjectedP205_Consumption!M17*$P152,0)</f>
      </c>
      <c r="T152" s="350">
        <f>15%</f>
      </c>
      <c r="U152" s="350">
        <v>0.3</v>
      </c>
      <c r="V152" s="290">
        <v>0.45</v>
      </c>
      <c r="W152" s="290"/>
      <c r="X152" s="290"/>
      <c r="Y152" s="290"/>
      <c r="Z152" s="300"/>
      <c r="AA152" s="300"/>
      <c r="AB152" s="300"/>
      <c r="AC152" s="300"/>
      <c r="AD152" s="300"/>
      <c r="AE152" s="300"/>
      <c r="AF152" s="160"/>
      <c r="AG152" s="160"/>
      <c r="AH152" s="160"/>
      <c r="AI152" s="300"/>
      <c r="AJ152" s="300"/>
      <c r="AK152" s="300"/>
      <c r="AL152" s="350"/>
      <c r="AM152" s="350"/>
      <c r="AN152" s="350"/>
      <c r="AO152" s="300"/>
      <c r="AP152" s="300"/>
      <c r="AQ152" s="300"/>
      <c r="AR152" s="300"/>
      <c r="AS152" s="300"/>
      <c r="AT152" s="300"/>
      <c r="AU152" s="297"/>
      <c r="AV152" s="297"/>
      <c r="AW152" s="297"/>
      <c r="AX152" s="297"/>
      <c r="AY152" s="297"/>
      <c r="AZ152" s="297"/>
      <c r="BA152" s="63"/>
      <c r="BB152" s="63"/>
      <c r="BC152" s="63"/>
      <c r="BD152" s="63"/>
      <c r="BE152" s="63"/>
      <c r="BF152" s="63"/>
      <c r="BG152" s="63"/>
      <c r="BH152" s="63"/>
      <c r="BI152" s="63"/>
      <c r="BJ152" s="63"/>
      <c r="BK152" s="63"/>
      <c r="BL152" s="63"/>
      <c r="BM152" s="63"/>
      <c r="BN152" s="63"/>
      <c r="BO152" s="63"/>
      <c r="BP152" s="124"/>
      <c r="BQ152" s="124"/>
      <c r="BR152" s="124"/>
      <c r="BS152" s="124"/>
      <c r="BT152" s="124"/>
      <c r="BU152" s="124"/>
      <c r="BV152" s="124"/>
      <c r="BW152" s="124"/>
      <c r="BX152" s="124"/>
      <c r="BY152" s="124"/>
      <c r="BZ152" s="124"/>
      <c r="CA152" s="124"/>
      <c r="CB152" s="124"/>
      <c r="CC152" s="124"/>
      <c r="CD152" s="124"/>
      <c r="CE152" s="2"/>
    </row>
    <row x14ac:dyDescent="0.25" r="153" customHeight="1" ht="13.5">
      <c r="A153" s="2"/>
      <c r="B153" s="3"/>
      <c r="C153" s="2"/>
      <c r="D153" s="118" t="s">
        <v>131</v>
      </c>
      <c r="E153" s="312"/>
      <c r="F153" s="312"/>
      <c r="G153" s="312"/>
      <c r="H153" s="312"/>
      <c r="I153" s="312"/>
      <c r="J153" s="124"/>
      <c r="K153" s="368">
        <f>T153*Q153</f>
      </c>
      <c r="L153" s="368">
        <f>U153*R153</f>
      </c>
      <c r="M153" s="368">
        <f>V153*S153</f>
      </c>
      <c r="N153" s="2"/>
      <c r="O153" s="303" t="s">
        <v>357</v>
      </c>
      <c r="P153" s="306">
        <f>IF(O153="Yes",0.1,0)</f>
      </c>
      <c r="Q153" s="383">
        <f>IF($O153="Yes",ProjectedP205_Consumption!K18*$P153,0)</f>
      </c>
      <c r="R153" s="383">
        <f>IF($O153="Yes",ProjectedP205_Consumption!L18*$P153,0)</f>
      </c>
      <c r="S153" s="384">
        <f>IF($O153="Yes",ProjectedP205_Consumption!M18*$P153,0)</f>
      </c>
      <c r="T153" s="350">
        <f>15%</f>
      </c>
      <c r="U153" s="350">
        <v>0.3</v>
      </c>
      <c r="V153" s="290">
        <v>0.45</v>
      </c>
      <c r="W153" s="290"/>
      <c r="X153" s="290"/>
      <c r="Y153" s="290"/>
      <c r="Z153" s="300"/>
      <c r="AA153" s="300"/>
      <c r="AB153" s="300"/>
      <c r="AC153" s="300"/>
      <c r="AD153" s="300"/>
      <c r="AE153" s="300"/>
      <c r="AF153" s="160"/>
      <c r="AG153" s="160"/>
      <c r="AH153" s="160"/>
      <c r="AI153" s="300"/>
      <c r="AJ153" s="300"/>
      <c r="AK153" s="300"/>
      <c r="AL153" s="350"/>
      <c r="AM153" s="350"/>
      <c r="AN153" s="350"/>
      <c r="AO153" s="300"/>
      <c r="AP153" s="300"/>
      <c r="AQ153" s="300"/>
      <c r="AR153" s="300"/>
      <c r="AS153" s="300"/>
      <c r="AT153" s="300"/>
      <c r="AU153" s="297"/>
      <c r="AV153" s="297"/>
      <c r="AW153" s="297"/>
      <c r="AX153" s="297"/>
      <c r="AY153" s="297"/>
      <c r="AZ153" s="297"/>
      <c r="BA153" s="63"/>
      <c r="BB153" s="63"/>
      <c r="BC153" s="63"/>
      <c r="BD153" s="63"/>
      <c r="BE153" s="63"/>
      <c r="BF153" s="63"/>
      <c r="BG153" s="63"/>
      <c r="BH153" s="63"/>
      <c r="BI153" s="63"/>
      <c r="BJ153" s="63"/>
      <c r="BK153" s="63"/>
      <c r="BL153" s="63"/>
      <c r="BM153" s="63"/>
      <c r="BN153" s="63"/>
      <c r="BO153" s="63"/>
      <c r="BP153" s="124"/>
      <c r="BQ153" s="124"/>
      <c r="BR153" s="124"/>
      <c r="BS153" s="124"/>
      <c r="BT153" s="124"/>
      <c r="BU153" s="124"/>
      <c r="BV153" s="124"/>
      <c r="BW153" s="124"/>
      <c r="BX153" s="124"/>
      <c r="BY153" s="124"/>
      <c r="BZ153" s="124"/>
      <c r="CA153" s="124"/>
      <c r="CB153" s="124"/>
      <c r="CC153" s="124"/>
      <c r="CD153" s="124"/>
      <c r="CE153" s="2"/>
    </row>
    <row x14ac:dyDescent="0.25" r="154" customHeight="1" ht="13.5">
      <c r="A154" s="2"/>
      <c r="B154" s="3"/>
      <c r="C154" s="2"/>
      <c r="D154" s="118" t="s">
        <v>237</v>
      </c>
      <c r="E154" s="312"/>
      <c r="F154" s="312"/>
      <c r="G154" s="312"/>
      <c r="H154" s="312"/>
      <c r="I154" s="312"/>
      <c r="J154" s="124"/>
      <c r="K154" s="368">
        <f>T154*Q154</f>
      </c>
      <c r="L154" s="368">
        <f>U154*R154</f>
      </c>
      <c r="M154" s="368">
        <f>V154*S154</f>
      </c>
      <c r="N154" s="2"/>
      <c r="O154" s="303" t="s">
        <v>357</v>
      </c>
      <c r="P154" s="306">
        <f>IF(O154="Yes",0.1,0)</f>
      </c>
      <c r="Q154" s="383">
        <f>IF($O154="Yes",ProjectedP205_Consumption!K19*$P154,0)</f>
      </c>
      <c r="R154" s="383">
        <f>IF($O154="Yes",ProjectedP205_Consumption!L19*$P154,0)</f>
      </c>
      <c r="S154" s="384">
        <f>IF($O154="Yes",ProjectedP205_Consumption!M19*$P154,0)</f>
      </c>
      <c r="T154" s="350">
        <f>15%</f>
      </c>
      <c r="U154" s="350">
        <v>0.3</v>
      </c>
      <c r="V154" s="290">
        <v>0.45</v>
      </c>
      <c r="W154" s="290"/>
      <c r="X154" s="290"/>
      <c r="Y154" s="290"/>
      <c r="Z154" s="300"/>
      <c r="AA154" s="300"/>
      <c r="AB154" s="300"/>
      <c r="AC154" s="300"/>
      <c r="AD154" s="300"/>
      <c r="AE154" s="300"/>
      <c r="AF154" s="160"/>
      <c r="AG154" s="160"/>
      <c r="AH154" s="160"/>
      <c r="AI154" s="300"/>
      <c r="AJ154" s="300"/>
      <c r="AK154" s="300"/>
      <c r="AL154" s="350"/>
      <c r="AM154" s="350"/>
      <c r="AN154" s="350"/>
      <c r="AO154" s="300"/>
      <c r="AP154" s="300"/>
      <c r="AQ154" s="300"/>
      <c r="AR154" s="300"/>
      <c r="AS154" s="300"/>
      <c r="AT154" s="300"/>
      <c r="AU154" s="297"/>
      <c r="AV154" s="297"/>
      <c r="AW154" s="297"/>
      <c r="AX154" s="297"/>
      <c r="AY154" s="297"/>
      <c r="AZ154" s="297"/>
      <c r="BA154" s="63"/>
      <c r="BB154" s="63"/>
      <c r="BC154" s="63"/>
      <c r="BD154" s="63"/>
      <c r="BE154" s="63"/>
      <c r="BF154" s="63"/>
      <c r="BG154" s="63"/>
      <c r="BH154" s="63"/>
      <c r="BI154" s="63"/>
      <c r="BJ154" s="63"/>
      <c r="BK154" s="63"/>
      <c r="BL154" s="63"/>
      <c r="BM154" s="63"/>
      <c r="BN154" s="63"/>
      <c r="BO154" s="63"/>
      <c r="BP154" s="124"/>
      <c r="BQ154" s="124"/>
      <c r="BR154" s="124"/>
      <c r="BS154" s="124"/>
      <c r="BT154" s="124"/>
      <c r="BU154" s="124"/>
      <c r="BV154" s="124"/>
      <c r="BW154" s="124"/>
      <c r="BX154" s="124"/>
      <c r="BY154" s="124"/>
      <c r="BZ154" s="124"/>
      <c r="CA154" s="124"/>
      <c r="CB154" s="124"/>
      <c r="CC154" s="124"/>
      <c r="CD154" s="124"/>
      <c r="CE154" s="2"/>
    </row>
    <row x14ac:dyDescent="0.25" r="155" customHeight="1" ht="13.5">
      <c r="A155" s="2"/>
      <c r="B155" s="3"/>
      <c r="C155" s="2"/>
      <c r="D155" s="118" t="s">
        <v>139</v>
      </c>
      <c r="E155" s="312"/>
      <c r="F155" s="312"/>
      <c r="G155" s="312"/>
      <c r="H155" s="312"/>
      <c r="I155" s="312"/>
      <c r="J155" s="124"/>
      <c r="K155" s="368">
        <f>T155*Q155</f>
      </c>
      <c r="L155" s="368">
        <f>U155*R155</f>
      </c>
      <c r="M155" s="368">
        <f>V155*S155</f>
      </c>
      <c r="N155" s="2"/>
      <c r="O155" s="303" t="s">
        <v>355</v>
      </c>
      <c r="P155" s="306">
        <v>0.15</v>
      </c>
      <c r="Q155" s="383">
        <f>IF($O155="Yes",ProjectedP205_Consumption!K20*$P155,0)</f>
      </c>
      <c r="R155" s="383">
        <f>IF($O155="Yes",ProjectedP205_Consumption!L20*$P155,0)</f>
      </c>
      <c r="S155" s="384">
        <f>IF($O155="Yes",ProjectedP205_Consumption!M20*$P155,0)</f>
      </c>
      <c r="T155" s="350">
        <f>15%</f>
      </c>
      <c r="U155" s="350">
        <v>0.3</v>
      </c>
      <c r="V155" s="290">
        <v>0.45</v>
      </c>
      <c r="W155" s="290"/>
      <c r="X155" s="290"/>
      <c r="Y155" s="290"/>
      <c r="Z155" s="300"/>
      <c r="AA155" s="300"/>
      <c r="AB155" s="300"/>
      <c r="AC155" s="300"/>
      <c r="AD155" s="300"/>
      <c r="AE155" s="300"/>
      <c r="AF155" s="160"/>
      <c r="AG155" s="160"/>
      <c r="AH155" s="160"/>
      <c r="AI155" s="300"/>
      <c r="AJ155" s="300"/>
      <c r="AK155" s="300"/>
      <c r="AL155" s="350"/>
      <c r="AM155" s="350"/>
      <c r="AN155" s="350"/>
      <c r="AO155" s="300"/>
      <c r="AP155" s="300"/>
      <c r="AQ155" s="300"/>
      <c r="AR155" s="300"/>
      <c r="AS155" s="300"/>
      <c r="AT155" s="300"/>
      <c r="AU155" s="297"/>
      <c r="AV155" s="297"/>
      <c r="AW155" s="297"/>
      <c r="AX155" s="297"/>
      <c r="AY155" s="297"/>
      <c r="AZ155" s="297"/>
      <c r="BA155" s="63"/>
      <c r="BB155" s="63"/>
      <c r="BC155" s="63"/>
      <c r="BD155" s="63"/>
      <c r="BE155" s="63"/>
      <c r="BF155" s="63"/>
      <c r="BG155" s="63"/>
      <c r="BH155" s="63"/>
      <c r="BI155" s="63"/>
      <c r="BJ155" s="63"/>
      <c r="BK155" s="63"/>
      <c r="BL155" s="63"/>
      <c r="BM155" s="63"/>
      <c r="BN155" s="63"/>
      <c r="BO155" s="63"/>
      <c r="BP155" s="124"/>
      <c r="BQ155" s="124"/>
      <c r="BR155" s="124"/>
      <c r="BS155" s="124"/>
      <c r="BT155" s="124"/>
      <c r="BU155" s="124"/>
      <c r="BV155" s="124"/>
      <c r="BW155" s="124"/>
      <c r="BX155" s="124"/>
      <c r="BY155" s="124"/>
      <c r="BZ155" s="124"/>
      <c r="CA155" s="124"/>
      <c r="CB155" s="124"/>
      <c r="CC155" s="124"/>
      <c r="CD155" s="124"/>
      <c r="CE155" s="2"/>
    </row>
    <row x14ac:dyDescent="0.25" r="156" customHeight="1" ht="13.5">
      <c r="A156" s="2"/>
      <c r="B156" s="3"/>
      <c r="C156" s="2"/>
      <c r="D156" s="118" t="s">
        <v>241</v>
      </c>
      <c r="E156" s="312"/>
      <c r="F156" s="312"/>
      <c r="G156" s="312"/>
      <c r="H156" s="312"/>
      <c r="I156" s="312"/>
      <c r="J156" s="124"/>
      <c r="K156" s="368">
        <f>T156*Q156</f>
      </c>
      <c r="L156" s="368">
        <f>U156*R156</f>
      </c>
      <c r="M156" s="368">
        <f>V156*S156</f>
      </c>
      <c r="N156" s="2"/>
      <c r="O156" s="303" t="s">
        <v>357</v>
      </c>
      <c r="P156" s="306">
        <f>IF(O156="Yes",0.1,0)</f>
      </c>
      <c r="Q156" s="383">
        <f>IF($O156="Yes",ProjectedP205_Consumption!K21*$P156,0)</f>
      </c>
      <c r="R156" s="383">
        <f>IF($O156="Yes",ProjectedP205_Consumption!L21*$P156,0)</f>
      </c>
      <c r="S156" s="384">
        <f>IF($O156="Yes",ProjectedP205_Consumption!M21*$P156,0)</f>
      </c>
      <c r="T156" s="350">
        <f>15%</f>
      </c>
      <c r="U156" s="350">
        <v>0.3</v>
      </c>
      <c r="V156" s="290">
        <v>0.45</v>
      </c>
      <c r="W156" s="290"/>
      <c r="X156" s="290"/>
      <c r="Y156" s="290"/>
      <c r="Z156" s="300"/>
      <c r="AA156" s="300"/>
      <c r="AB156" s="300"/>
      <c r="AC156" s="300"/>
      <c r="AD156" s="300"/>
      <c r="AE156" s="300"/>
      <c r="AF156" s="160"/>
      <c r="AG156" s="160"/>
      <c r="AH156" s="160"/>
      <c r="AI156" s="300"/>
      <c r="AJ156" s="300"/>
      <c r="AK156" s="300"/>
      <c r="AL156" s="350"/>
      <c r="AM156" s="350"/>
      <c r="AN156" s="350"/>
      <c r="AO156" s="300"/>
      <c r="AP156" s="300"/>
      <c r="AQ156" s="300"/>
      <c r="AR156" s="300"/>
      <c r="AS156" s="300"/>
      <c r="AT156" s="300"/>
      <c r="AU156" s="297"/>
      <c r="AV156" s="297"/>
      <c r="AW156" s="297"/>
      <c r="AX156" s="297"/>
      <c r="AY156" s="297"/>
      <c r="AZ156" s="297"/>
      <c r="BA156" s="63"/>
      <c r="BB156" s="63"/>
      <c r="BC156" s="63"/>
      <c r="BD156" s="63"/>
      <c r="BE156" s="63"/>
      <c r="BF156" s="63"/>
      <c r="BG156" s="63"/>
      <c r="BH156" s="63"/>
      <c r="BI156" s="63"/>
      <c r="BJ156" s="63"/>
      <c r="BK156" s="63"/>
      <c r="BL156" s="63"/>
      <c r="BM156" s="63"/>
      <c r="BN156" s="63"/>
      <c r="BO156" s="63"/>
      <c r="BP156" s="124"/>
      <c r="BQ156" s="124"/>
      <c r="BR156" s="124"/>
      <c r="BS156" s="124"/>
      <c r="BT156" s="124"/>
      <c r="BU156" s="124"/>
      <c r="BV156" s="124"/>
      <c r="BW156" s="124"/>
      <c r="BX156" s="124"/>
      <c r="BY156" s="124"/>
      <c r="BZ156" s="124"/>
      <c r="CA156" s="124"/>
      <c r="CB156" s="124"/>
      <c r="CC156" s="124"/>
      <c r="CD156" s="124"/>
      <c r="CE156" s="2"/>
    </row>
    <row x14ac:dyDescent="0.25" r="157" customHeight="1" ht="13.5">
      <c r="A157" s="2"/>
      <c r="B157" s="3"/>
      <c r="C157" s="2"/>
      <c r="D157" s="118" t="s">
        <v>249</v>
      </c>
      <c r="E157" s="312"/>
      <c r="F157" s="312"/>
      <c r="G157" s="312"/>
      <c r="H157" s="312"/>
      <c r="I157" s="312"/>
      <c r="J157" s="124"/>
      <c r="K157" s="368">
        <f>T157*Q157</f>
      </c>
      <c r="L157" s="368">
        <f>U157*R157</f>
      </c>
      <c r="M157" s="368">
        <f>V157*S157</f>
      </c>
      <c r="N157" s="2"/>
      <c r="O157" s="303" t="s">
        <v>357</v>
      </c>
      <c r="P157" s="306">
        <f>IF(O157="Yes",0.1,0)</f>
      </c>
      <c r="Q157" s="383">
        <f>IF($O157="Yes",ProjectedP205_Consumption!K22*$P157,0)</f>
      </c>
      <c r="R157" s="383">
        <f>IF($O157="Yes",ProjectedP205_Consumption!L22*$P157,0)</f>
      </c>
      <c r="S157" s="384">
        <f>IF($O157="Yes",ProjectedP205_Consumption!M22*$P157,0)</f>
      </c>
      <c r="T157" s="350">
        <f>15%</f>
      </c>
      <c r="U157" s="350">
        <v>0.3</v>
      </c>
      <c r="V157" s="290">
        <v>0.45</v>
      </c>
      <c r="W157" s="290"/>
      <c r="X157" s="290"/>
      <c r="Y157" s="290"/>
      <c r="Z157" s="300"/>
      <c r="AA157" s="300"/>
      <c r="AB157" s="300"/>
      <c r="AC157" s="300"/>
      <c r="AD157" s="300"/>
      <c r="AE157" s="300"/>
      <c r="AF157" s="160"/>
      <c r="AG157" s="160"/>
      <c r="AH157" s="160"/>
      <c r="AI157" s="300"/>
      <c r="AJ157" s="300"/>
      <c r="AK157" s="300"/>
      <c r="AL157" s="350"/>
      <c r="AM157" s="350"/>
      <c r="AN157" s="350"/>
      <c r="AO157" s="300"/>
      <c r="AP157" s="300"/>
      <c r="AQ157" s="300"/>
      <c r="AR157" s="300"/>
      <c r="AS157" s="300"/>
      <c r="AT157" s="300"/>
      <c r="AU157" s="297"/>
      <c r="AV157" s="297"/>
      <c r="AW157" s="297"/>
      <c r="AX157" s="297"/>
      <c r="AY157" s="297"/>
      <c r="AZ157" s="297"/>
      <c r="BA157" s="63"/>
      <c r="BB157" s="63"/>
      <c r="BC157" s="63"/>
      <c r="BD157" s="63"/>
      <c r="BE157" s="63"/>
      <c r="BF157" s="63"/>
      <c r="BG157" s="63"/>
      <c r="BH157" s="63"/>
      <c r="BI157" s="63"/>
      <c r="BJ157" s="63"/>
      <c r="BK157" s="63"/>
      <c r="BL157" s="63"/>
      <c r="BM157" s="63"/>
      <c r="BN157" s="63"/>
      <c r="BO157" s="63"/>
      <c r="BP157" s="124"/>
      <c r="BQ157" s="124"/>
      <c r="BR157" s="124"/>
      <c r="BS157" s="124"/>
      <c r="BT157" s="124"/>
      <c r="BU157" s="124"/>
      <c r="BV157" s="124"/>
      <c r="BW157" s="124"/>
      <c r="BX157" s="124"/>
      <c r="BY157" s="124"/>
      <c r="BZ157" s="124"/>
      <c r="CA157" s="124"/>
      <c r="CB157" s="124"/>
      <c r="CC157" s="124"/>
      <c r="CD157" s="124"/>
      <c r="CE157" s="2"/>
    </row>
    <row x14ac:dyDescent="0.25" r="158" customHeight="1" ht="13.5">
      <c r="A158" s="2"/>
      <c r="B158" s="3"/>
      <c r="C158" s="2"/>
      <c r="D158" s="118" t="s">
        <v>235</v>
      </c>
      <c r="E158" s="312"/>
      <c r="F158" s="312"/>
      <c r="G158" s="312"/>
      <c r="H158" s="312"/>
      <c r="I158" s="312"/>
      <c r="J158" s="124"/>
      <c r="K158" s="368">
        <f>T158*Q158</f>
      </c>
      <c r="L158" s="368">
        <f>U158*R158</f>
      </c>
      <c r="M158" s="368">
        <f>V158*S158</f>
      </c>
      <c r="N158" s="2"/>
      <c r="O158" s="303" t="s">
        <v>355</v>
      </c>
      <c r="P158" s="306">
        <v>0.15</v>
      </c>
      <c r="Q158" s="383">
        <f>IF($O158="Yes",ProjectedP205_Consumption!K23*$P158,0)</f>
      </c>
      <c r="R158" s="383">
        <f>IF($O158="Yes",ProjectedP205_Consumption!L23*$P158,0)</f>
      </c>
      <c r="S158" s="384">
        <f>IF($O158="Yes",ProjectedP205_Consumption!M23*$P158,0)</f>
      </c>
      <c r="T158" s="350">
        <f>15%</f>
      </c>
      <c r="U158" s="350">
        <v>0.3</v>
      </c>
      <c r="V158" s="290">
        <v>0.45</v>
      </c>
      <c r="W158" s="290"/>
      <c r="X158" s="290"/>
      <c r="Y158" s="290"/>
      <c r="Z158" s="300"/>
      <c r="AA158" s="300"/>
      <c r="AB158" s="300"/>
      <c r="AC158" s="300"/>
      <c r="AD158" s="300"/>
      <c r="AE158" s="300"/>
      <c r="AF158" s="160"/>
      <c r="AG158" s="160"/>
      <c r="AH158" s="160"/>
      <c r="AI158" s="300"/>
      <c r="AJ158" s="300"/>
      <c r="AK158" s="300"/>
      <c r="AL158" s="350"/>
      <c r="AM158" s="350"/>
      <c r="AN158" s="350"/>
      <c r="AO158" s="300"/>
      <c r="AP158" s="300"/>
      <c r="AQ158" s="300"/>
      <c r="AR158" s="300"/>
      <c r="AS158" s="300"/>
      <c r="AT158" s="300"/>
      <c r="AU158" s="297"/>
      <c r="AV158" s="297"/>
      <c r="AW158" s="297"/>
      <c r="AX158" s="297"/>
      <c r="AY158" s="297"/>
      <c r="AZ158" s="297"/>
      <c r="BA158" s="63"/>
      <c r="BB158" s="63"/>
      <c r="BC158" s="63"/>
      <c r="BD158" s="63"/>
      <c r="BE158" s="63"/>
      <c r="BF158" s="63"/>
      <c r="BG158" s="63"/>
      <c r="BH158" s="63"/>
      <c r="BI158" s="63"/>
      <c r="BJ158" s="63"/>
      <c r="BK158" s="63"/>
      <c r="BL158" s="63"/>
      <c r="BM158" s="63"/>
      <c r="BN158" s="63"/>
      <c r="BO158" s="63"/>
      <c r="BP158" s="124"/>
      <c r="BQ158" s="124"/>
      <c r="BR158" s="124"/>
      <c r="BS158" s="124"/>
      <c r="BT158" s="124"/>
      <c r="BU158" s="124"/>
      <c r="BV158" s="124"/>
      <c r="BW158" s="124"/>
      <c r="BX158" s="124"/>
      <c r="BY158" s="124"/>
      <c r="BZ158" s="124"/>
      <c r="CA158" s="124"/>
      <c r="CB158" s="124"/>
      <c r="CC158" s="124"/>
      <c r="CD158" s="124"/>
      <c r="CE158" s="2"/>
    </row>
    <row x14ac:dyDescent="0.25" r="159" customHeight="1" ht="13.5">
      <c r="A159" s="2"/>
      <c r="B159" s="3"/>
      <c r="C159" s="2"/>
      <c r="D159" s="118" t="s">
        <v>125</v>
      </c>
      <c r="E159" s="312"/>
      <c r="F159" s="312"/>
      <c r="G159" s="312"/>
      <c r="H159" s="312"/>
      <c r="I159" s="312"/>
      <c r="J159" s="124"/>
      <c r="K159" s="368">
        <f>T159*Q159</f>
      </c>
      <c r="L159" s="368">
        <f>U159*R159</f>
      </c>
      <c r="M159" s="368">
        <f>V159*S159</f>
      </c>
      <c r="N159" s="2"/>
      <c r="O159" s="303" t="s">
        <v>357</v>
      </c>
      <c r="P159" s="306">
        <f>IF(O159="Yes",0.1,0)</f>
      </c>
      <c r="Q159" s="383">
        <f>IF($O159="Yes",ProjectedP205_Consumption!K24*$P159,0)</f>
      </c>
      <c r="R159" s="383">
        <f>IF($O159="Yes",ProjectedP205_Consumption!L24*$P159,0)</f>
      </c>
      <c r="S159" s="384">
        <f>IF($O159="Yes",ProjectedP205_Consumption!M24*$P159,0)</f>
      </c>
      <c r="T159" s="350">
        <f>15%</f>
      </c>
      <c r="U159" s="350">
        <v>0.3</v>
      </c>
      <c r="V159" s="290">
        <v>0.45</v>
      </c>
      <c r="W159" s="290"/>
      <c r="X159" s="290"/>
      <c r="Y159" s="290"/>
      <c r="Z159" s="300"/>
      <c r="AA159" s="300"/>
      <c r="AB159" s="300"/>
      <c r="AC159" s="300"/>
      <c r="AD159" s="300"/>
      <c r="AE159" s="300"/>
      <c r="AF159" s="160"/>
      <c r="AG159" s="160"/>
      <c r="AH159" s="160"/>
      <c r="AI159" s="300"/>
      <c r="AJ159" s="300"/>
      <c r="AK159" s="300"/>
      <c r="AL159" s="350"/>
      <c r="AM159" s="350"/>
      <c r="AN159" s="350"/>
      <c r="AO159" s="300"/>
      <c r="AP159" s="300"/>
      <c r="AQ159" s="300"/>
      <c r="AR159" s="300"/>
      <c r="AS159" s="300"/>
      <c r="AT159" s="300"/>
      <c r="AU159" s="297"/>
      <c r="AV159" s="297"/>
      <c r="AW159" s="297"/>
      <c r="AX159" s="297"/>
      <c r="AY159" s="297"/>
      <c r="AZ159" s="297"/>
      <c r="BA159" s="63"/>
      <c r="BB159" s="63"/>
      <c r="BC159" s="63"/>
      <c r="BD159" s="63"/>
      <c r="BE159" s="63"/>
      <c r="BF159" s="63"/>
      <c r="BG159" s="63"/>
      <c r="BH159" s="63"/>
      <c r="BI159" s="63"/>
      <c r="BJ159" s="63"/>
      <c r="BK159" s="63"/>
      <c r="BL159" s="63"/>
      <c r="BM159" s="63"/>
      <c r="BN159" s="63"/>
      <c r="BO159" s="63"/>
      <c r="BP159" s="124"/>
      <c r="BQ159" s="124"/>
      <c r="BR159" s="124"/>
      <c r="BS159" s="124"/>
      <c r="BT159" s="124"/>
      <c r="BU159" s="124"/>
      <c r="BV159" s="124"/>
      <c r="BW159" s="124"/>
      <c r="BX159" s="124"/>
      <c r="BY159" s="124"/>
      <c r="BZ159" s="124"/>
      <c r="CA159" s="124"/>
      <c r="CB159" s="124"/>
      <c r="CC159" s="124"/>
      <c r="CD159" s="124"/>
      <c r="CE159" s="2"/>
    </row>
    <row x14ac:dyDescent="0.25" r="160" customHeight="1" ht="13.5">
      <c r="A160" s="2"/>
      <c r="B160" s="3"/>
      <c r="C160" s="2"/>
      <c r="D160" s="118" t="s">
        <v>209</v>
      </c>
      <c r="E160" s="312"/>
      <c r="F160" s="312"/>
      <c r="G160" s="312"/>
      <c r="H160" s="312"/>
      <c r="I160" s="312"/>
      <c r="J160" s="124"/>
      <c r="K160" s="368">
        <f>T160*Q160</f>
      </c>
      <c r="L160" s="368">
        <f>U160*R160</f>
      </c>
      <c r="M160" s="368">
        <f>V160*S160</f>
      </c>
      <c r="N160" s="2"/>
      <c r="O160" s="303" t="s">
        <v>357</v>
      </c>
      <c r="P160" s="306">
        <f>IF(O160="Yes",0.1,0)</f>
      </c>
      <c r="Q160" s="383">
        <f>IF($O160="Yes",ProjectedP205_Consumption!K25*$P160,0)</f>
      </c>
      <c r="R160" s="383">
        <f>IF($O160="Yes",ProjectedP205_Consumption!L25*$P160,0)</f>
      </c>
      <c r="S160" s="384">
        <f>IF($O160="Yes",ProjectedP205_Consumption!M25*$P160,0)</f>
      </c>
      <c r="T160" s="350">
        <f>15%</f>
      </c>
      <c r="U160" s="350">
        <v>0.3</v>
      </c>
      <c r="V160" s="290">
        <v>0.45</v>
      </c>
      <c r="W160" s="290"/>
      <c r="X160" s="290"/>
      <c r="Y160" s="290"/>
      <c r="Z160" s="300"/>
      <c r="AA160" s="300"/>
      <c r="AB160" s="300"/>
      <c r="AC160" s="300"/>
      <c r="AD160" s="300"/>
      <c r="AE160" s="300"/>
      <c r="AF160" s="160"/>
      <c r="AG160" s="160"/>
      <c r="AH160" s="160"/>
      <c r="AI160" s="300"/>
      <c r="AJ160" s="300"/>
      <c r="AK160" s="300"/>
      <c r="AL160" s="350"/>
      <c r="AM160" s="350"/>
      <c r="AN160" s="350"/>
      <c r="AO160" s="300"/>
      <c r="AP160" s="300"/>
      <c r="AQ160" s="300"/>
      <c r="AR160" s="300"/>
      <c r="AS160" s="300"/>
      <c r="AT160" s="300"/>
      <c r="AU160" s="297"/>
      <c r="AV160" s="297"/>
      <c r="AW160" s="297"/>
      <c r="AX160" s="297"/>
      <c r="AY160" s="297"/>
      <c r="AZ160" s="297"/>
      <c r="BA160" s="63"/>
      <c r="BB160" s="63"/>
      <c r="BC160" s="63"/>
      <c r="BD160" s="63"/>
      <c r="BE160" s="63"/>
      <c r="BF160" s="63"/>
      <c r="BG160" s="63"/>
      <c r="BH160" s="63"/>
      <c r="BI160" s="63"/>
      <c r="BJ160" s="63"/>
      <c r="BK160" s="63"/>
      <c r="BL160" s="63"/>
      <c r="BM160" s="63"/>
      <c r="BN160" s="63"/>
      <c r="BO160" s="63"/>
      <c r="BP160" s="124"/>
      <c r="BQ160" s="124"/>
      <c r="BR160" s="124"/>
      <c r="BS160" s="124"/>
      <c r="BT160" s="124"/>
      <c r="BU160" s="124"/>
      <c r="BV160" s="124"/>
      <c r="BW160" s="124"/>
      <c r="BX160" s="124"/>
      <c r="BY160" s="124"/>
      <c r="BZ160" s="124"/>
      <c r="CA160" s="124"/>
      <c r="CB160" s="124"/>
      <c r="CC160" s="124"/>
      <c r="CD160" s="124"/>
      <c r="CE160" s="2"/>
    </row>
    <row x14ac:dyDescent="0.25" r="161" customHeight="1" ht="13.5">
      <c r="A161" s="2"/>
      <c r="B161" s="3"/>
      <c r="C161" s="2"/>
      <c r="D161" s="118" t="s">
        <v>223</v>
      </c>
      <c r="E161" s="312"/>
      <c r="F161" s="312"/>
      <c r="G161" s="312"/>
      <c r="H161" s="312"/>
      <c r="I161" s="312"/>
      <c r="J161" s="124"/>
      <c r="K161" s="368">
        <f>T161*Q161</f>
      </c>
      <c r="L161" s="368">
        <f>U161*R161</f>
      </c>
      <c r="M161" s="368">
        <f>V161*S161</f>
      </c>
      <c r="N161" s="2"/>
      <c r="O161" s="303" t="s">
        <v>357</v>
      </c>
      <c r="P161" s="306">
        <f>IF(O161="Yes",0.1,0)</f>
      </c>
      <c r="Q161" s="383">
        <f>IF($O161="Yes",ProjectedP205_Consumption!K26*$P161,0)</f>
      </c>
      <c r="R161" s="383">
        <f>IF($O161="Yes",ProjectedP205_Consumption!L26*$P161,0)</f>
      </c>
      <c r="S161" s="384">
        <f>IF($O161="Yes",ProjectedP205_Consumption!M26*$P161,0)</f>
      </c>
      <c r="T161" s="350">
        <f>15%</f>
      </c>
      <c r="U161" s="350">
        <v>0.3</v>
      </c>
      <c r="V161" s="290">
        <v>0.45</v>
      </c>
      <c r="W161" s="290"/>
      <c r="X161" s="290"/>
      <c r="Y161" s="290"/>
      <c r="Z161" s="300"/>
      <c r="AA161" s="300"/>
      <c r="AB161" s="300"/>
      <c r="AC161" s="300"/>
      <c r="AD161" s="300"/>
      <c r="AE161" s="300"/>
      <c r="AF161" s="160"/>
      <c r="AG161" s="160"/>
      <c r="AH161" s="160"/>
      <c r="AI161" s="300"/>
      <c r="AJ161" s="300"/>
      <c r="AK161" s="300"/>
      <c r="AL161" s="350"/>
      <c r="AM161" s="350"/>
      <c r="AN161" s="350"/>
      <c r="AO161" s="300"/>
      <c r="AP161" s="300"/>
      <c r="AQ161" s="300"/>
      <c r="AR161" s="300"/>
      <c r="AS161" s="300"/>
      <c r="AT161" s="300"/>
      <c r="AU161" s="297"/>
      <c r="AV161" s="297"/>
      <c r="AW161" s="297"/>
      <c r="AX161" s="297"/>
      <c r="AY161" s="297"/>
      <c r="AZ161" s="297"/>
      <c r="BA161" s="63"/>
      <c r="BB161" s="63"/>
      <c r="BC161" s="63"/>
      <c r="BD161" s="63"/>
      <c r="BE161" s="63"/>
      <c r="BF161" s="63"/>
      <c r="BG161" s="63"/>
      <c r="BH161" s="63"/>
      <c r="BI161" s="63"/>
      <c r="BJ161" s="63"/>
      <c r="BK161" s="63"/>
      <c r="BL161" s="63"/>
      <c r="BM161" s="63"/>
      <c r="BN161" s="63"/>
      <c r="BO161" s="63"/>
      <c r="BP161" s="124"/>
      <c r="BQ161" s="124"/>
      <c r="BR161" s="124"/>
      <c r="BS161" s="124"/>
      <c r="BT161" s="124"/>
      <c r="BU161" s="124"/>
      <c r="BV161" s="124"/>
      <c r="BW161" s="124"/>
      <c r="BX161" s="124"/>
      <c r="BY161" s="124"/>
      <c r="BZ161" s="124"/>
      <c r="CA161" s="124"/>
      <c r="CB161" s="124"/>
      <c r="CC161" s="124"/>
      <c r="CD161" s="124"/>
      <c r="CE161" s="2"/>
    </row>
    <row x14ac:dyDescent="0.25" r="162" customHeight="1" ht="13.5">
      <c r="A162" s="2"/>
      <c r="B162" s="3"/>
      <c r="C162" s="2"/>
      <c r="D162" s="118" t="s">
        <v>183</v>
      </c>
      <c r="E162" s="312"/>
      <c r="F162" s="312"/>
      <c r="G162" s="312"/>
      <c r="H162" s="312"/>
      <c r="I162" s="312"/>
      <c r="J162" s="124"/>
      <c r="K162" s="368">
        <f>T162*Q162</f>
      </c>
      <c r="L162" s="368">
        <f>U162*R162</f>
      </c>
      <c r="M162" s="368">
        <f>V162*S162</f>
      </c>
      <c r="N162" s="2"/>
      <c r="O162" s="303" t="s">
        <v>357</v>
      </c>
      <c r="P162" s="306">
        <f>IF(O162="Yes",0.1,0)</f>
      </c>
      <c r="Q162" s="383">
        <f>IF($O162="Yes",ProjectedP205_Consumption!K27*$P162,0)</f>
      </c>
      <c r="R162" s="383">
        <f>IF($O162="Yes",ProjectedP205_Consumption!L27*$P162,0)</f>
      </c>
      <c r="S162" s="384">
        <f>IF($O162="Yes",ProjectedP205_Consumption!M27*$P162,0)</f>
      </c>
      <c r="T162" s="350">
        <f>15%</f>
      </c>
      <c r="U162" s="350">
        <v>0.3</v>
      </c>
      <c r="V162" s="290">
        <v>0.45</v>
      </c>
      <c r="W162" s="290"/>
      <c r="X162" s="290"/>
      <c r="Y162" s="290"/>
      <c r="Z162" s="300"/>
      <c r="AA162" s="300"/>
      <c r="AB162" s="300"/>
      <c r="AC162" s="300"/>
      <c r="AD162" s="300"/>
      <c r="AE162" s="300"/>
      <c r="AF162" s="160"/>
      <c r="AG162" s="160"/>
      <c r="AH162" s="160"/>
      <c r="AI162" s="300"/>
      <c r="AJ162" s="300"/>
      <c r="AK162" s="300"/>
      <c r="AL162" s="350"/>
      <c r="AM162" s="350"/>
      <c r="AN162" s="350"/>
      <c r="AO162" s="300"/>
      <c r="AP162" s="300"/>
      <c r="AQ162" s="300"/>
      <c r="AR162" s="300"/>
      <c r="AS162" s="300"/>
      <c r="AT162" s="300"/>
      <c r="AU162" s="297"/>
      <c r="AV162" s="297"/>
      <c r="AW162" s="297"/>
      <c r="AX162" s="297"/>
      <c r="AY162" s="297"/>
      <c r="AZ162" s="297"/>
      <c r="BA162" s="63"/>
      <c r="BB162" s="63"/>
      <c r="BC162" s="63"/>
      <c r="BD162" s="63"/>
      <c r="BE162" s="63"/>
      <c r="BF162" s="63"/>
      <c r="BG162" s="63"/>
      <c r="BH162" s="63"/>
      <c r="BI162" s="63"/>
      <c r="BJ162" s="63"/>
      <c r="BK162" s="63"/>
      <c r="BL162" s="63"/>
      <c r="BM162" s="63"/>
      <c r="BN162" s="63"/>
      <c r="BO162" s="63"/>
      <c r="BP162" s="124"/>
      <c r="BQ162" s="124"/>
      <c r="BR162" s="124"/>
      <c r="BS162" s="124"/>
      <c r="BT162" s="124"/>
      <c r="BU162" s="124"/>
      <c r="BV162" s="124"/>
      <c r="BW162" s="124"/>
      <c r="BX162" s="124"/>
      <c r="BY162" s="124"/>
      <c r="BZ162" s="124"/>
      <c r="CA162" s="124"/>
      <c r="CB162" s="124"/>
      <c r="CC162" s="124"/>
      <c r="CD162" s="124"/>
      <c r="CE162" s="2"/>
    </row>
    <row x14ac:dyDescent="0.25" r="163" customHeight="1" ht="13.5">
      <c r="A163" s="2"/>
      <c r="B163" s="3"/>
      <c r="C163" s="2"/>
      <c r="D163" s="118" t="s">
        <v>161</v>
      </c>
      <c r="E163" s="312"/>
      <c r="F163" s="312"/>
      <c r="G163" s="312"/>
      <c r="H163" s="312"/>
      <c r="I163" s="312"/>
      <c r="J163" s="124"/>
      <c r="K163" s="368">
        <f>T163*Q163</f>
      </c>
      <c r="L163" s="368">
        <f>U163*R163</f>
      </c>
      <c r="M163" s="368">
        <f>V163*S163</f>
      </c>
      <c r="N163" s="2"/>
      <c r="O163" s="303" t="s">
        <v>355</v>
      </c>
      <c r="P163" s="306">
        <v>0.15</v>
      </c>
      <c r="Q163" s="383">
        <f>IF($O163="Yes",ProjectedP205_Consumption!K28*$P163,0)</f>
      </c>
      <c r="R163" s="383">
        <f>IF($O163="Yes",ProjectedP205_Consumption!L28*$P163,0)</f>
      </c>
      <c r="S163" s="384">
        <f>IF($O163="Yes",ProjectedP205_Consumption!M28*$P163,0)</f>
      </c>
      <c r="T163" s="350">
        <f>15%</f>
      </c>
      <c r="U163" s="350">
        <v>0.3</v>
      </c>
      <c r="V163" s="290">
        <v>0.45</v>
      </c>
      <c r="W163" s="290"/>
      <c r="X163" s="290"/>
      <c r="Y163" s="290"/>
      <c r="Z163" s="300"/>
      <c r="AA163" s="300"/>
      <c r="AB163" s="300"/>
      <c r="AC163" s="300"/>
      <c r="AD163" s="300"/>
      <c r="AE163" s="300"/>
      <c r="AF163" s="160"/>
      <c r="AG163" s="160"/>
      <c r="AH163" s="160"/>
      <c r="AI163" s="300"/>
      <c r="AJ163" s="300"/>
      <c r="AK163" s="300"/>
      <c r="AL163" s="350"/>
      <c r="AM163" s="350"/>
      <c r="AN163" s="350"/>
      <c r="AO163" s="300"/>
      <c r="AP163" s="300"/>
      <c r="AQ163" s="300"/>
      <c r="AR163" s="300"/>
      <c r="AS163" s="300"/>
      <c r="AT163" s="300"/>
      <c r="AU163" s="297"/>
      <c r="AV163" s="297"/>
      <c r="AW163" s="297"/>
      <c r="AX163" s="297"/>
      <c r="AY163" s="297"/>
      <c r="AZ163" s="297"/>
      <c r="BA163" s="63"/>
      <c r="BB163" s="63"/>
      <c r="BC163" s="63"/>
      <c r="BD163" s="63"/>
      <c r="BE163" s="63"/>
      <c r="BF163" s="63"/>
      <c r="BG163" s="63"/>
      <c r="BH163" s="63"/>
      <c r="BI163" s="63"/>
      <c r="BJ163" s="63"/>
      <c r="BK163" s="63"/>
      <c r="BL163" s="63"/>
      <c r="BM163" s="63"/>
      <c r="BN163" s="63"/>
      <c r="BO163" s="63"/>
      <c r="BP163" s="124"/>
      <c r="BQ163" s="124"/>
      <c r="BR163" s="124"/>
      <c r="BS163" s="124"/>
      <c r="BT163" s="124"/>
      <c r="BU163" s="124"/>
      <c r="BV163" s="124"/>
      <c r="BW163" s="124"/>
      <c r="BX163" s="124"/>
      <c r="BY163" s="124"/>
      <c r="BZ163" s="124"/>
      <c r="CA163" s="124"/>
      <c r="CB163" s="124"/>
      <c r="CC163" s="124"/>
      <c r="CD163" s="124"/>
      <c r="CE163" s="2"/>
    </row>
    <row x14ac:dyDescent="0.25" r="164" customHeight="1" ht="13.5">
      <c r="A164" s="2"/>
      <c r="B164" s="3"/>
      <c r="C164" s="2"/>
      <c r="D164" s="118" t="s">
        <v>219</v>
      </c>
      <c r="E164" s="312"/>
      <c r="F164" s="312"/>
      <c r="G164" s="312"/>
      <c r="H164" s="312"/>
      <c r="I164" s="312"/>
      <c r="J164" s="124"/>
      <c r="K164" s="368">
        <f>T164*Q164</f>
      </c>
      <c r="L164" s="368">
        <f>U164*R164</f>
      </c>
      <c r="M164" s="368">
        <f>V164*S164</f>
      </c>
      <c r="N164" s="2"/>
      <c r="O164" s="303" t="s">
        <v>357</v>
      </c>
      <c r="P164" s="306">
        <f>IF(O164="Yes",0.1,0)</f>
      </c>
      <c r="Q164" s="383">
        <f>IF($O164="Yes",ProjectedP205_Consumption!K29*$P164,0)</f>
      </c>
      <c r="R164" s="383">
        <f>IF($O164="Yes",ProjectedP205_Consumption!L29*$P164,0)</f>
      </c>
      <c r="S164" s="384">
        <f>IF($O164="Yes",ProjectedP205_Consumption!M29*$P164,0)</f>
      </c>
      <c r="T164" s="350">
        <f>15%</f>
      </c>
      <c r="U164" s="350">
        <v>0.3</v>
      </c>
      <c r="V164" s="290">
        <v>0.45</v>
      </c>
      <c r="W164" s="290"/>
      <c r="X164" s="290"/>
      <c r="Y164" s="290"/>
      <c r="Z164" s="300"/>
      <c r="AA164" s="300"/>
      <c r="AB164" s="300"/>
      <c r="AC164" s="300"/>
      <c r="AD164" s="300"/>
      <c r="AE164" s="300"/>
      <c r="AF164" s="160"/>
      <c r="AG164" s="160"/>
      <c r="AH164" s="160"/>
      <c r="AI164" s="300"/>
      <c r="AJ164" s="300"/>
      <c r="AK164" s="300"/>
      <c r="AL164" s="350"/>
      <c r="AM164" s="350"/>
      <c r="AN164" s="350"/>
      <c r="AO164" s="300"/>
      <c r="AP164" s="300"/>
      <c r="AQ164" s="300"/>
      <c r="AR164" s="300"/>
      <c r="AS164" s="300"/>
      <c r="AT164" s="300"/>
      <c r="AU164" s="297"/>
      <c r="AV164" s="297"/>
      <c r="AW164" s="297"/>
      <c r="AX164" s="297"/>
      <c r="AY164" s="297"/>
      <c r="AZ164" s="297"/>
      <c r="BA164" s="63"/>
      <c r="BB164" s="63"/>
      <c r="BC164" s="63"/>
      <c r="BD164" s="63"/>
      <c r="BE164" s="63"/>
      <c r="BF164" s="63"/>
      <c r="BG164" s="63"/>
      <c r="BH164" s="63"/>
      <c r="BI164" s="63"/>
      <c r="BJ164" s="63"/>
      <c r="BK164" s="63"/>
      <c r="BL164" s="63"/>
      <c r="BM164" s="63"/>
      <c r="BN164" s="63"/>
      <c r="BO164" s="63"/>
      <c r="BP164" s="124"/>
      <c r="BQ164" s="124"/>
      <c r="BR164" s="124"/>
      <c r="BS164" s="124"/>
      <c r="BT164" s="124"/>
      <c r="BU164" s="124"/>
      <c r="BV164" s="124"/>
      <c r="BW164" s="124"/>
      <c r="BX164" s="124"/>
      <c r="BY164" s="124"/>
      <c r="BZ164" s="124"/>
      <c r="CA164" s="124"/>
      <c r="CB164" s="124"/>
      <c r="CC164" s="124"/>
      <c r="CD164" s="124"/>
      <c r="CE164" s="2"/>
    </row>
    <row x14ac:dyDescent="0.25" r="165" customHeight="1" ht="13.5">
      <c r="A165" s="2"/>
      <c r="B165" s="3"/>
      <c r="C165" s="2"/>
      <c r="D165" s="118" t="s">
        <v>159</v>
      </c>
      <c r="E165" s="312"/>
      <c r="F165" s="312"/>
      <c r="G165" s="312"/>
      <c r="H165" s="312"/>
      <c r="I165" s="312"/>
      <c r="J165" s="124"/>
      <c r="K165" s="368">
        <f>T165*Q165</f>
      </c>
      <c r="L165" s="368">
        <f>U165*R165</f>
      </c>
      <c r="M165" s="368">
        <f>V165*S165</f>
      </c>
      <c r="N165" s="2"/>
      <c r="O165" s="303" t="s">
        <v>357</v>
      </c>
      <c r="P165" s="306">
        <f>IF(O165="Yes",0.1,0)</f>
      </c>
      <c r="Q165" s="383">
        <f>IF($O165="Yes",ProjectedP205_Consumption!K30*$P165,0)</f>
      </c>
      <c r="R165" s="383">
        <f>IF($O165="Yes",ProjectedP205_Consumption!L30*$P165,0)</f>
      </c>
      <c r="S165" s="384">
        <f>IF($O165="Yes",ProjectedP205_Consumption!M30*$P165,0)</f>
      </c>
      <c r="T165" s="350">
        <f>15%</f>
      </c>
      <c r="U165" s="350">
        <v>0.3</v>
      </c>
      <c r="V165" s="290">
        <v>0.45</v>
      </c>
      <c r="W165" s="290"/>
      <c r="X165" s="290"/>
      <c r="Y165" s="290"/>
      <c r="Z165" s="300"/>
      <c r="AA165" s="300"/>
      <c r="AB165" s="300"/>
      <c r="AC165" s="300"/>
      <c r="AD165" s="300"/>
      <c r="AE165" s="300"/>
      <c r="AF165" s="160"/>
      <c r="AG165" s="160"/>
      <c r="AH165" s="160"/>
      <c r="AI165" s="300"/>
      <c r="AJ165" s="300"/>
      <c r="AK165" s="300"/>
      <c r="AL165" s="350"/>
      <c r="AM165" s="350"/>
      <c r="AN165" s="350"/>
      <c r="AO165" s="300"/>
      <c r="AP165" s="300"/>
      <c r="AQ165" s="300"/>
      <c r="AR165" s="300"/>
      <c r="AS165" s="300"/>
      <c r="AT165" s="300"/>
      <c r="AU165" s="297"/>
      <c r="AV165" s="297"/>
      <c r="AW165" s="297"/>
      <c r="AX165" s="297"/>
      <c r="AY165" s="297"/>
      <c r="AZ165" s="297"/>
      <c r="BA165" s="63"/>
      <c r="BB165" s="63"/>
      <c r="BC165" s="63"/>
      <c r="BD165" s="63"/>
      <c r="BE165" s="63"/>
      <c r="BF165" s="63"/>
      <c r="BG165" s="63"/>
      <c r="BH165" s="63"/>
      <c r="BI165" s="63"/>
      <c r="BJ165" s="63"/>
      <c r="BK165" s="63"/>
      <c r="BL165" s="63"/>
      <c r="BM165" s="63"/>
      <c r="BN165" s="63"/>
      <c r="BO165" s="63"/>
      <c r="BP165" s="124"/>
      <c r="BQ165" s="124"/>
      <c r="BR165" s="124"/>
      <c r="BS165" s="124"/>
      <c r="BT165" s="124"/>
      <c r="BU165" s="124"/>
      <c r="BV165" s="124"/>
      <c r="BW165" s="124"/>
      <c r="BX165" s="124"/>
      <c r="BY165" s="124"/>
      <c r="BZ165" s="124"/>
      <c r="CA165" s="124"/>
      <c r="CB165" s="124"/>
      <c r="CC165" s="124"/>
      <c r="CD165" s="124"/>
      <c r="CE165" s="2"/>
    </row>
    <row x14ac:dyDescent="0.25" r="166" customHeight="1" ht="13.5">
      <c r="A166" s="2"/>
      <c r="B166" s="3"/>
      <c r="C166" s="2"/>
      <c r="D166" s="118" t="s">
        <v>163</v>
      </c>
      <c r="E166" s="312"/>
      <c r="F166" s="312"/>
      <c r="G166" s="312"/>
      <c r="H166" s="312"/>
      <c r="I166" s="312"/>
      <c r="J166" s="124"/>
      <c r="K166" s="368">
        <f>T166*Q166</f>
      </c>
      <c r="L166" s="368">
        <f>U166*R166</f>
      </c>
      <c r="M166" s="368">
        <f>V166*S166</f>
      </c>
      <c r="N166" s="2"/>
      <c r="O166" s="303" t="s">
        <v>357</v>
      </c>
      <c r="P166" s="306">
        <f>IF(O166="Yes",0.1,0)</f>
      </c>
      <c r="Q166" s="383">
        <f>IF($O166="Yes",ProjectedP205_Consumption!K31*$P166,0)</f>
      </c>
      <c r="R166" s="383">
        <f>IF($O166="Yes",ProjectedP205_Consumption!L31*$P166,0)</f>
      </c>
      <c r="S166" s="384">
        <f>IF($O166="Yes",ProjectedP205_Consumption!M31*$P166,0)</f>
      </c>
      <c r="T166" s="350">
        <f>15%</f>
      </c>
      <c r="U166" s="350">
        <v>0.3</v>
      </c>
      <c r="V166" s="290">
        <v>0.45</v>
      </c>
      <c r="W166" s="290"/>
      <c r="X166" s="290"/>
      <c r="Y166" s="290"/>
      <c r="Z166" s="300"/>
      <c r="AA166" s="300"/>
      <c r="AB166" s="300"/>
      <c r="AC166" s="300"/>
      <c r="AD166" s="300"/>
      <c r="AE166" s="300"/>
      <c r="AF166" s="160"/>
      <c r="AG166" s="160"/>
      <c r="AH166" s="160"/>
      <c r="AI166" s="300"/>
      <c r="AJ166" s="300"/>
      <c r="AK166" s="300"/>
      <c r="AL166" s="350"/>
      <c r="AM166" s="350"/>
      <c r="AN166" s="350"/>
      <c r="AO166" s="300"/>
      <c r="AP166" s="300"/>
      <c r="AQ166" s="300"/>
      <c r="AR166" s="300"/>
      <c r="AS166" s="300"/>
      <c r="AT166" s="300"/>
      <c r="AU166" s="297"/>
      <c r="AV166" s="297"/>
      <c r="AW166" s="297"/>
      <c r="AX166" s="297"/>
      <c r="AY166" s="297"/>
      <c r="AZ166" s="297"/>
      <c r="BA166" s="63"/>
      <c r="BB166" s="63"/>
      <c r="BC166" s="63"/>
      <c r="BD166" s="63"/>
      <c r="BE166" s="63"/>
      <c r="BF166" s="63"/>
      <c r="BG166" s="63"/>
      <c r="BH166" s="63"/>
      <c r="BI166" s="63"/>
      <c r="BJ166" s="63"/>
      <c r="BK166" s="63"/>
      <c r="BL166" s="63"/>
      <c r="BM166" s="63"/>
      <c r="BN166" s="63"/>
      <c r="BO166" s="63"/>
      <c r="BP166" s="124"/>
      <c r="BQ166" s="124"/>
      <c r="BR166" s="124"/>
      <c r="BS166" s="124"/>
      <c r="BT166" s="124"/>
      <c r="BU166" s="124"/>
      <c r="BV166" s="124"/>
      <c r="BW166" s="124"/>
      <c r="BX166" s="124"/>
      <c r="BY166" s="124"/>
      <c r="BZ166" s="124"/>
      <c r="CA166" s="124"/>
      <c r="CB166" s="124"/>
      <c r="CC166" s="124"/>
      <c r="CD166" s="124"/>
      <c r="CE166" s="2"/>
    </row>
    <row x14ac:dyDescent="0.25" r="167" customHeight="1" ht="13.5">
      <c r="A167" s="2"/>
      <c r="B167" s="3"/>
      <c r="C167" s="2"/>
      <c r="D167" s="118" t="s">
        <v>227</v>
      </c>
      <c r="E167" s="312"/>
      <c r="F167" s="312"/>
      <c r="G167" s="312"/>
      <c r="H167" s="312"/>
      <c r="I167" s="312"/>
      <c r="J167" s="124"/>
      <c r="K167" s="368">
        <f>T167*Q167</f>
      </c>
      <c r="L167" s="368">
        <f>U167*R167</f>
      </c>
      <c r="M167" s="368">
        <f>V167*S167</f>
      </c>
      <c r="N167" s="2"/>
      <c r="O167" s="303" t="s">
        <v>357</v>
      </c>
      <c r="P167" s="306">
        <f>IF(O167="Yes",0.1,0)</f>
      </c>
      <c r="Q167" s="383">
        <f>IF($O167="Yes",ProjectedP205_Consumption!K32*$P167,0)</f>
      </c>
      <c r="R167" s="383">
        <f>IF($O167="Yes",ProjectedP205_Consumption!L32*$P167,0)</f>
      </c>
      <c r="S167" s="384">
        <f>IF($O167="Yes",ProjectedP205_Consumption!M32*$P167,0)</f>
      </c>
      <c r="T167" s="350">
        <f>15%</f>
      </c>
      <c r="U167" s="350">
        <v>0.3</v>
      </c>
      <c r="V167" s="290">
        <v>0.45</v>
      </c>
      <c r="W167" s="290"/>
      <c r="X167" s="290"/>
      <c r="Y167" s="290"/>
      <c r="Z167" s="300"/>
      <c r="AA167" s="300"/>
      <c r="AB167" s="300"/>
      <c r="AC167" s="300"/>
      <c r="AD167" s="300"/>
      <c r="AE167" s="300"/>
      <c r="AF167" s="160"/>
      <c r="AG167" s="160"/>
      <c r="AH167" s="160"/>
      <c r="AI167" s="300"/>
      <c r="AJ167" s="300"/>
      <c r="AK167" s="300"/>
      <c r="AL167" s="350"/>
      <c r="AM167" s="350"/>
      <c r="AN167" s="350"/>
      <c r="AO167" s="300"/>
      <c r="AP167" s="300"/>
      <c r="AQ167" s="300"/>
      <c r="AR167" s="300"/>
      <c r="AS167" s="300"/>
      <c r="AT167" s="300"/>
      <c r="AU167" s="297"/>
      <c r="AV167" s="297"/>
      <c r="AW167" s="297"/>
      <c r="AX167" s="297"/>
      <c r="AY167" s="297"/>
      <c r="AZ167" s="297"/>
      <c r="BA167" s="63"/>
      <c r="BB167" s="63"/>
      <c r="BC167" s="63"/>
      <c r="BD167" s="63"/>
      <c r="BE167" s="63"/>
      <c r="BF167" s="63"/>
      <c r="BG167" s="63"/>
      <c r="BH167" s="63"/>
      <c r="BI167" s="63"/>
      <c r="BJ167" s="63"/>
      <c r="BK167" s="63"/>
      <c r="BL167" s="63"/>
      <c r="BM167" s="63"/>
      <c r="BN167" s="63"/>
      <c r="BO167" s="63"/>
      <c r="BP167" s="124"/>
      <c r="BQ167" s="124"/>
      <c r="BR167" s="124"/>
      <c r="BS167" s="124"/>
      <c r="BT167" s="124"/>
      <c r="BU167" s="124"/>
      <c r="BV167" s="124"/>
      <c r="BW167" s="124"/>
      <c r="BX167" s="124"/>
      <c r="BY167" s="124"/>
      <c r="BZ167" s="124"/>
      <c r="CA167" s="124"/>
      <c r="CB167" s="124"/>
      <c r="CC167" s="124"/>
      <c r="CD167" s="124"/>
      <c r="CE167" s="2"/>
    </row>
    <row x14ac:dyDescent="0.25" r="168" customHeight="1" ht="13.5">
      <c r="A168" s="2"/>
      <c r="B168" s="3"/>
      <c r="C168" s="2"/>
      <c r="D168" s="118" t="s">
        <v>255</v>
      </c>
      <c r="E168" s="312"/>
      <c r="F168" s="312"/>
      <c r="G168" s="312"/>
      <c r="H168" s="312"/>
      <c r="I168" s="312"/>
      <c r="J168" s="124"/>
      <c r="K168" s="368">
        <f>T168*Q168</f>
      </c>
      <c r="L168" s="368">
        <f>U168*R168</f>
      </c>
      <c r="M168" s="368">
        <f>V168*S168</f>
      </c>
      <c r="N168" s="2"/>
      <c r="O168" s="303" t="s">
        <v>355</v>
      </c>
      <c r="P168" s="306">
        <v>1</v>
      </c>
      <c r="Q168" s="383">
        <f>IF($O168="Yes",ProjectedP205_Consumption!K33*$P168,0)</f>
      </c>
      <c r="R168" s="383">
        <f>IF($O168="Yes",ProjectedP205_Consumption!L33*$P168,0)</f>
      </c>
      <c r="S168" s="384">
        <f>IF($O168="Yes",ProjectedP205_Consumption!M33*$P168,0)</f>
      </c>
      <c r="T168" s="350">
        <v>0</v>
      </c>
      <c r="U168" s="350">
        <v>0.15</v>
      </c>
      <c r="V168" s="290">
        <v>0.3</v>
      </c>
      <c r="W168" s="290"/>
      <c r="X168" s="290"/>
      <c r="Y168" s="290"/>
      <c r="Z168" s="300"/>
      <c r="AA168" s="300"/>
      <c r="AB168" s="300"/>
      <c r="AC168" s="300"/>
      <c r="AD168" s="300"/>
      <c r="AE168" s="300"/>
      <c r="AF168" s="160"/>
      <c r="AG168" s="160"/>
      <c r="AH168" s="160"/>
      <c r="AI168" s="300"/>
      <c r="AJ168" s="300"/>
      <c r="AK168" s="300"/>
      <c r="AL168" s="350"/>
      <c r="AM168" s="350"/>
      <c r="AN168" s="350"/>
      <c r="AO168" s="300"/>
      <c r="AP168" s="300"/>
      <c r="AQ168" s="300"/>
      <c r="AR168" s="300"/>
      <c r="AS168" s="300"/>
      <c r="AT168" s="300"/>
      <c r="AU168" s="297"/>
      <c r="AV168" s="297"/>
      <c r="AW168" s="297"/>
      <c r="AX168" s="297"/>
      <c r="AY168" s="297"/>
      <c r="AZ168" s="297"/>
      <c r="BA168" s="63"/>
      <c r="BB168" s="63"/>
      <c r="BC168" s="63"/>
      <c r="BD168" s="63"/>
      <c r="BE168" s="63"/>
      <c r="BF168" s="63"/>
      <c r="BG168" s="63"/>
      <c r="BH168" s="63"/>
      <c r="BI168" s="63"/>
      <c r="BJ168" s="63"/>
      <c r="BK168" s="63"/>
      <c r="BL168" s="63"/>
      <c r="BM168" s="63"/>
      <c r="BN168" s="63"/>
      <c r="BO168" s="63"/>
      <c r="BP168" s="124"/>
      <c r="BQ168" s="124"/>
      <c r="BR168" s="124"/>
      <c r="BS168" s="124"/>
      <c r="BT168" s="124"/>
      <c r="BU168" s="124"/>
      <c r="BV168" s="124"/>
      <c r="BW168" s="124"/>
      <c r="BX168" s="124"/>
      <c r="BY168" s="124"/>
      <c r="BZ168" s="124"/>
      <c r="CA168" s="124"/>
      <c r="CB168" s="124"/>
      <c r="CC168" s="124"/>
      <c r="CD168" s="124"/>
      <c r="CE168" s="2"/>
    </row>
    <row x14ac:dyDescent="0.25" r="169" customHeight="1" ht="13.5">
      <c r="A169" s="2"/>
      <c r="B169" s="3"/>
      <c r="C169" s="2"/>
      <c r="D169" s="295" t="s">
        <v>336</v>
      </c>
      <c r="E169" s="364"/>
      <c r="F169" s="364"/>
      <c r="G169" s="364"/>
      <c r="H169" s="364"/>
      <c r="I169" s="364"/>
      <c r="J169" s="364"/>
      <c r="K169" s="327">
        <f>SUM(K148:K168)</f>
      </c>
      <c r="L169" s="327">
        <f>SUM(L148:L168)</f>
      </c>
      <c r="M169" s="327">
        <f>SUM(M148:M168)</f>
      </c>
      <c r="N169" s="2"/>
      <c r="O169" s="374">
        <f>COUNTIF(O148:O168,"Yes")</f>
      </c>
      <c r="P169" s="375"/>
      <c r="Q169" s="385">
        <f>SUM(Q148:Q168)</f>
      </c>
      <c r="R169" s="385">
        <f>SUM(R148:R168)</f>
      </c>
      <c r="S169" s="386">
        <f>SUM(S148:S168)</f>
      </c>
      <c r="T169" s="387"/>
      <c r="U169" s="388"/>
      <c r="V169" s="181"/>
      <c r="W169" s="300"/>
      <c r="X169" s="300"/>
      <c r="Y169" s="300"/>
      <c r="Z169" s="300"/>
      <c r="AA169" s="300"/>
      <c r="AB169" s="300"/>
      <c r="AC169" s="300"/>
      <c r="AD169" s="300"/>
      <c r="AE169" s="300"/>
      <c r="AF169" s="300"/>
      <c r="AG169" s="300"/>
      <c r="AH169" s="300"/>
      <c r="AI169" s="300"/>
      <c r="AJ169" s="300"/>
      <c r="AK169" s="300"/>
      <c r="AL169" s="300"/>
      <c r="AM169" s="300"/>
      <c r="AN169" s="300"/>
      <c r="AO169" s="300"/>
      <c r="AP169" s="300"/>
      <c r="AQ169" s="300"/>
      <c r="AR169" s="300"/>
      <c r="AS169" s="300"/>
      <c r="AT169" s="300"/>
      <c r="AU169" s="300"/>
      <c r="AV169" s="300"/>
      <c r="AW169" s="300"/>
      <c r="AX169" s="63"/>
      <c r="AY169" s="63"/>
      <c r="AZ169" s="63"/>
      <c r="BA169" s="124"/>
      <c r="BB169" s="124"/>
      <c r="BC169" s="124"/>
      <c r="BD169" s="124"/>
      <c r="BE169" s="124"/>
      <c r="BF169" s="124"/>
      <c r="BG169" s="124"/>
      <c r="BH169" s="124"/>
      <c r="BI169" s="124"/>
      <c r="BJ169" s="124"/>
      <c r="BK169" s="124"/>
      <c r="BL169" s="124"/>
      <c r="BM169" s="63"/>
      <c r="BN169" s="63"/>
      <c r="BO169" s="63"/>
      <c r="BP169" s="124"/>
      <c r="BQ169" s="124"/>
      <c r="BR169" s="124"/>
      <c r="BS169" s="124"/>
      <c r="BT169" s="124"/>
      <c r="BU169" s="124"/>
      <c r="BV169" s="124"/>
      <c r="BW169" s="124"/>
      <c r="BX169" s="124"/>
      <c r="BY169" s="124"/>
      <c r="BZ169" s="124"/>
      <c r="CA169" s="124"/>
      <c r="CB169" s="124"/>
      <c r="CC169" s="124"/>
      <c r="CD169" s="124"/>
      <c r="CE169" s="2"/>
    </row>
    <row x14ac:dyDescent="0.25" r="170" customHeight="1" ht="13.5">
      <c r="A170" s="2"/>
      <c r="B170" s="3"/>
      <c r="C170" s="2"/>
      <c r="D170" s="365" t="s">
        <v>503</v>
      </c>
      <c r="E170" s="364"/>
      <c r="F170" s="364"/>
      <c r="G170" s="364"/>
      <c r="H170" s="364"/>
      <c r="I170" s="364"/>
      <c r="J170" s="364"/>
      <c r="K170" s="327">
        <f>K169/46%</f>
      </c>
      <c r="L170" s="327">
        <f>L169/46%</f>
      </c>
      <c r="M170" s="327">
        <f>M169/46%</f>
      </c>
      <c r="N170" s="2"/>
      <c r="O170" s="124"/>
      <c r="P170" s="124"/>
      <c r="Q170" s="124"/>
      <c r="R170" s="124"/>
      <c r="S170" s="124"/>
      <c r="T170" s="124"/>
      <c r="U170" s="124"/>
      <c r="V170" s="124"/>
      <c r="W170" s="124"/>
      <c r="X170" s="124"/>
      <c r="Y170" s="124"/>
      <c r="Z170" s="350"/>
      <c r="AA170" s="350"/>
      <c r="AB170" s="350"/>
      <c r="AC170" s="350"/>
      <c r="AD170" s="350"/>
      <c r="AE170" s="350"/>
      <c r="AF170" s="350"/>
      <c r="AG170" s="350"/>
      <c r="AH170" s="350"/>
      <c r="AI170" s="124"/>
      <c r="AJ170" s="124"/>
      <c r="AK170" s="124"/>
      <c r="AL170" s="124"/>
      <c r="AM170" s="124"/>
      <c r="AN170" s="124"/>
      <c r="AO170" s="124"/>
      <c r="AP170" s="124"/>
      <c r="AQ170" s="124"/>
      <c r="AR170" s="124"/>
      <c r="AS170" s="124"/>
      <c r="AT170" s="124"/>
      <c r="AU170" s="124"/>
      <c r="AV170" s="124"/>
      <c r="AW170" s="124"/>
      <c r="AX170" s="124"/>
      <c r="AY170" s="124"/>
      <c r="AZ170" s="124"/>
      <c r="BA170" s="124"/>
      <c r="BB170" s="124"/>
      <c r="BC170" s="124"/>
      <c r="BD170" s="124"/>
      <c r="BE170" s="124"/>
      <c r="BF170" s="124"/>
      <c r="BG170" s="124"/>
      <c r="BH170" s="124"/>
      <c r="BI170" s="124"/>
      <c r="BJ170" s="124"/>
      <c r="BK170" s="124"/>
      <c r="BL170" s="124"/>
      <c r="BM170" s="124"/>
      <c r="BN170" s="124"/>
      <c r="BO170" s="124"/>
      <c r="BP170" s="124"/>
      <c r="BQ170" s="124"/>
      <c r="BR170" s="124"/>
      <c r="BS170" s="124"/>
      <c r="BT170" s="124"/>
      <c r="BU170" s="124"/>
      <c r="BV170" s="124"/>
      <c r="BW170" s="124"/>
      <c r="BX170" s="124"/>
      <c r="BY170" s="124"/>
      <c r="BZ170" s="124"/>
      <c r="CA170" s="124"/>
      <c r="CB170" s="124"/>
      <c r="CC170" s="124"/>
      <c r="CD170" s="124"/>
      <c r="CE170" s="2"/>
    </row>
    <row x14ac:dyDescent="0.25" r="171" customHeight="1" ht="13.5">
      <c r="A171" s="2"/>
      <c r="B171" s="3"/>
      <c r="C171" s="2"/>
      <c r="D171" s="225" t="s">
        <v>515</v>
      </c>
      <c r="E171" s="289"/>
      <c r="F171" s="289"/>
      <c r="G171" s="289"/>
      <c r="H171" s="289"/>
      <c r="I171" s="289"/>
      <c r="J171" s="289"/>
      <c r="K171" s="389">
        <f>K169/(ProjectedP205_Consumption!K34*10%)</f>
      </c>
      <c r="L171" s="389">
        <f>L169/(ProjectedP205_Consumption!L34*10%)</f>
      </c>
      <c r="M171" s="389">
        <f>M169/(ProjectedP205_Consumption!M34*10%)</f>
      </c>
      <c r="N171" s="2"/>
      <c r="O171" s="124"/>
      <c r="P171" s="124"/>
      <c r="Q171" s="124"/>
      <c r="R171" s="124"/>
      <c r="S171" s="124"/>
      <c r="T171" s="124"/>
      <c r="U171" s="124"/>
      <c r="V171" s="124"/>
      <c r="W171" s="124"/>
      <c r="X171" s="124"/>
      <c r="Y171" s="124"/>
      <c r="Z171" s="350"/>
      <c r="AA171" s="350"/>
      <c r="AB171" s="350"/>
      <c r="AC171" s="350"/>
      <c r="AD171" s="350"/>
      <c r="AE171" s="350"/>
      <c r="AF171" s="350"/>
      <c r="AG171" s="350"/>
      <c r="AH171" s="350"/>
      <c r="AI171" s="124"/>
      <c r="AJ171" s="124"/>
      <c r="AK171" s="124"/>
      <c r="AL171" s="124"/>
      <c r="AM171" s="124"/>
      <c r="AN171" s="124"/>
      <c r="AO171" s="124"/>
      <c r="AP171" s="124"/>
      <c r="AQ171" s="124"/>
      <c r="AR171" s="124"/>
      <c r="AS171" s="124"/>
      <c r="AT171" s="124"/>
      <c r="AU171" s="124"/>
      <c r="AV171" s="124"/>
      <c r="AW171" s="124"/>
      <c r="AX171" s="124"/>
      <c r="AY171" s="124"/>
      <c r="AZ171" s="124"/>
      <c r="BA171" s="124"/>
      <c r="BB171" s="124"/>
      <c r="BC171" s="124"/>
      <c r="BD171" s="124"/>
      <c r="BE171" s="124"/>
      <c r="BF171" s="124"/>
      <c r="BG171" s="124"/>
      <c r="BH171" s="124"/>
      <c r="BI171" s="124"/>
      <c r="BJ171" s="124"/>
      <c r="BK171" s="124"/>
      <c r="BL171" s="124"/>
      <c r="BM171" s="124"/>
      <c r="BN171" s="124"/>
      <c r="BO171" s="124"/>
      <c r="BP171" s="124"/>
      <c r="BQ171" s="124"/>
      <c r="BR171" s="124"/>
      <c r="BS171" s="124"/>
      <c r="BT171" s="124"/>
      <c r="BU171" s="124"/>
      <c r="BV171" s="124"/>
      <c r="BW171" s="124"/>
      <c r="BX171" s="124"/>
      <c r="BY171" s="124"/>
      <c r="BZ171" s="124"/>
      <c r="CA171" s="124"/>
      <c r="CB171" s="124"/>
      <c r="CC171" s="124"/>
      <c r="CD171" s="124"/>
      <c r="CE171" s="2"/>
    </row>
    <row x14ac:dyDescent="0.25" r="172" customHeight="1" ht="13.5">
      <c r="A172" s="2"/>
      <c r="B172" s="3"/>
      <c r="C172" s="2"/>
      <c r="D172" s="308"/>
      <c r="E172" s="312"/>
      <c r="F172" s="312"/>
      <c r="G172" s="312"/>
      <c r="H172" s="312"/>
      <c r="I172" s="312"/>
      <c r="J172" s="312"/>
      <c r="K172" s="311"/>
      <c r="L172" s="311"/>
      <c r="M172" s="311"/>
      <c r="N172" s="2"/>
      <c r="O172" s="378"/>
      <c r="P172" s="378"/>
      <c r="Q172" s="378"/>
      <c r="R172" s="378"/>
      <c r="S172" s="378"/>
      <c r="T172" s="378"/>
      <c r="U172" s="378"/>
      <c r="V172" s="378"/>
      <c r="W172" s="378"/>
      <c r="X172" s="378"/>
      <c r="Y172" s="378"/>
      <c r="Z172" s="378"/>
      <c r="AA172" s="378"/>
      <c r="AB172" s="378"/>
      <c r="AC172" s="378"/>
      <c r="AD172" s="378"/>
      <c r="AE172" s="378"/>
      <c r="AF172" s="378"/>
      <c r="AG172" s="378"/>
      <c r="AH172" s="124"/>
      <c r="AI172" s="124"/>
      <c r="AJ172" s="124"/>
      <c r="AK172" s="124"/>
      <c r="AL172" s="124"/>
      <c r="AM172" s="124"/>
      <c r="AN172" s="124"/>
      <c r="AO172" s="124"/>
      <c r="AP172" s="124"/>
      <c r="AQ172" s="124"/>
      <c r="AR172" s="124"/>
      <c r="AS172" s="124"/>
      <c r="AT172" s="124"/>
      <c r="AU172" s="124"/>
      <c r="AV172" s="124"/>
      <c r="AW172" s="124"/>
      <c r="AX172" s="124"/>
      <c r="AY172" s="124"/>
      <c r="AZ172" s="124"/>
      <c r="BA172" s="124"/>
      <c r="BB172" s="124"/>
      <c r="BC172" s="124"/>
      <c r="BD172" s="124"/>
      <c r="BE172" s="124"/>
      <c r="BF172" s="124"/>
      <c r="BG172" s="124"/>
      <c r="BH172" s="124"/>
      <c r="BI172" s="124"/>
      <c r="BJ172" s="124"/>
      <c r="BK172" s="124"/>
      <c r="BL172" s="124"/>
      <c r="BM172" s="124"/>
      <c r="BN172" s="124"/>
      <c r="BO172" s="124"/>
      <c r="BP172" s="124"/>
      <c r="BQ172" s="124"/>
      <c r="BR172" s="124"/>
      <c r="BS172" s="124"/>
      <c r="BT172" s="124"/>
      <c r="BU172" s="124"/>
      <c r="BV172" s="124"/>
      <c r="BW172" s="124"/>
      <c r="BX172" s="124"/>
      <c r="BY172" s="124"/>
      <c r="BZ172" s="124"/>
      <c r="CA172" s="124"/>
      <c r="CB172" s="124"/>
      <c r="CC172" s="124"/>
      <c r="CD172" s="124"/>
      <c r="CE172" s="2"/>
    </row>
    <row x14ac:dyDescent="0.25" r="173" customHeight="1" ht="13.5">
      <c r="A173" s="2"/>
      <c r="B173" s="3"/>
      <c r="C173" s="2"/>
      <c r="D173" s="240" t="s">
        <v>467</v>
      </c>
      <c r="E173" s="312"/>
      <c r="F173" s="312"/>
      <c r="G173" s="312"/>
      <c r="H173" s="312"/>
      <c r="I173" s="312"/>
      <c r="J173" s="312"/>
      <c r="K173" s="311"/>
      <c r="L173" s="311"/>
      <c r="M173" s="311"/>
      <c r="N173" s="2"/>
      <c r="O173" s="378"/>
      <c r="P173" s="378"/>
      <c r="Q173" s="378"/>
      <c r="R173" s="378"/>
      <c r="S173" s="378"/>
      <c r="T173" s="378"/>
      <c r="U173" s="378"/>
      <c r="V173" s="378"/>
      <c r="W173" s="378"/>
      <c r="X173" s="378"/>
      <c r="Y173" s="378"/>
      <c r="Z173" s="290"/>
      <c r="AA173" s="378"/>
      <c r="AB173" s="290"/>
      <c r="AC173" s="290"/>
      <c r="AD173" s="290"/>
      <c r="AE173" s="290"/>
      <c r="AF173" s="290"/>
      <c r="AG173" s="290"/>
      <c r="AH173" s="290"/>
      <c r="AI173" s="290"/>
      <c r="AJ173" s="124"/>
      <c r="AK173" s="124"/>
      <c r="AL173" s="124"/>
      <c r="AM173" s="124"/>
      <c r="AN173" s="124"/>
      <c r="AO173" s="124"/>
      <c r="AP173" s="124"/>
      <c r="AQ173" s="124"/>
      <c r="AR173" s="124"/>
      <c r="AS173" s="124"/>
      <c r="AT173" s="124"/>
      <c r="AU173" s="124"/>
      <c r="AV173" s="124"/>
      <c r="AW173" s="124"/>
      <c r="AX173" s="290"/>
      <c r="AY173" s="124"/>
      <c r="AZ173" s="124"/>
      <c r="BA173" s="290"/>
      <c r="BB173" s="124"/>
      <c r="BC173" s="124"/>
      <c r="BD173" s="124"/>
      <c r="BE173" s="124"/>
      <c r="BF173" s="124"/>
      <c r="BG173" s="124"/>
      <c r="BH173" s="124"/>
      <c r="BI173" s="124"/>
      <c r="BJ173" s="124"/>
      <c r="BK173" s="124"/>
      <c r="BL173" s="124"/>
      <c r="BM173" s="124"/>
      <c r="BN173" s="124"/>
      <c r="BO173" s="124"/>
      <c r="BP173" s="124"/>
      <c r="BQ173" s="124"/>
      <c r="BR173" s="124"/>
      <c r="BS173" s="124"/>
      <c r="BT173" s="124"/>
      <c r="BU173" s="124"/>
      <c r="BV173" s="124"/>
      <c r="BW173" s="124"/>
      <c r="BX173" s="124"/>
      <c r="BY173" s="124"/>
      <c r="BZ173" s="124"/>
      <c r="CA173" s="124"/>
      <c r="CB173" s="124"/>
      <c r="CC173" s="124"/>
      <c r="CD173" s="124"/>
      <c r="CE173" s="2"/>
    </row>
    <row x14ac:dyDescent="0.25" r="174" customHeight="1" ht="13.5">
      <c r="A174" s="2"/>
      <c r="B174" s="3"/>
      <c r="C174" s="2"/>
      <c r="D174" s="241" t="s">
        <v>468</v>
      </c>
      <c r="E174" s="312"/>
      <c r="F174" s="312"/>
      <c r="G174" s="312"/>
      <c r="H174" s="312"/>
      <c r="I174" s="312"/>
      <c r="J174" s="312"/>
      <c r="K174" s="311"/>
      <c r="L174" s="311"/>
      <c r="M174" s="311"/>
      <c r="N174" s="2"/>
      <c r="O174" s="379" t="s">
        <v>493</v>
      </c>
      <c r="P174" s="124"/>
      <c r="Q174" s="124"/>
      <c r="R174" s="124"/>
      <c r="S174" s="124"/>
      <c r="T174" s="124"/>
      <c r="U174" s="124"/>
      <c r="V174" s="124"/>
      <c r="W174" s="124"/>
      <c r="X174" s="124"/>
      <c r="Y174" s="124"/>
      <c r="Z174" s="310"/>
      <c r="AA174" s="310"/>
      <c r="AB174" s="310"/>
      <c r="AC174" s="124"/>
      <c r="AD174" s="124"/>
      <c r="AE174" s="124"/>
      <c r="AF174" s="124"/>
      <c r="AG174" s="124"/>
      <c r="AH174" s="124"/>
      <c r="AI174" s="124"/>
      <c r="AJ174" s="124"/>
      <c r="AK174" s="124"/>
      <c r="AL174" s="290"/>
      <c r="AM174" s="124"/>
      <c r="AN174" s="124"/>
      <c r="AO174" s="290"/>
      <c r="AP174" s="124"/>
      <c r="AQ174" s="124"/>
      <c r="AR174" s="290"/>
      <c r="AS174" s="124"/>
      <c r="AT174" s="124"/>
      <c r="AU174" s="290"/>
      <c r="AV174" s="124"/>
      <c r="AW174" s="124"/>
      <c r="AX174" s="124"/>
      <c r="AY174" s="124"/>
      <c r="AZ174" s="124"/>
      <c r="BA174" s="63"/>
      <c r="BB174" s="124"/>
      <c r="BC174" s="124"/>
      <c r="BD174" s="124"/>
      <c r="BE174" s="63"/>
      <c r="BF174" s="124"/>
      <c r="BG174" s="124"/>
      <c r="BH174" s="124"/>
      <c r="BI174" s="63"/>
      <c r="BJ174" s="124"/>
      <c r="BK174" s="124"/>
      <c r="BL174" s="124"/>
      <c r="BM174" s="124"/>
      <c r="BN174" s="124"/>
      <c r="BO174" s="124"/>
      <c r="BP174" s="63"/>
      <c r="BQ174" s="63"/>
      <c r="BR174" s="124"/>
      <c r="BS174" s="124"/>
      <c r="BT174" s="63"/>
      <c r="BU174" s="63"/>
      <c r="BV174" s="124"/>
      <c r="BW174" s="124"/>
      <c r="BX174" s="63"/>
      <c r="BY174" s="63"/>
      <c r="BZ174" s="124"/>
      <c r="CA174" s="124"/>
      <c r="CB174" s="124"/>
      <c r="CC174" s="124"/>
      <c r="CD174" s="124"/>
      <c r="CE174" s="2"/>
    </row>
    <row x14ac:dyDescent="0.25" r="175" customHeight="1" ht="13.5">
      <c r="A175" s="2"/>
      <c r="B175" s="3"/>
      <c r="C175" s="2"/>
      <c r="D175" s="246" t="s">
        <v>475</v>
      </c>
      <c r="E175" s="257">
        <v>2017</v>
      </c>
      <c r="F175" s="257">
        <v>2018</v>
      </c>
      <c r="G175" s="257">
        <v>2019</v>
      </c>
      <c r="H175" s="257">
        <v>2020</v>
      </c>
      <c r="I175" s="257">
        <v>2021</v>
      </c>
      <c r="J175" s="257">
        <v>2022</v>
      </c>
      <c r="K175" s="257">
        <v>2023</v>
      </c>
      <c r="L175" s="257">
        <v>2024</v>
      </c>
      <c r="M175" s="257">
        <v>2025</v>
      </c>
      <c r="N175" s="2"/>
      <c r="O175" s="173" t="s">
        <v>516</v>
      </c>
      <c r="P175" s="380" t="s">
        <v>517</v>
      </c>
      <c r="Q175" s="381" t="s">
        <v>518</v>
      </c>
      <c r="R175" s="381" t="s">
        <v>519</v>
      </c>
      <c r="S175" s="380" t="s">
        <v>520</v>
      </c>
      <c r="T175" s="382" t="s">
        <v>521</v>
      </c>
      <c r="U175" s="382" t="s">
        <v>522</v>
      </c>
      <c r="V175" s="381" t="s">
        <v>523</v>
      </c>
      <c r="W175" s="290"/>
      <c r="X175" s="350"/>
      <c r="Y175" s="350"/>
      <c r="Z175" s="153"/>
      <c r="AA175" s="153"/>
      <c r="AB175" s="153"/>
      <c r="AC175" s="153"/>
      <c r="AD175" s="153"/>
      <c r="AE175" s="153"/>
      <c r="AF175" s="310"/>
      <c r="AG175" s="310"/>
      <c r="AH175" s="310"/>
      <c r="AI175" s="153"/>
      <c r="AJ175" s="310"/>
      <c r="AK175" s="310"/>
      <c r="AL175" s="153"/>
      <c r="AM175" s="310"/>
      <c r="AN175" s="310"/>
      <c r="AO175" s="153"/>
      <c r="AP175" s="310"/>
      <c r="AQ175" s="310"/>
      <c r="AR175" s="153"/>
      <c r="AS175" s="310"/>
      <c r="AT175" s="310"/>
      <c r="AU175" s="153"/>
      <c r="AV175" s="310"/>
      <c r="AW175" s="310"/>
      <c r="AX175" s="63"/>
      <c r="AY175" s="63"/>
      <c r="AZ175" s="63"/>
      <c r="BA175" s="124"/>
      <c r="BB175" s="124"/>
      <c r="BC175" s="124"/>
      <c r="BD175" s="124"/>
      <c r="BE175" s="124"/>
      <c r="BF175" s="124"/>
      <c r="BG175" s="124"/>
      <c r="BH175" s="124"/>
      <c r="BI175" s="124"/>
      <c r="BJ175" s="124"/>
      <c r="BK175" s="124"/>
      <c r="BL175" s="124"/>
      <c r="BM175" s="63"/>
      <c r="BN175" s="63"/>
      <c r="BO175" s="63"/>
      <c r="BP175" s="124"/>
      <c r="BQ175" s="124"/>
      <c r="BR175" s="124"/>
      <c r="BS175" s="124"/>
      <c r="BT175" s="124"/>
      <c r="BU175" s="124"/>
      <c r="BV175" s="124"/>
      <c r="BW175" s="124"/>
      <c r="BX175" s="124"/>
      <c r="BY175" s="124"/>
      <c r="BZ175" s="124"/>
      <c r="CA175" s="124"/>
      <c r="CB175" s="124"/>
      <c r="CC175" s="124"/>
      <c r="CD175" s="124"/>
      <c r="CE175" s="2"/>
    </row>
    <row x14ac:dyDescent="0.25" r="176" customHeight="1" ht="13.5">
      <c r="A176" s="2"/>
      <c r="B176" s="3"/>
      <c r="C176" s="2"/>
      <c r="D176" s="118" t="s">
        <v>179</v>
      </c>
      <c r="E176" s="312"/>
      <c r="F176" s="312"/>
      <c r="G176" s="312"/>
      <c r="H176" s="312"/>
      <c r="I176" s="312"/>
      <c r="J176" s="124"/>
      <c r="K176" s="368">
        <f>T176*Q176</f>
      </c>
      <c r="L176" s="368">
        <f>U176*R176</f>
      </c>
      <c r="M176" s="368">
        <f>V176*S176</f>
      </c>
      <c r="N176" s="2"/>
      <c r="O176" s="303">
        <f>O148</f>
      </c>
      <c r="P176" s="306">
        <f>P148</f>
      </c>
      <c r="Q176" s="383">
        <f>IF($O176="Yes",ProjectedP205_Consumption!K41*$P176,0)</f>
      </c>
      <c r="R176" s="383">
        <f>IF($O176="Yes",ProjectedP205_Consumption!L41*$P176,0)</f>
      </c>
      <c r="S176" s="384">
        <f>IF($O176="Yes",ProjectedP205_Consumption!M41*$P176,0)</f>
      </c>
      <c r="T176" s="310">
        <f>T148</f>
      </c>
      <c r="U176" s="310">
        <f>U148</f>
      </c>
      <c r="V176" s="160">
        <f>V148</f>
      </c>
      <c r="W176" s="290"/>
      <c r="X176" s="290"/>
      <c r="Y176" s="290"/>
      <c r="Z176" s="300"/>
      <c r="AA176" s="300"/>
      <c r="AB176" s="300"/>
      <c r="AC176" s="300"/>
      <c r="AD176" s="300"/>
      <c r="AE176" s="300"/>
      <c r="AF176" s="160"/>
      <c r="AG176" s="160"/>
      <c r="AH176" s="160"/>
      <c r="AI176" s="300"/>
      <c r="AJ176" s="300"/>
      <c r="AK176" s="300"/>
      <c r="AL176" s="350"/>
      <c r="AM176" s="350"/>
      <c r="AN176" s="350"/>
      <c r="AO176" s="300"/>
      <c r="AP176" s="300"/>
      <c r="AQ176" s="300"/>
      <c r="AR176" s="300"/>
      <c r="AS176" s="300"/>
      <c r="AT176" s="300"/>
      <c r="AU176" s="297"/>
      <c r="AV176" s="297"/>
      <c r="AW176" s="297"/>
      <c r="AX176" s="297"/>
      <c r="AY176" s="297"/>
      <c r="AZ176" s="297"/>
      <c r="BA176" s="63"/>
      <c r="BB176" s="63"/>
      <c r="BC176" s="63"/>
      <c r="BD176" s="63"/>
      <c r="BE176" s="63"/>
      <c r="BF176" s="63"/>
      <c r="BG176" s="63"/>
      <c r="BH176" s="63"/>
      <c r="BI176" s="63"/>
      <c r="BJ176" s="63"/>
      <c r="BK176" s="63"/>
      <c r="BL176" s="63"/>
      <c r="BM176" s="124"/>
      <c r="BN176" s="124"/>
      <c r="BO176" s="124"/>
      <c r="BP176" s="124"/>
      <c r="BQ176" s="124"/>
      <c r="BR176" s="124"/>
      <c r="BS176" s="124"/>
      <c r="BT176" s="124"/>
      <c r="BU176" s="124"/>
      <c r="BV176" s="124"/>
      <c r="BW176" s="124"/>
      <c r="BX176" s="124"/>
      <c r="BY176" s="124"/>
      <c r="BZ176" s="124"/>
      <c r="CA176" s="124"/>
      <c r="CB176" s="124"/>
      <c r="CC176" s="124"/>
      <c r="CD176" s="124"/>
      <c r="CE176" s="2"/>
    </row>
    <row x14ac:dyDescent="0.25" r="177" customHeight="1" ht="13.5">
      <c r="A177" s="2"/>
      <c r="B177" s="3"/>
      <c r="C177" s="2"/>
      <c r="D177" s="118" t="s">
        <v>231</v>
      </c>
      <c r="E177" s="312"/>
      <c r="F177" s="312"/>
      <c r="G177" s="312"/>
      <c r="H177" s="312"/>
      <c r="I177" s="312"/>
      <c r="J177" s="124"/>
      <c r="K177" s="368">
        <f>T177*Q177</f>
      </c>
      <c r="L177" s="368">
        <f>U177*R177</f>
      </c>
      <c r="M177" s="368">
        <f>V177*S177</f>
      </c>
      <c r="N177" s="2"/>
      <c r="O177" s="303">
        <f>O149</f>
      </c>
      <c r="P177" s="306">
        <f>P149</f>
      </c>
      <c r="Q177" s="383">
        <f>IF($O177="Yes",ProjectedP205_Consumption!K42*$P177,0)</f>
      </c>
      <c r="R177" s="383">
        <f>IF($O177="Yes",ProjectedP205_Consumption!L42*$P177,0)</f>
      </c>
      <c r="S177" s="384">
        <f>IF($O177="Yes",ProjectedP205_Consumption!M42*$P177,0)</f>
      </c>
      <c r="T177" s="310">
        <f>T149</f>
      </c>
      <c r="U177" s="310">
        <f>U149</f>
      </c>
      <c r="V177" s="160">
        <f>V149</f>
      </c>
      <c r="W177" s="290"/>
      <c r="X177" s="290"/>
      <c r="Y177" s="290"/>
      <c r="Z177" s="300"/>
      <c r="AA177" s="300"/>
      <c r="AB177" s="300"/>
      <c r="AC177" s="300"/>
      <c r="AD177" s="300"/>
      <c r="AE177" s="300"/>
      <c r="AF177" s="160"/>
      <c r="AG177" s="160"/>
      <c r="AH177" s="160"/>
      <c r="AI177" s="300"/>
      <c r="AJ177" s="300"/>
      <c r="AK177" s="300"/>
      <c r="AL177" s="350"/>
      <c r="AM177" s="350"/>
      <c r="AN177" s="350"/>
      <c r="AO177" s="300"/>
      <c r="AP177" s="300"/>
      <c r="AQ177" s="300"/>
      <c r="AR177" s="300"/>
      <c r="AS177" s="300"/>
      <c r="AT177" s="300"/>
      <c r="AU177" s="297"/>
      <c r="AV177" s="297"/>
      <c r="AW177" s="297"/>
      <c r="AX177" s="297"/>
      <c r="AY177" s="297"/>
      <c r="AZ177" s="297"/>
      <c r="BA177" s="63"/>
      <c r="BB177" s="63"/>
      <c r="BC177" s="63"/>
      <c r="BD177" s="63"/>
      <c r="BE177" s="63"/>
      <c r="BF177" s="63"/>
      <c r="BG177" s="63"/>
      <c r="BH177" s="63"/>
      <c r="BI177" s="63"/>
      <c r="BJ177" s="63"/>
      <c r="BK177" s="63"/>
      <c r="BL177" s="63"/>
      <c r="BM177" s="124"/>
      <c r="BN177" s="124"/>
      <c r="BO177" s="124"/>
      <c r="BP177" s="124"/>
      <c r="BQ177" s="124"/>
      <c r="BR177" s="124"/>
      <c r="BS177" s="124"/>
      <c r="BT177" s="124"/>
      <c r="BU177" s="124"/>
      <c r="BV177" s="124"/>
      <c r="BW177" s="124"/>
      <c r="BX177" s="124"/>
      <c r="BY177" s="124"/>
      <c r="BZ177" s="124"/>
      <c r="CA177" s="124"/>
      <c r="CB177" s="124"/>
      <c r="CC177" s="124"/>
      <c r="CD177" s="124"/>
      <c r="CE177" s="2"/>
    </row>
    <row x14ac:dyDescent="0.25" r="178" customHeight="1" ht="13.5">
      <c r="A178" s="2"/>
      <c r="B178" s="3"/>
      <c r="C178" s="2"/>
      <c r="D178" s="118" t="s">
        <v>141</v>
      </c>
      <c r="E178" s="312"/>
      <c r="F178" s="312"/>
      <c r="G178" s="312"/>
      <c r="H178" s="312"/>
      <c r="I178" s="312"/>
      <c r="J178" s="124"/>
      <c r="K178" s="368">
        <f>T178*Q178</f>
      </c>
      <c r="L178" s="368">
        <f>U178*R178</f>
      </c>
      <c r="M178" s="368">
        <f>V178*S178</f>
      </c>
      <c r="N178" s="2"/>
      <c r="O178" s="303">
        <f>O150</f>
      </c>
      <c r="P178" s="306">
        <f>P150</f>
      </c>
      <c r="Q178" s="383">
        <f>IF($O178="Yes",ProjectedP205_Consumption!K43*$P178,0)</f>
      </c>
      <c r="R178" s="383">
        <f>IF($O178="Yes",ProjectedP205_Consumption!L43*$P178,0)</f>
      </c>
      <c r="S178" s="384">
        <f>IF($O178="Yes",ProjectedP205_Consumption!M43*$P178,0)</f>
      </c>
      <c r="T178" s="310">
        <f>T150</f>
      </c>
      <c r="U178" s="310">
        <f>U150</f>
      </c>
      <c r="V178" s="160">
        <f>V150</f>
      </c>
      <c r="W178" s="290"/>
      <c r="X178" s="290"/>
      <c r="Y178" s="290"/>
      <c r="Z178" s="300"/>
      <c r="AA178" s="300"/>
      <c r="AB178" s="300"/>
      <c r="AC178" s="300"/>
      <c r="AD178" s="300"/>
      <c r="AE178" s="300"/>
      <c r="AF178" s="160"/>
      <c r="AG178" s="160"/>
      <c r="AH178" s="160"/>
      <c r="AI178" s="300"/>
      <c r="AJ178" s="300"/>
      <c r="AK178" s="300"/>
      <c r="AL178" s="350"/>
      <c r="AM178" s="350"/>
      <c r="AN178" s="350"/>
      <c r="AO178" s="300"/>
      <c r="AP178" s="300"/>
      <c r="AQ178" s="300"/>
      <c r="AR178" s="300"/>
      <c r="AS178" s="300"/>
      <c r="AT178" s="300"/>
      <c r="AU178" s="297"/>
      <c r="AV178" s="297"/>
      <c r="AW178" s="297"/>
      <c r="AX178" s="297"/>
      <c r="AY178" s="297"/>
      <c r="AZ178" s="297"/>
      <c r="BA178" s="63"/>
      <c r="BB178" s="63"/>
      <c r="BC178" s="63"/>
      <c r="BD178" s="63"/>
      <c r="BE178" s="63"/>
      <c r="BF178" s="63"/>
      <c r="BG178" s="63"/>
      <c r="BH178" s="63"/>
      <c r="BI178" s="63"/>
      <c r="BJ178" s="63"/>
      <c r="BK178" s="63"/>
      <c r="BL178" s="63"/>
      <c r="BM178" s="124"/>
      <c r="BN178" s="124"/>
      <c r="BO178" s="124"/>
      <c r="BP178" s="124"/>
      <c r="BQ178" s="124"/>
      <c r="BR178" s="124"/>
      <c r="BS178" s="124"/>
      <c r="BT178" s="124"/>
      <c r="BU178" s="124"/>
      <c r="BV178" s="124"/>
      <c r="BW178" s="124"/>
      <c r="BX178" s="124"/>
      <c r="BY178" s="124"/>
      <c r="BZ178" s="124"/>
      <c r="CA178" s="124"/>
      <c r="CB178" s="124"/>
      <c r="CC178" s="124"/>
      <c r="CD178" s="124"/>
      <c r="CE178" s="2"/>
    </row>
    <row x14ac:dyDescent="0.25" r="179" customHeight="1" ht="13.5">
      <c r="A179" s="2"/>
      <c r="B179" s="3"/>
      <c r="C179" s="2"/>
      <c r="D179" s="118" t="s">
        <v>247</v>
      </c>
      <c r="E179" s="312"/>
      <c r="F179" s="312"/>
      <c r="G179" s="312"/>
      <c r="H179" s="312"/>
      <c r="I179" s="312"/>
      <c r="J179" s="124"/>
      <c r="K179" s="368">
        <f>T179*Q179</f>
      </c>
      <c r="L179" s="368">
        <f>U179*R179</f>
      </c>
      <c r="M179" s="368">
        <f>V179*S179</f>
      </c>
      <c r="N179" s="2"/>
      <c r="O179" s="303">
        <f>O151</f>
      </c>
      <c r="P179" s="306">
        <f>P151</f>
      </c>
      <c r="Q179" s="383">
        <f>IF($O179="Yes",ProjectedP205_Consumption!K44*$P179,0)</f>
      </c>
      <c r="R179" s="383">
        <f>IF($O179="Yes",ProjectedP205_Consumption!L44*$P179,0)</f>
      </c>
      <c r="S179" s="384">
        <f>IF($O179="Yes",ProjectedP205_Consumption!M44*$P179,0)</f>
      </c>
      <c r="T179" s="310">
        <f>T151</f>
      </c>
      <c r="U179" s="310">
        <f>U151</f>
      </c>
      <c r="V179" s="160">
        <f>V151</f>
      </c>
      <c r="W179" s="290"/>
      <c r="X179" s="290"/>
      <c r="Y179" s="290"/>
      <c r="Z179" s="300"/>
      <c r="AA179" s="300"/>
      <c r="AB179" s="300"/>
      <c r="AC179" s="300"/>
      <c r="AD179" s="300"/>
      <c r="AE179" s="300"/>
      <c r="AF179" s="160"/>
      <c r="AG179" s="160"/>
      <c r="AH179" s="160"/>
      <c r="AI179" s="300"/>
      <c r="AJ179" s="300"/>
      <c r="AK179" s="300"/>
      <c r="AL179" s="350"/>
      <c r="AM179" s="350"/>
      <c r="AN179" s="350"/>
      <c r="AO179" s="300"/>
      <c r="AP179" s="300"/>
      <c r="AQ179" s="300"/>
      <c r="AR179" s="300"/>
      <c r="AS179" s="300"/>
      <c r="AT179" s="300"/>
      <c r="AU179" s="297"/>
      <c r="AV179" s="297"/>
      <c r="AW179" s="297"/>
      <c r="AX179" s="297"/>
      <c r="AY179" s="297"/>
      <c r="AZ179" s="297"/>
      <c r="BA179" s="63"/>
      <c r="BB179" s="63"/>
      <c r="BC179" s="63"/>
      <c r="BD179" s="63"/>
      <c r="BE179" s="63"/>
      <c r="BF179" s="63"/>
      <c r="BG179" s="63"/>
      <c r="BH179" s="63"/>
      <c r="BI179" s="63"/>
      <c r="BJ179" s="63"/>
      <c r="BK179" s="63"/>
      <c r="BL179" s="63"/>
      <c r="BM179" s="124"/>
      <c r="BN179" s="124"/>
      <c r="BO179" s="124"/>
      <c r="BP179" s="124"/>
      <c r="BQ179" s="124"/>
      <c r="BR179" s="124"/>
      <c r="BS179" s="124"/>
      <c r="BT179" s="124"/>
      <c r="BU179" s="124"/>
      <c r="BV179" s="124"/>
      <c r="BW179" s="124"/>
      <c r="BX179" s="124"/>
      <c r="BY179" s="124"/>
      <c r="BZ179" s="124"/>
      <c r="CA179" s="124"/>
      <c r="CB179" s="124"/>
      <c r="CC179" s="124"/>
      <c r="CD179" s="124"/>
      <c r="CE179" s="2"/>
    </row>
    <row x14ac:dyDescent="0.25" r="180" customHeight="1" ht="13.5">
      <c r="A180" s="2"/>
      <c r="B180" s="3"/>
      <c r="C180" s="2"/>
      <c r="D180" s="118" t="s">
        <v>175</v>
      </c>
      <c r="E180" s="312"/>
      <c r="F180" s="312"/>
      <c r="G180" s="312"/>
      <c r="H180" s="312"/>
      <c r="I180" s="312"/>
      <c r="J180" s="124"/>
      <c r="K180" s="368">
        <f>T180*Q180</f>
      </c>
      <c r="L180" s="368">
        <f>U180*R180</f>
      </c>
      <c r="M180" s="368">
        <f>V180*S180</f>
      </c>
      <c r="N180" s="2"/>
      <c r="O180" s="303">
        <f>O152</f>
      </c>
      <c r="P180" s="306">
        <f>P152</f>
      </c>
      <c r="Q180" s="383">
        <f>IF($O180="Yes",ProjectedP205_Consumption!K45*$P180,0)</f>
      </c>
      <c r="R180" s="383">
        <f>IF($O180="Yes",ProjectedP205_Consumption!L45*$P180,0)</f>
      </c>
      <c r="S180" s="384">
        <f>IF($O180="Yes",ProjectedP205_Consumption!M45*$P180,0)</f>
      </c>
      <c r="T180" s="310">
        <f>T152</f>
      </c>
      <c r="U180" s="310">
        <f>U152</f>
      </c>
      <c r="V180" s="160">
        <f>V152</f>
      </c>
      <c r="W180" s="290"/>
      <c r="X180" s="290"/>
      <c r="Y180" s="290"/>
      <c r="Z180" s="300"/>
      <c r="AA180" s="300"/>
      <c r="AB180" s="300"/>
      <c r="AC180" s="300"/>
      <c r="AD180" s="300"/>
      <c r="AE180" s="300"/>
      <c r="AF180" s="160"/>
      <c r="AG180" s="160"/>
      <c r="AH180" s="160"/>
      <c r="AI180" s="300"/>
      <c r="AJ180" s="300"/>
      <c r="AK180" s="300"/>
      <c r="AL180" s="350"/>
      <c r="AM180" s="350"/>
      <c r="AN180" s="350"/>
      <c r="AO180" s="300"/>
      <c r="AP180" s="300"/>
      <c r="AQ180" s="300"/>
      <c r="AR180" s="300"/>
      <c r="AS180" s="300"/>
      <c r="AT180" s="300"/>
      <c r="AU180" s="297"/>
      <c r="AV180" s="297"/>
      <c r="AW180" s="297"/>
      <c r="AX180" s="297"/>
      <c r="AY180" s="297"/>
      <c r="AZ180" s="297"/>
      <c r="BA180" s="63"/>
      <c r="BB180" s="63"/>
      <c r="BC180" s="63"/>
      <c r="BD180" s="63"/>
      <c r="BE180" s="63"/>
      <c r="BF180" s="63"/>
      <c r="BG180" s="63"/>
      <c r="BH180" s="63"/>
      <c r="BI180" s="63"/>
      <c r="BJ180" s="63"/>
      <c r="BK180" s="63"/>
      <c r="BL180" s="63"/>
      <c r="BM180" s="124"/>
      <c r="BN180" s="124"/>
      <c r="BO180" s="124"/>
      <c r="BP180" s="124"/>
      <c r="BQ180" s="124"/>
      <c r="BR180" s="124"/>
      <c r="BS180" s="124"/>
      <c r="BT180" s="124"/>
      <c r="BU180" s="124"/>
      <c r="BV180" s="124"/>
      <c r="BW180" s="124"/>
      <c r="BX180" s="124"/>
      <c r="BY180" s="124"/>
      <c r="BZ180" s="124"/>
      <c r="CA180" s="124"/>
      <c r="CB180" s="124"/>
      <c r="CC180" s="124"/>
      <c r="CD180" s="124"/>
      <c r="CE180" s="2"/>
    </row>
    <row x14ac:dyDescent="0.25" r="181" customHeight="1" ht="13.5">
      <c r="A181" s="2"/>
      <c r="B181" s="3"/>
      <c r="C181" s="2"/>
      <c r="D181" s="118" t="s">
        <v>131</v>
      </c>
      <c r="E181" s="312"/>
      <c r="F181" s="312"/>
      <c r="G181" s="312"/>
      <c r="H181" s="312"/>
      <c r="I181" s="312"/>
      <c r="J181" s="124"/>
      <c r="K181" s="368">
        <f>T181*Q181</f>
      </c>
      <c r="L181" s="368">
        <f>U181*R181</f>
      </c>
      <c r="M181" s="368">
        <f>V181*S181</f>
      </c>
      <c r="N181" s="2"/>
      <c r="O181" s="303">
        <f>O153</f>
      </c>
      <c r="P181" s="306">
        <f>P153</f>
      </c>
      <c r="Q181" s="383">
        <f>IF($O181="Yes",ProjectedP205_Consumption!K46*$P181,0)</f>
      </c>
      <c r="R181" s="383">
        <f>IF($O181="Yes",ProjectedP205_Consumption!L46*$P181,0)</f>
      </c>
      <c r="S181" s="384">
        <f>IF($O181="Yes",ProjectedP205_Consumption!M46*$P181,0)</f>
      </c>
      <c r="T181" s="310">
        <f>T153</f>
      </c>
      <c r="U181" s="310">
        <f>U153</f>
      </c>
      <c r="V181" s="160">
        <f>V153</f>
      </c>
      <c r="W181" s="290"/>
      <c r="X181" s="290"/>
      <c r="Y181" s="290"/>
      <c r="Z181" s="300"/>
      <c r="AA181" s="300"/>
      <c r="AB181" s="300"/>
      <c r="AC181" s="300"/>
      <c r="AD181" s="300"/>
      <c r="AE181" s="300"/>
      <c r="AF181" s="160"/>
      <c r="AG181" s="160"/>
      <c r="AH181" s="160"/>
      <c r="AI181" s="300"/>
      <c r="AJ181" s="300"/>
      <c r="AK181" s="300"/>
      <c r="AL181" s="350"/>
      <c r="AM181" s="350"/>
      <c r="AN181" s="350"/>
      <c r="AO181" s="300"/>
      <c r="AP181" s="300"/>
      <c r="AQ181" s="300"/>
      <c r="AR181" s="300"/>
      <c r="AS181" s="300"/>
      <c r="AT181" s="300"/>
      <c r="AU181" s="297"/>
      <c r="AV181" s="297"/>
      <c r="AW181" s="297"/>
      <c r="AX181" s="297"/>
      <c r="AY181" s="297"/>
      <c r="AZ181" s="297"/>
      <c r="BA181" s="63"/>
      <c r="BB181" s="63"/>
      <c r="BC181" s="63"/>
      <c r="BD181" s="63"/>
      <c r="BE181" s="63"/>
      <c r="BF181" s="63"/>
      <c r="BG181" s="63"/>
      <c r="BH181" s="63"/>
      <c r="BI181" s="63"/>
      <c r="BJ181" s="63"/>
      <c r="BK181" s="63"/>
      <c r="BL181" s="63"/>
      <c r="BM181" s="124"/>
      <c r="BN181" s="124"/>
      <c r="BO181" s="124"/>
      <c r="BP181" s="124"/>
      <c r="BQ181" s="124"/>
      <c r="BR181" s="124"/>
      <c r="BS181" s="124"/>
      <c r="BT181" s="124"/>
      <c r="BU181" s="124"/>
      <c r="BV181" s="124"/>
      <c r="BW181" s="124"/>
      <c r="BX181" s="124"/>
      <c r="BY181" s="124"/>
      <c r="BZ181" s="124"/>
      <c r="CA181" s="124"/>
      <c r="CB181" s="124"/>
      <c r="CC181" s="124"/>
      <c r="CD181" s="124"/>
      <c r="CE181" s="2"/>
    </row>
    <row x14ac:dyDescent="0.25" r="182" customHeight="1" ht="13.5">
      <c r="A182" s="2"/>
      <c r="B182" s="3"/>
      <c r="C182" s="2"/>
      <c r="D182" s="118" t="s">
        <v>237</v>
      </c>
      <c r="E182" s="312"/>
      <c r="F182" s="312"/>
      <c r="G182" s="312"/>
      <c r="H182" s="312"/>
      <c r="I182" s="312"/>
      <c r="J182" s="124"/>
      <c r="K182" s="368">
        <f>T182*Q182</f>
      </c>
      <c r="L182" s="368">
        <f>U182*R182</f>
      </c>
      <c r="M182" s="368">
        <f>V182*S182</f>
      </c>
      <c r="N182" s="2"/>
      <c r="O182" s="303">
        <f>O154</f>
      </c>
      <c r="P182" s="306">
        <f>P154</f>
      </c>
      <c r="Q182" s="383">
        <f>IF($O182="Yes",ProjectedP205_Consumption!K47*$P182,0)</f>
      </c>
      <c r="R182" s="383">
        <f>IF($O182="Yes",ProjectedP205_Consumption!L47*$P182,0)</f>
      </c>
      <c r="S182" s="384">
        <f>IF($O182="Yes",ProjectedP205_Consumption!M47*$P182,0)</f>
      </c>
      <c r="T182" s="310">
        <f>T154</f>
      </c>
      <c r="U182" s="310">
        <f>U154</f>
      </c>
      <c r="V182" s="160">
        <f>V154</f>
      </c>
      <c r="W182" s="290"/>
      <c r="X182" s="290"/>
      <c r="Y182" s="290"/>
      <c r="Z182" s="300"/>
      <c r="AA182" s="300"/>
      <c r="AB182" s="300"/>
      <c r="AC182" s="300"/>
      <c r="AD182" s="300"/>
      <c r="AE182" s="300"/>
      <c r="AF182" s="160"/>
      <c r="AG182" s="160"/>
      <c r="AH182" s="160"/>
      <c r="AI182" s="300"/>
      <c r="AJ182" s="300"/>
      <c r="AK182" s="300"/>
      <c r="AL182" s="350"/>
      <c r="AM182" s="350"/>
      <c r="AN182" s="350"/>
      <c r="AO182" s="300"/>
      <c r="AP182" s="300"/>
      <c r="AQ182" s="300"/>
      <c r="AR182" s="300"/>
      <c r="AS182" s="300"/>
      <c r="AT182" s="300"/>
      <c r="AU182" s="297"/>
      <c r="AV182" s="297"/>
      <c r="AW182" s="297"/>
      <c r="AX182" s="297"/>
      <c r="AY182" s="297"/>
      <c r="AZ182" s="297"/>
      <c r="BA182" s="63"/>
      <c r="BB182" s="63"/>
      <c r="BC182" s="63"/>
      <c r="BD182" s="63"/>
      <c r="BE182" s="63"/>
      <c r="BF182" s="63"/>
      <c r="BG182" s="63"/>
      <c r="BH182" s="63"/>
      <c r="BI182" s="63"/>
      <c r="BJ182" s="63"/>
      <c r="BK182" s="63"/>
      <c r="BL182" s="63"/>
      <c r="BM182" s="124"/>
      <c r="BN182" s="124"/>
      <c r="BO182" s="124"/>
      <c r="BP182" s="124"/>
      <c r="BQ182" s="124"/>
      <c r="BR182" s="124"/>
      <c r="BS182" s="124"/>
      <c r="BT182" s="124"/>
      <c r="BU182" s="124"/>
      <c r="BV182" s="124"/>
      <c r="BW182" s="124"/>
      <c r="BX182" s="124"/>
      <c r="BY182" s="124"/>
      <c r="BZ182" s="124"/>
      <c r="CA182" s="124"/>
      <c r="CB182" s="124"/>
      <c r="CC182" s="124"/>
      <c r="CD182" s="124"/>
      <c r="CE182" s="2"/>
    </row>
    <row x14ac:dyDescent="0.25" r="183" customHeight="1" ht="13.5">
      <c r="A183" s="2"/>
      <c r="B183" s="3"/>
      <c r="C183" s="2"/>
      <c r="D183" s="118" t="s">
        <v>139</v>
      </c>
      <c r="E183" s="312"/>
      <c r="F183" s="312"/>
      <c r="G183" s="312"/>
      <c r="H183" s="312"/>
      <c r="I183" s="312"/>
      <c r="J183" s="124"/>
      <c r="K183" s="368">
        <f>T183*Q183</f>
      </c>
      <c r="L183" s="368">
        <f>U183*R183</f>
      </c>
      <c r="M183" s="368">
        <f>V183*S183</f>
      </c>
      <c r="N183" s="2"/>
      <c r="O183" s="303">
        <f>O155</f>
      </c>
      <c r="P183" s="306">
        <f>P155</f>
      </c>
      <c r="Q183" s="383">
        <f>IF($O183="Yes",ProjectedP205_Consumption!K48*$P183,0)</f>
      </c>
      <c r="R183" s="383">
        <f>IF($O183="Yes",ProjectedP205_Consumption!L48*$P183,0)</f>
      </c>
      <c r="S183" s="384">
        <f>IF($O183="Yes",ProjectedP205_Consumption!M48*$P183,0)</f>
      </c>
      <c r="T183" s="310">
        <f>T155</f>
      </c>
      <c r="U183" s="310">
        <f>U155</f>
      </c>
      <c r="V183" s="160">
        <f>V155</f>
      </c>
      <c r="W183" s="290"/>
      <c r="X183" s="290"/>
      <c r="Y183" s="290"/>
      <c r="Z183" s="300"/>
      <c r="AA183" s="300"/>
      <c r="AB183" s="300"/>
      <c r="AC183" s="300"/>
      <c r="AD183" s="300"/>
      <c r="AE183" s="300"/>
      <c r="AF183" s="160"/>
      <c r="AG183" s="160"/>
      <c r="AH183" s="160"/>
      <c r="AI183" s="300"/>
      <c r="AJ183" s="300"/>
      <c r="AK183" s="300"/>
      <c r="AL183" s="350"/>
      <c r="AM183" s="350"/>
      <c r="AN183" s="350"/>
      <c r="AO183" s="300"/>
      <c r="AP183" s="300"/>
      <c r="AQ183" s="300"/>
      <c r="AR183" s="300"/>
      <c r="AS183" s="300"/>
      <c r="AT183" s="300"/>
      <c r="AU183" s="297"/>
      <c r="AV183" s="297"/>
      <c r="AW183" s="297"/>
      <c r="AX183" s="297"/>
      <c r="AY183" s="297"/>
      <c r="AZ183" s="297"/>
      <c r="BA183" s="63"/>
      <c r="BB183" s="63"/>
      <c r="BC183" s="63"/>
      <c r="BD183" s="63"/>
      <c r="BE183" s="63"/>
      <c r="BF183" s="63"/>
      <c r="BG183" s="63"/>
      <c r="BH183" s="63"/>
      <c r="BI183" s="63"/>
      <c r="BJ183" s="63"/>
      <c r="BK183" s="63"/>
      <c r="BL183" s="63"/>
      <c r="BM183" s="124"/>
      <c r="BN183" s="124"/>
      <c r="BO183" s="124"/>
      <c r="BP183" s="124"/>
      <c r="BQ183" s="124"/>
      <c r="BR183" s="124"/>
      <c r="BS183" s="124"/>
      <c r="BT183" s="124"/>
      <c r="BU183" s="124"/>
      <c r="BV183" s="124"/>
      <c r="BW183" s="124"/>
      <c r="BX183" s="124"/>
      <c r="BY183" s="124"/>
      <c r="BZ183" s="124"/>
      <c r="CA183" s="124"/>
      <c r="CB183" s="124"/>
      <c r="CC183" s="124"/>
      <c r="CD183" s="124"/>
      <c r="CE183" s="2"/>
    </row>
    <row x14ac:dyDescent="0.25" r="184" customHeight="1" ht="13.5">
      <c r="A184" s="2"/>
      <c r="B184" s="3"/>
      <c r="C184" s="2"/>
      <c r="D184" s="118" t="s">
        <v>241</v>
      </c>
      <c r="E184" s="312"/>
      <c r="F184" s="312"/>
      <c r="G184" s="312"/>
      <c r="H184" s="312"/>
      <c r="I184" s="312"/>
      <c r="J184" s="124"/>
      <c r="K184" s="368">
        <f>T184*Q184</f>
      </c>
      <c r="L184" s="368">
        <f>U184*R184</f>
      </c>
      <c r="M184" s="368">
        <f>V184*S184</f>
      </c>
      <c r="N184" s="2"/>
      <c r="O184" s="303">
        <f>O156</f>
      </c>
      <c r="P184" s="306">
        <f>P156</f>
      </c>
      <c r="Q184" s="383">
        <f>IF($O184="Yes",ProjectedP205_Consumption!K49*$P184,0)</f>
      </c>
      <c r="R184" s="383">
        <f>IF($O184="Yes",ProjectedP205_Consumption!L49*$P184,0)</f>
      </c>
      <c r="S184" s="384">
        <f>IF($O184="Yes",ProjectedP205_Consumption!M49*$P184,0)</f>
      </c>
      <c r="T184" s="310">
        <f>T156</f>
      </c>
      <c r="U184" s="310">
        <f>U156</f>
      </c>
      <c r="V184" s="160">
        <f>V156</f>
      </c>
      <c r="W184" s="290"/>
      <c r="X184" s="290"/>
      <c r="Y184" s="290"/>
      <c r="Z184" s="300"/>
      <c r="AA184" s="300"/>
      <c r="AB184" s="300"/>
      <c r="AC184" s="300"/>
      <c r="AD184" s="300"/>
      <c r="AE184" s="300"/>
      <c r="AF184" s="160"/>
      <c r="AG184" s="160"/>
      <c r="AH184" s="160"/>
      <c r="AI184" s="300"/>
      <c r="AJ184" s="300"/>
      <c r="AK184" s="300"/>
      <c r="AL184" s="350"/>
      <c r="AM184" s="350"/>
      <c r="AN184" s="350"/>
      <c r="AO184" s="300"/>
      <c r="AP184" s="300"/>
      <c r="AQ184" s="300"/>
      <c r="AR184" s="300"/>
      <c r="AS184" s="300"/>
      <c r="AT184" s="300"/>
      <c r="AU184" s="297"/>
      <c r="AV184" s="297"/>
      <c r="AW184" s="297"/>
      <c r="AX184" s="297"/>
      <c r="AY184" s="297"/>
      <c r="AZ184" s="297"/>
      <c r="BA184" s="63"/>
      <c r="BB184" s="63"/>
      <c r="BC184" s="63"/>
      <c r="BD184" s="63"/>
      <c r="BE184" s="63"/>
      <c r="BF184" s="63"/>
      <c r="BG184" s="63"/>
      <c r="BH184" s="63"/>
      <c r="BI184" s="63"/>
      <c r="BJ184" s="63"/>
      <c r="BK184" s="63"/>
      <c r="BL184" s="63"/>
      <c r="BM184" s="124"/>
      <c r="BN184" s="124"/>
      <c r="BO184" s="124"/>
      <c r="BP184" s="124"/>
      <c r="BQ184" s="124"/>
      <c r="BR184" s="124"/>
      <c r="BS184" s="124"/>
      <c r="BT184" s="124"/>
      <c r="BU184" s="124"/>
      <c r="BV184" s="124"/>
      <c r="BW184" s="124"/>
      <c r="BX184" s="124"/>
      <c r="BY184" s="124"/>
      <c r="BZ184" s="124"/>
      <c r="CA184" s="124"/>
      <c r="CB184" s="124"/>
      <c r="CC184" s="124"/>
      <c r="CD184" s="124"/>
      <c r="CE184" s="2"/>
    </row>
    <row x14ac:dyDescent="0.25" r="185" customHeight="1" ht="13.5">
      <c r="A185" s="2"/>
      <c r="B185" s="3"/>
      <c r="C185" s="2"/>
      <c r="D185" s="118" t="s">
        <v>249</v>
      </c>
      <c r="E185" s="312"/>
      <c r="F185" s="312"/>
      <c r="G185" s="312"/>
      <c r="H185" s="312"/>
      <c r="I185" s="312"/>
      <c r="J185" s="124"/>
      <c r="K185" s="368">
        <f>T185*Q185</f>
      </c>
      <c r="L185" s="368">
        <f>U185*R185</f>
      </c>
      <c r="M185" s="368">
        <f>V185*S185</f>
      </c>
      <c r="N185" s="2"/>
      <c r="O185" s="303">
        <f>O157</f>
      </c>
      <c r="P185" s="306">
        <f>P157</f>
      </c>
      <c r="Q185" s="383">
        <f>IF($O185="Yes",ProjectedP205_Consumption!K50*$P185,0)</f>
      </c>
      <c r="R185" s="383">
        <f>IF($O185="Yes",ProjectedP205_Consumption!L50*$P185,0)</f>
      </c>
      <c r="S185" s="384">
        <f>IF($O185="Yes",ProjectedP205_Consumption!M50*$P185,0)</f>
      </c>
      <c r="T185" s="310">
        <f>T157</f>
      </c>
      <c r="U185" s="310">
        <f>U157</f>
      </c>
      <c r="V185" s="160">
        <f>V157</f>
      </c>
      <c r="W185" s="290"/>
      <c r="X185" s="290"/>
      <c r="Y185" s="290"/>
      <c r="Z185" s="300"/>
      <c r="AA185" s="300"/>
      <c r="AB185" s="300"/>
      <c r="AC185" s="300"/>
      <c r="AD185" s="300"/>
      <c r="AE185" s="300"/>
      <c r="AF185" s="160"/>
      <c r="AG185" s="160"/>
      <c r="AH185" s="160"/>
      <c r="AI185" s="300"/>
      <c r="AJ185" s="300"/>
      <c r="AK185" s="300"/>
      <c r="AL185" s="350"/>
      <c r="AM185" s="350"/>
      <c r="AN185" s="350"/>
      <c r="AO185" s="300"/>
      <c r="AP185" s="300"/>
      <c r="AQ185" s="300"/>
      <c r="AR185" s="300"/>
      <c r="AS185" s="300"/>
      <c r="AT185" s="300"/>
      <c r="AU185" s="297"/>
      <c r="AV185" s="297"/>
      <c r="AW185" s="297"/>
      <c r="AX185" s="297"/>
      <c r="AY185" s="297"/>
      <c r="AZ185" s="297"/>
      <c r="BA185" s="63"/>
      <c r="BB185" s="63"/>
      <c r="BC185" s="63"/>
      <c r="BD185" s="63"/>
      <c r="BE185" s="63"/>
      <c r="BF185" s="63"/>
      <c r="BG185" s="63"/>
      <c r="BH185" s="63"/>
      <c r="BI185" s="63"/>
      <c r="BJ185" s="63"/>
      <c r="BK185" s="63"/>
      <c r="BL185" s="63"/>
      <c r="BM185" s="124"/>
      <c r="BN185" s="124"/>
      <c r="BO185" s="124"/>
      <c r="BP185" s="124"/>
      <c r="BQ185" s="124"/>
      <c r="BR185" s="124"/>
      <c r="BS185" s="124"/>
      <c r="BT185" s="124"/>
      <c r="BU185" s="124"/>
      <c r="BV185" s="124"/>
      <c r="BW185" s="124"/>
      <c r="BX185" s="124"/>
      <c r="BY185" s="124"/>
      <c r="BZ185" s="124"/>
      <c r="CA185" s="124"/>
      <c r="CB185" s="124"/>
      <c r="CC185" s="124"/>
      <c r="CD185" s="124"/>
      <c r="CE185" s="2"/>
    </row>
    <row x14ac:dyDescent="0.25" r="186" customHeight="1" ht="13.5">
      <c r="A186" s="2"/>
      <c r="B186" s="3"/>
      <c r="C186" s="2"/>
      <c r="D186" s="118" t="s">
        <v>235</v>
      </c>
      <c r="E186" s="312"/>
      <c r="F186" s="312"/>
      <c r="G186" s="312"/>
      <c r="H186" s="312"/>
      <c r="I186" s="312"/>
      <c r="J186" s="124"/>
      <c r="K186" s="368">
        <f>T186*Q186</f>
      </c>
      <c r="L186" s="368">
        <f>U186*R186</f>
      </c>
      <c r="M186" s="368">
        <f>V186*S186</f>
      </c>
      <c r="N186" s="2"/>
      <c r="O186" s="303">
        <f>O158</f>
      </c>
      <c r="P186" s="306">
        <f>P158</f>
      </c>
      <c r="Q186" s="383">
        <f>IF($O186="Yes",ProjectedP205_Consumption!K51*$P186,0)</f>
      </c>
      <c r="R186" s="383">
        <f>IF($O186="Yes",ProjectedP205_Consumption!L51*$P186,0)</f>
      </c>
      <c r="S186" s="384">
        <f>IF($O186="Yes",ProjectedP205_Consumption!M51*$P186,0)</f>
      </c>
      <c r="T186" s="310">
        <f>T158</f>
      </c>
      <c r="U186" s="310">
        <f>U158</f>
      </c>
      <c r="V186" s="160">
        <f>V158</f>
      </c>
      <c r="W186" s="290"/>
      <c r="X186" s="290"/>
      <c r="Y186" s="290"/>
      <c r="Z186" s="300"/>
      <c r="AA186" s="300"/>
      <c r="AB186" s="300"/>
      <c r="AC186" s="300"/>
      <c r="AD186" s="300"/>
      <c r="AE186" s="300"/>
      <c r="AF186" s="160"/>
      <c r="AG186" s="160"/>
      <c r="AH186" s="160"/>
      <c r="AI186" s="300"/>
      <c r="AJ186" s="300"/>
      <c r="AK186" s="300"/>
      <c r="AL186" s="350"/>
      <c r="AM186" s="350"/>
      <c r="AN186" s="350"/>
      <c r="AO186" s="300"/>
      <c r="AP186" s="300"/>
      <c r="AQ186" s="300"/>
      <c r="AR186" s="300"/>
      <c r="AS186" s="300"/>
      <c r="AT186" s="300"/>
      <c r="AU186" s="297"/>
      <c r="AV186" s="297"/>
      <c r="AW186" s="297"/>
      <c r="AX186" s="297"/>
      <c r="AY186" s="297"/>
      <c r="AZ186" s="297"/>
      <c r="BA186" s="63"/>
      <c r="BB186" s="63"/>
      <c r="BC186" s="63"/>
      <c r="BD186" s="63"/>
      <c r="BE186" s="63"/>
      <c r="BF186" s="63"/>
      <c r="BG186" s="63"/>
      <c r="BH186" s="63"/>
      <c r="BI186" s="63"/>
      <c r="BJ186" s="63"/>
      <c r="BK186" s="63"/>
      <c r="BL186" s="63"/>
      <c r="BM186" s="124"/>
      <c r="BN186" s="124"/>
      <c r="BO186" s="124"/>
      <c r="BP186" s="124"/>
      <c r="BQ186" s="124"/>
      <c r="BR186" s="124"/>
      <c r="BS186" s="124"/>
      <c r="BT186" s="124"/>
      <c r="BU186" s="124"/>
      <c r="BV186" s="124"/>
      <c r="BW186" s="124"/>
      <c r="BX186" s="124"/>
      <c r="BY186" s="124"/>
      <c r="BZ186" s="124"/>
      <c r="CA186" s="124"/>
      <c r="CB186" s="124"/>
      <c r="CC186" s="124"/>
      <c r="CD186" s="124"/>
      <c r="CE186" s="2"/>
    </row>
    <row x14ac:dyDescent="0.25" r="187" customHeight="1" ht="13.5">
      <c r="A187" s="2"/>
      <c r="B187" s="3"/>
      <c r="C187" s="2"/>
      <c r="D187" s="118" t="s">
        <v>125</v>
      </c>
      <c r="E187" s="312"/>
      <c r="F187" s="312"/>
      <c r="G187" s="312"/>
      <c r="H187" s="312"/>
      <c r="I187" s="312"/>
      <c r="J187" s="124"/>
      <c r="K187" s="368">
        <f>T187*Q187</f>
      </c>
      <c r="L187" s="368">
        <f>U187*R187</f>
      </c>
      <c r="M187" s="368">
        <f>V187*S187</f>
      </c>
      <c r="N187" s="2"/>
      <c r="O187" s="303">
        <f>O159</f>
      </c>
      <c r="P187" s="306">
        <f>P159</f>
      </c>
      <c r="Q187" s="383">
        <f>IF($O187="Yes",ProjectedP205_Consumption!K52*$P187,0)</f>
      </c>
      <c r="R187" s="383">
        <f>IF($O187="Yes",ProjectedP205_Consumption!L52*$P187,0)</f>
      </c>
      <c r="S187" s="384">
        <f>IF($O187="Yes",ProjectedP205_Consumption!M52*$P187,0)</f>
      </c>
      <c r="T187" s="310">
        <f>T159</f>
      </c>
      <c r="U187" s="310">
        <f>U159</f>
      </c>
      <c r="V187" s="160">
        <f>V159</f>
      </c>
      <c r="W187" s="290"/>
      <c r="X187" s="290"/>
      <c r="Y187" s="290"/>
      <c r="Z187" s="300"/>
      <c r="AA187" s="300"/>
      <c r="AB187" s="300"/>
      <c r="AC187" s="300"/>
      <c r="AD187" s="300"/>
      <c r="AE187" s="300"/>
      <c r="AF187" s="160"/>
      <c r="AG187" s="160"/>
      <c r="AH187" s="160"/>
      <c r="AI187" s="300"/>
      <c r="AJ187" s="300"/>
      <c r="AK187" s="300"/>
      <c r="AL187" s="350"/>
      <c r="AM187" s="350"/>
      <c r="AN187" s="350"/>
      <c r="AO187" s="300"/>
      <c r="AP187" s="300"/>
      <c r="AQ187" s="300"/>
      <c r="AR187" s="300"/>
      <c r="AS187" s="300"/>
      <c r="AT187" s="300"/>
      <c r="AU187" s="297"/>
      <c r="AV187" s="297"/>
      <c r="AW187" s="297"/>
      <c r="AX187" s="297"/>
      <c r="AY187" s="297"/>
      <c r="AZ187" s="297"/>
      <c r="BA187" s="63"/>
      <c r="BB187" s="63"/>
      <c r="BC187" s="63"/>
      <c r="BD187" s="63"/>
      <c r="BE187" s="63"/>
      <c r="BF187" s="63"/>
      <c r="BG187" s="63"/>
      <c r="BH187" s="63"/>
      <c r="BI187" s="63"/>
      <c r="BJ187" s="63"/>
      <c r="BK187" s="63"/>
      <c r="BL187" s="63"/>
      <c r="BM187" s="124"/>
      <c r="BN187" s="124"/>
      <c r="BO187" s="124"/>
      <c r="BP187" s="124"/>
      <c r="BQ187" s="124"/>
      <c r="BR187" s="124"/>
      <c r="BS187" s="124"/>
      <c r="BT187" s="124"/>
      <c r="BU187" s="124"/>
      <c r="BV187" s="124"/>
      <c r="BW187" s="124"/>
      <c r="BX187" s="124"/>
      <c r="BY187" s="124"/>
      <c r="BZ187" s="124"/>
      <c r="CA187" s="124"/>
      <c r="CB187" s="124"/>
      <c r="CC187" s="124"/>
      <c r="CD187" s="124"/>
      <c r="CE187" s="2"/>
    </row>
    <row x14ac:dyDescent="0.25" r="188" customHeight="1" ht="13.5">
      <c r="A188" s="2"/>
      <c r="B188" s="3"/>
      <c r="C188" s="2"/>
      <c r="D188" s="118" t="s">
        <v>209</v>
      </c>
      <c r="E188" s="312"/>
      <c r="F188" s="312"/>
      <c r="G188" s="312"/>
      <c r="H188" s="312"/>
      <c r="I188" s="312"/>
      <c r="J188" s="124"/>
      <c r="K188" s="368">
        <f>T188*Q188</f>
      </c>
      <c r="L188" s="368">
        <f>U188*R188</f>
      </c>
      <c r="M188" s="368">
        <f>V188*S188</f>
      </c>
      <c r="N188" s="2"/>
      <c r="O188" s="303">
        <f>O160</f>
      </c>
      <c r="P188" s="306">
        <f>P160</f>
      </c>
      <c r="Q188" s="383">
        <f>IF($O188="Yes",ProjectedP205_Consumption!K53*$P188,0)</f>
      </c>
      <c r="R188" s="383">
        <f>IF($O188="Yes",ProjectedP205_Consumption!L53*$P188,0)</f>
      </c>
      <c r="S188" s="384">
        <f>IF($O188="Yes",ProjectedP205_Consumption!M53*$P188,0)</f>
      </c>
      <c r="T188" s="310">
        <f>T160</f>
      </c>
      <c r="U188" s="310">
        <f>U160</f>
      </c>
      <c r="V188" s="160">
        <f>V160</f>
      </c>
      <c r="W188" s="290"/>
      <c r="X188" s="290"/>
      <c r="Y188" s="290"/>
      <c r="Z188" s="300"/>
      <c r="AA188" s="300"/>
      <c r="AB188" s="300"/>
      <c r="AC188" s="300"/>
      <c r="AD188" s="300"/>
      <c r="AE188" s="300"/>
      <c r="AF188" s="160"/>
      <c r="AG188" s="160"/>
      <c r="AH188" s="160"/>
      <c r="AI188" s="300"/>
      <c r="AJ188" s="300"/>
      <c r="AK188" s="300"/>
      <c r="AL188" s="350"/>
      <c r="AM188" s="350"/>
      <c r="AN188" s="350"/>
      <c r="AO188" s="300"/>
      <c r="AP188" s="300"/>
      <c r="AQ188" s="300"/>
      <c r="AR188" s="300"/>
      <c r="AS188" s="300"/>
      <c r="AT188" s="300"/>
      <c r="AU188" s="297"/>
      <c r="AV188" s="297"/>
      <c r="AW188" s="297"/>
      <c r="AX188" s="297"/>
      <c r="AY188" s="297"/>
      <c r="AZ188" s="297"/>
      <c r="BA188" s="63"/>
      <c r="BB188" s="63"/>
      <c r="BC188" s="63"/>
      <c r="BD188" s="63"/>
      <c r="BE188" s="63"/>
      <c r="BF188" s="63"/>
      <c r="BG188" s="63"/>
      <c r="BH188" s="63"/>
      <c r="BI188" s="63"/>
      <c r="BJ188" s="63"/>
      <c r="BK188" s="63"/>
      <c r="BL188" s="63"/>
      <c r="BM188" s="124"/>
      <c r="BN188" s="124"/>
      <c r="BO188" s="124"/>
      <c r="BP188" s="124"/>
      <c r="BQ188" s="124"/>
      <c r="BR188" s="124"/>
      <c r="BS188" s="124"/>
      <c r="BT188" s="124"/>
      <c r="BU188" s="124"/>
      <c r="BV188" s="124"/>
      <c r="BW188" s="124"/>
      <c r="BX188" s="124"/>
      <c r="BY188" s="124"/>
      <c r="BZ188" s="124"/>
      <c r="CA188" s="124"/>
      <c r="CB188" s="124"/>
      <c r="CC188" s="124"/>
      <c r="CD188" s="124"/>
      <c r="CE188" s="2"/>
    </row>
    <row x14ac:dyDescent="0.25" r="189" customHeight="1" ht="13.5">
      <c r="A189" s="2"/>
      <c r="B189" s="3"/>
      <c r="C189" s="2"/>
      <c r="D189" s="118" t="s">
        <v>223</v>
      </c>
      <c r="E189" s="312"/>
      <c r="F189" s="312"/>
      <c r="G189" s="312"/>
      <c r="H189" s="312"/>
      <c r="I189" s="312"/>
      <c r="J189" s="124"/>
      <c r="K189" s="368">
        <f>T189*Q189</f>
      </c>
      <c r="L189" s="368">
        <f>U189*R189</f>
      </c>
      <c r="M189" s="368">
        <f>V189*S189</f>
      </c>
      <c r="N189" s="2"/>
      <c r="O189" s="303">
        <f>O161</f>
      </c>
      <c r="P189" s="306">
        <f>P161</f>
      </c>
      <c r="Q189" s="383">
        <f>IF($O189="Yes",ProjectedP205_Consumption!K54*$P189,0)</f>
      </c>
      <c r="R189" s="383">
        <f>IF($O189="Yes",ProjectedP205_Consumption!L54*$P189,0)</f>
      </c>
      <c r="S189" s="384">
        <f>IF($O189="Yes",ProjectedP205_Consumption!M54*$P189,0)</f>
      </c>
      <c r="T189" s="310">
        <f>T161</f>
      </c>
      <c r="U189" s="310">
        <f>U161</f>
      </c>
      <c r="V189" s="160">
        <f>V161</f>
      </c>
      <c r="W189" s="290"/>
      <c r="X189" s="290"/>
      <c r="Y189" s="290"/>
      <c r="Z189" s="300"/>
      <c r="AA189" s="300"/>
      <c r="AB189" s="300"/>
      <c r="AC189" s="300"/>
      <c r="AD189" s="300"/>
      <c r="AE189" s="300"/>
      <c r="AF189" s="160"/>
      <c r="AG189" s="160"/>
      <c r="AH189" s="160"/>
      <c r="AI189" s="300"/>
      <c r="AJ189" s="300"/>
      <c r="AK189" s="300"/>
      <c r="AL189" s="350"/>
      <c r="AM189" s="350"/>
      <c r="AN189" s="350"/>
      <c r="AO189" s="300"/>
      <c r="AP189" s="300"/>
      <c r="AQ189" s="300"/>
      <c r="AR189" s="300"/>
      <c r="AS189" s="300"/>
      <c r="AT189" s="300"/>
      <c r="AU189" s="297"/>
      <c r="AV189" s="297"/>
      <c r="AW189" s="297"/>
      <c r="AX189" s="297"/>
      <c r="AY189" s="297"/>
      <c r="AZ189" s="297"/>
      <c r="BA189" s="63"/>
      <c r="BB189" s="63"/>
      <c r="BC189" s="63"/>
      <c r="BD189" s="63"/>
      <c r="BE189" s="63"/>
      <c r="BF189" s="63"/>
      <c r="BG189" s="63"/>
      <c r="BH189" s="63"/>
      <c r="BI189" s="63"/>
      <c r="BJ189" s="63"/>
      <c r="BK189" s="63"/>
      <c r="BL189" s="63"/>
      <c r="BM189" s="124"/>
      <c r="BN189" s="124"/>
      <c r="BO189" s="124"/>
      <c r="BP189" s="124"/>
      <c r="BQ189" s="124"/>
      <c r="BR189" s="124"/>
      <c r="BS189" s="124"/>
      <c r="BT189" s="124"/>
      <c r="BU189" s="124"/>
      <c r="BV189" s="124"/>
      <c r="BW189" s="124"/>
      <c r="BX189" s="124"/>
      <c r="BY189" s="124"/>
      <c r="BZ189" s="124"/>
      <c r="CA189" s="124"/>
      <c r="CB189" s="124"/>
      <c r="CC189" s="124"/>
      <c r="CD189" s="124"/>
      <c r="CE189" s="2"/>
    </row>
    <row x14ac:dyDescent="0.25" r="190" customHeight="1" ht="13.5">
      <c r="A190" s="2"/>
      <c r="B190" s="3"/>
      <c r="C190" s="2"/>
      <c r="D190" s="118" t="s">
        <v>183</v>
      </c>
      <c r="E190" s="312"/>
      <c r="F190" s="312"/>
      <c r="G190" s="312"/>
      <c r="H190" s="312"/>
      <c r="I190" s="312"/>
      <c r="J190" s="124"/>
      <c r="K190" s="368">
        <f>T190*Q190</f>
      </c>
      <c r="L190" s="368">
        <f>U190*R190</f>
      </c>
      <c r="M190" s="368">
        <f>V190*S190</f>
      </c>
      <c r="N190" s="2"/>
      <c r="O190" s="303">
        <f>O162</f>
      </c>
      <c r="P190" s="306">
        <f>P162</f>
      </c>
      <c r="Q190" s="383">
        <f>IF($O190="Yes",ProjectedP205_Consumption!K55*$P190,0)</f>
      </c>
      <c r="R190" s="383">
        <f>IF($O190="Yes",ProjectedP205_Consumption!L55*$P190,0)</f>
      </c>
      <c r="S190" s="384">
        <f>IF($O190="Yes",ProjectedP205_Consumption!M55*$P190,0)</f>
      </c>
      <c r="T190" s="310">
        <f>T162</f>
      </c>
      <c r="U190" s="310">
        <f>U162</f>
      </c>
      <c r="V190" s="160">
        <f>V162</f>
      </c>
      <c r="W190" s="290"/>
      <c r="X190" s="290"/>
      <c r="Y190" s="290"/>
      <c r="Z190" s="300"/>
      <c r="AA190" s="300"/>
      <c r="AB190" s="300"/>
      <c r="AC190" s="300"/>
      <c r="AD190" s="300"/>
      <c r="AE190" s="300"/>
      <c r="AF190" s="160"/>
      <c r="AG190" s="160"/>
      <c r="AH190" s="160"/>
      <c r="AI190" s="300"/>
      <c r="AJ190" s="300"/>
      <c r="AK190" s="300"/>
      <c r="AL190" s="350"/>
      <c r="AM190" s="350"/>
      <c r="AN190" s="350"/>
      <c r="AO190" s="300"/>
      <c r="AP190" s="300"/>
      <c r="AQ190" s="300"/>
      <c r="AR190" s="300"/>
      <c r="AS190" s="300"/>
      <c r="AT190" s="300"/>
      <c r="AU190" s="297"/>
      <c r="AV190" s="297"/>
      <c r="AW190" s="297"/>
      <c r="AX190" s="297"/>
      <c r="AY190" s="297"/>
      <c r="AZ190" s="297"/>
      <c r="BA190" s="63"/>
      <c r="BB190" s="63"/>
      <c r="BC190" s="63"/>
      <c r="BD190" s="63"/>
      <c r="BE190" s="63"/>
      <c r="BF190" s="63"/>
      <c r="BG190" s="63"/>
      <c r="BH190" s="63"/>
      <c r="BI190" s="63"/>
      <c r="BJ190" s="63"/>
      <c r="BK190" s="63"/>
      <c r="BL190" s="63"/>
      <c r="BM190" s="124"/>
      <c r="BN190" s="124"/>
      <c r="BO190" s="124"/>
      <c r="BP190" s="124"/>
      <c r="BQ190" s="124"/>
      <c r="BR190" s="124"/>
      <c r="BS190" s="124"/>
      <c r="BT190" s="124"/>
      <c r="BU190" s="124"/>
      <c r="BV190" s="124"/>
      <c r="BW190" s="124"/>
      <c r="BX190" s="124"/>
      <c r="BY190" s="124"/>
      <c r="BZ190" s="124"/>
      <c r="CA190" s="124"/>
      <c r="CB190" s="124"/>
      <c r="CC190" s="124"/>
      <c r="CD190" s="124"/>
      <c r="CE190" s="2"/>
    </row>
    <row x14ac:dyDescent="0.25" r="191" customHeight="1" ht="13.5">
      <c r="A191" s="2"/>
      <c r="B191" s="3"/>
      <c r="C191" s="2"/>
      <c r="D191" s="118" t="s">
        <v>161</v>
      </c>
      <c r="E191" s="312"/>
      <c r="F191" s="312"/>
      <c r="G191" s="312"/>
      <c r="H191" s="312"/>
      <c r="I191" s="312"/>
      <c r="J191" s="124"/>
      <c r="K191" s="368">
        <f>T191*Q191</f>
      </c>
      <c r="L191" s="368">
        <f>U191*R191</f>
      </c>
      <c r="M191" s="368">
        <f>V191*S191</f>
      </c>
      <c r="N191" s="2"/>
      <c r="O191" s="303">
        <f>O163</f>
      </c>
      <c r="P191" s="306">
        <f>P163</f>
      </c>
      <c r="Q191" s="383">
        <f>IF($O191="Yes",ProjectedP205_Consumption!K56*$P191,0)</f>
      </c>
      <c r="R191" s="383">
        <f>IF($O191="Yes",ProjectedP205_Consumption!L56*$P191,0)</f>
      </c>
      <c r="S191" s="384">
        <f>IF($O191="Yes",ProjectedP205_Consumption!M56*$P191,0)</f>
      </c>
      <c r="T191" s="310">
        <f>T163</f>
      </c>
      <c r="U191" s="310">
        <f>U163</f>
      </c>
      <c r="V191" s="160">
        <f>V163</f>
      </c>
      <c r="W191" s="290"/>
      <c r="X191" s="290"/>
      <c r="Y191" s="290"/>
      <c r="Z191" s="300"/>
      <c r="AA191" s="300"/>
      <c r="AB191" s="300"/>
      <c r="AC191" s="300"/>
      <c r="AD191" s="300"/>
      <c r="AE191" s="300"/>
      <c r="AF191" s="160"/>
      <c r="AG191" s="160"/>
      <c r="AH191" s="160"/>
      <c r="AI191" s="300"/>
      <c r="AJ191" s="300"/>
      <c r="AK191" s="300"/>
      <c r="AL191" s="350"/>
      <c r="AM191" s="350"/>
      <c r="AN191" s="350"/>
      <c r="AO191" s="300"/>
      <c r="AP191" s="300"/>
      <c r="AQ191" s="300"/>
      <c r="AR191" s="300"/>
      <c r="AS191" s="300"/>
      <c r="AT191" s="300"/>
      <c r="AU191" s="297"/>
      <c r="AV191" s="297"/>
      <c r="AW191" s="297"/>
      <c r="AX191" s="297"/>
      <c r="AY191" s="297"/>
      <c r="AZ191" s="297"/>
      <c r="BA191" s="63"/>
      <c r="BB191" s="63"/>
      <c r="BC191" s="63"/>
      <c r="BD191" s="63"/>
      <c r="BE191" s="63"/>
      <c r="BF191" s="63"/>
      <c r="BG191" s="63"/>
      <c r="BH191" s="63"/>
      <c r="BI191" s="63"/>
      <c r="BJ191" s="63"/>
      <c r="BK191" s="63"/>
      <c r="BL191" s="63"/>
      <c r="BM191" s="124"/>
      <c r="BN191" s="124"/>
      <c r="BO191" s="124"/>
      <c r="BP191" s="124"/>
      <c r="BQ191" s="124"/>
      <c r="BR191" s="124"/>
      <c r="BS191" s="124"/>
      <c r="BT191" s="124"/>
      <c r="BU191" s="124"/>
      <c r="BV191" s="124"/>
      <c r="BW191" s="124"/>
      <c r="BX191" s="124"/>
      <c r="BY191" s="124"/>
      <c r="BZ191" s="124"/>
      <c r="CA191" s="124"/>
      <c r="CB191" s="124"/>
      <c r="CC191" s="124"/>
      <c r="CD191" s="124"/>
      <c r="CE191" s="2"/>
    </row>
    <row x14ac:dyDescent="0.25" r="192" customHeight="1" ht="13.5">
      <c r="A192" s="2"/>
      <c r="B192" s="3"/>
      <c r="C192" s="2"/>
      <c r="D192" s="118" t="s">
        <v>219</v>
      </c>
      <c r="E192" s="312"/>
      <c r="F192" s="312"/>
      <c r="G192" s="312"/>
      <c r="H192" s="312"/>
      <c r="I192" s="312"/>
      <c r="J192" s="124"/>
      <c r="K192" s="368">
        <f>T192*Q192</f>
      </c>
      <c r="L192" s="368">
        <f>U192*R192</f>
      </c>
      <c r="M192" s="368">
        <f>V192*S192</f>
      </c>
      <c r="N192" s="2"/>
      <c r="O192" s="303">
        <f>O164</f>
      </c>
      <c r="P192" s="306">
        <f>P164</f>
      </c>
      <c r="Q192" s="383">
        <f>IF($O192="Yes",ProjectedP205_Consumption!K57*$P192,0)</f>
      </c>
      <c r="R192" s="383">
        <f>IF($O192="Yes",ProjectedP205_Consumption!L57*$P192,0)</f>
      </c>
      <c r="S192" s="384">
        <f>IF($O192="Yes",ProjectedP205_Consumption!M57*$P192,0)</f>
      </c>
      <c r="T192" s="310">
        <f>T164</f>
      </c>
      <c r="U192" s="310">
        <f>U164</f>
      </c>
      <c r="V192" s="160">
        <f>V164</f>
      </c>
      <c r="W192" s="290"/>
      <c r="X192" s="290"/>
      <c r="Y192" s="290"/>
      <c r="Z192" s="300"/>
      <c r="AA192" s="300"/>
      <c r="AB192" s="300"/>
      <c r="AC192" s="300"/>
      <c r="AD192" s="300"/>
      <c r="AE192" s="300"/>
      <c r="AF192" s="160"/>
      <c r="AG192" s="160"/>
      <c r="AH192" s="160"/>
      <c r="AI192" s="300"/>
      <c r="AJ192" s="300"/>
      <c r="AK192" s="300"/>
      <c r="AL192" s="350"/>
      <c r="AM192" s="350"/>
      <c r="AN192" s="350"/>
      <c r="AO192" s="300"/>
      <c r="AP192" s="300"/>
      <c r="AQ192" s="300"/>
      <c r="AR192" s="300"/>
      <c r="AS192" s="300"/>
      <c r="AT192" s="300"/>
      <c r="AU192" s="297"/>
      <c r="AV192" s="297"/>
      <c r="AW192" s="297"/>
      <c r="AX192" s="297"/>
      <c r="AY192" s="297"/>
      <c r="AZ192" s="297"/>
      <c r="BA192" s="63"/>
      <c r="BB192" s="63"/>
      <c r="BC192" s="63"/>
      <c r="BD192" s="63"/>
      <c r="BE192" s="63"/>
      <c r="BF192" s="63"/>
      <c r="BG192" s="63"/>
      <c r="BH192" s="63"/>
      <c r="BI192" s="63"/>
      <c r="BJ192" s="63"/>
      <c r="BK192" s="63"/>
      <c r="BL192" s="63"/>
      <c r="BM192" s="124"/>
      <c r="BN192" s="124"/>
      <c r="BO192" s="124"/>
      <c r="BP192" s="124"/>
      <c r="BQ192" s="124"/>
      <c r="BR192" s="124"/>
      <c r="BS192" s="124"/>
      <c r="BT192" s="124"/>
      <c r="BU192" s="124"/>
      <c r="BV192" s="124"/>
      <c r="BW192" s="124"/>
      <c r="BX192" s="124"/>
      <c r="BY192" s="124"/>
      <c r="BZ192" s="124"/>
      <c r="CA192" s="124"/>
      <c r="CB192" s="124"/>
      <c r="CC192" s="124"/>
      <c r="CD192" s="124"/>
      <c r="CE192" s="2"/>
    </row>
    <row x14ac:dyDescent="0.25" r="193" customHeight="1" ht="13.5">
      <c r="A193" s="2"/>
      <c r="B193" s="3"/>
      <c r="C193" s="2"/>
      <c r="D193" s="118" t="s">
        <v>159</v>
      </c>
      <c r="E193" s="312"/>
      <c r="F193" s="312"/>
      <c r="G193" s="312"/>
      <c r="H193" s="312"/>
      <c r="I193" s="312"/>
      <c r="J193" s="124"/>
      <c r="K193" s="368">
        <f>T193*Q193</f>
      </c>
      <c r="L193" s="368">
        <f>U193*R193</f>
      </c>
      <c r="M193" s="368">
        <f>V193*S193</f>
      </c>
      <c r="N193" s="2"/>
      <c r="O193" s="303">
        <f>O165</f>
      </c>
      <c r="P193" s="306">
        <f>P165</f>
      </c>
      <c r="Q193" s="383">
        <f>IF($O193="Yes",ProjectedP205_Consumption!K58*$P193,0)</f>
      </c>
      <c r="R193" s="383">
        <f>IF($O193="Yes",ProjectedP205_Consumption!L58*$P193,0)</f>
      </c>
      <c r="S193" s="384">
        <f>IF($O193="Yes",ProjectedP205_Consumption!M58*$P193,0)</f>
      </c>
      <c r="T193" s="310">
        <f>T165</f>
      </c>
      <c r="U193" s="310">
        <f>U165</f>
      </c>
      <c r="V193" s="160">
        <f>V165</f>
      </c>
      <c r="W193" s="290"/>
      <c r="X193" s="290"/>
      <c r="Y193" s="290"/>
      <c r="Z193" s="300"/>
      <c r="AA193" s="300"/>
      <c r="AB193" s="300"/>
      <c r="AC193" s="300"/>
      <c r="AD193" s="300"/>
      <c r="AE193" s="300"/>
      <c r="AF193" s="160"/>
      <c r="AG193" s="160"/>
      <c r="AH193" s="160"/>
      <c r="AI193" s="300"/>
      <c r="AJ193" s="300"/>
      <c r="AK193" s="300"/>
      <c r="AL193" s="350"/>
      <c r="AM193" s="350"/>
      <c r="AN193" s="350"/>
      <c r="AO193" s="300"/>
      <c r="AP193" s="300"/>
      <c r="AQ193" s="300"/>
      <c r="AR193" s="300"/>
      <c r="AS193" s="300"/>
      <c r="AT193" s="300"/>
      <c r="AU193" s="297"/>
      <c r="AV193" s="297"/>
      <c r="AW193" s="297"/>
      <c r="AX193" s="297"/>
      <c r="AY193" s="297"/>
      <c r="AZ193" s="297"/>
      <c r="BA193" s="63"/>
      <c r="BB193" s="63"/>
      <c r="BC193" s="63"/>
      <c r="BD193" s="63"/>
      <c r="BE193" s="63"/>
      <c r="BF193" s="63"/>
      <c r="BG193" s="63"/>
      <c r="BH193" s="63"/>
      <c r="BI193" s="63"/>
      <c r="BJ193" s="63"/>
      <c r="BK193" s="63"/>
      <c r="BL193" s="63"/>
      <c r="BM193" s="124"/>
      <c r="BN193" s="124"/>
      <c r="BO193" s="124"/>
      <c r="BP193" s="124"/>
      <c r="BQ193" s="124"/>
      <c r="BR193" s="124"/>
      <c r="BS193" s="124"/>
      <c r="BT193" s="124"/>
      <c r="BU193" s="124"/>
      <c r="BV193" s="124"/>
      <c r="BW193" s="124"/>
      <c r="BX193" s="124"/>
      <c r="BY193" s="124"/>
      <c r="BZ193" s="124"/>
      <c r="CA193" s="124"/>
      <c r="CB193" s="124"/>
      <c r="CC193" s="124"/>
      <c r="CD193" s="124"/>
      <c r="CE193" s="2"/>
    </row>
    <row x14ac:dyDescent="0.25" r="194" customHeight="1" ht="13.5">
      <c r="A194" s="2"/>
      <c r="B194" s="3"/>
      <c r="C194" s="2"/>
      <c r="D194" s="118" t="s">
        <v>163</v>
      </c>
      <c r="E194" s="312"/>
      <c r="F194" s="312"/>
      <c r="G194" s="312"/>
      <c r="H194" s="312"/>
      <c r="I194" s="312"/>
      <c r="J194" s="124"/>
      <c r="K194" s="368">
        <f>T194*Q194</f>
      </c>
      <c r="L194" s="368">
        <f>U194*R194</f>
      </c>
      <c r="M194" s="368">
        <f>V194*S194</f>
      </c>
      <c r="N194" s="2"/>
      <c r="O194" s="303">
        <f>O166</f>
      </c>
      <c r="P194" s="306">
        <f>P166</f>
      </c>
      <c r="Q194" s="383">
        <f>IF($O194="Yes",ProjectedP205_Consumption!K59*$P194,0)</f>
      </c>
      <c r="R194" s="383">
        <f>IF($O194="Yes",ProjectedP205_Consumption!L59*$P194,0)</f>
      </c>
      <c r="S194" s="384">
        <f>IF($O194="Yes",ProjectedP205_Consumption!M59*$P194,0)</f>
      </c>
      <c r="T194" s="310">
        <f>T166</f>
      </c>
      <c r="U194" s="310">
        <f>U166</f>
      </c>
      <c r="V194" s="160">
        <f>V166</f>
      </c>
      <c r="W194" s="290"/>
      <c r="X194" s="290"/>
      <c r="Y194" s="290"/>
      <c r="Z194" s="300"/>
      <c r="AA194" s="300"/>
      <c r="AB194" s="300"/>
      <c r="AC194" s="300"/>
      <c r="AD194" s="300"/>
      <c r="AE194" s="300"/>
      <c r="AF194" s="160"/>
      <c r="AG194" s="160"/>
      <c r="AH194" s="160"/>
      <c r="AI194" s="300"/>
      <c r="AJ194" s="300"/>
      <c r="AK194" s="300"/>
      <c r="AL194" s="350"/>
      <c r="AM194" s="350"/>
      <c r="AN194" s="350"/>
      <c r="AO194" s="300"/>
      <c r="AP194" s="300"/>
      <c r="AQ194" s="300"/>
      <c r="AR194" s="300"/>
      <c r="AS194" s="300"/>
      <c r="AT194" s="300"/>
      <c r="AU194" s="297"/>
      <c r="AV194" s="297"/>
      <c r="AW194" s="297"/>
      <c r="AX194" s="297"/>
      <c r="AY194" s="297"/>
      <c r="AZ194" s="297"/>
      <c r="BA194" s="63"/>
      <c r="BB194" s="63"/>
      <c r="BC194" s="63"/>
      <c r="BD194" s="63"/>
      <c r="BE194" s="63"/>
      <c r="BF194" s="63"/>
      <c r="BG194" s="63"/>
      <c r="BH194" s="63"/>
      <c r="BI194" s="63"/>
      <c r="BJ194" s="63"/>
      <c r="BK194" s="63"/>
      <c r="BL194" s="63"/>
      <c r="BM194" s="124"/>
      <c r="BN194" s="124"/>
      <c r="BO194" s="124"/>
      <c r="BP194" s="124"/>
      <c r="BQ194" s="124"/>
      <c r="BR194" s="124"/>
      <c r="BS194" s="124"/>
      <c r="BT194" s="124"/>
      <c r="BU194" s="124"/>
      <c r="BV194" s="124"/>
      <c r="BW194" s="124"/>
      <c r="BX194" s="124"/>
      <c r="BY194" s="124"/>
      <c r="BZ194" s="124"/>
      <c r="CA194" s="124"/>
      <c r="CB194" s="124"/>
      <c r="CC194" s="124"/>
      <c r="CD194" s="124"/>
      <c r="CE194" s="2"/>
    </row>
    <row x14ac:dyDescent="0.25" r="195" customHeight="1" ht="13.5">
      <c r="A195" s="2"/>
      <c r="B195" s="3"/>
      <c r="C195" s="2"/>
      <c r="D195" s="118" t="s">
        <v>227</v>
      </c>
      <c r="E195" s="312"/>
      <c r="F195" s="312"/>
      <c r="G195" s="312"/>
      <c r="H195" s="312"/>
      <c r="I195" s="312"/>
      <c r="J195" s="124"/>
      <c r="K195" s="368">
        <f>T195*Q195</f>
      </c>
      <c r="L195" s="368">
        <f>U195*R195</f>
      </c>
      <c r="M195" s="368">
        <f>V195*S195</f>
      </c>
      <c r="N195" s="2"/>
      <c r="O195" s="303">
        <f>O167</f>
      </c>
      <c r="P195" s="306">
        <f>P167</f>
      </c>
      <c r="Q195" s="383">
        <f>IF($O195="Yes",ProjectedP205_Consumption!K60*$P195,0)</f>
      </c>
      <c r="R195" s="383">
        <f>IF($O195="Yes",ProjectedP205_Consumption!L60*$P195,0)</f>
      </c>
      <c r="S195" s="384">
        <f>IF($O195="Yes",ProjectedP205_Consumption!M60*$P195,0)</f>
      </c>
      <c r="T195" s="310">
        <f>T167</f>
      </c>
      <c r="U195" s="310">
        <f>U167</f>
      </c>
      <c r="V195" s="160">
        <f>V167</f>
      </c>
      <c r="W195" s="290"/>
      <c r="X195" s="290"/>
      <c r="Y195" s="290"/>
      <c r="Z195" s="300"/>
      <c r="AA195" s="300"/>
      <c r="AB195" s="300"/>
      <c r="AC195" s="300"/>
      <c r="AD195" s="300"/>
      <c r="AE195" s="300"/>
      <c r="AF195" s="160"/>
      <c r="AG195" s="160"/>
      <c r="AH195" s="160"/>
      <c r="AI195" s="300"/>
      <c r="AJ195" s="300"/>
      <c r="AK195" s="300"/>
      <c r="AL195" s="350"/>
      <c r="AM195" s="350"/>
      <c r="AN195" s="350"/>
      <c r="AO195" s="300"/>
      <c r="AP195" s="300"/>
      <c r="AQ195" s="300"/>
      <c r="AR195" s="300"/>
      <c r="AS195" s="300"/>
      <c r="AT195" s="300"/>
      <c r="AU195" s="297"/>
      <c r="AV195" s="297"/>
      <c r="AW195" s="297"/>
      <c r="AX195" s="297"/>
      <c r="AY195" s="297"/>
      <c r="AZ195" s="297"/>
      <c r="BA195" s="63"/>
      <c r="BB195" s="63"/>
      <c r="BC195" s="63"/>
      <c r="BD195" s="63"/>
      <c r="BE195" s="63"/>
      <c r="BF195" s="63"/>
      <c r="BG195" s="63"/>
      <c r="BH195" s="63"/>
      <c r="BI195" s="63"/>
      <c r="BJ195" s="63"/>
      <c r="BK195" s="63"/>
      <c r="BL195" s="63"/>
      <c r="BM195" s="124"/>
      <c r="BN195" s="124"/>
      <c r="BO195" s="124"/>
      <c r="BP195" s="124"/>
      <c r="BQ195" s="124"/>
      <c r="BR195" s="124"/>
      <c r="BS195" s="124"/>
      <c r="BT195" s="124"/>
      <c r="BU195" s="124"/>
      <c r="BV195" s="124"/>
      <c r="BW195" s="124"/>
      <c r="BX195" s="124"/>
      <c r="BY195" s="124"/>
      <c r="BZ195" s="124"/>
      <c r="CA195" s="124"/>
      <c r="CB195" s="124"/>
      <c r="CC195" s="124"/>
      <c r="CD195" s="124"/>
      <c r="CE195" s="2"/>
    </row>
    <row x14ac:dyDescent="0.25" r="196" customHeight="1" ht="13.5">
      <c r="A196" s="2"/>
      <c r="B196" s="3"/>
      <c r="C196" s="2"/>
      <c r="D196" s="118" t="s">
        <v>255</v>
      </c>
      <c r="E196" s="312"/>
      <c r="F196" s="312"/>
      <c r="G196" s="312"/>
      <c r="H196" s="312"/>
      <c r="I196" s="312"/>
      <c r="J196" s="124"/>
      <c r="K196" s="368">
        <f>T196*Q196</f>
      </c>
      <c r="L196" s="368">
        <f>U196*R196</f>
      </c>
      <c r="M196" s="368">
        <f>V196*S196</f>
      </c>
      <c r="N196" s="2"/>
      <c r="O196" s="303">
        <f>O168</f>
      </c>
      <c r="P196" s="306">
        <f>P168</f>
      </c>
      <c r="Q196" s="383">
        <f>IF($O196="Yes",ProjectedP205_Consumption!K61*$P196,0)</f>
      </c>
      <c r="R196" s="383">
        <f>IF($O196="Yes",ProjectedP205_Consumption!L61*$P196,0)</f>
      </c>
      <c r="S196" s="384">
        <f>IF($O196="Yes",ProjectedP205_Consumption!M61*$P196,0)</f>
      </c>
      <c r="T196" s="310">
        <f>T168</f>
      </c>
      <c r="U196" s="310">
        <f>U168</f>
      </c>
      <c r="V196" s="160">
        <f>V168</f>
      </c>
      <c r="W196" s="290"/>
      <c r="X196" s="290"/>
      <c r="Y196" s="290"/>
      <c r="Z196" s="300"/>
      <c r="AA196" s="300"/>
      <c r="AB196" s="300"/>
      <c r="AC196" s="300"/>
      <c r="AD196" s="300"/>
      <c r="AE196" s="300"/>
      <c r="AF196" s="160"/>
      <c r="AG196" s="160"/>
      <c r="AH196" s="160"/>
      <c r="AI196" s="300"/>
      <c r="AJ196" s="300"/>
      <c r="AK196" s="300"/>
      <c r="AL196" s="350"/>
      <c r="AM196" s="350"/>
      <c r="AN196" s="350"/>
      <c r="AO196" s="300"/>
      <c r="AP196" s="300"/>
      <c r="AQ196" s="300"/>
      <c r="AR196" s="300"/>
      <c r="AS196" s="300"/>
      <c r="AT196" s="300"/>
      <c r="AU196" s="297"/>
      <c r="AV196" s="297"/>
      <c r="AW196" s="297"/>
      <c r="AX196" s="297"/>
      <c r="AY196" s="297"/>
      <c r="AZ196" s="297"/>
      <c r="BA196" s="63"/>
      <c r="BB196" s="63"/>
      <c r="BC196" s="63"/>
      <c r="BD196" s="63"/>
      <c r="BE196" s="63"/>
      <c r="BF196" s="63"/>
      <c r="BG196" s="63"/>
      <c r="BH196" s="63"/>
      <c r="BI196" s="63"/>
      <c r="BJ196" s="63"/>
      <c r="BK196" s="63"/>
      <c r="BL196" s="63"/>
      <c r="BM196" s="124"/>
      <c r="BN196" s="124"/>
      <c r="BO196" s="124"/>
      <c r="BP196" s="124"/>
      <c r="BQ196" s="124"/>
      <c r="BR196" s="124"/>
      <c r="BS196" s="124"/>
      <c r="BT196" s="124"/>
      <c r="BU196" s="124"/>
      <c r="BV196" s="124"/>
      <c r="BW196" s="124"/>
      <c r="BX196" s="124"/>
      <c r="BY196" s="124"/>
      <c r="BZ196" s="124"/>
      <c r="CA196" s="124"/>
      <c r="CB196" s="124"/>
      <c r="CC196" s="124"/>
      <c r="CD196" s="124"/>
      <c r="CE196" s="2"/>
    </row>
    <row x14ac:dyDescent="0.25" r="197" customHeight="1" ht="13.5">
      <c r="A197" s="2"/>
      <c r="B197" s="3"/>
      <c r="C197" s="2"/>
      <c r="D197" s="390">
        <f>D169</f>
      </c>
      <c r="E197" s="364"/>
      <c r="F197" s="364"/>
      <c r="G197" s="364"/>
      <c r="H197" s="364"/>
      <c r="I197" s="364"/>
      <c r="J197" s="364"/>
      <c r="K197" s="327">
        <f>SUM(K176:K196)</f>
      </c>
      <c r="L197" s="327">
        <f>SUM(L176:L196)</f>
      </c>
      <c r="M197" s="327">
        <f>SUM(M176:M196)</f>
      </c>
      <c r="N197" s="2"/>
      <c r="O197" s="374">
        <f>COUNTIF(O176:O196,"Yes")</f>
      </c>
      <c r="P197" s="375"/>
      <c r="Q197" s="385">
        <f>SUM(Q176:Q196)</f>
      </c>
      <c r="R197" s="385">
        <f>SUM(R176:R196)</f>
      </c>
      <c r="S197" s="386">
        <f>SUM(S176:S196)</f>
      </c>
      <c r="T197" s="181"/>
      <c r="U197" s="181"/>
      <c r="V197" s="181"/>
      <c r="W197" s="300"/>
      <c r="X197" s="300"/>
      <c r="Y197" s="300"/>
      <c r="Z197" s="300"/>
      <c r="AA197" s="300"/>
      <c r="AB197" s="300"/>
      <c r="AC197" s="300"/>
      <c r="AD197" s="290"/>
      <c r="AE197" s="300"/>
      <c r="AF197" s="300"/>
      <c r="AG197" s="300"/>
      <c r="AH197" s="300"/>
      <c r="AI197" s="300"/>
      <c r="AJ197" s="300"/>
      <c r="AK197" s="300"/>
      <c r="AL197" s="300"/>
      <c r="AM197" s="300"/>
      <c r="AN197" s="300"/>
      <c r="AO197" s="300"/>
      <c r="AP197" s="300"/>
      <c r="AQ197" s="300"/>
      <c r="AR197" s="300"/>
      <c r="AS197" s="300"/>
      <c r="AT197" s="300"/>
      <c r="AU197" s="300"/>
      <c r="AV197" s="300"/>
      <c r="AW197" s="300"/>
      <c r="AX197" s="124"/>
      <c r="AY197" s="124"/>
      <c r="AZ197" s="124"/>
      <c r="BA197" s="63"/>
      <c r="BB197" s="63"/>
      <c r="BC197" s="63"/>
      <c r="BD197" s="63"/>
      <c r="BE197" s="63"/>
      <c r="BF197" s="63"/>
      <c r="BG197" s="63"/>
      <c r="BH197" s="63"/>
      <c r="BI197" s="63"/>
      <c r="BJ197" s="63"/>
      <c r="BK197" s="63"/>
      <c r="BL197" s="63"/>
      <c r="BM197" s="63"/>
      <c r="BN197" s="63"/>
      <c r="BO197" s="63"/>
      <c r="BP197" s="124"/>
      <c r="BQ197" s="124"/>
      <c r="BR197" s="124"/>
      <c r="BS197" s="124"/>
      <c r="BT197" s="124"/>
      <c r="BU197" s="124"/>
      <c r="BV197" s="124"/>
      <c r="BW197" s="124"/>
      <c r="BX197" s="124"/>
      <c r="BY197" s="124"/>
      <c r="BZ197" s="124"/>
      <c r="CA197" s="124"/>
      <c r="CB197" s="124"/>
      <c r="CC197" s="124"/>
      <c r="CD197" s="124"/>
      <c r="CE197" s="2"/>
    </row>
    <row x14ac:dyDescent="0.25" r="198" customHeight="1" ht="13.5">
      <c r="A198" s="2"/>
      <c r="B198" s="3"/>
      <c r="C198" s="2"/>
      <c r="D198" s="391">
        <f>D170</f>
      </c>
      <c r="E198" s="364"/>
      <c r="F198" s="364"/>
      <c r="G198" s="364"/>
      <c r="H198" s="364"/>
      <c r="I198" s="364"/>
      <c r="J198" s="364"/>
      <c r="K198" s="327">
        <f>K197/46%</f>
      </c>
      <c r="L198" s="327">
        <f>L197/46%</f>
      </c>
      <c r="M198" s="327">
        <f>M197/46%</f>
      </c>
      <c r="N198" s="2"/>
      <c r="O198" s="124"/>
      <c r="P198" s="124"/>
      <c r="Q198" s="124"/>
      <c r="R198" s="124"/>
      <c r="S198" s="124"/>
      <c r="T198" s="124"/>
      <c r="U198" s="124"/>
      <c r="V198" s="124"/>
      <c r="W198" s="124"/>
      <c r="X198" s="124"/>
      <c r="Y198" s="124"/>
      <c r="Z198" s="124"/>
      <c r="AA198" s="124"/>
      <c r="AB198" s="124"/>
      <c r="AC198" s="124"/>
      <c r="AD198" s="124"/>
      <c r="AE198" s="124"/>
      <c r="AF198" s="124"/>
      <c r="AG198" s="124"/>
      <c r="AH198" s="124"/>
      <c r="AI198" s="124"/>
      <c r="AJ198" s="124"/>
      <c r="AK198" s="124"/>
      <c r="AL198" s="124"/>
      <c r="AM198" s="124"/>
      <c r="AN198" s="124"/>
      <c r="AO198" s="124"/>
      <c r="AP198" s="124"/>
      <c r="AQ198" s="124"/>
      <c r="AR198" s="124"/>
      <c r="AS198" s="124"/>
      <c r="AT198" s="2"/>
      <c r="AU198" s="2"/>
      <c r="AV198" s="2"/>
      <c r="AW198" s="2"/>
      <c r="AX198" s="2"/>
      <c r="AY198" s="2"/>
      <c r="AZ198" s="2"/>
      <c r="BA198" s="124"/>
      <c r="BB198" s="124"/>
      <c r="BC198" s="124"/>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row>
    <row x14ac:dyDescent="0.25" r="199" customHeight="1" ht="13.5">
      <c r="A199" s="2"/>
      <c r="B199" s="3"/>
      <c r="C199" s="2"/>
      <c r="D199" s="225" t="s">
        <v>515</v>
      </c>
      <c r="E199" s="289"/>
      <c r="F199" s="289"/>
      <c r="G199" s="289"/>
      <c r="H199" s="289"/>
      <c r="I199" s="289"/>
      <c r="J199" s="289"/>
      <c r="K199" s="389">
        <f>K197/(ProjectedP205_Consumption!K62*10%)</f>
      </c>
      <c r="L199" s="389">
        <f>L197/(ProjectedP205_Consumption!L62*10%)</f>
      </c>
      <c r="M199" s="389">
        <f>M197/(ProjectedP205_Consumption!M62*10%)</f>
      </c>
      <c r="N199" s="2"/>
      <c r="O199" s="124"/>
      <c r="P199" s="124"/>
      <c r="Q199" s="124"/>
      <c r="R199" s="124"/>
      <c r="S199" s="124"/>
      <c r="T199" s="124"/>
      <c r="U199" s="124"/>
      <c r="V199" s="124"/>
      <c r="W199" s="124"/>
      <c r="X199" s="124"/>
      <c r="Y199" s="124"/>
      <c r="Z199" s="124"/>
      <c r="AA199" s="124"/>
      <c r="AB199" s="124"/>
      <c r="AC199" s="124"/>
      <c r="AD199" s="124"/>
      <c r="AE199" s="124"/>
      <c r="AF199" s="124"/>
      <c r="AG199" s="124"/>
      <c r="AH199" s="124"/>
      <c r="AI199" s="124"/>
      <c r="AJ199" s="124"/>
      <c r="AK199" s="124"/>
      <c r="AL199" s="124"/>
      <c r="AM199" s="124"/>
      <c r="AN199" s="124"/>
      <c r="AO199" s="124"/>
      <c r="AP199" s="124"/>
      <c r="AQ199" s="124"/>
      <c r="AR199" s="124"/>
      <c r="AS199" s="124"/>
      <c r="AT199" s="2"/>
      <c r="AU199" s="2"/>
      <c r="AV199" s="2"/>
      <c r="AW199" s="2"/>
      <c r="AX199" s="2"/>
      <c r="AY199" s="2"/>
      <c r="AZ199" s="2"/>
      <c r="BA199" s="124"/>
      <c r="BB199" s="124"/>
      <c r="BC199" s="124"/>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row>
    <row x14ac:dyDescent="0.25" r="200" customHeight="1" ht="13.5">
      <c r="A200" s="2"/>
      <c r="B200" s="3"/>
      <c r="C200" s="2"/>
      <c r="D200" s="290"/>
      <c r="E200" s="3"/>
      <c r="F200" s="3"/>
      <c r="G200" s="3"/>
      <c r="H200" s="3"/>
      <c r="I200" s="3"/>
      <c r="J200" s="3"/>
      <c r="K200" s="355"/>
      <c r="L200" s="108"/>
      <c r="M200" s="108"/>
      <c r="N200" s="2"/>
      <c r="O200" s="124"/>
      <c r="P200" s="124"/>
      <c r="Q200" s="124"/>
      <c r="R200" s="124"/>
      <c r="S200" s="124"/>
      <c r="T200" s="124"/>
      <c r="U200" s="124"/>
      <c r="V200" s="124"/>
      <c r="W200" s="124"/>
      <c r="X200" s="124"/>
      <c r="Y200" s="124"/>
      <c r="Z200" s="124"/>
      <c r="AA200" s="124"/>
      <c r="AB200" s="124"/>
      <c r="AC200" s="124"/>
      <c r="AD200" s="124"/>
      <c r="AE200" s="124"/>
      <c r="AF200" s="124"/>
      <c r="AG200" s="124"/>
      <c r="AH200" s="124"/>
      <c r="AI200" s="124"/>
      <c r="AJ200" s="124"/>
      <c r="AK200" s="124"/>
      <c r="AL200" s="124"/>
      <c r="AM200" s="124"/>
      <c r="AN200" s="124"/>
      <c r="AO200" s="124"/>
      <c r="AP200" s="124"/>
      <c r="AQ200" s="124"/>
      <c r="AR200" s="124"/>
      <c r="AS200" s="124"/>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row>
    <row x14ac:dyDescent="0.25" r="201" customHeight="1" ht="13.5">
      <c r="A201" s="2"/>
      <c r="B201" s="3"/>
      <c r="C201" s="2"/>
      <c r="D201" s="2"/>
      <c r="E201" s="3"/>
      <c r="F201" s="3"/>
      <c r="G201" s="3"/>
      <c r="H201" s="3"/>
      <c r="I201" s="3"/>
      <c r="J201" s="3"/>
      <c r="K201" s="108"/>
      <c r="L201" s="108"/>
      <c r="M201" s="108"/>
      <c r="N201" s="2"/>
      <c r="O201" s="124"/>
      <c r="P201" s="124"/>
      <c r="Q201" s="124"/>
      <c r="R201" s="124"/>
      <c r="S201" s="124"/>
      <c r="T201" s="124"/>
      <c r="U201" s="124"/>
      <c r="V201" s="124"/>
      <c r="W201" s="124"/>
      <c r="X201" s="124"/>
      <c r="Y201" s="124"/>
      <c r="Z201" s="124"/>
      <c r="AA201" s="124"/>
      <c r="AB201" s="124"/>
      <c r="AC201" s="124"/>
      <c r="AD201" s="124"/>
      <c r="AE201" s="124"/>
      <c r="AF201" s="124"/>
      <c r="AG201" s="124"/>
      <c r="AH201" s="124"/>
      <c r="AI201" s="124"/>
      <c r="AJ201" s="124"/>
      <c r="AK201" s="124"/>
      <c r="AL201" s="124"/>
      <c r="AM201" s="124"/>
      <c r="AN201" s="124"/>
      <c r="AO201" s="124"/>
      <c r="AP201" s="124"/>
      <c r="AQ201" s="124"/>
      <c r="AR201" s="124"/>
      <c r="AS201" s="124"/>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row>
    <row x14ac:dyDescent="0.25" r="202" customHeight="1" ht="13.5">
      <c r="A202" s="2"/>
      <c r="B202" s="392">
        <v>6</v>
      </c>
      <c r="C202" s="2"/>
      <c r="D202" s="393" t="s">
        <v>524</v>
      </c>
      <c r="E202" s="3"/>
      <c r="F202" s="3"/>
      <c r="G202" s="3"/>
      <c r="H202" s="3"/>
      <c r="I202" s="3"/>
      <c r="J202" s="3"/>
      <c r="K202" s="108"/>
      <c r="L202" s="108"/>
      <c r="M202" s="108"/>
      <c r="N202" s="2"/>
      <c r="O202" s="3"/>
      <c r="P202" s="3"/>
      <c r="Q202" s="3"/>
      <c r="R202" s="3"/>
      <c r="S202" s="3"/>
      <c r="T202" s="3"/>
      <c r="U202" s="3"/>
      <c r="V202" s="3"/>
      <c r="W202" s="3"/>
      <c r="X202" s="3"/>
      <c r="Y202" s="3"/>
      <c r="Z202" s="3"/>
      <c r="AA202" s="3"/>
      <c r="AB202" s="3"/>
      <c r="AC202" s="3"/>
      <c r="AD202" s="2"/>
      <c r="AE202" s="108"/>
      <c r="AF202" s="359"/>
      <c r="AG202" s="362"/>
      <c r="AH202" s="362"/>
      <c r="AI202" s="362"/>
      <c r="AJ202" s="362"/>
      <c r="AK202" s="108"/>
      <c r="AL202" s="359"/>
      <c r="AM202" s="359"/>
      <c r="AN202" s="359"/>
      <c r="AO202" s="108"/>
      <c r="AP202" s="108"/>
      <c r="AQ202" s="108"/>
      <c r="AR202" s="108"/>
      <c r="AS202" s="108"/>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row>
    <row x14ac:dyDescent="0.25" r="203" customHeight="1" ht="13.5">
      <c r="A203" s="2"/>
      <c r="B203" s="3"/>
      <c r="C203" s="2"/>
      <c r="D203" s="2"/>
      <c r="E203" s="3"/>
      <c r="F203" s="3"/>
      <c r="G203" s="3"/>
      <c r="H203" s="3"/>
      <c r="I203" s="3"/>
      <c r="J203" s="3"/>
      <c r="K203" s="108"/>
      <c r="L203" s="108"/>
      <c r="M203" s="108"/>
      <c r="N203" s="2"/>
      <c r="O203" s="394" t="s">
        <v>525</v>
      </c>
      <c r="P203" s="3"/>
      <c r="Q203" s="3"/>
      <c r="R203" s="3"/>
      <c r="S203" s="3"/>
      <c r="T203" s="3"/>
      <c r="U203" s="3"/>
      <c r="V203" s="3"/>
      <c r="W203" s="3"/>
      <c r="X203" s="3"/>
      <c r="Y203" s="3"/>
      <c r="Z203" s="3"/>
      <c r="AA203" s="3"/>
      <c r="AB203" s="3"/>
      <c r="AC203" s="3"/>
      <c r="AD203" s="2"/>
      <c r="AE203" s="394" t="s">
        <v>526</v>
      </c>
      <c r="AF203" s="108"/>
      <c r="AG203" s="108"/>
      <c r="AH203" s="108"/>
      <c r="AI203" s="108"/>
      <c r="AJ203" s="108"/>
      <c r="AK203" s="108"/>
      <c r="AL203" s="108"/>
      <c r="AM203" s="108"/>
      <c r="AN203" s="108"/>
      <c r="AO203" s="108"/>
      <c r="AP203" s="108"/>
      <c r="AQ203" s="108"/>
      <c r="AR203" s="108"/>
      <c r="AS203" s="108"/>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row>
    <row x14ac:dyDescent="0.25" r="204" customHeight="1" ht="13.5">
      <c r="A204" s="2"/>
      <c r="B204" s="3"/>
      <c r="C204" s="2"/>
      <c r="D204" s="395" t="s">
        <v>527</v>
      </c>
      <c r="E204" s="3"/>
      <c r="F204" s="3"/>
      <c r="G204" s="3"/>
      <c r="H204" s="3"/>
      <c r="I204" s="3"/>
      <c r="J204" s="3"/>
      <c r="K204" s="108"/>
      <c r="L204" s="108"/>
      <c r="M204" s="108"/>
      <c r="N204" s="2"/>
      <c r="O204" s="396" t="s">
        <v>441</v>
      </c>
      <c r="P204" s="3"/>
      <c r="Q204" s="3"/>
      <c r="R204" s="3"/>
      <c r="S204" s="3"/>
      <c r="T204" s="3"/>
      <c r="U204" s="3"/>
      <c r="V204" s="3"/>
      <c r="W204" s="3"/>
      <c r="X204" s="3"/>
      <c r="Y204" s="3"/>
      <c r="Z204" s="3"/>
      <c r="AA204" s="3"/>
      <c r="AB204" s="3"/>
      <c r="AC204" s="3"/>
      <c r="AD204" s="2"/>
      <c r="AE204" s="396" t="s">
        <v>528</v>
      </c>
      <c r="AF204" s="108"/>
      <c r="AG204" s="108"/>
      <c r="AH204" s="108"/>
      <c r="AI204" s="108"/>
      <c r="AJ204" s="108"/>
      <c r="AK204" s="108"/>
      <c r="AL204" s="108"/>
      <c r="AM204" s="108"/>
      <c r="AN204" s="108"/>
      <c r="AO204" s="108"/>
      <c r="AP204" s="108"/>
      <c r="AQ204" s="108"/>
      <c r="AR204" s="108"/>
      <c r="AS204" s="108"/>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row>
    <row x14ac:dyDescent="0.25" r="205" customHeight="1" ht="13.5">
      <c r="A205" s="2"/>
      <c r="B205" s="3"/>
      <c r="C205" s="2"/>
      <c r="D205" s="397">
        <f>D146</f>
      </c>
      <c r="E205" s="3"/>
      <c r="F205" s="3"/>
      <c r="G205" s="3"/>
      <c r="H205" s="3"/>
      <c r="I205" s="3"/>
      <c r="J205" s="3"/>
      <c r="K205" s="108"/>
      <c r="L205" s="108"/>
      <c r="M205" s="108"/>
      <c r="N205" s="2"/>
      <c r="O205" s="398" t="s">
        <v>25</v>
      </c>
      <c r="P205" s="347"/>
      <c r="Q205" s="347"/>
      <c r="R205" s="398" t="s">
        <v>443</v>
      </c>
      <c r="S205" s="347"/>
      <c r="T205" s="347"/>
      <c r="U205" s="398" t="s">
        <v>466</v>
      </c>
      <c r="V205" s="347"/>
      <c r="W205" s="347"/>
      <c r="X205" s="398" t="s">
        <v>529</v>
      </c>
      <c r="Y205" s="347"/>
      <c r="Z205" s="347"/>
      <c r="AA205" s="398" t="s">
        <v>29</v>
      </c>
      <c r="AB205" s="347"/>
      <c r="AC205" s="347"/>
      <c r="AD205" s="2"/>
      <c r="AE205" s="398" t="s">
        <v>25</v>
      </c>
      <c r="AF205" s="347"/>
      <c r="AG205" s="347"/>
      <c r="AH205" s="398" t="s">
        <v>443</v>
      </c>
      <c r="AI205" s="347"/>
      <c r="AJ205" s="347"/>
      <c r="AK205" s="398" t="s">
        <v>466</v>
      </c>
      <c r="AL205" s="347"/>
      <c r="AM205" s="347"/>
      <c r="AN205" s="398" t="s">
        <v>529</v>
      </c>
      <c r="AO205" s="347"/>
      <c r="AP205" s="347"/>
      <c r="AQ205" s="398" t="s">
        <v>29</v>
      </c>
      <c r="AR205" s="347"/>
      <c r="AS205" s="347"/>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row>
    <row x14ac:dyDescent="0.25" r="206" customHeight="1" ht="13.5">
      <c r="A206" s="2"/>
      <c r="B206" s="3"/>
      <c r="C206" s="2"/>
      <c r="D206" s="399">
        <f>D147</f>
      </c>
      <c r="E206" s="400">
        <v>2017</v>
      </c>
      <c r="F206" s="400">
        <v>2018</v>
      </c>
      <c r="G206" s="400">
        <v>2019</v>
      </c>
      <c r="H206" s="400">
        <v>2020</v>
      </c>
      <c r="I206" s="400">
        <v>2021</v>
      </c>
      <c r="J206" s="400">
        <v>2022</v>
      </c>
      <c r="K206" s="400">
        <v>2023</v>
      </c>
      <c r="L206" s="400">
        <v>2024</v>
      </c>
      <c r="M206" s="400">
        <v>2025</v>
      </c>
      <c r="N206" s="2"/>
      <c r="O206" s="400">
        <v>2023</v>
      </c>
      <c r="P206" s="400">
        <v>2024</v>
      </c>
      <c r="Q206" s="400">
        <v>2025</v>
      </c>
      <c r="R206" s="400">
        <v>2023</v>
      </c>
      <c r="S206" s="400">
        <v>2024</v>
      </c>
      <c r="T206" s="400">
        <v>2025</v>
      </c>
      <c r="U206" s="400">
        <v>2023</v>
      </c>
      <c r="V206" s="400">
        <v>2024</v>
      </c>
      <c r="W206" s="400">
        <v>2025</v>
      </c>
      <c r="X206" s="400">
        <v>2023</v>
      </c>
      <c r="Y206" s="400">
        <v>2024</v>
      </c>
      <c r="Z206" s="400">
        <v>2025</v>
      </c>
      <c r="AA206" s="400">
        <v>2023</v>
      </c>
      <c r="AB206" s="400">
        <v>2024</v>
      </c>
      <c r="AC206" s="400">
        <v>2025</v>
      </c>
      <c r="AD206" s="2"/>
      <c r="AE206" s="400">
        <v>2023</v>
      </c>
      <c r="AF206" s="400">
        <v>2024</v>
      </c>
      <c r="AG206" s="400">
        <v>2025</v>
      </c>
      <c r="AH206" s="400">
        <v>2023</v>
      </c>
      <c r="AI206" s="400">
        <v>2024</v>
      </c>
      <c r="AJ206" s="400">
        <v>2025</v>
      </c>
      <c r="AK206" s="400">
        <v>2023</v>
      </c>
      <c r="AL206" s="400">
        <v>2024</v>
      </c>
      <c r="AM206" s="400">
        <v>2025</v>
      </c>
      <c r="AN206" s="400">
        <v>2023</v>
      </c>
      <c r="AO206" s="400">
        <v>2024</v>
      </c>
      <c r="AP206" s="400">
        <v>2025</v>
      </c>
      <c r="AQ206" s="400">
        <v>2023</v>
      </c>
      <c r="AR206" s="400">
        <v>2024</v>
      </c>
      <c r="AS206" s="400">
        <v>2025</v>
      </c>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row>
    <row x14ac:dyDescent="0.25" r="207" customHeight="1" ht="13.5">
      <c r="A207" s="2"/>
      <c r="B207" s="3"/>
      <c r="C207" s="2"/>
      <c r="D207" s="250">
        <f>D148</f>
      </c>
      <c r="E207" s="154"/>
      <c r="F207" s="154"/>
      <c r="G207" s="154"/>
      <c r="H207" s="312"/>
      <c r="I207" s="312"/>
      <c r="J207" s="154"/>
      <c r="K207" s="401">
        <f>ProjectedP205_Consumption!K13-K91-K148</f>
      </c>
      <c r="L207" s="401">
        <f>ProjectedP205_Consumption!L13-L91-L148</f>
      </c>
      <c r="M207" s="401">
        <f>ProjectedP205_Consumption!M13-M91-M148</f>
      </c>
      <c r="N207" s="2"/>
      <c r="O207" s="63">
        <v>0.7</v>
      </c>
      <c r="P207" s="63">
        <v>0.7</v>
      </c>
      <c r="Q207" s="63">
        <v>0.7</v>
      </c>
      <c r="R207" s="63">
        <v>0</v>
      </c>
      <c r="S207" s="63">
        <v>0</v>
      </c>
      <c r="T207" s="63">
        <v>0</v>
      </c>
      <c r="U207" s="63">
        <v>0</v>
      </c>
      <c r="V207" s="63">
        <v>0</v>
      </c>
      <c r="W207" s="63">
        <v>0</v>
      </c>
      <c r="X207" s="63">
        <v>0</v>
      </c>
      <c r="Y207" s="63">
        <v>0</v>
      </c>
      <c r="Z207" s="63">
        <v>0</v>
      </c>
      <c r="AA207" s="63">
        <v>0.3</v>
      </c>
      <c r="AB207" s="63">
        <v>0.3</v>
      </c>
      <c r="AC207" s="63">
        <v>0.3</v>
      </c>
      <c r="AD207" s="2"/>
      <c r="AE207" s="361">
        <f>(K207*O207)/$E$12</f>
      </c>
      <c r="AF207" s="361">
        <f>(L207*P207)/$E$12</f>
      </c>
      <c r="AG207" s="361">
        <f>(M207*Q207)/$E$12</f>
      </c>
      <c r="AH207" s="361">
        <f>(K207*R207)/$E$10</f>
      </c>
      <c r="AI207" s="361">
        <f>(L207*S207)/$E$10</f>
      </c>
      <c r="AJ207" s="361">
        <f>(M207*T207)/$E$10</f>
      </c>
      <c r="AK207" s="361">
        <f>(K207*U207)/$E$10</f>
      </c>
      <c r="AL207" s="361">
        <f>(L207*V207)/$E$10</f>
      </c>
      <c r="AM207" s="361">
        <f>(M207*W207)/$E$10</f>
      </c>
      <c r="AN207" s="361">
        <f>(K207*X207)/$E$13</f>
      </c>
      <c r="AO207" s="361">
        <f>(L207*Y207)/$E$13</f>
      </c>
      <c r="AP207" s="361">
        <f>(M207*Z207)/$E$13</f>
      </c>
      <c r="AQ207" s="361">
        <f>(K207*AA207)/$E$14</f>
      </c>
      <c r="AR207" s="361">
        <f>(L207*AB207)/$E$14</f>
      </c>
      <c r="AS207" s="361">
        <f>(M207*AC207)/$E$14</f>
      </c>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row>
    <row x14ac:dyDescent="0.25" r="208" customHeight="1" ht="13.5">
      <c r="A208" s="2"/>
      <c r="B208" s="3"/>
      <c r="C208" s="2"/>
      <c r="D208" s="250">
        <f>D149</f>
      </c>
      <c r="E208" s="312"/>
      <c r="F208" s="312"/>
      <c r="G208" s="312"/>
      <c r="H208" s="312"/>
      <c r="I208" s="312"/>
      <c r="J208" s="154"/>
      <c r="K208" s="401">
        <f>ProjectedP205_Consumption!K14-K92-K149</f>
      </c>
      <c r="L208" s="401">
        <f>ProjectedP205_Consumption!L14-L92-L149</f>
      </c>
      <c r="M208" s="401">
        <f>ProjectedP205_Consumption!M14-M92-M149</f>
      </c>
      <c r="N208" s="2"/>
      <c r="O208" s="63">
        <v>0.7</v>
      </c>
      <c r="P208" s="63">
        <v>0.7</v>
      </c>
      <c r="Q208" s="63">
        <v>0.7</v>
      </c>
      <c r="R208" s="63">
        <v>0</v>
      </c>
      <c r="S208" s="63">
        <v>0</v>
      </c>
      <c r="T208" s="63">
        <v>0</v>
      </c>
      <c r="U208" s="63">
        <v>0</v>
      </c>
      <c r="V208" s="63">
        <v>0</v>
      </c>
      <c r="W208" s="63">
        <v>0</v>
      </c>
      <c r="X208" s="63">
        <v>0</v>
      </c>
      <c r="Y208" s="63">
        <v>0</v>
      </c>
      <c r="Z208" s="63">
        <v>0</v>
      </c>
      <c r="AA208" s="63">
        <v>0.3</v>
      </c>
      <c r="AB208" s="63">
        <v>0.3</v>
      </c>
      <c r="AC208" s="63">
        <v>0.3</v>
      </c>
      <c r="AD208" s="2"/>
      <c r="AE208" s="361">
        <f>(K208*O208)/$E$12</f>
      </c>
      <c r="AF208" s="361">
        <f>(L208*P208)/$E$12</f>
      </c>
      <c r="AG208" s="361">
        <f>(M208*Q208)/$E$12</f>
      </c>
      <c r="AH208" s="361">
        <f>(K208*R208)/$E$10</f>
      </c>
      <c r="AI208" s="361">
        <f>(L208*S208)/$E$10</f>
      </c>
      <c r="AJ208" s="361">
        <f>(M208*T208)/$E$10</f>
      </c>
      <c r="AK208" s="361">
        <f>(K208*U208)/$E$10</f>
      </c>
      <c r="AL208" s="361">
        <f>(L208*V208)/$E$10</f>
      </c>
      <c r="AM208" s="361">
        <f>(M208*W208)/$E$10</f>
      </c>
      <c r="AN208" s="361">
        <f>(K208*X208)/$E$13</f>
      </c>
      <c r="AO208" s="361">
        <f>(L208*Y208)/$E$13</f>
      </c>
      <c r="AP208" s="361">
        <f>(M208*Z208)/$E$13</f>
      </c>
      <c r="AQ208" s="361">
        <f>(K208*AA208)/$E$14</f>
      </c>
      <c r="AR208" s="361">
        <f>(L208*AB208)/$E$14</f>
      </c>
      <c r="AS208" s="361">
        <f>(M208*AC208)/$E$14</f>
      </c>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row>
    <row x14ac:dyDescent="0.25" r="209" customHeight="1" ht="13.5">
      <c r="A209" s="2"/>
      <c r="B209" s="3"/>
      <c r="C209" s="2"/>
      <c r="D209" s="250">
        <f>D150</f>
      </c>
      <c r="E209" s="312"/>
      <c r="F209" s="312"/>
      <c r="G209" s="312"/>
      <c r="H209" s="312"/>
      <c r="I209" s="312"/>
      <c r="J209" s="154"/>
      <c r="K209" s="401">
        <f>ProjectedP205_Consumption!K15-K93-K150</f>
      </c>
      <c r="L209" s="401">
        <f>ProjectedP205_Consumption!L15-L93-L150</f>
      </c>
      <c r="M209" s="401">
        <f>ProjectedP205_Consumption!M15-M93-M150</f>
      </c>
      <c r="N209" s="2"/>
      <c r="O209" s="63">
        <v>0.7</v>
      </c>
      <c r="P209" s="63">
        <v>0.7</v>
      </c>
      <c r="Q209" s="63">
        <v>0.7</v>
      </c>
      <c r="R209" s="63">
        <v>0</v>
      </c>
      <c r="S209" s="63">
        <v>0</v>
      </c>
      <c r="T209" s="63">
        <v>0</v>
      </c>
      <c r="U209" s="63">
        <v>0</v>
      </c>
      <c r="V209" s="63">
        <v>0</v>
      </c>
      <c r="W209" s="63">
        <v>0</v>
      </c>
      <c r="X209" s="63">
        <v>0</v>
      </c>
      <c r="Y209" s="63">
        <v>0</v>
      </c>
      <c r="Z209" s="63">
        <v>0</v>
      </c>
      <c r="AA209" s="63">
        <v>0.3</v>
      </c>
      <c r="AB209" s="63">
        <v>0.3</v>
      </c>
      <c r="AC209" s="63">
        <v>0.3</v>
      </c>
      <c r="AD209" s="2"/>
      <c r="AE209" s="361">
        <f>(K209*O209)/$E$12</f>
      </c>
      <c r="AF209" s="361">
        <f>(L209*P209)/$E$12</f>
      </c>
      <c r="AG209" s="361">
        <f>(M209*Q209)/$E$12</f>
      </c>
      <c r="AH209" s="361">
        <f>(K209*R209)/$E$10</f>
      </c>
      <c r="AI209" s="361">
        <f>(L209*S209)/$E$10</f>
      </c>
      <c r="AJ209" s="361">
        <f>(M209*T209)/$E$10</f>
      </c>
      <c r="AK209" s="361">
        <f>(K209*U209)/$E$10</f>
      </c>
      <c r="AL209" s="361">
        <f>(L209*V209)/$E$10</f>
      </c>
      <c r="AM209" s="361">
        <f>(M209*W209)/$E$10</f>
      </c>
      <c r="AN209" s="361">
        <f>(K209*X209)/$E$13</f>
      </c>
      <c r="AO209" s="361">
        <f>(L209*Y209)/$E$13</f>
      </c>
      <c r="AP209" s="361">
        <f>(M209*Z209)/$E$13</f>
      </c>
      <c r="AQ209" s="361">
        <f>(K209*AA209)/$E$14</f>
      </c>
      <c r="AR209" s="361">
        <f>(L209*AB209)/$E$14</f>
      </c>
      <c r="AS209" s="361">
        <f>(M209*AC209)/$E$14</f>
      </c>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row>
    <row x14ac:dyDescent="0.25" r="210" customHeight="1" ht="13.5">
      <c r="A210" s="2"/>
      <c r="B210" s="3"/>
      <c r="C210" s="2"/>
      <c r="D210" s="250">
        <f>D151</f>
      </c>
      <c r="E210" s="312"/>
      <c r="F210" s="312"/>
      <c r="G210" s="312"/>
      <c r="H210" s="312"/>
      <c r="I210" s="312"/>
      <c r="J210" s="154"/>
      <c r="K210" s="401">
        <f>ProjectedP205_Consumption!K16-K94-K151</f>
      </c>
      <c r="L210" s="401">
        <f>ProjectedP205_Consumption!L16-L94-L151</f>
      </c>
      <c r="M210" s="401">
        <f>ProjectedP205_Consumption!M16-M94-M151</f>
      </c>
      <c r="N210" s="2"/>
      <c r="O210" s="63">
        <v>0.7</v>
      </c>
      <c r="P210" s="63">
        <v>0.7</v>
      </c>
      <c r="Q210" s="63">
        <v>0.7</v>
      </c>
      <c r="R210" s="63">
        <v>0</v>
      </c>
      <c r="S210" s="63">
        <v>0</v>
      </c>
      <c r="T210" s="63">
        <v>0</v>
      </c>
      <c r="U210" s="63">
        <v>0</v>
      </c>
      <c r="V210" s="63">
        <v>0</v>
      </c>
      <c r="W210" s="63">
        <v>0</v>
      </c>
      <c r="X210" s="63">
        <v>0</v>
      </c>
      <c r="Y210" s="63">
        <v>0</v>
      </c>
      <c r="Z210" s="63">
        <v>0</v>
      </c>
      <c r="AA210" s="63">
        <v>0.3</v>
      </c>
      <c r="AB210" s="63">
        <v>0.3</v>
      </c>
      <c r="AC210" s="63">
        <v>0.3</v>
      </c>
      <c r="AD210" s="2"/>
      <c r="AE210" s="361">
        <f>(K210*O210)/$E$12</f>
      </c>
      <c r="AF210" s="361">
        <f>(L210*P210)/$E$12</f>
      </c>
      <c r="AG210" s="361">
        <f>(M210*Q210)/$E$12</f>
      </c>
      <c r="AH210" s="361">
        <f>(K210*R210)/$E$10</f>
      </c>
      <c r="AI210" s="361">
        <f>(L210*S210)/$E$10</f>
      </c>
      <c r="AJ210" s="361">
        <f>(M210*T210)/$E$10</f>
      </c>
      <c r="AK210" s="361">
        <f>(K210*U210)/$E$10</f>
      </c>
      <c r="AL210" s="361">
        <f>(L210*V210)/$E$10</f>
      </c>
      <c r="AM210" s="361">
        <f>(M210*W210)/$E$10</f>
      </c>
      <c r="AN210" s="361">
        <f>(K210*X210)/$E$13</f>
      </c>
      <c r="AO210" s="361">
        <f>(L210*Y210)/$E$13</f>
      </c>
      <c r="AP210" s="361">
        <f>(M210*Z210)/$E$13</f>
      </c>
      <c r="AQ210" s="361">
        <f>(K210*AA210)/$E$14</f>
      </c>
      <c r="AR210" s="361">
        <f>(L210*AB210)/$E$14</f>
      </c>
      <c r="AS210" s="361">
        <f>(M210*AC210)/$E$14</f>
      </c>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row>
    <row x14ac:dyDescent="0.25" r="211" customHeight="1" ht="13.5">
      <c r="A211" s="2"/>
      <c r="B211" s="3"/>
      <c r="C211" s="2"/>
      <c r="D211" s="250">
        <f>D152</f>
      </c>
      <c r="E211" s="312"/>
      <c r="F211" s="312"/>
      <c r="G211" s="312"/>
      <c r="H211" s="312"/>
      <c r="I211" s="312"/>
      <c r="J211" s="154"/>
      <c r="K211" s="401">
        <f>ProjectedP205_Consumption!K17-K95-K152</f>
      </c>
      <c r="L211" s="401">
        <f>ProjectedP205_Consumption!L17-L95-L152</f>
      </c>
      <c r="M211" s="401">
        <f>ProjectedP205_Consumption!M17-M95-M152</f>
      </c>
      <c r="N211" s="2"/>
      <c r="O211" s="63">
        <v>0.7</v>
      </c>
      <c r="P211" s="63">
        <v>0.7</v>
      </c>
      <c r="Q211" s="63">
        <v>0.7</v>
      </c>
      <c r="R211" s="63">
        <v>0</v>
      </c>
      <c r="S211" s="63">
        <v>0</v>
      </c>
      <c r="T211" s="63">
        <v>0</v>
      </c>
      <c r="U211" s="63">
        <v>0</v>
      </c>
      <c r="V211" s="63">
        <v>0</v>
      </c>
      <c r="W211" s="63">
        <v>0</v>
      </c>
      <c r="X211" s="63">
        <v>0</v>
      </c>
      <c r="Y211" s="63">
        <v>0</v>
      </c>
      <c r="Z211" s="63">
        <v>0</v>
      </c>
      <c r="AA211" s="63">
        <v>0.3</v>
      </c>
      <c r="AB211" s="63">
        <v>0.3</v>
      </c>
      <c r="AC211" s="63">
        <v>0.3</v>
      </c>
      <c r="AD211" s="2"/>
      <c r="AE211" s="361">
        <f>(K211*O211)/$E$12</f>
      </c>
      <c r="AF211" s="361">
        <f>(L211*P211)/$E$12</f>
      </c>
      <c r="AG211" s="361">
        <f>(M211*Q211)/$E$12</f>
      </c>
      <c r="AH211" s="361">
        <f>(K211*R211)/$E$10</f>
      </c>
      <c r="AI211" s="361">
        <f>(L211*S211)/$E$10</f>
      </c>
      <c r="AJ211" s="361">
        <f>(M211*T211)/$E$10</f>
      </c>
      <c r="AK211" s="361">
        <f>(K211*U211)/$E$10</f>
      </c>
      <c r="AL211" s="361">
        <f>(L211*V211)/$E$10</f>
      </c>
      <c r="AM211" s="361">
        <f>(M211*W211)/$E$10</f>
      </c>
      <c r="AN211" s="361">
        <f>(K211*X211)/$E$13</f>
      </c>
      <c r="AO211" s="361">
        <f>(L211*Y211)/$E$13</f>
      </c>
      <c r="AP211" s="361">
        <f>(M211*Z211)/$E$13</f>
      </c>
      <c r="AQ211" s="361">
        <f>(K211*AA211)/$E$14</f>
      </c>
      <c r="AR211" s="361">
        <f>(L211*AB211)/$E$14</f>
      </c>
      <c r="AS211" s="361">
        <f>(M211*AC211)/$E$14</f>
      </c>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row>
    <row x14ac:dyDescent="0.25" r="212" customHeight="1" ht="13.5">
      <c r="A212" s="2"/>
      <c r="B212" s="3"/>
      <c r="C212" s="2"/>
      <c r="D212" s="250">
        <f>D153</f>
      </c>
      <c r="E212" s="312"/>
      <c r="F212" s="312"/>
      <c r="G212" s="312"/>
      <c r="H212" s="312"/>
      <c r="I212" s="312"/>
      <c r="J212" s="154"/>
      <c r="K212" s="401">
        <f>ProjectedP205_Consumption!K18-K96-K153</f>
      </c>
      <c r="L212" s="401">
        <f>ProjectedP205_Consumption!L18-L96-L153</f>
      </c>
      <c r="M212" s="401">
        <f>ProjectedP205_Consumption!M18-M96-M153</f>
      </c>
      <c r="N212" s="2"/>
      <c r="O212" s="63">
        <v>0.7</v>
      </c>
      <c r="P212" s="63">
        <v>0.7</v>
      </c>
      <c r="Q212" s="63">
        <v>0.7</v>
      </c>
      <c r="R212" s="63">
        <v>0</v>
      </c>
      <c r="S212" s="63">
        <v>0</v>
      </c>
      <c r="T212" s="63">
        <v>0</v>
      </c>
      <c r="U212" s="63">
        <v>0</v>
      </c>
      <c r="V212" s="63">
        <v>0</v>
      </c>
      <c r="W212" s="63">
        <v>0</v>
      </c>
      <c r="X212" s="63">
        <v>0</v>
      </c>
      <c r="Y212" s="63">
        <v>0</v>
      </c>
      <c r="Z212" s="63">
        <v>0</v>
      </c>
      <c r="AA212" s="63">
        <v>0.3</v>
      </c>
      <c r="AB212" s="63">
        <v>0.3</v>
      </c>
      <c r="AC212" s="63">
        <v>0.3</v>
      </c>
      <c r="AD212" s="2"/>
      <c r="AE212" s="361">
        <f>(K212*O212)/$E$12</f>
      </c>
      <c r="AF212" s="361">
        <f>(L212*P212)/$E$12</f>
      </c>
      <c r="AG212" s="361">
        <f>(M212*Q212)/$E$12</f>
      </c>
      <c r="AH212" s="361">
        <f>(K212*R212)/$E$10</f>
      </c>
      <c r="AI212" s="361">
        <f>(L212*S212)/$E$10</f>
      </c>
      <c r="AJ212" s="361">
        <f>(M212*T212)/$E$10</f>
      </c>
      <c r="AK212" s="361">
        <f>(K212*U212)/$E$10</f>
      </c>
      <c r="AL212" s="361">
        <f>(L212*V212)/$E$10</f>
      </c>
      <c r="AM212" s="361">
        <f>(M212*W212)/$E$10</f>
      </c>
      <c r="AN212" s="361">
        <f>(K212*X212)/$E$13</f>
      </c>
      <c r="AO212" s="361">
        <f>(L212*Y212)/$E$13</f>
      </c>
      <c r="AP212" s="361">
        <f>(M212*Z212)/$E$13</f>
      </c>
      <c r="AQ212" s="361">
        <f>(K212*AA212)/$E$14</f>
      </c>
      <c r="AR212" s="361">
        <f>(L212*AB212)/$E$14</f>
      </c>
      <c r="AS212" s="361">
        <f>(M212*AC212)/$E$14</f>
      </c>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row>
    <row x14ac:dyDescent="0.25" r="213" customHeight="1" ht="13.5">
      <c r="A213" s="2"/>
      <c r="B213" s="3"/>
      <c r="C213" s="2"/>
      <c r="D213" s="250">
        <f>D154</f>
      </c>
      <c r="E213" s="312"/>
      <c r="F213" s="312"/>
      <c r="G213" s="312"/>
      <c r="H213" s="312"/>
      <c r="I213" s="312"/>
      <c r="J213" s="154"/>
      <c r="K213" s="401">
        <f>ProjectedP205_Consumption!K19-K97-K154</f>
      </c>
      <c r="L213" s="401">
        <f>ProjectedP205_Consumption!L19-L97-L154</f>
      </c>
      <c r="M213" s="401">
        <f>ProjectedP205_Consumption!M19-M97-M154</f>
      </c>
      <c r="N213" s="2"/>
      <c r="O213" s="63">
        <v>0.7</v>
      </c>
      <c r="P213" s="63">
        <v>0.7</v>
      </c>
      <c r="Q213" s="63">
        <v>0.7</v>
      </c>
      <c r="R213" s="63">
        <v>0</v>
      </c>
      <c r="S213" s="63">
        <v>0</v>
      </c>
      <c r="T213" s="63">
        <v>0</v>
      </c>
      <c r="U213" s="63">
        <v>0</v>
      </c>
      <c r="V213" s="63">
        <v>0</v>
      </c>
      <c r="W213" s="63">
        <v>0</v>
      </c>
      <c r="X213" s="63">
        <v>0</v>
      </c>
      <c r="Y213" s="63">
        <v>0</v>
      </c>
      <c r="Z213" s="63">
        <v>0</v>
      </c>
      <c r="AA213" s="63">
        <v>0.3</v>
      </c>
      <c r="AB213" s="63">
        <v>0.3</v>
      </c>
      <c r="AC213" s="63">
        <v>0.3</v>
      </c>
      <c r="AD213" s="2"/>
      <c r="AE213" s="361">
        <f>(K213*O213)/$E$12</f>
      </c>
      <c r="AF213" s="361">
        <f>(L213*P213)/$E$12</f>
      </c>
      <c r="AG213" s="361">
        <f>(M213*Q213)/$E$12</f>
      </c>
      <c r="AH213" s="361">
        <f>(K213*R213)/$E$10</f>
      </c>
      <c r="AI213" s="361">
        <f>(L213*S213)/$E$10</f>
      </c>
      <c r="AJ213" s="361">
        <f>(M213*T213)/$E$10</f>
      </c>
      <c r="AK213" s="361">
        <f>(K213*U213)/$E$10</f>
      </c>
      <c r="AL213" s="361">
        <f>(L213*V213)/$E$10</f>
      </c>
      <c r="AM213" s="361">
        <f>(M213*W213)/$E$10</f>
      </c>
      <c r="AN213" s="361">
        <f>(K213*X213)/$E$13</f>
      </c>
      <c r="AO213" s="361">
        <f>(L213*Y213)/$E$13</f>
      </c>
      <c r="AP213" s="361">
        <f>(M213*Z213)/$E$13</f>
      </c>
      <c r="AQ213" s="361">
        <f>(K213*AA213)/$E$14</f>
      </c>
      <c r="AR213" s="361">
        <f>(L213*AB213)/$E$14</f>
      </c>
      <c r="AS213" s="361">
        <f>(M213*AC213)/$E$14</f>
      </c>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row>
    <row x14ac:dyDescent="0.25" r="214" customHeight="1" ht="13.5">
      <c r="A214" s="2"/>
      <c r="B214" s="3"/>
      <c r="C214" s="2"/>
      <c r="D214" s="250">
        <f>D155</f>
      </c>
      <c r="E214" s="312"/>
      <c r="F214" s="312"/>
      <c r="G214" s="312"/>
      <c r="H214" s="312"/>
      <c r="I214" s="312"/>
      <c r="J214" s="154"/>
      <c r="K214" s="401">
        <f>ProjectedP205_Consumption!K20-K98-K155</f>
      </c>
      <c r="L214" s="401">
        <f>ProjectedP205_Consumption!L20-L98-L155</f>
      </c>
      <c r="M214" s="401">
        <f>ProjectedP205_Consumption!M20-M98-M155</f>
      </c>
      <c r="N214" s="2"/>
      <c r="O214" s="63">
        <v>0.7</v>
      </c>
      <c r="P214" s="63">
        <v>0.7</v>
      </c>
      <c r="Q214" s="63">
        <v>0.7</v>
      </c>
      <c r="R214" s="63">
        <v>0</v>
      </c>
      <c r="S214" s="63">
        <v>0</v>
      </c>
      <c r="T214" s="63">
        <v>0</v>
      </c>
      <c r="U214" s="63">
        <v>0</v>
      </c>
      <c r="V214" s="63">
        <v>0</v>
      </c>
      <c r="W214" s="63">
        <v>0</v>
      </c>
      <c r="X214" s="63">
        <v>0</v>
      </c>
      <c r="Y214" s="63">
        <v>0</v>
      </c>
      <c r="Z214" s="63">
        <v>0</v>
      </c>
      <c r="AA214" s="63">
        <v>0.3</v>
      </c>
      <c r="AB214" s="63">
        <v>0.3</v>
      </c>
      <c r="AC214" s="63">
        <v>0.3</v>
      </c>
      <c r="AD214" s="2"/>
      <c r="AE214" s="361">
        <f>(K214*O214)/$E$12</f>
      </c>
      <c r="AF214" s="361">
        <f>(L214*P214)/$E$12</f>
      </c>
      <c r="AG214" s="361">
        <f>(M214*Q214)/$E$12</f>
      </c>
      <c r="AH214" s="361">
        <f>(K214*R214)/$E$10</f>
      </c>
      <c r="AI214" s="361">
        <f>(L214*S214)/$E$10</f>
      </c>
      <c r="AJ214" s="361">
        <f>(M214*T214)/$E$10</f>
      </c>
      <c r="AK214" s="361">
        <f>(K214*U214)/$E$10</f>
      </c>
      <c r="AL214" s="361">
        <f>(L214*V214)/$E$10</f>
      </c>
      <c r="AM214" s="361">
        <f>(M214*W214)/$E$10</f>
      </c>
      <c r="AN214" s="361">
        <f>(K214*X214)/$E$13</f>
      </c>
      <c r="AO214" s="361">
        <f>(L214*Y214)/$E$13</f>
      </c>
      <c r="AP214" s="361">
        <f>(M214*Z214)/$E$13</f>
      </c>
      <c r="AQ214" s="361">
        <f>(K214*AA214)/$E$14</f>
      </c>
      <c r="AR214" s="361">
        <f>(L214*AB214)/$E$14</f>
      </c>
      <c r="AS214" s="361">
        <f>(M214*AC214)/$E$14</f>
      </c>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row>
    <row x14ac:dyDescent="0.25" r="215" customHeight="1" ht="13.5">
      <c r="A215" s="2"/>
      <c r="B215" s="3"/>
      <c r="C215" s="2"/>
      <c r="D215" s="250">
        <f>D156</f>
      </c>
      <c r="E215" s="312"/>
      <c r="F215" s="312"/>
      <c r="G215" s="312"/>
      <c r="H215" s="312"/>
      <c r="I215" s="312"/>
      <c r="J215" s="154"/>
      <c r="K215" s="401">
        <f>ProjectedP205_Consumption!K21-K99-K156</f>
      </c>
      <c r="L215" s="401">
        <f>ProjectedP205_Consumption!L21-L99-L156</f>
      </c>
      <c r="M215" s="401">
        <f>ProjectedP205_Consumption!M21-M99-M156</f>
      </c>
      <c r="N215" s="2"/>
      <c r="O215" s="63">
        <v>0.7</v>
      </c>
      <c r="P215" s="63">
        <v>0.7</v>
      </c>
      <c r="Q215" s="63">
        <v>0.7</v>
      </c>
      <c r="R215" s="63">
        <v>0</v>
      </c>
      <c r="S215" s="63">
        <v>0</v>
      </c>
      <c r="T215" s="63">
        <v>0</v>
      </c>
      <c r="U215" s="63">
        <v>0</v>
      </c>
      <c r="V215" s="63">
        <v>0</v>
      </c>
      <c r="W215" s="63">
        <v>0</v>
      </c>
      <c r="X215" s="63">
        <v>0</v>
      </c>
      <c r="Y215" s="63">
        <v>0</v>
      </c>
      <c r="Z215" s="63">
        <v>0</v>
      </c>
      <c r="AA215" s="63">
        <v>0.3</v>
      </c>
      <c r="AB215" s="63">
        <v>0.3</v>
      </c>
      <c r="AC215" s="63">
        <v>0.3</v>
      </c>
      <c r="AD215" s="2"/>
      <c r="AE215" s="361">
        <f>(K215*O215)/$E$12</f>
      </c>
      <c r="AF215" s="361">
        <f>(L215*P215)/$E$12</f>
      </c>
      <c r="AG215" s="361">
        <f>(M215*Q215)/$E$12</f>
      </c>
      <c r="AH215" s="361">
        <f>(K215*R215)/$E$10</f>
      </c>
      <c r="AI215" s="361">
        <f>(L215*S215)/$E$10</f>
      </c>
      <c r="AJ215" s="361">
        <f>(M215*T215)/$E$10</f>
      </c>
      <c r="AK215" s="361">
        <f>(K215*U215)/$E$10</f>
      </c>
      <c r="AL215" s="361">
        <f>(L215*V215)/$E$10</f>
      </c>
      <c r="AM215" s="361">
        <f>(M215*W215)/$E$10</f>
      </c>
      <c r="AN215" s="361">
        <f>(K215*X215)/$E$13</f>
      </c>
      <c r="AO215" s="361">
        <f>(L215*Y215)/$E$13</f>
      </c>
      <c r="AP215" s="361">
        <f>(M215*Z215)/$E$13</f>
      </c>
      <c r="AQ215" s="361">
        <f>(K215*AA215)/$E$14</f>
      </c>
      <c r="AR215" s="361">
        <f>(L215*AB215)/$E$14</f>
      </c>
      <c r="AS215" s="361">
        <f>(M215*AC215)/$E$14</f>
      </c>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row>
    <row x14ac:dyDescent="0.25" r="216" customHeight="1" ht="13.5">
      <c r="A216" s="2"/>
      <c r="B216" s="3"/>
      <c r="C216" s="2"/>
      <c r="D216" s="250">
        <f>D157</f>
      </c>
      <c r="E216" s="312"/>
      <c r="F216" s="312"/>
      <c r="G216" s="312"/>
      <c r="H216" s="312"/>
      <c r="I216" s="312"/>
      <c r="J216" s="154"/>
      <c r="K216" s="401">
        <f>ProjectedP205_Consumption!K22-K100-K157</f>
      </c>
      <c r="L216" s="401">
        <f>ProjectedP205_Consumption!L22-L100-L157</f>
      </c>
      <c r="M216" s="401">
        <f>ProjectedP205_Consumption!M22-M100-M157</f>
      </c>
      <c r="N216" s="2"/>
      <c r="O216" s="63">
        <v>0.7</v>
      </c>
      <c r="P216" s="63">
        <v>0.7</v>
      </c>
      <c r="Q216" s="63">
        <v>0.7</v>
      </c>
      <c r="R216" s="63">
        <v>0</v>
      </c>
      <c r="S216" s="63">
        <v>0</v>
      </c>
      <c r="T216" s="63">
        <v>0</v>
      </c>
      <c r="U216" s="63">
        <v>0</v>
      </c>
      <c r="V216" s="63">
        <v>0</v>
      </c>
      <c r="W216" s="63">
        <v>0</v>
      </c>
      <c r="X216" s="63">
        <v>0</v>
      </c>
      <c r="Y216" s="63">
        <v>0</v>
      </c>
      <c r="Z216" s="63">
        <v>0</v>
      </c>
      <c r="AA216" s="63">
        <v>0.3</v>
      </c>
      <c r="AB216" s="63">
        <v>0.3</v>
      </c>
      <c r="AC216" s="63">
        <v>0.3</v>
      </c>
      <c r="AD216" s="2"/>
      <c r="AE216" s="361">
        <f>(K216*O216)/$E$12</f>
      </c>
      <c r="AF216" s="361">
        <f>(L216*P216)/$E$12</f>
      </c>
      <c r="AG216" s="361">
        <f>(M216*Q216)/$E$12</f>
      </c>
      <c r="AH216" s="361">
        <f>(K216*R216)/$E$10</f>
      </c>
      <c r="AI216" s="361">
        <f>(L216*S216)/$E$10</f>
      </c>
      <c r="AJ216" s="361">
        <f>(M216*T216)/$E$10</f>
      </c>
      <c r="AK216" s="361">
        <f>(K216*U216)/$E$10</f>
      </c>
      <c r="AL216" s="361">
        <f>(L216*V216)/$E$10</f>
      </c>
      <c r="AM216" s="361">
        <f>(M216*W216)/$E$10</f>
      </c>
      <c r="AN216" s="361">
        <f>(K216*X216)/$E$13</f>
      </c>
      <c r="AO216" s="361">
        <f>(L216*Y216)/$E$13</f>
      </c>
      <c r="AP216" s="361">
        <f>(M216*Z216)/$E$13</f>
      </c>
      <c r="AQ216" s="361">
        <f>(K216*AA216)/$E$14</f>
      </c>
      <c r="AR216" s="361">
        <f>(L216*AB216)/$E$14</f>
      </c>
      <c r="AS216" s="361">
        <f>(M216*AC216)/$E$14</f>
      </c>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row>
    <row x14ac:dyDescent="0.25" r="217" customHeight="1" ht="13.5">
      <c r="A217" s="2"/>
      <c r="B217" s="3"/>
      <c r="C217" s="2"/>
      <c r="D217" s="250">
        <f>D158</f>
      </c>
      <c r="E217" s="312"/>
      <c r="F217" s="312"/>
      <c r="G217" s="312"/>
      <c r="H217" s="312"/>
      <c r="I217" s="312"/>
      <c r="J217" s="154"/>
      <c r="K217" s="401">
        <f>ProjectedP205_Consumption!K23-K101-K158</f>
      </c>
      <c r="L217" s="401">
        <f>ProjectedP205_Consumption!L23-L101-L158</f>
      </c>
      <c r="M217" s="401">
        <f>ProjectedP205_Consumption!M23-M101-M158</f>
      </c>
      <c r="N217" s="2"/>
      <c r="O217" s="63">
        <v>0.7</v>
      </c>
      <c r="P217" s="63">
        <v>0.7</v>
      </c>
      <c r="Q217" s="63">
        <v>0.7</v>
      </c>
      <c r="R217" s="63">
        <v>0</v>
      </c>
      <c r="S217" s="63">
        <v>0</v>
      </c>
      <c r="T217" s="63">
        <v>0</v>
      </c>
      <c r="U217" s="63">
        <v>0</v>
      </c>
      <c r="V217" s="63">
        <v>0</v>
      </c>
      <c r="W217" s="63">
        <v>0</v>
      </c>
      <c r="X217" s="63">
        <v>0</v>
      </c>
      <c r="Y217" s="63">
        <v>0</v>
      </c>
      <c r="Z217" s="63">
        <v>0</v>
      </c>
      <c r="AA217" s="63">
        <v>0.3</v>
      </c>
      <c r="AB217" s="63">
        <v>0.3</v>
      </c>
      <c r="AC217" s="63">
        <v>0.3</v>
      </c>
      <c r="AD217" s="2"/>
      <c r="AE217" s="361">
        <f>(K217*O217)/$E$12</f>
      </c>
      <c r="AF217" s="361">
        <f>(L217*P217)/$E$12</f>
      </c>
      <c r="AG217" s="361">
        <f>(M217*Q217)/$E$12</f>
      </c>
      <c r="AH217" s="361">
        <f>(K217*R217)/$E$10</f>
      </c>
      <c r="AI217" s="361">
        <f>(L217*S217)/$E$10</f>
      </c>
      <c r="AJ217" s="361">
        <f>(M217*T217)/$E$10</f>
      </c>
      <c r="AK217" s="361">
        <f>(K217*U217)/$E$10</f>
      </c>
      <c r="AL217" s="361">
        <f>(L217*V217)/$E$10</f>
      </c>
      <c r="AM217" s="361">
        <f>(M217*W217)/$E$10</f>
      </c>
      <c r="AN217" s="361">
        <f>(K217*X217)/$E$13</f>
      </c>
      <c r="AO217" s="361">
        <f>(L217*Y217)/$E$13</f>
      </c>
      <c r="AP217" s="361">
        <f>(M217*Z217)/$E$13</f>
      </c>
      <c r="AQ217" s="361">
        <f>(K217*AA217)/$E$14</f>
      </c>
      <c r="AR217" s="361">
        <f>(L217*AB217)/$E$14</f>
      </c>
      <c r="AS217" s="361">
        <f>(M217*AC217)/$E$14</f>
      </c>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row>
    <row x14ac:dyDescent="0.25" r="218" customHeight="1" ht="13.5">
      <c r="A218" s="2"/>
      <c r="B218" s="3"/>
      <c r="C218" s="2"/>
      <c r="D218" s="250">
        <f>D159</f>
      </c>
      <c r="E218" s="312"/>
      <c r="F218" s="312"/>
      <c r="G218" s="312"/>
      <c r="H218" s="312"/>
      <c r="I218" s="312"/>
      <c r="J218" s="154"/>
      <c r="K218" s="401">
        <f>ProjectedP205_Consumption!K24-K102-K159</f>
      </c>
      <c r="L218" s="401">
        <f>ProjectedP205_Consumption!L24-L102-L159</f>
      </c>
      <c r="M218" s="401">
        <f>ProjectedP205_Consumption!M24-M102-M159</f>
      </c>
      <c r="N218" s="2"/>
      <c r="O218" s="63">
        <v>0.7</v>
      </c>
      <c r="P218" s="63">
        <v>0.7</v>
      </c>
      <c r="Q218" s="63">
        <v>0.7</v>
      </c>
      <c r="R218" s="63">
        <v>0</v>
      </c>
      <c r="S218" s="63">
        <v>0</v>
      </c>
      <c r="T218" s="63">
        <v>0</v>
      </c>
      <c r="U218" s="63">
        <v>0</v>
      </c>
      <c r="V218" s="63">
        <v>0</v>
      </c>
      <c r="W218" s="63">
        <v>0</v>
      </c>
      <c r="X218" s="63">
        <v>0</v>
      </c>
      <c r="Y218" s="63">
        <v>0</v>
      </c>
      <c r="Z218" s="63">
        <v>0</v>
      </c>
      <c r="AA218" s="63">
        <v>0.3</v>
      </c>
      <c r="AB218" s="63">
        <v>0.3</v>
      </c>
      <c r="AC218" s="63">
        <v>0.3</v>
      </c>
      <c r="AD218" s="2"/>
      <c r="AE218" s="361">
        <f>(K218*O218)/$E$12</f>
      </c>
      <c r="AF218" s="361">
        <f>(L218*P218)/$E$12</f>
      </c>
      <c r="AG218" s="361">
        <f>(M218*Q218)/$E$12</f>
      </c>
      <c r="AH218" s="361">
        <f>(K218*R218)/$E$10</f>
      </c>
      <c r="AI218" s="361">
        <f>(L218*S218)/$E$10</f>
      </c>
      <c r="AJ218" s="361">
        <f>(M218*T218)/$E$10</f>
      </c>
      <c r="AK218" s="361">
        <f>(K218*U218)/$E$10</f>
      </c>
      <c r="AL218" s="361">
        <f>(L218*V218)/$E$10</f>
      </c>
      <c r="AM218" s="361">
        <f>(M218*W218)/$E$10</f>
      </c>
      <c r="AN218" s="361">
        <f>(K218*X218)/$E$13</f>
      </c>
      <c r="AO218" s="361">
        <f>(L218*Y218)/$E$13</f>
      </c>
      <c r="AP218" s="361">
        <f>(M218*Z218)/$E$13</f>
      </c>
      <c r="AQ218" s="361">
        <f>(K218*AA218)/$E$14</f>
      </c>
      <c r="AR218" s="361">
        <f>(L218*AB218)/$E$14</f>
      </c>
      <c r="AS218" s="361">
        <f>(M218*AC218)/$E$14</f>
      </c>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row>
    <row x14ac:dyDescent="0.25" r="219" customHeight="1" ht="13.5">
      <c r="A219" s="2"/>
      <c r="B219" s="3"/>
      <c r="C219" s="2"/>
      <c r="D219" s="250">
        <f>D160</f>
      </c>
      <c r="E219" s="312"/>
      <c r="F219" s="312"/>
      <c r="G219" s="312"/>
      <c r="H219" s="312"/>
      <c r="I219" s="312"/>
      <c r="J219" s="154"/>
      <c r="K219" s="401">
        <f>ProjectedP205_Consumption!K25-K103-K160</f>
      </c>
      <c r="L219" s="401">
        <f>ProjectedP205_Consumption!L25-L103-L160</f>
      </c>
      <c r="M219" s="401">
        <f>ProjectedP205_Consumption!M25-M103-M160</f>
      </c>
      <c r="N219" s="2"/>
      <c r="O219" s="63">
        <v>0.7</v>
      </c>
      <c r="P219" s="63">
        <v>0.7</v>
      </c>
      <c r="Q219" s="63">
        <v>0.7</v>
      </c>
      <c r="R219" s="63">
        <v>0</v>
      </c>
      <c r="S219" s="63">
        <v>0</v>
      </c>
      <c r="T219" s="63">
        <v>0</v>
      </c>
      <c r="U219" s="63">
        <v>0</v>
      </c>
      <c r="V219" s="63">
        <v>0</v>
      </c>
      <c r="W219" s="63">
        <v>0</v>
      </c>
      <c r="X219" s="63">
        <v>0</v>
      </c>
      <c r="Y219" s="63">
        <v>0</v>
      </c>
      <c r="Z219" s="63">
        <v>0</v>
      </c>
      <c r="AA219" s="63">
        <v>0.3</v>
      </c>
      <c r="AB219" s="63">
        <v>0.3</v>
      </c>
      <c r="AC219" s="63">
        <v>0.3</v>
      </c>
      <c r="AD219" s="2"/>
      <c r="AE219" s="361">
        <f>(K219*O219)/$E$12</f>
      </c>
      <c r="AF219" s="361">
        <f>(L219*P219)/$E$12</f>
      </c>
      <c r="AG219" s="361">
        <f>(M219*Q219)/$E$12</f>
      </c>
      <c r="AH219" s="361">
        <f>(K219*R219)/$E$10</f>
      </c>
      <c r="AI219" s="361">
        <f>(L219*S219)/$E$10</f>
      </c>
      <c r="AJ219" s="361">
        <f>(M219*T219)/$E$10</f>
      </c>
      <c r="AK219" s="361">
        <f>(K219*U219)/$E$10</f>
      </c>
      <c r="AL219" s="361">
        <f>(L219*V219)/$E$10</f>
      </c>
      <c r="AM219" s="361">
        <f>(M219*W219)/$E$10</f>
      </c>
      <c r="AN219" s="361">
        <f>(K219*X219)/$E$13</f>
      </c>
      <c r="AO219" s="361">
        <f>(L219*Y219)/$E$13</f>
      </c>
      <c r="AP219" s="361">
        <f>(M219*Z219)/$E$13</f>
      </c>
      <c r="AQ219" s="361">
        <f>(K219*AA219)/$E$14</f>
      </c>
      <c r="AR219" s="361">
        <f>(L219*AB219)/$E$14</f>
      </c>
      <c r="AS219" s="361">
        <f>(M219*AC219)/$E$14</f>
      </c>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row>
    <row x14ac:dyDescent="0.25" r="220" customHeight="1" ht="13.5">
      <c r="A220" s="2"/>
      <c r="B220" s="3"/>
      <c r="C220" s="2"/>
      <c r="D220" s="250">
        <f>D161</f>
      </c>
      <c r="E220" s="312"/>
      <c r="F220" s="312"/>
      <c r="G220" s="312"/>
      <c r="H220" s="312"/>
      <c r="I220" s="312"/>
      <c r="J220" s="154"/>
      <c r="K220" s="401">
        <f>ProjectedP205_Consumption!K26-K104-K161</f>
      </c>
      <c r="L220" s="401">
        <f>ProjectedP205_Consumption!L26-L104-L161</f>
      </c>
      <c r="M220" s="401">
        <f>ProjectedP205_Consumption!M26-M104-M161</f>
      </c>
      <c r="N220" s="2"/>
      <c r="O220" s="63">
        <v>0.7</v>
      </c>
      <c r="P220" s="63">
        <v>0.7</v>
      </c>
      <c r="Q220" s="63">
        <v>0.7</v>
      </c>
      <c r="R220" s="63">
        <v>0</v>
      </c>
      <c r="S220" s="63">
        <v>0</v>
      </c>
      <c r="T220" s="63">
        <v>0</v>
      </c>
      <c r="U220" s="63">
        <v>0</v>
      </c>
      <c r="V220" s="63">
        <v>0</v>
      </c>
      <c r="W220" s="63">
        <v>0</v>
      </c>
      <c r="X220" s="63">
        <v>0</v>
      </c>
      <c r="Y220" s="63">
        <v>0</v>
      </c>
      <c r="Z220" s="63">
        <v>0</v>
      </c>
      <c r="AA220" s="63">
        <v>0.3</v>
      </c>
      <c r="AB220" s="63">
        <v>0.3</v>
      </c>
      <c r="AC220" s="63">
        <v>0.3</v>
      </c>
      <c r="AD220" s="2"/>
      <c r="AE220" s="361">
        <f>(K220*O220)/$E$12</f>
      </c>
      <c r="AF220" s="361">
        <f>(L220*P220)/$E$12</f>
      </c>
      <c r="AG220" s="361">
        <f>(M220*Q220)/$E$12</f>
      </c>
      <c r="AH220" s="361">
        <f>(K220*R220)/$E$10</f>
      </c>
      <c r="AI220" s="361">
        <f>(L220*S220)/$E$10</f>
      </c>
      <c r="AJ220" s="361">
        <f>(M220*T220)/$E$10</f>
      </c>
      <c r="AK220" s="361">
        <f>(K220*U220)/$E$10</f>
      </c>
      <c r="AL220" s="361">
        <f>(L220*V220)/$E$10</f>
      </c>
      <c r="AM220" s="361">
        <f>(M220*W220)/$E$10</f>
      </c>
      <c r="AN220" s="361">
        <f>(K220*X220)/$E$13</f>
      </c>
      <c r="AO220" s="361">
        <f>(L220*Y220)/$E$13</f>
      </c>
      <c r="AP220" s="361">
        <f>(M220*Z220)/$E$13</f>
      </c>
      <c r="AQ220" s="361">
        <f>(K220*AA220)/$E$14</f>
      </c>
      <c r="AR220" s="361">
        <f>(L220*AB220)/$E$14</f>
      </c>
      <c r="AS220" s="361">
        <f>(M220*AC220)/$E$14</f>
      </c>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row>
    <row x14ac:dyDescent="0.25" r="221" customHeight="1" ht="13.5">
      <c r="A221" s="2"/>
      <c r="B221" s="3"/>
      <c r="C221" s="2"/>
      <c r="D221" s="250">
        <f>D162</f>
      </c>
      <c r="E221" s="312"/>
      <c r="F221" s="312"/>
      <c r="G221" s="312"/>
      <c r="H221" s="312"/>
      <c r="I221" s="312"/>
      <c r="J221" s="154"/>
      <c r="K221" s="401">
        <f>ProjectedP205_Consumption!K27-K105-K162</f>
      </c>
      <c r="L221" s="401">
        <f>ProjectedP205_Consumption!L27-L105-L162</f>
      </c>
      <c r="M221" s="401">
        <f>ProjectedP205_Consumption!M27-M105-M162</f>
      </c>
      <c r="N221" s="2"/>
      <c r="O221" s="63">
        <v>0.7</v>
      </c>
      <c r="P221" s="63">
        <v>0.7</v>
      </c>
      <c r="Q221" s="63">
        <v>0.7</v>
      </c>
      <c r="R221" s="63">
        <v>0</v>
      </c>
      <c r="S221" s="63">
        <v>0</v>
      </c>
      <c r="T221" s="63">
        <v>0</v>
      </c>
      <c r="U221" s="63">
        <v>0</v>
      </c>
      <c r="V221" s="63">
        <v>0</v>
      </c>
      <c r="W221" s="63">
        <v>0</v>
      </c>
      <c r="X221" s="63">
        <v>0</v>
      </c>
      <c r="Y221" s="63">
        <v>0</v>
      </c>
      <c r="Z221" s="63">
        <v>0</v>
      </c>
      <c r="AA221" s="63">
        <v>0.3</v>
      </c>
      <c r="AB221" s="63">
        <v>0.3</v>
      </c>
      <c r="AC221" s="63">
        <v>0.3</v>
      </c>
      <c r="AD221" s="2"/>
      <c r="AE221" s="361">
        <f>(K221*O221)/$E$12</f>
      </c>
      <c r="AF221" s="361">
        <f>(L221*P221)/$E$12</f>
      </c>
      <c r="AG221" s="361">
        <f>(M221*Q221)/$E$12</f>
      </c>
      <c r="AH221" s="361">
        <f>(K221*R221)/$E$10</f>
      </c>
      <c r="AI221" s="361">
        <f>(L221*S221)/$E$10</f>
      </c>
      <c r="AJ221" s="361">
        <f>(M221*T221)/$E$10</f>
      </c>
      <c r="AK221" s="361">
        <f>(K221*U221)/$E$10</f>
      </c>
      <c r="AL221" s="361">
        <f>(L221*V221)/$E$10</f>
      </c>
      <c r="AM221" s="361">
        <f>(M221*W221)/$E$10</f>
      </c>
      <c r="AN221" s="361">
        <f>(K221*X221)/$E$13</f>
      </c>
      <c r="AO221" s="361">
        <f>(L221*Y221)/$E$13</f>
      </c>
      <c r="AP221" s="361">
        <f>(M221*Z221)/$E$13</f>
      </c>
      <c r="AQ221" s="361">
        <f>(K221*AA221)/$E$14</f>
      </c>
      <c r="AR221" s="361">
        <f>(L221*AB221)/$E$14</f>
      </c>
      <c r="AS221" s="361">
        <f>(M221*AC221)/$E$14</f>
      </c>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row>
    <row x14ac:dyDescent="0.25" r="222" customHeight="1" ht="13.5">
      <c r="A222" s="2"/>
      <c r="B222" s="3"/>
      <c r="C222" s="2"/>
      <c r="D222" s="250">
        <f>D163</f>
      </c>
      <c r="E222" s="312"/>
      <c r="F222" s="312"/>
      <c r="G222" s="312"/>
      <c r="H222" s="312"/>
      <c r="I222" s="312"/>
      <c r="J222" s="154"/>
      <c r="K222" s="401">
        <f>ProjectedP205_Consumption!K28-K106-K163</f>
      </c>
      <c r="L222" s="401">
        <f>ProjectedP205_Consumption!L28-L106-L163</f>
      </c>
      <c r="M222" s="401">
        <f>ProjectedP205_Consumption!M28-M106-M163</f>
      </c>
      <c r="N222" s="2"/>
      <c r="O222" s="63">
        <v>0.7</v>
      </c>
      <c r="P222" s="63">
        <v>0.7</v>
      </c>
      <c r="Q222" s="63">
        <v>0.7</v>
      </c>
      <c r="R222" s="63">
        <v>0</v>
      </c>
      <c r="S222" s="63">
        <v>0</v>
      </c>
      <c r="T222" s="63">
        <v>0</v>
      </c>
      <c r="U222" s="63">
        <v>0</v>
      </c>
      <c r="V222" s="63">
        <v>0</v>
      </c>
      <c r="W222" s="63">
        <v>0</v>
      </c>
      <c r="X222" s="63">
        <v>0</v>
      </c>
      <c r="Y222" s="63">
        <v>0</v>
      </c>
      <c r="Z222" s="63">
        <v>0</v>
      </c>
      <c r="AA222" s="63">
        <v>0.3</v>
      </c>
      <c r="AB222" s="63">
        <v>0.3</v>
      </c>
      <c r="AC222" s="63">
        <v>0.3</v>
      </c>
      <c r="AD222" s="2"/>
      <c r="AE222" s="361">
        <f>(K222*O222)/$E$12</f>
      </c>
      <c r="AF222" s="361">
        <f>(L222*P222)/$E$12</f>
      </c>
      <c r="AG222" s="361">
        <f>(M222*Q222)/$E$12</f>
      </c>
      <c r="AH222" s="361">
        <f>(K222*R222)/$E$10</f>
      </c>
      <c r="AI222" s="361">
        <f>(L222*S222)/$E$10</f>
      </c>
      <c r="AJ222" s="361">
        <f>(M222*T222)/$E$10</f>
      </c>
      <c r="AK222" s="361">
        <f>(K222*U222)/$E$10</f>
      </c>
      <c r="AL222" s="361">
        <f>(L222*V222)/$E$10</f>
      </c>
      <c r="AM222" s="361">
        <f>(M222*W222)/$E$10</f>
      </c>
      <c r="AN222" s="361">
        <f>(K222*X222)/$E$13</f>
      </c>
      <c r="AO222" s="361">
        <f>(L222*Y222)/$E$13</f>
      </c>
      <c r="AP222" s="361">
        <f>(M222*Z222)/$E$13</f>
      </c>
      <c r="AQ222" s="361">
        <f>(K222*AA222)/$E$14</f>
      </c>
      <c r="AR222" s="361">
        <f>(L222*AB222)/$E$14</f>
      </c>
      <c r="AS222" s="361">
        <f>(M222*AC222)/$E$14</f>
      </c>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row>
    <row x14ac:dyDescent="0.25" r="223" customHeight="1" ht="13.5">
      <c r="A223" s="2"/>
      <c r="B223" s="3"/>
      <c r="C223" s="2"/>
      <c r="D223" s="250">
        <f>D164</f>
      </c>
      <c r="E223" s="312"/>
      <c r="F223" s="312"/>
      <c r="G223" s="312"/>
      <c r="H223" s="312"/>
      <c r="I223" s="312"/>
      <c r="J223" s="154"/>
      <c r="K223" s="401">
        <f>ProjectedP205_Consumption!K29-K107-K164</f>
      </c>
      <c r="L223" s="401">
        <f>ProjectedP205_Consumption!L29-L107-L164</f>
      </c>
      <c r="M223" s="401">
        <f>ProjectedP205_Consumption!M29-M107-M164</f>
      </c>
      <c r="N223" s="2"/>
      <c r="O223" s="63">
        <v>0.7</v>
      </c>
      <c r="P223" s="63">
        <v>0.7</v>
      </c>
      <c r="Q223" s="63">
        <v>0.7</v>
      </c>
      <c r="R223" s="63">
        <v>0</v>
      </c>
      <c r="S223" s="63">
        <v>0</v>
      </c>
      <c r="T223" s="63">
        <v>0</v>
      </c>
      <c r="U223" s="63">
        <v>0</v>
      </c>
      <c r="V223" s="63">
        <v>0</v>
      </c>
      <c r="W223" s="63">
        <v>0</v>
      </c>
      <c r="X223" s="63">
        <v>0</v>
      </c>
      <c r="Y223" s="63">
        <v>0</v>
      </c>
      <c r="Z223" s="63">
        <v>0</v>
      </c>
      <c r="AA223" s="63">
        <v>0.3</v>
      </c>
      <c r="AB223" s="63">
        <v>0.3</v>
      </c>
      <c r="AC223" s="63">
        <v>0.3</v>
      </c>
      <c r="AD223" s="2"/>
      <c r="AE223" s="361">
        <f>(K223*O223)/$E$12</f>
      </c>
      <c r="AF223" s="361">
        <f>(L223*P223)/$E$12</f>
      </c>
      <c r="AG223" s="361">
        <f>(M223*Q223)/$E$12</f>
      </c>
      <c r="AH223" s="361">
        <f>(K223*R223)/$E$10</f>
      </c>
      <c r="AI223" s="361">
        <f>(L223*S223)/$E$10</f>
      </c>
      <c r="AJ223" s="361">
        <f>(M223*T223)/$E$10</f>
      </c>
      <c r="AK223" s="361">
        <f>(K223*U223)/$E$10</f>
      </c>
      <c r="AL223" s="361">
        <f>(L223*V223)/$E$10</f>
      </c>
      <c r="AM223" s="361">
        <f>(M223*W223)/$E$10</f>
      </c>
      <c r="AN223" s="361">
        <f>(K223*X223)/$E$13</f>
      </c>
      <c r="AO223" s="361">
        <f>(L223*Y223)/$E$13</f>
      </c>
      <c r="AP223" s="361">
        <f>(M223*Z223)/$E$13</f>
      </c>
      <c r="AQ223" s="361">
        <f>(K223*AA223)/$E$14</f>
      </c>
      <c r="AR223" s="361">
        <f>(L223*AB223)/$E$14</f>
      </c>
      <c r="AS223" s="361">
        <f>(M223*AC223)/$E$14</f>
      </c>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row>
    <row x14ac:dyDescent="0.25" r="224" customHeight="1" ht="13.5">
      <c r="A224" s="2"/>
      <c r="B224" s="3"/>
      <c r="C224" s="2"/>
      <c r="D224" s="250">
        <f>D165</f>
      </c>
      <c r="E224" s="312"/>
      <c r="F224" s="312"/>
      <c r="G224" s="312"/>
      <c r="H224" s="312"/>
      <c r="I224" s="312"/>
      <c r="J224" s="154"/>
      <c r="K224" s="401">
        <f>ProjectedP205_Consumption!K30-K108-K165</f>
      </c>
      <c r="L224" s="401">
        <f>ProjectedP205_Consumption!L30-L108-L165</f>
      </c>
      <c r="M224" s="401">
        <f>ProjectedP205_Consumption!M30-M108-M165</f>
      </c>
      <c r="N224" s="2"/>
      <c r="O224" s="63">
        <v>0.7</v>
      </c>
      <c r="P224" s="63">
        <v>0.7</v>
      </c>
      <c r="Q224" s="63">
        <v>0.7</v>
      </c>
      <c r="R224" s="63">
        <v>0</v>
      </c>
      <c r="S224" s="63">
        <v>0</v>
      </c>
      <c r="T224" s="63">
        <v>0</v>
      </c>
      <c r="U224" s="63">
        <v>0</v>
      </c>
      <c r="V224" s="63">
        <v>0</v>
      </c>
      <c r="W224" s="63">
        <v>0</v>
      </c>
      <c r="X224" s="63">
        <v>0</v>
      </c>
      <c r="Y224" s="63">
        <v>0</v>
      </c>
      <c r="Z224" s="63">
        <v>0</v>
      </c>
      <c r="AA224" s="63">
        <v>0.3</v>
      </c>
      <c r="AB224" s="63">
        <v>0.3</v>
      </c>
      <c r="AC224" s="63">
        <v>0.3</v>
      </c>
      <c r="AD224" s="2"/>
      <c r="AE224" s="361">
        <f>(K224*O224)/$E$12</f>
      </c>
      <c r="AF224" s="361">
        <f>(L224*P224)/$E$12</f>
      </c>
      <c r="AG224" s="361">
        <f>(M224*Q224)/$E$12</f>
      </c>
      <c r="AH224" s="361">
        <f>(K224*R224)/$E$10</f>
      </c>
      <c r="AI224" s="361">
        <f>(L224*S224)/$E$10</f>
      </c>
      <c r="AJ224" s="361">
        <f>(M224*T224)/$E$10</f>
      </c>
      <c r="AK224" s="361">
        <f>(K224*U224)/$E$10</f>
      </c>
      <c r="AL224" s="361">
        <f>(L224*V224)/$E$10</f>
      </c>
      <c r="AM224" s="361">
        <f>(M224*W224)/$E$10</f>
      </c>
      <c r="AN224" s="361">
        <f>(K224*X224)/$E$13</f>
      </c>
      <c r="AO224" s="361">
        <f>(L224*Y224)/$E$13</f>
      </c>
      <c r="AP224" s="361">
        <f>(M224*Z224)/$E$13</f>
      </c>
      <c r="AQ224" s="361">
        <f>(K224*AA224)/$E$14</f>
      </c>
      <c r="AR224" s="361">
        <f>(L224*AB224)/$E$14</f>
      </c>
      <c r="AS224" s="361">
        <f>(M224*AC224)/$E$14</f>
      </c>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row>
    <row x14ac:dyDescent="0.25" r="225" customHeight="1" ht="13.5">
      <c r="A225" s="2"/>
      <c r="B225" s="3"/>
      <c r="C225" s="2"/>
      <c r="D225" s="250">
        <f>D166</f>
      </c>
      <c r="E225" s="312"/>
      <c r="F225" s="312"/>
      <c r="G225" s="312"/>
      <c r="H225" s="312"/>
      <c r="I225" s="312"/>
      <c r="J225" s="154"/>
      <c r="K225" s="401">
        <f>ProjectedP205_Consumption!K31-K109-K166</f>
      </c>
      <c r="L225" s="401">
        <f>ProjectedP205_Consumption!L31-L109-L166</f>
      </c>
      <c r="M225" s="401">
        <f>ProjectedP205_Consumption!M31-M109-M166</f>
      </c>
      <c r="N225" s="2"/>
      <c r="O225" s="63">
        <v>0.7</v>
      </c>
      <c r="P225" s="63">
        <v>0.7</v>
      </c>
      <c r="Q225" s="63">
        <v>0.7</v>
      </c>
      <c r="R225" s="63">
        <v>0</v>
      </c>
      <c r="S225" s="63">
        <v>0</v>
      </c>
      <c r="T225" s="63">
        <v>0</v>
      </c>
      <c r="U225" s="63">
        <v>0</v>
      </c>
      <c r="V225" s="63">
        <v>0</v>
      </c>
      <c r="W225" s="63">
        <v>0</v>
      </c>
      <c r="X225" s="63">
        <v>0</v>
      </c>
      <c r="Y225" s="63">
        <v>0</v>
      </c>
      <c r="Z225" s="63">
        <v>0</v>
      </c>
      <c r="AA225" s="63">
        <v>0.3</v>
      </c>
      <c r="AB225" s="63">
        <v>0.3</v>
      </c>
      <c r="AC225" s="63">
        <v>0.3</v>
      </c>
      <c r="AD225" s="2"/>
      <c r="AE225" s="361">
        <f>(K225*O225)/$E$12</f>
      </c>
      <c r="AF225" s="361">
        <f>(L225*P225)/$E$12</f>
      </c>
      <c r="AG225" s="361">
        <f>(M225*Q225)/$E$12</f>
      </c>
      <c r="AH225" s="361">
        <f>(K225*R225)/$E$10</f>
      </c>
      <c r="AI225" s="361">
        <f>(L225*S225)/$E$10</f>
      </c>
      <c r="AJ225" s="361">
        <f>(M225*T225)/$E$10</f>
      </c>
      <c r="AK225" s="361">
        <f>(K225*U225)/$E$10</f>
      </c>
      <c r="AL225" s="361">
        <f>(L225*V225)/$E$10</f>
      </c>
      <c r="AM225" s="361">
        <f>(M225*W225)/$E$10</f>
      </c>
      <c r="AN225" s="361">
        <f>(K225*X225)/$E$13</f>
      </c>
      <c r="AO225" s="361">
        <f>(L225*Y225)/$E$13</f>
      </c>
      <c r="AP225" s="361">
        <f>(M225*Z225)/$E$13</f>
      </c>
      <c r="AQ225" s="361">
        <f>(K225*AA225)/$E$14</f>
      </c>
      <c r="AR225" s="361">
        <f>(L225*AB225)/$E$14</f>
      </c>
      <c r="AS225" s="361">
        <f>(M225*AC225)/$E$14</f>
      </c>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row>
    <row x14ac:dyDescent="0.25" r="226" customHeight="1" ht="13.5">
      <c r="A226" s="2"/>
      <c r="B226" s="3"/>
      <c r="C226" s="2"/>
      <c r="D226" s="250">
        <f>D167</f>
      </c>
      <c r="E226" s="312"/>
      <c r="F226" s="312"/>
      <c r="G226" s="312"/>
      <c r="H226" s="312"/>
      <c r="I226" s="312"/>
      <c r="J226" s="154"/>
      <c r="K226" s="401">
        <f>ProjectedP205_Consumption!K32-K110-K167</f>
      </c>
      <c r="L226" s="401">
        <f>ProjectedP205_Consumption!L32-L110-L167</f>
      </c>
      <c r="M226" s="401">
        <f>ProjectedP205_Consumption!M32-M110-M167</f>
      </c>
      <c r="N226" s="2"/>
      <c r="O226" s="63">
        <v>0.7</v>
      </c>
      <c r="P226" s="63">
        <v>0.7</v>
      </c>
      <c r="Q226" s="63">
        <v>0.7</v>
      </c>
      <c r="R226" s="63">
        <v>0</v>
      </c>
      <c r="S226" s="63">
        <v>0</v>
      </c>
      <c r="T226" s="63">
        <v>0</v>
      </c>
      <c r="U226" s="63">
        <v>0</v>
      </c>
      <c r="V226" s="63">
        <v>0</v>
      </c>
      <c r="W226" s="63">
        <v>0</v>
      </c>
      <c r="X226" s="63">
        <v>0</v>
      </c>
      <c r="Y226" s="63">
        <v>0</v>
      </c>
      <c r="Z226" s="63">
        <v>0</v>
      </c>
      <c r="AA226" s="63">
        <v>0.3</v>
      </c>
      <c r="AB226" s="63">
        <v>0.3</v>
      </c>
      <c r="AC226" s="63">
        <v>0.3</v>
      </c>
      <c r="AD226" s="2"/>
      <c r="AE226" s="361">
        <f>(K226*O226)/$E$12</f>
      </c>
      <c r="AF226" s="361">
        <f>(L226*P226)/$E$12</f>
      </c>
      <c r="AG226" s="361">
        <f>(M226*Q226)/$E$12</f>
      </c>
      <c r="AH226" s="361">
        <f>(K226*R226)/$E$10</f>
      </c>
      <c r="AI226" s="361">
        <f>(L226*S226)/$E$10</f>
      </c>
      <c r="AJ226" s="361">
        <f>(M226*T226)/$E$10</f>
      </c>
      <c r="AK226" s="361">
        <f>(K226*U226)/$E$10</f>
      </c>
      <c r="AL226" s="361">
        <f>(L226*V226)/$E$10</f>
      </c>
      <c r="AM226" s="361">
        <f>(M226*W226)/$E$10</f>
      </c>
      <c r="AN226" s="361">
        <f>(K226*X226)/$E$13</f>
      </c>
      <c r="AO226" s="361">
        <f>(L226*Y226)/$E$13</f>
      </c>
      <c r="AP226" s="361">
        <f>(M226*Z226)/$E$13</f>
      </c>
      <c r="AQ226" s="361">
        <f>(K226*AA226)/$E$14</f>
      </c>
      <c r="AR226" s="361">
        <f>(L226*AB226)/$E$14</f>
      </c>
      <c r="AS226" s="361">
        <f>(M226*AC226)/$E$14</f>
      </c>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row>
    <row x14ac:dyDescent="0.25" r="227" customHeight="1" ht="13.5">
      <c r="A227" s="2"/>
      <c r="B227" s="3"/>
      <c r="C227" s="2"/>
      <c r="D227" s="250">
        <f>D168</f>
      </c>
      <c r="E227" s="312"/>
      <c r="F227" s="312"/>
      <c r="G227" s="312"/>
      <c r="H227" s="312"/>
      <c r="I227" s="312"/>
      <c r="J227" s="154"/>
      <c r="K227" s="401">
        <f>ProjectedP205_Consumption!K33-K111-K168</f>
      </c>
      <c r="L227" s="401">
        <f>ProjectedP205_Consumption!L33-L111-L168</f>
      </c>
      <c r="M227" s="401">
        <f>ProjectedP205_Consumption!M33-M111-M168</f>
      </c>
      <c r="N227" s="2"/>
      <c r="O227" s="63">
        <v>0</v>
      </c>
      <c r="P227" s="63">
        <v>0</v>
      </c>
      <c r="Q227" s="63">
        <v>0</v>
      </c>
      <c r="R227" s="63">
        <v>0</v>
      </c>
      <c r="S227" s="63">
        <v>0</v>
      </c>
      <c r="T227" s="63">
        <v>0</v>
      </c>
      <c r="U227" s="63">
        <v>0</v>
      </c>
      <c r="V227" s="63">
        <v>0</v>
      </c>
      <c r="W227" s="63">
        <v>0</v>
      </c>
      <c r="X227" s="63">
        <v>0</v>
      </c>
      <c r="Y227" s="63">
        <v>0</v>
      </c>
      <c r="Z227" s="63">
        <v>0</v>
      </c>
      <c r="AA227" s="63">
        <v>1</v>
      </c>
      <c r="AB227" s="63">
        <v>1</v>
      </c>
      <c r="AC227" s="63">
        <v>1</v>
      </c>
      <c r="AD227" s="2"/>
      <c r="AE227" s="361">
        <f>(K227*O227)/$E$12</f>
      </c>
      <c r="AF227" s="361">
        <f>(L227*P227)/$E$12</f>
      </c>
      <c r="AG227" s="361">
        <f>(M227*Q227)/$E$12</f>
      </c>
      <c r="AH227" s="361">
        <f>(K227*R227)/$E$10</f>
      </c>
      <c r="AI227" s="361">
        <f>(L227*S227)/$E$10</f>
      </c>
      <c r="AJ227" s="361">
        <f>(M227*T227)/$E$10</f>
      </c>
      <c r="AK227" s="361">
        <f>(K227*U227)/$E$10</f>
      </c>
      <c r="AL227" s="361">
        <f>(L227*V227)/$E$10</f>
      </c>
      <c r="AM227" s="361">
        <f>(M227*W227)/$E$10</f>
      </c>
      <c r="AN227" s="361">
        <f>(K227*X227)/$E$13</f>
      </c>
      <c r="AO227" s="361">
        <f>(L227*Y227)/$E$13</f>
      </c>
      <c r="AP227" s="361">
        <f>(M227*Z227)/$E$13</f>
      </c>
      <c r="AQ227" s="361">
        <f>(K227*AA227)/$E$14</f>
      </c>
      <c r="AR227" s="361">
        <f>(L227*AB227)/$E$14</f>
      </c>
      <c r="AS227" s="361">
        <f>(M227*AC227)/$E$14</f>
      </c>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row>
    <row x14ac:dyDescent="0.25" r="228" customHeight="1" ht="13.5">
      <c r="A228" s="2"/>
      <c r="B228" s="3"/>
      <c r="C228" s="2"/>
      <c r="D228" s="402">
        <f>D169</f>
      </c>
      <c r="E228" s="364"/>
      <c r="F228" s="364"/>
      <c r="G228" s="364"/>
      <c r="H228" s="364"/>
      <c r="I228" s="364"/>
      <c r="J228" s="364"/>
      <c r="K228" s="403">
        <f>SUM(K207:K227)</f>
      </c>
      <c r="L228" s="403">
        <f>SUM(L207:L227)</f>
      </c>
      <c r="M228" s="403">
        <f>SUM(M207:M227)</f>
      </c>
      <c r="N228" s="2"/>
      <c r="O228" s="3"/>
      <c r="P228" s="3"/>
      <c r="Q228" s="3"/>
      <c r="R228" s="3"/>
      <c r="S228" s="3"/>
      <c r="T228" s="3"/>
      <c r="U228" s="3"/>
      <c r="V228" s="3"/>
      <c r="W228" s="3"/>
      <c r="X228" s="3"/>
      <c r="Y228" s="3"/>
      <c r="Z228" s="3"/>
      <c r="AA228" s="3"/>
      <c r="AB228" s="3"/>
      <c r="AC228" s="3"/>
      <c r="AD228" s="2"/>
      <c r="AE228" s="181">
        <f>SUM(AE207:AE227)</f>
      </c>
      <c r="AF228" s="181">
        <f>SUM(AF207:AF227)</f>
      </c>
      <c r="AG228" s="181">
        <f>SUM(AG207:AG227)</f>
      </c>
      <c r="AH228" s="181">
        <f>SUM(AH207:AH227)</f>
      </c>
      <c r="AI228" s="181">
        <f>SUM(AI207:AI227)</f>
      </c>
      <c r="AJ228" s="181">
        <f>SUM(AJ207:AJ227)</f>
      </c>
      <c r="AK228" s="181">
        <f>SUM(AK207:AK227)</f>
      </c>
      <c r="AL228" s="181">
        <f>SUM(AL207:AL227)</f>
      </c>
      <c r="AM228" s="181">
        <f>SUM(AM207:AM227)</f>
      </c>
      <c r="AN228" s="181">
        <f>SUM(AN207:AN227)</f>
      </c>
      <c r="AO228" s="181">
        <f>SUM(AO207:AO227)</f>
      </c>
      <c r="AP228" s="181">
        <f>SUM(AP207:AP227)</f>
      </c>
      <c r="AQ228" s="181">
        <f>SUM(AQ207:AQ227)</f>
      </c>
      <c r="AR228" s="181">
        <f>SUM(AR207:AR227)</f>
      </c>
      <c r="AS228" s="181">
        <f>SUM(AS207:AS227)</f>
      </c>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row>
    <row x14ac:dyDescent="0.25" r="229" customHeight="1" ht="13.5">
      <c r="A229" s="2"/>
      <c r="B229" s="3"/>
      <c r="C229" s="2"/>
      <c r="D229" s="404" t="s">
        <v>479</v>
      </c>
      <c r="E229" s="364"/>
      <c r="F229" s="364"/>
      <c r="G229" s="364"/>
      <c r="H229" s="364"/>
      <c r="I229" s="364"/>
      <c r="J229" s="364"/>
      <c r="K229" s="403">
        <f>K24+K228-ProjectedP205_Consumption!K34</f>
      </c>
      <c r="L229" s="403">
        <f>L24+L228-ProjectedP205_Consumption!L34</f>
      </c>
      <c r="M229" s="403">
        <f>M24+M228-ProjectedP205_Consumption!M34</f>
      </c>
      <c r="N229" s="2"/>
      <c r="O229" s="3"/>
      <c r="P229" s="3"/>
      <c r="Q229" s="3"/>
      <c r="R229" s="3"/>
      <c r="S229" s="3"/>
      <c r="T229" s="3"/>
      <c r="U229" s="3"/>
      <c r="V229" s="3"/>
      <c r="W229" s="3"/>
      <c r="X229" s="3"/>
      <c r="Y229" s="3"/>
      <c r="Z229" s="3"/>
      <c r="AA229" s="3"/>
      <c r="AB229" s="3"/>
      <c r="AC229" s="3"/>
      <c r="AD229" s="2"/>
      <c r="AE229" s="108"/>
      <c r="AF229" s="108"/>
      <c r="AG229" s="108"/>
      <c r="AH229" s="108"/>
      <c r="AI229" s="108"/>
      <c r="AJ229" s="108"/>
      <c r="AK229" s="108"/>
      <c r="AL229" s="108"/>
      <c r="AM229" s="108"/>
      <c r="AN229" s="108"/>
      <c r="AO229" s="108"/>
      <c r="AP229" s="108"/>
      <c r="AQ229" s="108"/>
      <c r="AR229" s="108"/>
      <c r="AS229" s="108"/>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row>
    <row x14ac:dyDescent="0.25" r="230" customHeight="1" ht="13.5">
      <c r="A230" s="2"/>
      <c r="B230" s="3"/>
      <c r="C230" s="2"/>
      <c r="D230" s="2"/>
      <c r="E230" s="124"/>
      <c r="F230" s="124"/>
      <c r="G230" s="124"/>
      <c r="H230" s="124"/>
      <c r="I230" s="124"/>
      <c r="J230" s="124"/>
      <c r="K230" s="124"/>
      <c r="L230" s="124"/>
      <c r="M230" s="124"/>
      <c r="N230" s="2"/>
      <c r="O230" s="394" t="s">
        <v>525</v>
      </c>
      <c r="P230" s="3"/>
      <c r="Q230" s="3"/>
      <c r="R230" s="3"/>
      <c r="S230" s="3"/>
      <c r="T230" s="3"/>
      <c r="U230" s="3"/>
      <c r="V230" s="3"/>
      <c r="W230" s="3"/>
      <c r="X230" s="3"/>
      <c r="Y230" s="3"/>
      <c r="Z230" s="3"/>
      <c r="AA230" s="3"/>
      <c r="AB230" s="3"/>
      <c r="AC230" s="3"/>
      <c r="AD230" s="2"/>
      <c r="AE230" s="394" t="s">
        <v>526</v>
      </c>
      <c r="AF230" s="108"/>
      <c r="AG230" s="108"/>
      <c r="AH230" s="108"/>
      <c r="AI230" s="108"/>
      <c r="AJ230" s="108"/>
      <c r="AK230" s="108"/>
      <c r="AL230" s="108"/>
      <c r="AM230" s="108"/>
      <c r="AN230" s="108"/>
      <c r="AO230" s="108"/>
      <c r="AP230" s="108"/>
      <c r="AQ230" s="108"/>
      <c r="AR230" s="108"/>
      <c r="AS230" s="108"/>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row>
    <row x14ac:dyDescent="0.25" r="231" customHeight="1" ht="13.5">
      <c r="A231" s="2"/>
      <c r="B231" s="3"/>
      <c r="C231" s="2"/>
      <c r="D231" s="395" t="s">
        <v>530</v>
      </c>
      <c r="E231" s="3"/>
      <c r="F231" s="3"/>
      <c r="G231" s="3"/>
      <c r="H231" s="3"/>
      <c r="I231" s="3"/>
      <c r="J231" s="3"/>
      <c r="K231" s="108"/>
      <c r="L231" s="108"/>
      <c r="M231" s="108"/>
      <c r="N231" s="2"/>
      <c r="O231" s="396" t="s">
        <v>441</v>
      </c>
      <c r="P231" s="3"/>
      <c r="Q231" s="3"/>
      <c r="R231" s="3"/>
      <c r="S231" s="3"/>
      <c r="T231" s="3"/>
      <c r="U231" s="3"/>
      <c r="V231" s="3"/>
      <c r="W231" s="3"/>
      <c r="X231" s="3"/>
      <c r="Y231" s="3"/>
      <c r="Z231" s="3"/>
      <c r="AA231" s="3"/>
      <c r="AB231" s="3"/>
      <c r="AC231" s="3"/>
      <c r="AD231" s="2"/>
      <c r="AE231" s="396" t="s">
        <v>528</v>
      </c>
      <c r="AF231" s="108"/>
      <c r="AG231" s="108"/>
      <c r="AH231" s="108"/>
      <c r="AI231" s="108"/>
      <c r="AJ231" s="108"/>
      <c r="AK231" s="108"/>
      <c r="AL231" s="108"/>
      <c r="AM231" s="108"/>
      <c r="AN231" s="108"/>
      <c r="AO231" s="108"/>
      <c r="AP231" s="108"/>
      <c r="AQ231" s="108"/>
      <c r="AR231" s="108"/>
      <c r="AS231" s="108"/>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row>
    <row x14ac:dyDescent="0.25" r="232" customHeight="1" ht="13.5">
      <c r="A232" s="2"/>
      <c r="B232" s="3"/>
      <c r="C232" s="2"/>
      <c r="D232" s="397">
        <f>D174</f>
      </c>
      <c r="E232" s="3"/>
      <c r="F232" s="3"/>
      <c r="G232" s="3"/>
      <c r="H232" s="3"/>
      <c r="I232" s="3"/>
      <c r="J232" s="3"/>
      <c r="K232" s="108"/>
      <c r="L232" s="108"/>
      <c r="M232" s="108"/>
      <c r="N232" s="2"/>
      <c r="O232" s="398" t="s">
        <v>25</v>
      </c>
      <c r="P232" s="347"/>
      <c r="Q232" s="347"/>
      <c r="R232" s="398" t="s">
        <v>443</v>
      </c>
      <c r="S232" s="347"/>
      <c r="T232" s="347"/>
      <c r="U232" s="398" t="s">
        <v>466</v>
      </c>
      <c r="V232" s="347"/>
      <c r="W232" s="347"/>
      <c r="X232" s="398" t="s">
        <v>529</v>
      </c>
      <c r="Y232" s="347"/>
      <c r="Z232" s="347"/>
      <c r="AA232" s="398" t="s">
        <v>29</v>
      </c>
      <c r="AB232" s="347"/>
      <c r="AC232" s="347"/>
      <c r="AD232" s="2"/>
      <c r="AE232" s="398" t="s">
        <v>25</v>
      </c>
      <c r="AF232" s="347"/>
      <c r="AG232" s="347"/>
      <c r="AH232" s="398" t="s">
        <v>443</v>
      </c>
      <c r="AI232" s="347"/>
      <c r="AJ232" s="347"/>
      <c r="AK232" s="398" t="s">
        <v>466</v>
      </c>
      <c r="AL232" s="347"/>
      <c r="AM232" s="347"/>
      <c r="AN232" s="398" t="s">
        <v>529</v>
      </c>
      <c r="AO232" s="347"/>
      <c r="AP232" s="347"/>
      <c r="AQ232" s="398" t="s">
        <v>29</v>
      </c>
      <c r="AR232" s="347"/>
      <c r="AS232" s="347"/>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row>
    <row x14ac:dyDescent="0.25" r="233" customHeight="1" ht="13.5">
      <c r="A233" s="2"/>
      <c r="B233" s="3"/>
      <c r="C233" s="2"/>
      <c r="D233" s="399">
        <f>D175</f>
      </c>
      <c r="E233" s="400">
        <v>2017</v>
      </c>
      <c r="F233" s="400">
        <v>2018</v>
      </c>
      <c r="G233" s="400">
        <v>2019</v>
      </c>
      <c r="H233" s="400">
        <v>2020</v>
      </c>
      <c r="I233" s="400">
        <v>2021</v>
      </c>
      <c r="J233" s="400">
        <v>2022</v>
      </c>
      <c r="K233" s="400">
        <v>2023</v>
      </c>
      <c r="L233" s="400">
        <v>2024</v>
      </c>
      <c r="M233" s="400">
        <v>2025</v>
      </c>
      <c r="N233" s="2"/>
      <c r="O233" s="400">
        <v>2023</v>
      </c>
      <c r="P233" s="400">
        <v>2024</v>
      </c>
      <c r="Q233" s="400">
        <v>2025</v>
      </c>
      <c r="R233" s="400">
        <v>2023</v>
      </c>
      <c r="S233" s="400">
        <v>2024</v>
      </c>
      <c r="T233" s="400">
        <v>2025</v>
      </c>
      <c r="U233" s="400">
        <v>2023</v>
      </c>
      <c r="V233" s="400">
        <v>2024</v>
      </c>
      <c r="W233" s="400">
        <v>2025</v>
      </c>
      <c r="X233" s="400">
        <v>2023</v>
      </c>
      <c r="Y233" s="400">
        <v>2024</v>
      </c>
      <c r="Z233" s="400">
        <v>2025</v>
      </c>
      <c r="AA233" s="400">
        <v>2023</v>
      </c>
      <c r="AB233" s="400">
        <v>2024</v>
      </c>
      <c r="AC233" s="400">
        <v>2025</v>
      </c>
      <c r="AD233" s="2"/>
      <c r="AE233" s="400">
        <v>2023</v>
      </c>
      <c r="AF233" s="400">
        <v>2024</v>
      </c>
      <c r="AG233" s="400">
        <v>2025</v>
      </c>
      <c r="AH233" s="400">
        <v>2023</v>
      </c>
      <c r="AI233" s="400">
        <v>2024</v>
      </c>
      <c r="AJ233" s="400">
        <v>2025</v>
      </c>
      <c r="AK233" s="400">
        <v>2023</v>
      </c>
      <c r="AL233" s="400">
        <v>2024</v>
      </c>
      <c r="AM233" s="400">
        <v>2025</v>
      </c>
      <c r="AN233" s="400">
        <v>2023</v>
      </c>
      <c r="AO233" s="400">
        <v>2024</v>
      </c>
      <c r="AP233" s="400">
        <v>2025</v>
      </c>
      <c r="AQ233" s="400">
        <v>2023</v>
      </c>
      <c r="AR233" s="400">
        <v>2024</v>
      </c>
      <c r="AS233" s="400">
        <v>2025</v>
      </c>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row>
    <row x14ac:dyDescent="0.25" r="234" customHeight="1" ht="13.5">
      <c r="A234" s="2"/>
      <c r="B234" s="3"/>
      <c r="C234" s="2"/>
      <c r="D234" s="260" t="s">
        <v>179</v>
      </c>
      <c r="E234" s="3"/>
      <c r="F234" s="3"/>
      <c r="G234" s="3"/>
      <c r="H234" s="3"/>
      <c r="I234" s="3"/>
      <c r="J234" s="3"/>
      <c r="K234" s="401">
        <f>ProjectedP205_Consumption!K41-K119-K176</f>
      </c>
      <c r="L234" s="401">
        <f>ProjectedP205_Consumption!L41-L119-L176</f>
      </c>
      <c r="M234" s="401">
        <f>ProjectedP205_Consumption!M41-M119-M176</f>
      </c>
      <c r="N234" s="2"/>
      <c r="O234" s="63">
        <v>0.7</v>
      </c>
      <c r="P234" s="63">
        <v>0.7</v>
      </c>
      <c r="Q234" s="63">
        <v>0.7</v>
      </c>
      <c r="R234" s="63">
        <v>0</v>
      </c>
      <c r="S234" s="63">
        <v>0</v>
      </c>
      <c r="T234" s="63">
        <v>0</v>
      </c>
      <c r="U234" s="63">
        <v>0</v>
      </c>
      <c r="V234" s="63">
        <v>0</v>
      </c>
      <c r="W234" s="63">
        <v>0</v>
      </c>
      <c r="X234" s="63">
        <v>0</v>
      </c>
      <c r="Y234" s="63">
        <v>0</v>
      </c>
      <c r="Z234" s="63">
        <v>0</v>
      </c>
      <c r="AA234" s="63">
        <v>0.3</v>
      </c>
      <c r="AB234" s="63">
        <v>0.3</v>
      </c>
      <c r="AC234" s="63">
        <v>0.3</v>
      </c>
      <c r="AD234" s="2"/>
      <c r="AE234" s="361">
        <f>(K234*O234)/$E$12</f>
      </c>
      <c r="AF234" s="361">
        <f>(L234*P234)/$E$12</f>
      </c>
      <c r="AG234" s="361">
        <f>(M234*Q234)/$E$12</f>
      </c>
      <c r="AH234" s="361">
        <f>(K234*R234)/$E$10</f>
      </c>
      <c r="AI234" s="361">
        <f>(L234*S234)/$E$10</f>
      </c>
      <c r="AJ234" s="361">
        <f>(M234*T234)/$E$10</f>
      </c>
      <c r="AK234" s="361">
        <f>(K234*U234)/$E$10</f>
      </c>
      <c r="AL234" s="361">
        <f>(L234*V234)/$E$10</f>
      </c>
      <c r="AM234" s="361">
        <f>(M234*W234)/$E$10</f>
      </c>
      <c r="AN234" s="361">
        <f>(K234*X234)/$E$13</f>
      </c>
      <c r="AO234" s="361">
        <f>(L234*Y234)/$E$13</f>
      </c>
      <c r="AP234" s="361">
        <f>(M234*Z234)/$E$13</f>
      </c>
      <c r="AQ234" s="361">
        <f>(K234*AA234)/$E$14</f>
      </c>
      <c r="AR234" s="361">
        <f>(L234*AB234)/$E$14</f>
      </c>
      <c r="AS234" s="361">
        <f>(M234*AC234)/$E$14</f>
      </c>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row>
    <row x14ac:dyDescent="0.25" r="235" customHeight="1" ht="13.5">
      <c r="A235" s="2"/>
      <c r="B235" s="3"/>
      <c r="C235" s="2"/>
      <c r="D235" s="260" t="s">
        <v>231</v>
      </c>
      <c r="E235" s="3"/>
      <c r="F235" s="3"/>
      <c r="G235" s="3"/>
      <c r="H235" s="3"/>
      <c r="I235" s="3"/>
      <c r="J235" s="3"/>
      <c r="K235" s="401">
        <f>ProjectedP205_Consumption!K42-K120-K177</f>
      </c>
      <c r="L235" s="401">
        <f>ProjectedP205_Consumption!L42-L120-L177</f>
      </c>
      <c r="M235" s="401">
        <f>ProjectedP205_Consumption!M42-M120-M177</f>
      </c>
      <c r="N235" s="2"/>
      <c r="O235" s="63">
        <v>0.7</v>
      </c>
      <c r="P235" s="63">
        <v>0.7</v>
      </c>
      <c r="Q235" s="63">
        <v>0.7</v>
      </c>
      <c r="R235" s="63">
        <v>0</v>
      </c>
      <c r="S235" s="63">
        <v>0</v>
      </c>
      <c r="T235" s="63">
        <v>0</v>
      </c>
      <c r="U235" s="63">
        <v>0</v>
      </c>
      <c r="V235" s="63">
        <v>0</v>
      </c>
      <c r="W235" s="63">
        <v>0</v>
      </c>
      <c r="X235" s="63">
        <v>0</v>
      </c>
      <c r="Y235" s="63">
        <v>0</v>
      </c>
      <c r="Z235" s="63">
        <v>0</v>
      </c>
      <c r="AA235" s="63">
        <v>0.3</v>
      </c>
      <c r="AB235" s="63">
        <v>0.3</v>
      </c>
      <c r="AC235" s="63">
        <v>0.3</v>
      </c>
      <c r="AD235" s="2"/>
      <c r="AE235" s="361">
        <f>(K235*O235)/$E$12</f>
      </c>
      <c r="AF235" s="361">
        <f>(L235*P235)/$E$12</f>
      </c>
      <c r="AG235" s="361">
        <f>(M235*Q235)/$E$12</f>
      </c>
      <c r="AH235" s="361">
        <f>(K235*R235)/$E$10</f>
      </c>
      <c r="AI235" s="361">
        <f>(L235*S235)/$E$10</f>
      </c>
      <c r="AJ235" s="361">
        <f>(M235*T235)/$E$10</f>
      </c>
      <c r="AK235" s="361">
        <f>(K235*U235)/$E$10</f>
      </c>
      <c r="AL235" s="361">
        <f>(L235*V235)/$E$10</f>
      </c>
      <c r="AM235" s="361">
        <f>(M235*W235)/$E$10</f>
      </c>
      <c r="AN235" s="361">
        <f>(K235*X235)/$E$13</f>
      </c>
      <c r="AO235" s="361">
        <f>(L235*Y235)/$E$13</f>
      </c>
      <c r="AP235" s="361">
        <f>(M235*Z235)/$E$13</f>
      </c>
      <c r="AQ235" s="361">
        <f>(K235*AA235)/$E$14</f>
      </c>
      <c r="AR235" s="361">
        <f>(L235*AB235)/$E$14</f>
      </c>
      <c r="AS235" s="361">
        <f>(M235*AC235)/$E$14</f>
      </c>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row>
    <row x14ac:dyDescent="0.25" r="236" customHeight="1" ht="13.5">
      <c r="A236" s="2"/>
      <c r="B236" s="3"/>
      <c r="C236" s="2"/>
      <c r="D236" s="260" t="s">
        <v>141</v>
      </c>
      <c r="E236" s="3"/>
      <c r="F236" s="3"/>
      <c r="G236" s="3"/>
      <c r="H236" s="3"/>
      <c r="I236" s="3"/>
      <c r="J236" s="3"/>
      <c r="K236" s="401">
        <f>ProjectedP205_Consumption!K43-K121-K178</f>
      </c>
      <c r="L236" s="401">
        <f>ProjectedP205_Consumption!L43-L121-L178</f>
      </c>
      <c r="M236" s="401">
        <f>ProjectedP205_Consumption!M43-M121-M178</f>
      </c>
      <c r="N236" s="2"/>
      <c r="O236" s="63">
        <v>0.7</v>
      </c>
      <c r="P236" s="63">
        <v>0.7</v>
      </c>
      <c r="Q236" s="63">
        <v>0.7</v>
      </c>
      <c r="R236" s="63">
        <v>0</v>
      </c>
      <c r="S236" s="63">
        <v>0</v>
      </c>
      <c r="T236" s="63">
        <v>0</v>
      </c>
      <c r="U236" s="63">
        <v>0</v>
      </c>
      <c r="V236" s="63">
        <v>0</v>
      </c>
      <c r="W236" s="63">
        <v>0</v>
      </c>
      <c r="X236" s="63">
        <v>0</v>
      </c>
      <c r="Y236" s="63">
        <v>0</v>
      </c>
      <c r="Z236" s="63">
        <v>0</v>
      </c>
      <c r="AA236" s="63">
        <v>0.3</v>
      </c>
      <c r="AB236" s="63">
        <v>0.3</v>
      </c>
      <c r="AC236" s="63">
        <v>0.3</v>
      </c>
      <c r="AD236" s="2"/>
      <c r="AE236" s="361">
        <f>(K236*O236)/$E$12</f>
      </c>
      <c r="AF236" s="361">
        <f>(L236*P236)/$E$12</f>
      </c>
      <c r="AG236" s="361">
        <f>(M236*Q236)/$E$12</f>
      </c>
      <c r="AH236" s="361">
        <f>(K236*R236)/$E$10</f>
      </c>
      <c r="AI236" s="361">
        <f>(L236*S236)/$E$10</f>
      </c>
      <c r="AJ236" s="361">
        <f>(M236*T236)/$E$10</f>
      </c>
      <c r="AK236" s="361">
        <f>(K236*U236)/$E$10</f>
      </c>
      <c r="AL236" s="361">
        <f>(L236*V236)/$E$10</f>
      </c>
      <c r="AM236" s="361">
        <f>(M236*W236)/$E$10</f>
      </c>
      <c r="AN236" s="361">
        <f>(K236*X236)/$E$13</f>
      </c>
      <c r="AO236" s="361">
        <f>(L236*Y236)/$E$13</f>
      </c>
      <c r="AP236" s="361">
        <f>(M236*Z236)/$E$13</f>
      </c>
      <c r="AQ236" s="361">
        <f>(K236*AA236)/$E$14</f>
      </c>
      <c r="AR236" s="361">
        <f>(L236*AB236)/$E$14</f>
      </c>
      <c r="AS236" s="361">
        <f>(M236*AC236)/$E$14</f>
      </c>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row>
    <row x14ac:dyDescent="0.25" r="237" customHeight="1" ht="13.5">
      <c r="A237" s="2"/>
      <c r="B237" s="3"/>
      <c r="C237" s="2"/>
      <c r="D237" s="260" t="s">
        <v>247</v>
      </c>
      <c r="E237" s="3"/>
      <c r="F237" s="3"/>
      <c r="G237" s="3"/>
      <c r="H237" s="3"/>
      <c r="I237" s="3"/>
      <c r="J237" s="3"/>
      <c r="K237" s="401">
        <f>ProjectedP205_Consumption!K44-K122-K179</f>
      </c>
      <c r="L237" s="401">
        <f>ProjectedP205_Consumption!L44-L122-L179</f>
      </c>
      <c r="M237" s="401">
        <f>ProjectedP205_Consumption!M44-M122-M179</f>
      </c>
      <c r="N237" s="2"/>
      <c r="O237" s="63">
        <v>0.7</v>
      </c>
      <c r="P237" s="63">
        <v>0.7</v>
      </c>
      <c r="Q237" s="63">
        <v>0.7</v>
      </c>
      <c r="R237" s="63">
        <v>0</v>
      </c>
      <c r="S237" s="63">
        <v>0</v>
      </c>
      <c r="T237" s="63">
        <v>0</v>
      </c>
      <c r="U237" s="63">
        <v>0</v>
      </c>
      <c r="V237" s="63">
        <v>0</v>
      </c>
      <c r="W237" s="63">
        <v>0</v>
      </c>
      <c r="X237" s="63">
        <v>0</v>
      </c>
      <c r="Y237" s="63">
        <v>0</v>
      </c>
      <c r="Z237" s="63">
        <v>0</v>
      </c>
      <c r="AA237" s="63">
        <v>0.3</v>
      </c>
      <c r="AB237" s="63">
        <v>0.3</v>
      </c>
      <c r="AC237" s="63">
        <v>0.3</v>
      </c>
      <c r="AD237" s="2"/>
      <c r="AE237" s="361">
        <f>(K237*O237)/$E$12</f>
      </c>
      <c r="AF237" s="361">
        <f>(L237*P237)/$E$12</f>
      </c>
      <c r="AG237" s="361">
        <f>(M237*Q237)/$E$12</f>
      </c>
      <c r="AH237" s="361">
        <f>(K237*R237)/$E$10</f>
      </c>
      <c r="AI237" s="361">
        <f>(L237*S237)/$E$10</f>
      </c>
      <c r="AJ237" s="361">
        <f>(M237*T237)/$E$10</f>
      </c>
      <c r="AK237" s="361">
        <f>(K237*U237)/$E$10</f>
      </c>
      <c r="AL237" s="361">
        <f>(L237*V237)/$E$10</f>
      </c>
      <c r="AM237" s="361">
        <f>(M237*W237)/$E$10</f>
      </c>
      <c r="AN237" s="361">
        <f>(K237*X237)/$E$13</f>
      </c>
      <c r="AO237" s="361">
        <f>(L237*Y237)/$E$13</f>
      </c>
      <c r="AP237" s="361">
        <f>(M237*Z237)/$E$13</f>
      </c>
      <c r="AQ237" s="361">
        <f>(K237*AA237)/$E$14</f>
      </c>
      <c r="AR237" s="361">
        <f>(L237*AB237)/$E$14</f>
      </c>
      <c r="AS237" s="361">
        <f>(M237*AC237)/$E$14</f>
      </c>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row>
    <row x14ac:dyDescent="0.25" r="238" customHeight="1" ht="13.5">
      <c r="A238" s="2"/>
      <c r="B238" s="3"/>
      <c r="C238" s="2"/>
      <c r="D238" s="260" t="s">
        <v>175</v>
      </c>
      <c r="E238" s="3"/>
      <c r="F238" s="3"/>
      <c r="G238" s="3"/>
      <c r="H238" s="3"/>
      <c r="I238" s="3"/>
      <c r="J238" s="3"/>
      <c r="K238" s="401">
        <f>ProjectedP205_Consumption!K45-K123-K180</f>
      </c>
      <c r="L238" s="401">
        <f>ProjectedP205_Consumption!L45-L123-L180</f>
      </c>
      <c r="M238" s="401">
        <f>ProjectedP205_Consumption!M45-M123-M180</f>
      </c>
      <c r="N238" s="2"/>
      <c r="O238" s="63">
        <v>0.7</v>
      </c>
      <c r="P238" s="63">
        <v>0.7</v>
      </c>
      <c r="Q238" s="63">
        <v>0.7</v>
      </c>
      <c r="R238" s="63">
        <v>0</v>
      </c>
      <c r="S238" s="63">
        <v>0</v>
      </c>
      <c r="T238" s="63">
        <v>0</v>
      </c>
      <c r="U238" s="63">
        <v>0</v>
      </c>
      <c r="V238" s="63">
        <v>0</v>
      </c>
      <c r="W238" s="63">
        <v>0</v>
      </c>
      <c r="X238" s="63">
        <v>0</v>
      </c>
      <c r="Y238" s="63">
        <v>0</v>
      </c>
      <c r="Z238" s="63">
        <v>0</v>
      </c>
      <c r="AA238" s="63">
        <v>0.3</v>
      </c>
      <c r="AB238" s="63">
        <v>0.3</v>
      </c>
      <c r="AC238" s="63">
        <v>0.3</v>
      </c>
      <c r="AD238" s="2"/>
      <c r="AE238" s="361">
        <f>(K238*O238)/$E$12</f>
      </c>
      <c r="AF238" s="361">
        <f>(L238*P238)/$E$12</f>
      </c>
      <c r="AG238" s="361">
        <f>(M238*Q238)/$E$12</f>
      </c>
      <c r="AH238" s="361">
        <f>(K238*R238)/$E$10</f>
      </c>
      <c r="AI238" s="361">
        <f>(L238*S238)/$E$10</f>
      </c>
      <c r="AJ238" s="361">
        <f>(M238*T238)/$E$10</f>
      </c>
      <c r="AK238" s="361">
        <f>(K238*U238)/$E$10</f>
      </c>
      <c r="AL238" s="361">
        <f>(L238*V238)/$E$10</f>
      </c>
      <c r="AM238" s="361">
        <f>(M238*W238)/$E$10</f>
      </c>
      <c r="AN238" s="361">
        <f>(K238*X238)/$E$13</f>
      </c>
      <c r="AO238" s="361">
        <f>(L238*Y238)/$E$13</f>
      </c>
      <c r="AP238" s="361">
        <f>(M238*Z238)/$E$13</f>
      </c>
      <c r="AQ238" s="361">
        <f>(K238*AA238)/$E$14</f>
      </c>
      <c r="AR238" s="361">
        <f>(L238*AB238)/$E$14</f>
      </c>
      <c r="AS238" s="361">
        <f>(M238*AC238)/$E$14</f>
      </c>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row>
    <row x14ac:dyDescent="0.25" r="239" customHeight="1" ht="13.5">
      <c r="A239" s="2"/>
      <c r="B239" s="3"/>
      <c r="C239" s="2"/>
      <c r="D239" s="260" t="s">
        <v>131</v>
      </c>
      <c r="E239" s="3"/>
      <c r="F239" s="3"/>
      <c r="G239" s="3"/>
      <c r="H239" s="3"/>
      <c r="I239" s="3"/>
      <c r="J239" s="3"/>
      <c r="K239" s="401">
        <f>ProjectedP205_Consumption!K46-K124-K181</f>
      </c>
      <c r="L239" s="401">
        <f>ProjectedP205_Consumption!L46-L124-L181</f>
      </c>
      <c r="M239" s="401">
        <f>ProjectedP205_Consumption!M46-M124-M181</f>
      </c>
      <c r="N239" s="2"/>
      <c r="O239" s="63">
        <v>0.7</v>
      </c>
      <c r="P239" s="63">
        <v>0.7</v>
      </c>
      <c r="Q239" s="63">
        <v>0.7</v>
      </c>
      <c r="R239" s="63">
        <v>0</v>
      </c>
      <c r="S239" s="63">
        <v>0</v>
      </c>
      <c r="T239" s="63">
        <v>0</v>
      </c>
      <c r="U239" s="63">
        <v>0</v>
      </c>
      <c r="V239" s="63">
        <v>0</v>
      </c>
      <c r="W239" s="63">
        <v>0</v>
      </c>
      <c r="X239" s="63">
        <v>0</v>
      </c>
      <c r="Y239" s="63">
        <v>0</v>
      </c>
      <c r="Z239" s="63">
        <v>0</v>
      </c>
      <c r="AA239" s="63">
        <v>0.3</v>
      </c>
      <c r="AB239" s="63">
        <v>0.3</v>
      </c>
      <c r="AC239" s="63">
        <v>0.3</v>
      </c>
      <c r="AD239" s="2"/>
      <c r="AE239" s="361">
        <f>(K239*O239)/$E$12</f>
      </c>
      <c r="AF239" s="361">
        <f>(L239*P239)/$E$12</f>
      </c>
      <c r="AG239" s="361">
        <f>(M239*Q239)/$E$12</f>
      </c>
      <c r="AH239" s="361">
        <f>(K239*R239)/$E$10</f>
      </c>
      <c r="AI239" s="361">
        <f>(L239*S239)/$E$10</f>
      </c>
      <c r="AJ239" s="361">
        <f>(M239*T239)/$E$10</f>
      </c>
      <c r="AK239" s="361">
        <f>(K239*U239)/$E$10</f>
      </c>
      <c r="AL239" s="361">
        <f>(L239*V239)/$E$10</f>
      </c>
      <c r="AM239" s="361">
        <f>(M239*W239)/$E$10</f>
      </c>
      <c r="AN239" s="361">
        <f>(K239*X239)/$E$13</f>
      </c>
      <c r="AO239" s="361">
        <f>(L239*Y239)/$E$13</f>
      </c>
      <c r="AP239" s="361">
        <f>(M239*Z239)/$E$13</f>
      </c>
      <c r="AQ239" s="361">
        <f>(K239*AA239)/$E$14</f>
      </c>
      <c r="AR239" s="361">
        <f>(L239*AB239)/$E$14</f>
      </c>
      <c r="AS239" s="361">
        <f>(M239*AC239)/$E$14</f>
      </c>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row>
    <row x14ac:dyDescent="0.25" r="240" customHeight="1" ht="13.5">
      <c r="A240" s="2"/>
      <c r="B240" s="3"/>
      <c r="C240" s="2"/>
      <c r="D240" s="260" t="s">
        <v>237</v>
      </c>
      <c r="E240" s="3"/>
      <c r="F240" s="3"/>
      <c r="G240" s="3"/>
      <c r="H240" s="3"/>
      <c r="I240" s="3"/>
      <c r="J240" s="3"/>
      <c r="K240" s="401">
        <f>ProjectedP205_Consumption!K47-K125-K182</f>
      </c>
      <c r="L240" s="401">
        <f>ProjectedP205_Consumption!L47-L125-L182</f>
      </c>
      <c r="M240" s="401">
        <f>ProjectedP205_Consumption!M47-M125-M182</f>
      </c>
      <c r="N240" s="2"/>
      <c r="O240" s="63">
        <v>0.7</v>
      </c>
      <c r="P240" s="63">
        <v>0.7</v>
      </c>
      <c r="Q240" s="63">
        <v>0.7</v>
      </c>
      <c r="R240" s="63">
        <v>0</v>
      </c>
      <c r="S240" s="63">
        <v>0</v>
      </c>
      <c r="T240" s="63">
        <v>0</v>
      </c>
      <c r="U240" s="63">
        <v>0</v>
      </c>
      <c r="V240" s="63">
        <v>0</v>
      </c>
      <c r="W240" s="63">
        <v>0</v>
      </c>
      <c r="X240" s="63">
        <v>0</v>
      </c>
      <c r="Y240" s="63">
        <v>0</v>
      </c>
      <c r="Z240" s="63">
        <v>0</v>
      </c>
      <c r="AA240" s="63">
        <v>0.3</v>
      </c>
      <c r="AB240" s="63">
        <v>0.3</v>
      </c>
      <c r="AC240" s="63">
        <v>0.3</v>
      </c>
      <c r="AD240" s="2"/>
      <c r="AE240" s="361">
        <f>(K240*O240)/$E$12</f>
      </c>
      <c r="AF240" s="361">
        <f>(L240*P240)/$E$12</f>
      </c>
      <c r="AG240" s="361">
        <f>(M240*Q240)/$E$12</f>
      </c>
      <c r="AH240" s="361">
        <f>(K240*R240)/$E$10</f>
      </c>
      <c r="AI240" s="361">
        <f>(L240*S240)/$E$10</f>
      </c>
      <c r="AJ240" s="361">
        <f>(M240*T240)/$E$10</f>
      </c>
      <c r="AK240" s="361">
        <f>(K240*U240)/$E$10</f>
      </c>
      <c r="AL240" s="361">
        <f>(L240*V240)/$E$10</f>
      </c>
      <c r="AM240" s="361">
        <f>(M240*W240)/$E$10</f>
      </c>
      <c r="AN240" s="361">
        <f>(K240*X240)/$E$13</f>
      </c>
      <c r="AO240" s="361">
        <f>(L240*Y240)/$E$13</f>
      </c>
      <c r="AP240" s="361">
        <f>(M240*Z240)/$E$13</f>
      </c>
      <c r="AQ240" s="361">
        <f>(K240*AA240)/$E$14</f>
      </c>
      <c r="AR240" s="361">
        <f>(L240*AB240)/$E$14</f>
      </c>
      <c r="AS240" s="361">
        <f>(M240*AC240)/$E$14</f>
      </c>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row>
    <row x14ac:dyDescent="0.25" r="241" customHeight="1" ht="13.5">
      <c r="A241" s="2"/>
      <c r="B241" s="3"/>
      <c r="C241" s="2"/>
      <c r="D241" s="260" t="s">
        <v>139</v>
      </c>
      <c r="E241" s="3"/>
      <c r="F241" s="3"/>
      <c r="G241" s="3"/>
      <c r="H241" s="3"/>
      <c r="I241" s="3"/>
      <c r="J241" s="3"/>
      <c r="K241" s="401">
        <f>ProjectedP205_Consumption!K48-K126-K183</f>
      </c>
      <c r="L241" s="401">
        <f>ProjectedP205_Consumption!L48-L126-L183</f>
      </c>
      <c r="M241" s="401">
        <f>ProjectedP205_Consumption!M48-M126-M183</f>
      </c>
      <c r="N241" s="2"/>
      <c r="O241" s="63">
        <v>0.7</v>
      </c>
      <c r="P241" s="63">
        <v>0.7</v>
      </c>
      <c r="Q241" s="63">
        <v>0.7</v>
      </c>
      <c r="R241" s="63">
        <v>0</v>
      </c>
      <c r="S241" s="63">
        <v>0</v>
      </c>
      <c r="T241" s="63">
        <v>0</v>
      </c>
      <c r="U241" s="63">
        <v>0</v>
      </c>
      <c r="V241" s="63">
        <v>0</v>
      </c>
      <c r="W241" s="63">
        <v>0</v>
      </c>
      <c r="X241" s="63">
        <v>0</v>
      </c>
      <c r="Y241" s="63">
        <v>0</v>
      </c>
      <c r="Z241" s="63">
        <v>0</v>
      </c>
      <c r="AA241" s="63">
        <v>0.3</v>
      </c>
      <c r="AB241" s="63">
        <v>0.3</v>
      </c>
      <c r="AC241" s="63">
        <v>0.3</v>
      </c>
      <c r="AD241" s="2"/>
      <c r="AE241" s="361">
        <f>(K241*O241)/$E$12</f>
      </c>
      <c r="AF241" s="361">
        <f>(L241*P241)/$E$12</f>
      </c>
      <c r="AG241" s="361">
        <f>(M241*Q241)/$E$12</f>
      </c>
      <c r="AH241" s="361">
        <f>(K241*R241)/$E$10</f>
      </c>
      <c r="AI241" s="361">
        <f>(L241*S241)/$E$10</f>
      </c>
      <c r="AJ241" s="361">
        <f>(M241*T241)/$E$10</f>
      </c>
      <c r="AK241" s="361">
        <f>(K241*U241)/$E$10</f>
      </c>
      <c r="AL241" s="361">
        <f>(L241*V241)/$E$10</f>
      </c>
      <c r="AM241" s="361">
        <f>(M241*W241)/$E$10</f>
      </c>
      <c r="AN241" s="361">
        <f>(K241*X241)/$E$13</f>
      </c>
      <c r="AO241" s="361">
        <f>(L241*Y241)/$E$13</f>
      </c>
      <c r="AP241" s="361">
        <f>(M241*Z241)/$E$13</f>
      </c>
      <c r="AQ241" s="361">
        <f>(K241*AA241)/$E$14</f>
      </c>
      <c r="AR241" s="361">
        <f>(L241*AB241)/$E$14</f>
      </c>
      <c r="AS241" s="361">
        <f>(M241*AC241)/$E$14</f>
      </c>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row>
    <row x14ac:dyDescent="0.25" r="242" customHeight="1" ht="13.5">
      <c r="A242" s="2"/>
      <c r="B242" s="3"/>
      <c r="C242" s="2"/>
      <c r="D242" s="260" t="s">
        <v>241</v>
      </c>
      <c r="E242" s="3"/>
      <c r="F242" s="3"/>
      <c r="G242" s="3"/>
      <c r="H242" s="3"/>
      <c r="I242" s="3"/>
      <c r="J242" s="3"/>
      <c r="K242" s="401">
        <f>ProjectedP205_Consumption!K49-K127-K184</f>
      </c>
      <c r="L242" s="401">
        <f>ProjectedP205_Consumption!L49-L127-L184</f>
      </c>
      <c r="M242" s="401">
        <f>ProjectedP205_Consumption!M49-M127-M184</f>
      </c>
      <c r="N242" s="2"/>
      <c r="O242" s="63">
        <v>0.7</v>
      </c>
      <c r="P242" s="63">
        <v>0.7</v>
      </c>
      <c r="Q242" s="63">
        <v>0.7</v>
      </c>
      <c r="R242" s="63">
        <v>0</v>
      </c>
      <c r="S242" s="63">
        <v>0</v>
      </c>
      <c r="T242" s="63">
        <v>0</v>
      </c>
      <c r="U242" s="63">
        <v>0</v>
      </c>
      <c r="V242" s="63">
        <v>0</v>
      </c>
      <c r="W242" s="63">
        <v>0</v>
      </c>
      <c r="X242" s="63">
        <v>0</v>
      </c>
      <c r="Y242" s="63">
        <v>0</v>
      </c>
      <c r="Z242" s="63">
        <v>0</v>
      </c>
      <c r="AA242" s="63">
        <v>0.3</v>
      </c>
      <c r="AB242" s="63">
        <v>0.3</v>
      </c>
      <c r="AC242" s="63">
        <v>0.3</v>
      </c>
      <c r="AD242" s="2"/>
      <c r="AE242" s="361">
        <f>(K242*O242)/$E$12</f>
      </c>
      <c r="AF242" s="361">
        <f>(L242*P242)/$E$12</f>
      </c>
      <c r="AG242" s="361">
        <f>(M242*Q242)/$E$12</f>
      </c>
      <c r="AH242" s="361">
        <f>(K242*R242)/$E$10</f>
      </c>
      <c r="AI242" s="361">
        <f>(L242*S242)/$E$10</f>
      </c>
      <c r="AJ242" s="361">
        <f>(M242*T242)/$E$10</f>
      </c>
      <c r="AK242" s="361">
        <f>(K242*U242)/$E$10</f>
      </c>
      <c r="AL242" s="361">
        <f>(L242*V242)/$E$10</f>
      </c>
      <c r="AM242" s="361">
        <f>(M242*W242)/$E$10</f>
      </c>
      <c r="AN242" s="361">
        <f>(K242*X242)/$E$13</f>
      </c>
      <c r="AO242" s="361">
        <f>(L242*Y242)/$E$13</f>
      </c>
      <c r="AP242" s="361">
        <f>(M242*Z242)/$E$13</f>
      </c>
      <c r="AQ242" s="361">
        <f>(K242*AA242)/$E$14</f>
      </c>
      <c r="AR242" s="361">
        <f>(L242*AB242)/$E$14</f>
      </c>
      <c r="AS242" s="361">
        <f>(M242*AC242)/$E$14</f>
      </c>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row>
    <row x14ac:dyDescent="0.25" r="243" customHeight="1" ht="13.5">
      <c r="A243" s="2"/>
      <c r="B243" s="3"/>
      <c r="C243" s="2"/>
      <c r="D243" s="260" t="s">
        <v>249</v>
      </c>
      <c r="E243" s="3"/>
      <c r="F243" s="3"/>
      <c r="G243" s="3"/>
      <c r="H243" s="3"/>
      <c r="I243" s="3"/>
      <c r="J243" s="3"/>
      <c r="K243" s="401">
        <f>ProjectedP205_Consumption!K50-K128-K185</f>
      </c>
      <c r="L243" s="401">
        <f>ProjectedP205_Consumption!L50-L128-L185</f>
      </c>
      <c r="M243" s="401">
        <f>ProjectedP205_Consumption!M50-M128-M185</f>
      </c>
      <c r="N243" s="2"/>
      <c r="O243" s="63">
        <v>0.7</v>
      </c>
      <c r="P243" s="63">
        <v>0.7</v>
      </c>
      <c r="Q243" s="63">
        <v>0.7</v>
      </c>
      <c r="R243" s="63">
        <v>0</v>
      </c>
      <c r="S243" s="63">
        <v>0</v>
      </c>
      <c r="T243" s="63">
        <v>0</v>
      </c>
      <c r="U243" s="63">
        <v>0</v>
      </c>
      <c r="V243" s="63">
        <v>0</v>
      </c>
      <c r="W243" s="63">
        <v>0</v>
      </c>
      <c r="X243" s="63">
        <v>0</v>
      </c>
      <c r="Y243" s="63">
        <v>0</v>
      </c>
      <c r="Z243" s="63">
        <v>0</v>
      </c>
      <c r="AA243" s="63">
        <v>0.3</v>
      </c>
      <c r="AB243" s="63">
        <v>0.3</v>
      </c>
      <c r="AC243" s="63">
        <v>0.3</v>
      </c>
      <c r="AD243" s="2"/>
      <c r="AE243" s="361">
        <f>(K243*O243)/$E$12</f>
      </c>
      <c r="AF243" s="361">
        <f>(L243*P243)/$E$12</f>
      </c>
      <c r="AG243" s="361">
        <f>(M243*Q243)/$E$12</f>
      </c>
      <c r="AH243" s="361">
        <f>(K243*R243)/$E$10</f>
      </c>
      <c r="AI243" s="361">
        <f>(L243*S243)/$E$10</f>
      </c>
      <c r="AJ243" s="361">
        <f>(M243*T243)/$E$10</f>
      </c>
      <c r="AK243" s="361">
        <f>(K243*U243)/$E$10</f>
      </c>
      <c r="AL243" s="361">
        <f>(L243*V243)/$E$10</f>
      </c>
      <c r="AM243" s="361">
        <f>(M243*W243)/$E$10</f>
      </c>
      <c r="AN243" s="361">
        <f>(K243*X243)/$E$13</f>
      </c>
      <c r="AO243" s="361">
        <f>(L243*Y243)/$E$13</f>
      </c>
      <c r="AP243" s="361">
        <f>(M243*Z243)/$E$13</f>
      </c>
      <c r="AQ243" s="361">
        <f>(K243*AA243)/$E$14</f>
      </c>
      <c r="AR243" s="361">
        <f>(L243*AB243)/$E$14</f>
      </c>
      <c r="AS243" s="361">
        <f>(M243*AC243)/$E$14</f>
      </c>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row>
    <row x14ac:dyDescent="0.25" r="244" customHeight="1" ht="13.5">
      <c r="A244" s="2"/>
      <c r="B244" s="3"/>
      <c r="C244" s="2"/>
      <c r="D244" s="260" t="s">
        <v>235</v>
      </c>
      <c r="E244" s="3"/>
      <c r="F244" s="3"/>
      <c r="G244" s="3"/>
      <c r="H244" s="3"/>
      <c r="I244" s="3"/>
      <c r="J244" s="3"/>
      <c r="K244" s="401">
        <f>ProjectedP205_Consumption!K51-K129-K186</f>
      </c>
      <c r="L244" s="401">
        <f>ProjectedP205_Consumption!L51-L129-L186</f>
      </c>
      <c r="M244" s="401">
        <f>ProjectedP205_Consumption!M51-M129-M186</f>
      </c>
      <c r="N244" s="2"/>
      <c r="O244" s="63">
        <v>0.7</v>
      </c>
      <c r="P244" s="63">
        <v>0.7</v>
      </c>
      <c r="Q244" s="63">
        <v>0.7</v>
      </c>
      <c r="R244" s="63">
        <v>0</v>
      </c>
      <c r="S244" s="63">
        <v>0</v>
      </c>
      <c r="T244" s="63">
        <v>0</v>
      </c>
      <c r="U244" s="63">
        <v>0</v>
      </c>
      <c r="V244" s="63">
        <v>0</v>
      </c>
      <c r="W244" s="63">
        <v>0</v>
      </c>
      <c r="X244" s="63">
        <v>0</v>
      </c>
      <c r="Y244" s="63">
        <v>0</v>
      </c>
      <c r="Z244" s="63">
        <v>0</v>
      </c>
      <c r="AA244" s="63">
        <v>0.3</v>
      </c>
      <c r="AB244" s="63">
        <v>0.3</v>
      </c>
      <c r="AC244" s="63">
        <v>0.3</v>
      </c>
      <c r="AD244" s="2"/>
      <c r="AE244" s="361">
        <f>(K244*O244)/$E$12</f>
      </c>
      <c r="AF244" s="361">
        <f>(L244*P244)/$E$12</f>
      </c>
      <c r="AG244" s="361">
        <f>(M244*Q244)/$E$12</f>
      </c>
      <c r="AH244" s="361">
        <f>(K244*R244)/$E$10</f>
      </c>
      <c r="AI244" s="361">
        <f>(L244*S244)/$E$10</f>
      </c>
      <c r="AJ244" s="361">
        <f>(M244*T244)/$E$10</f>
      </c>
      <c r="AK244" s="361">
        <f>(K244*U244)/$E$10</f>
      </c>
      <c r="AL244" s="361">
        <f>(L244*V244)/$E$10</f>
      </c>
      <c r="AM244" s="361">
        <f>(M244*W244)/$E$10</f>
      </c>
      <c r="AN244" s="361">
        <f>(K244*X244)/$E$13</f>
      </c>
      <c r="AO244" s="361">
        <f>(L244*Y244)/$E$13</f>
      </c>
      <c r="AP244" s="361">
        <f>(M244*Z244)/$E$13</f>
      </c>
      <c r="AQ244" s="361">
        <f>(K244*AA244)/$E$14</f>
      </c>
      <c r="AR244" s="361">
        <f>(L244*AB244)/$E$14</f>
      </c>
      <c r="AS244" s="361">
        <f>(M244*AC244)/$E$14</f>
      </c>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row>
    <row x14ac:dyDescent="0.25" r="245" customHeight="1" ht="13.5">
      <c r="A245" s="2"/>
      <c r="B245" s="3"/>
      <c r="C245" s="2"/>
      <c r="D245" s="260" t="s">
        <v>125</v>
      </c>
      <c r="E245" s="3"/>
      <c r="F245" s="3"/>
      <c r="G245" s="3"/>
      <c r="H245" s="3"/>
      <c r="I245" s="3"/>
      <c r="J245" s="3"/>
      <c r="K245" s="401">
        <f>ProjectedP205_Consumption!K52-K130-K187</f>
      </c>
      <c r="L245" s="401">
        <f>ProjectedP205_Consumption!L52-L130-L187</f>
      </c>
      <c r="M245" s="401">
        <f>ProjectedP205_Consumption!M52-M130-M187</f>
      </c>
      <c r="N245" s="2"/>
      <c r="O245" s="63">
        <v>0.7</v>
      </c>
      <c r="P245" s="63">
        <v>0.7</v>
      </c>
      <c r="Q245" s="63">
        <v>0.7</v>
      </c>
      <c r="R245" s="63">
        <v>0</v>
      </c>
      <c r="S245" s="63">
        <v>0</v>
      </c>
      <c r="T245" s="63">
        <v>0</v>
      </c>
      <c r="U245" s="63">
        <v>0</v>
      </c>
      <c r="V245" s="63">
        <v>0</v>
      </c>
      <c r="W245" s="63">
        <v>0</v>
      </c>
      <c r="X245" s="63">
        <v>0</v>
      </c>
      <c r="Y245" s="63">
        <v>0</v>
      </c>
      <c r="Z245" s="63">
        <v>0</v>
      </c>
      <c r="AA245" s="63">
        <v>0.3</v>
      </c>
      <c r="AB245" s="63">
        <v>0.3</v>
      </c>
      <c r="AC245" s="63">
        <v>0.3</v>
      </c>
      <c r="AD245" s="2"/>
      <c r="AE245" s="361">
        <f>(K245*O245)/$E$12</f>
      </c>
      <c r="AF245" s="361">
        <f>(L245*P245)/$E$12</f>
      </c>
      <c r="AG245" s="361">
        <f>(M245*Q245)/$E$12</f>
      </c>
      <c r="AH245" s="361">
        <f>(K245*R245)/$E$10</f>
      </c>
      <c r="AI245" s="361">
        <f>(L245*S245)/$E$10</f>
      </c>
      <c r="AJ245" s="361">
        <f>(M245*T245)/$E$10</f>
      </c>
      <c r="AK245" s="361">
        <f>(K245*U245)/$E$10</f>
      </c>
      <c r="AL245" s="361">
        <f>(L245*V245)/$E$10</f>
      </c>
      <c r="AM245" s="361">
        <f>(M245*W245)/$E$10</f>
      </c>
      <c r="AN245" s="361">
        <f>(K245*X245)/$E$13</f>
      </c>
      <c r="AO245" s="361">
        <f>(L245*Y245)/$E$13</f>
      </c>
      <c r="AP245" s="361">
        <f>(M245*Z245)/$E$13</f>
      </c>
      <c r="AQ245" s="361">
        <f>(K245*AA245)/$E$14</f>
      </c>
      <c r="AR245" s="361">
        <f>(L245*AB245)/$E$14</f>
      </c>
      <c r="AS245" s="361">
        <f>(M245*AC245)/$E$14</f>
      </c>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row>
    <row x14ac:dyDescent="0.25" r="246" customHeight="1" ht="13.5">
      <c r="A246" s="2"/>
      <c r="B246" s="3"/>
      <c r="C246" s="2"/>
      <c r="D246" s="260" t="s">
        <v>209</v>
      </c>
      <c r="E246" s="3"/>
      <c r="F246" s="3"/>
      <c r="G246" s="3"/>
      <c r="H246" s="3"/>
      <c r="I246" s="3"/>
      <c r="J246" s="3"/>
      <c r="K246" s="401">
        <f>ProjectedP205_Consumption!K53-K131-K188</f>
      </c>
      <c r="L246" s="401">
        <f>ProjectedP205_Consumption!L53-L131-L188</f>
      </c>
      <c r="M246" s="401">
        <f>ProjectedP205_Consumption!M53-M131-M188</f>
      </c>
      <c r="N246" s="2"/>
      <c r="O246" s="63">
        <v>0.7</v>
      </c>
      <c r="P246" s="63">
        <v>0.7</v>
      </c>
      <c r="Q246" s="63">
        <v>0.7</v>
      </c>
      <c r="R246" s="63">
        <v>0</v>
      </c>
      <c r="S246" s="63">
        <v>0</v>
      </c>
      <c r="T246" s="63">
        <v>0</v>
      </c>
      <c r="U246" s="63">
        <v>0</v>
      </c>
      <c r="V246" s="63">
        <v>0</v>
      </c>
      <c r="W246" s="63">
        <v>0</v>
      </c>
      <c r="X246" s="63">
        <v>0</v>
      </c>
      <c r="Y246" s="63">
        <v>0</v>
      </c>
      <c r="Z246" s="63">
        <v>0</v>
      </c>
      <c r="AA246" s="63">
        <v>0.3</v>
      </c>
      <c r="AB246" s="63">
        <v>0.3</v>
      </c>
      <c r="AC246" s="63">
        <v>0.3</v>
      </c>
      <c r="AD246" s="2"/>
      <c r="AE246" s="361">
        <f>(K246*O246)/$E$12</f>
      </c>
      <c r="AF246" s="361">
        <f>(L246*P246)/$E$12</f>
      </c>
      <c r="AG246" s="361">
        <f>(M246*Q246)/$E$12</f>
      </c>
      <c r="AH246" s="361">
        <f>(K246*R246)/$E$10</f>
      </c>
      <c r="AI246" s="361">
        <f>(L246*S246)/$E$10</f>
      </c>
      <c r="AJ246" s="361">
        <f>(M246*T246)/$E$10</f>
      </c>
      <c r="AK246" s="361">
        <f>(K246*U246)/$E$10</f>
      </c>
      <c r="AL246" s="361">
        <f>(L246*V246)/$E$10</f>
      </c>
      <c r="AM246" s="361">
        <f>(M246*W246)/$E$10</f>
      </c>
      <c r="AN246" s="361">
        <f>(K246*X246)/$E$13</f>
      </c>
      <c r="AO246" s="361">
        <f>(L246*Y246)/$E$13</f>
      </c>
      <c r="AP246" s="361">
        <f>(M246*Z246)/$E$13</f>
      </c>
      <c r="AQ246" s="361">
        <f>(K246*AA246)/$E$14</f>
      </c>
      <c r="AR246" s="361">
        <f>(L246*AB246)/$E$14</f>
      </c>
      <c r="AS246" s="361">
        <f>(M246*AC246)/$E$14</f>
      </c>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row>
    <row x14ac:dyDescent="0.25" r="247" customHeight="1" ht="13.5">
      <c r="A247" s="2"/>
      <c r="B247" s="3"/>
      <c r="C247" s="2"/>
      <c r="D247" s="260" t="s">
        <v>223</v>
      </c>
      <c r="E247" s="3"/>
      <c r="F247" s="3"/>
      <c r="G247" s="3"/>
      <c r="H247" s="3"/>
      <c r="I247" s="3"/>
      <c r="J247" s="3"/>
      <c r="K247" s="401">
        <f>ProjectedP205_Consumption!K54-K132-K189</f>
      </c>
      <c r="L247" s="401">
        <f>ProjectedP205_Consumption!L54-L132-L189</f>
      </c>
      <c r="M247" s="401">
        <f>ProjectedP205_Consumption!M54-M132-M189</f>
      </c>
      <c r="N247" s="2"/>
      <c r="O247" s="63">
        <v>0.7</v>
      </c>
      <c r="P247" s="63">
        <v>0.7</v>
      </c>
      <c r="Q247" s="63">
        <v>0.7</v>
      </c>
      <c r="R247" s="63">
        <v>0</v>
      </c>
      <c r="S247" s="63">
        <v>0</v>
      </c>
      <c r="T247" s="63">
        <v>0</v>
      </c>
      <c r="U247" s="63">
        <v>0</v>
      </c>
      <c r="V247" s="63">
        <v>0</v>
      </c>
      <c r="W247" s="63">
        <v>0</v>
      </c>
      <c r="X247" s="63">
        <v>0</v>
      </c>
      <c r="Y247" s="63">
        <v>0</v>
      </c>
      <c r="Z247" s="63">
        <v>0</v>
      </c>
      <c r="AA247" s="63">
        <v>0.3</v>
      </c>
      <c r="AB247" s="63">
        <v>0.3</v>
      </c>
      <c r="AC247" s="63">
        <v>0.3</v>
      </c>
      <c r="AD247" s="2"/>
      <c r="AE247" s="361">
        <f>(K247*O247)/$E$12</f>
      </c>
      <c r="AF247" s="361">
        <f>(L247*P247)/$E$12</f>
      </c>
      <c r="AG247" s="361">
        <f>(M247*Q247)/$E$12</f>
      </c>
      <c r="AH247" s="361">
        <f>(K247*R247)/$E$10</f>
      </c>
      <c r="AI247" s="361">
        <f>(L247*S247)/$E$10</f>
      </c>
      <c r="AJ247" s="361">
        <f>(M247*T247)/$E$10</f>
      </c>
      <c r="AK247" s="361">
        <f>(K247*U247)/$E$10</f>
      </c>
      <c r="AL247" s="361">
        <f>(L247*V247)/$E$10</f>
      </c>
      <c r="AM247" s="361">
        <f>(M247*W247)/$E$10</f>
      </c>
      <c r="AN247" s="361">
        <f>(K247*X247)/$E$13</f>
      </c>
      <c r="AO247" s="361">
        <f>(L247*Y247)/$E$13</f>
      </c>
      <c r="AP247" s="361">
        <f>(M247*Z247)/$E$13</f>
      </c>
      <c r="AQ247" s="361">
        <f>(K247*AA247)/$E$14</f>
      </c>
      <c r="AR247" s="361">
        <f>(L247*AB247)/$E$14</f>
      </c>
      <c r="AS247" s="361">
        <f>(M247*AC247)/$E$14</f>
      </c>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row>
    <row x14ac:dyDescent="0.25" r="248" customHeight="1" ht="13.5">
      <c r="A248" s="2"/>
      <c r="B248" s="3"/>
      <c r="C248" s="2"/>
      <c r="D248" s="260" t="s">
        <v>183</v>
      </c>
      <c r="E248" s="3"/>
      <c r="F248" s="3"/>
      <c r="G248" s="3"/>
      <c r="H248" s="3"/>
      <c r="I248" s="3"/>
      <c r="J248" s="3"/>
      <c r="K248" s="401">
        <f>ProjectedP205_Consumption!K55-K133-K190</f>
      </c>
      <c r="L248" s="401">
        <f>ProjectedP205_Consumption!L55-L133-L190</f>
      </c>
      <c r="M248" s="401">
        <f>ProjectedP205_Consumption!M55-M133-M190</f>
      </c>
      <c r="N248" s="2"/>
      <c r="O248" s="63">
        <v>0.7</v>
      </c>
      <c r="P248" s="63">
        <v>0.7</v>
      </c>
      <c r="Q248" s="63">
        <v>0.7</v>
      </c>
      <c r="R248" s="63">
        <v>0</v>
      </c>
      <c r="S248" s="63">
        <v>0</v>
      </c>
      <c r="T248" s="63">
        <v>0</v>
      </c>
      <c r="U248" s="63">
        <v>0</v>
      </c>
      <c r="V248" s="63">
        <v>0</v>
      </c>
      <c r="W248" s="63">
        <v>0</v>
      </c>
      <c r="X248" s="63">
        <v>0</v>
      </c>
      <c r="Y248" s="63">
        <v>0</v>
      </c>
      <c r="Z248" s="63">
        <v>0</v>
      </c>
      <c r="AA248" s="63">
        <v>0.3</v>
      </c>
      <c r="AB248" s="63">
        <v>0.3</v>
      </c>
      <c r="AC248" s="63">
        <v>0.3</v>
      </c>
      <c r="AD248" s="2"/>
      <c r="AE248" s="361">
        <f>(K248*O248)/$E$12</f>
      </c>
      <c r="AF248" s="361">
        <f>(L248*P248)/$E$12</f>
      </c>
      <c r="AG248" s="361">
        <f>(M248*Q248)/$E$12</f>
      </c>
      <c r="AH248" s="361">
        <f>(K248*R248)/$E$10</f>
      </c>
      <c r="AI248" s="361">
        <f>(L248*S248)/$E$10</f>
      </c>
      <c r="AJ248" s="361">
        <f>(M248*T248)/$E$10</f>
      </c>
      <c r="AK248" s="361">
        <f>(K248*U248)/$E$10</f>
      </c>
      <c r="AL248" s="361">
        <f>(L248*V248)/$E$10</f>
      </c>
      <c r="AM248" s="361">
        <f>(M248*W248)/$E$10</f>
      </c>
      <c r="AN248" s="361">
        <f>(K248*X248)/$E$13</f>
      </c>
      <c r="AO248" s="361">
        <f>(L248*Y248)/$E$13</f>
      </c>
      <c r="AP248" s="361">
        <f>(M248*Z248)/$E$13</f>
      </c>
      <c r="AQ248" s="361">
        <f>(K248*AA248)/$E$14</f>
      </c>
      <c r="AR248" s="361">
        <f>(L248*AB248)/$E$14</f>
      </c>
      <c r="AS248" s="361">
        <f>(M248*AC248)/$E$14</f>
      </c>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row>
    <row x14ac:dyDescent="0.25" r="249" customHeight="1" ht="13.5">
      <c r="A249" s="2"/>
      <c r="B249" s="3"/>
      <c r="C249" s="2"/>
      <c r="D249" s="260" t="s">
        <v>161</v>
      </c>
      <c r="E249" s="3"/>
      <c r="F249" s="3"/>
      <c r="G249" s="3"/>
      <c r="H249" s="3"/>
      <c r="I249" s="3"/>
      <c r="J249" s="3"/>
      <c r="K249" s="401">
        <f>ProjectedP205_Consumption!K56-K134-K191</f>
      </c>
      <c r="L249" s="401">
        <f>ProjectedP205_Consumption!L56-L134-L191</f>
      </c>
      <c r="M249" s="401">
        <f>ProjectedP205_Consumption!M56-M134-M191</f>
      </c>
      <c r="N249" s="2"/>
      <c r="O249" s="63">
        <v>0.7</v>
      </c>
      <c r="P249" s="63">
        <v>0.7</v>
      </c>
      <c r="Q249" s="63">
        <v>0.7</v>
      </c>
      <c r="R249" s="63">
        <v>0</v>
      </c>
      <c r="S249" s="63">
        <v>0</v>
      </c>
      <c r="T249" s="63">
        <v>0</v>
      </c>
      <c r="U249" s="63">
        <v>0</v>
      </c>
      <c r="V249" s="63">
        <v>0</v>
      </c>
      <c r="W249" s="63">
        <v>0</v>
      </c>
      <c r="X249" s="63">
        <v>0</v>
      </c>
      <c r="Y249" s="63">
        <v>0</v>
      </c>
      <c r="Z249" s="63">
        <v>0</v>
      </c>
      <c r="AA249" s="63">
        <v>0.3</v>
      </c>
      <c r="AB249" s="63">
        <v>0.3</v>
      </c>
      <c r="AC249" s="63">
        <v>0.3</v>
      </c>
      <c r="AD249" s="2"/>
      <c r="AE249" s="361">
        <f>(K249*O249)/$E$12</f>
      </c>
      <c r="AF249" s="361">
        <f>(L249*P249)/$E$12</f>
      </c>
      <c r="AG249" s="361">
        <f>(M249*Q249)/$E$12</f>
      </c>
      <c r="AH249" s="361">
        <f>(K249*R249)/$E$10</f>
      </c>
      <c r="AI249" s="361">
        <f>(L249*S249)/$E$10</f>
      </c>
      <c r="AJ249" s="361">
        <f>(M249*T249)/$E$10</f>
      </c>
      <c r="AK249" s="361">
        <f>(K249*U249)/$E$10</f>
      </c>
      <c r="AL249" s="361">
        <f>(L249*V249)/$E$10</f>
      </c>
      <c r="AM249" s="361">
        <f>(M249*W249)/$E$10</f>
      </c>
      <c r="AN249" s="361">
        <f>(K249*X249)/$E$13</f>
      </c>
      <c r="AO249" s="361">
        <f>(L249*Y249)/$E$13</f>
      </c>
      <c r="AP249" s="361">
        <f>(M249*Z249)/$E$13</f>
      </c>
      <c r="AQ249" s="361">
        <f>(K249*AA249)/$E$14</f>
      </c>
      <c r="AR249" s="361">
        <f>(L249*AB249)/$E$14</f>
      </c>
      <c r="AS249" s="361">
        <f>(M249*AC249)/$E$14</f>
      </c>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row>
    <row x14ac:dyDescent="0.25" r="250" customHeight="1" ht="13.5">
      <c r="A250" s="2"/>
      <c r="B250" s="3"/>
      <c r="C250" s="2"/>
      <c r="D250" s="260" t="s">
        <v>219</v>
      </c>
      <c r="E250" s="3"/>
      <c r="F250" s="3"/>
      <c r="G250" s="3"/>
      <c r="H250" s="3"/>
      <c r="I250" s="3"/>
      <c r="J250" s="3"/>
      <c r="K250" s="401">
        <f>ProjectedP205_Consumption!K57-K135-K192</f>
      </c>
      <c r="L250" s="401">
        <f>ProjectedP205_Consumption!L57-L135-L192</f>
      </c>
      <c r="M250" s="401">
        <f>ProjectedP205_Consumption!M57-M135-M192</f>
      </c>
      <c r="N250" s="2"/>
      <c r="O250" s="63">
        <v>0.7</v>
      </c>
      <c r="P250" s="63">
        <v>0.7</v>
      </c>
      <c r="Q250" s="63">
        <v>0.7</v>
      </c>
      <c r="R250" s="63">
        <v>0</v>
      </c>
      <c r="S250" s="63">
        <v>0</v>
      </c>
      <c r="T250" s="63">
        <v>0</v>
      </c>
      <c r="U250" s="63">
        <v>0</v>
      </c>
      <c r="V250" s="63">
        <v>0</v>
      </c>
      <c r="W250" s="63">
        <v>0</v>
      </c>
      <c r="X250" s="63">
        <v>0</v>
      </c>
      <c r="Y250" s="63">
        <v>0</v>
      </c>
      <c r="Z250" s="63">
        <v>0</v>
      </c>
      <c r="AA250" s="63">
        <v>0.3</v>
      </c>
      <c r="AB250" s="63">
        <v>0.3</v>
      </c>
      <c r="AC250" s="63">
        <v>0.3</v>
      </c>
      <c r="AD250" s="2"/>
      <c r="AE250" s="361">
        <f>(K250*O250)/$E$12</f>
      </c>
      <c r="AF250" s="361">
        <f>(L250*P250)/$E$12</f>
      </c>
      <c r="AG250" s="361">
        <f>(M250*Q250)/$E$12</f>
      </c>
      <c r="AH250" s="361">
        <f>(K250*R250)/$E$10</f>
      </c>
      <c r="AI250" s="361">
        <f>(L250*S250)/$E$10</f>
      </c>
      <c r="AJ250" s="361">
        <f>(M250*T250)/$E$10</f>
      </c>
      <c r="AK250" s="361">
        <f>(K250*U250)/$E$10</f>
      </c>
      <c r="AL250" s="361">
        <f>(L250*V250)/$E$10</f>
      </c>
      <c r="AM250" s="361">
        <f>(M250*W250)/$E$10</f>
      </c>
      <c r="AN250" s="361">
        <f>(K250*X250)/$E$13</f>
      </c>
      <c r="AO250" s="361">
        <f>(L250*Y250)/$E$13</f>
      </c>
      <c r="AP250" s="361">
        <f>(M250*Z250)/$E$13</f>
      </c>
      <c r="AQ250" s="361">
        <f>(K250*AA250)/$E$14</f>
      </c>
      <c r="AR250" s="361">
        <f>(L250*AB250)/$E$14</f>
      </c>
      <c r="AS250" s="361">
        <f>(M250*AC250)/$E$14</f>
      </c>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row>
    <row x14ac:dyDescent="0.25" r="251" customHeight="1" ht="13.5">
      <c r="A251" s="2"/>
      <c r="B251" s="3"/>
      <c r="C251" s="2"/>
      <c r="D251" s="260" t="s">
        <v>159</v>
      </c>
      <c r="E251" s="3"/>
      <c r="F251" s="3"/>
      <c r="G251" s="3"/>
      <c r="H251" s="3"/>
      <c r="I251" s="3"/>
      <c r="J251" s="3"/>
      <c r="K251" s="401">
        <f>ProjectedP205_Consumption!K58-K136-K193</f>
      </c>
      <c r="L251" s="401">
        <f>ProjectedP205_Consumption!L58-L136-L193</f>
      </c>
      <c r="M251" s="401">
        <f>ProjectedP205_Consumption!M58-M136-M193</f>
      </c>
      <c r="N251" s="2"/>
      <c r="O251" s="63">
        <v>0.7</v>
      </c>
      <c r="P251" s="63">
        <v>0.7</v>
      </c>
      <c r="Q251" s="63">
        <v>0.7</v>
      </c>
      <c r="R251" s="63">
        <v>0</v>
      </c>
      <c r="S251" s="63">
        <v>0</v>
      </c>
      <c r="T251" s="63">
        <v>0</v>
      </c>
      <c r="U251" s="63">
        <v>0</v>
      </c>
      <c r="V251" s="63">
        <v>0</v>
      </c>
      <c r="W251" s="63">
        <v>0</v>
      </c>
      <c r="X251" s="63">
        <v>0</v>
      </c>
      <c r="Y251" s="63">
        <v>0</v>
      </c>
      <c r="Z251" s="63">
        <v>0</v>
      </c>
      <c r="AA251" s="63">
        <v>0.3</v>
      </c>
      <c r="AB251" s="63">
        <v>0.3</v>
      </c>
      <c r="AC251" s="63">
        <v>0.3</v>
      </c>
      <c r="AD251" s="2"/>
      <c r="AE251" s="361">
        <f>(K251*O251)/$E$12</f>
      </c>
      <c r="AF251" s="361">
        <f>(L251*P251)/$E$12</f>
      </c>
      <c r="AG251" s="361">
        <f>(M251*Q251)/$E$12</f>
      </c>
      <c r="AH251" s="361">
        <f>(K251*R251)/$E$10</f>
      </c>
      <c r="AI251" s="361">
        <f>(L251*S251)/$E$10</f>
      </c>
      <c r="AJ251" s="361">
        <f>(M251*T251)/$E$10</f>
      </c>
      <c r="AK251" s="361">
        <f>(K251*U251)/$E$10</f>
      </c>
      <c r="AL251" s="361">
        <f>(L251*V251)/$E$10</f>
      </c>
      <c r="AM251" s="361">
        <f>(M251*W251)/$E$10</f>
      </c>
      <c r="AN251" s="361">
        <f>(K251*X251)/$E$13</f>
      </c>
      <c r="AO251" s="361">
        <f>(L251*Y251)/$E$13</f>
      </c>
      <c r="AP251" s="361">
        <f>(M251*Z251)/$E$13</f>
      </c>
      <c r="AQ251" s="361">
        <f>(K251*AA251)/$E$14</f>
      </c>
      <c r="AR251" s="361">
        <f>(L251*AB251)/$E$14</f>
      </c>
      <c r="AS251" s="361">
        <f>(M251*AC251)/$E$14</f>
      </c>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row>
    <row x14ac:dyDescent="0.25" r="252" customHeight="1" ht="13.5">
      <c r="A252" s="2"/>
      <c r="B252" s="3"/>
      <c r="C252" s="2"/>
      <c r="D252" s="260" t="s">
        <v>163</v>
      </c>
      <c r="E252" s="3"/>
      <c r="F252" s="3"/>
      <c r="G252" s="3"/>
      <c r="H252" s="3"/>
      <c r="I252" s="3"/>
      <c r="J252" s="3"/>
      <c r="K252" s="401">
        <f>ProjectedP205_Consumption!K59-K137-K194</f>
      </c>
      <c r="L252" s="401">
        <f>ProjectedP205_Consumption!L59-L137-L194</f>
      </c>
      <c r="M252" s="401">
        <f>ProjectedP205_Consumption!M59-M137-M194</f>
      </c>
      <c r="N252" s="2"/>
      <c r="O252" s="63">
        <v>0.7</v>
      </c>
      <c r="P252" s="63">
        <v>0.7</v>
      </c>
      <c r="Q252" s="63">
        <v>0.7</v>
      </c>
      <c r="R252" s="63">
        <v>0</v>
      </c>
      <c r="S252" s="63">
        <v>0</v>
      </c>
      <c r="T252" s="63">
        <v>0</v>
      </c>
      <c r="U252" s="63">
        <v>0</v>
      </c>
      <c r="V252" s="63">
        <v>0</v>
      </c>
      <c r="W252" s="63">
        <v>0</v>
      </c>
      <c r="X252" s="63">
        <v>0</v>
      </c>
      <c r="Y252" s="63">
        <v>0</v>
      </c>
      <c r="Z252" s="63">
        <v>0</v>
      </c>
      <c r="AA252" s="63">
        <v>0.3</v>
      </c>
      <c r="AB252" s="63">
        <v>0.3</v>
      </c>
      <c r="AC252" s="63">
        <v>0.3</v>
      </c>
      <c r="AD252" s="2"/>
      <c r="AE252" s="361">
        <f>(K252*O252)/$E$12</f>
      </c>
      <c r="AF252" s="361">
        <f>(L252*P252)/$E$12</f>
      </c>
      <c r="AG252" s="361">
        <f>(M252*Q252)/$E$12</f>
      </c>
      <c r="AH252" s="361">
        <f>(K252*R252)/$E$10</f>
      </c>
      <c r="AI252" s="361">
        <f>(L252*S252)/$E$10</f>
      </c>
      <c r="AJ252" s="361">
        <f>(M252*T252)/$E$10</f>
      </c>
      <c r="AK252" s="361">
        <f>(K252*U252)/$E$10</f>
      </c>
      <c r="AL252" s="361">
        <f>(L252*V252)/$E$10</f>
      </c>
      <c r="AM252" s="361">
        <f>(M252*W252)/$E$10</f>
      </c>
      <c r="AN252" s="361">
        <f>(K252*X252)/$E$13</f>
      </c>
      <c r="AO252" s="361">
        <f>(L252*Y252)/$E$13</f>
      </c>
      <c r="AP252" s="361">
        <f>(M252*Z252)/$E$13</f>
      </c>
      <c r="AQ252" s="361">
        <f>(K252*AA252)/$E$14</f>
      </c>
      <c r="AR252" s="361">
        <f>(L252*AB252)/$E$14</f>
      </c>
      <c r="AS252" s="361">
        <f>(M252*AC252)/$E$14</f>
      </c>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row>
    <row x14ac:dyDescent="0.25" r="253" customHeight="1" ht="13.5">
      <c r="A253" s="2"/>
      <c r="B253" s="3"/>
      <c r="C253" s="2"/>
      <c r="D253" s="260" t="s">
        <v>227</v>
      </c>
      <c r="E253" s="3"/>
      <c r="F253" s="3"/>
      <c r="G253" s="3"/>
      <c r="H253" s="3"/>
      <c r="I253" s="3"/>
      <c r="J253" s="3"/>
      <c r="K253" s="401">
        <f>ProjectedP205_Consumption!K60-K138-K195</f>
      </c>
      <c r="L253" s="401">
        <f>ProjectedP205_Consumption!L60-L138-L195</f>
      </c>
      <c r="M253" s="401">
        <f>ProjectedP205_Consumption!M60-M138-M195</f>
      </c>
      <c r="N253" s="2"/>
      <c r="O253" s="63">
        <v>0.7</v>
      </c>
      <c r="P253" s="63">
        <v>0.7</v>
      </c>
      <c r="Q253" s="63">
        <v>0.7</v>
      </c>
      <c r="R253" s="63">
        <v>0</v>
      </c>
      <c r="S253" s="63">
        <v>0</v>
      </c>
      <c r="T253" s="63">
        <v>0</v>
      </c>
      <c r="U253" s="63">
        <v>0</v>
      </c>
      <c r="V253" s="63">
        <v>0</v>
      </c>
      <c r="W253" s="63">
        <v>0</v>
      </c>
      <c r="X253" s="63">
        <v>0</v>
      </c>
      <c r="Y253" s="63">
        <v>0</v>
      </c>
      <c r="Z253" s="63">
        <v>0</v>
      </c>
      <c r="AA253" s="63">
        <v>0.3</v>
      </c>
      <c r="AB253" s="63">
        <v>0.3</v>
      </c>
      <c r="AC253" s="63">
        <v>0.3</v>
      </c>
      <c r="AD253" s="2"/>
      <c r="AE253" s="361">
        <f>(K253*O253)/$E$12</f>
      </c>
      <c r="AF253" s="361">
        <f>(L253*P253)/$E$12</f>
      </c>
      <c r="AG253" s="361">
        <f>(M253*Q253)/$E$12</f>
      </c>
      <c r="AH253" s="361">
        <f>(K253*R253)/$E$10</f>
      </c>
      <c r="AI253" s="361">
        <f>(L253*S253)/$E$10</f>
      </c>
      <c r="AJ253" s="361">
        <f>(M253*T253)/$E$10</f>
      </c>
      <c r="AK253" s="361">
        <f>(K253*U253)/$E$10</f>
      </c>
      <c r="AL253" s="361">
        <f>(L253*V253)/$E$10</f>
      </c>
      <c r="AM253" s="361">
        <f>(M253*W253)/$E$10</f>
      </c>
      <c r="AN253" s="361">
        <f>(K253*X253)/$E$13</f>
      </c>
      <c r="AO253" s="361">
        <f>(L253*Y253)/$E$13</f>
      </c>
      <c r="AP253" s="361">
        <f>(M253*Z253)/$E$13</f>
      </c>
      <c r="AQ253" s="361">
        <f>(K253*AA253)/$E$14</f>
      </c>
      <c r="AR253" s="361">
        <f>(L253*AB253)/$E$14</f>
      </c>
      <c r="AS253" s="361">
        <f>(M253*AC253)/$E$14</f>
      </c>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row>
    <row x14ac:dyDescent="0.25" r="254" customHeight="1" ht="13.5">
      <c r="A254" s="2"/>
      <c r="B254" s="3"/>
      <c r="C254" s="2"/>
      <c r="D254" s="260" t="s">
        <v>255</v>
      </c>
      <c r="E254" s="3"/>
      <c r="F254" s="3"/>
      <c r="G254" s="3"/>
      <c r="H254" s="3"/>
      <c r="I254" s="3"/>
      <c r="J254" s="3"/>
      <c r="K254" s="401">
        <f>ProjectedP205_Consumption!K61-K139-K196</f>
      </c>
      <c r="L254" s="401">
        <f>ProjectedP205_Consumption!L61-L139-L196</f>
      </c>
      <c r="M254" s="401">
        <f>ProjectedP205_Consumption!M61-M139-M196</f>
      </c>
      <c r="N254" s="2"/>
      <c r="O254" s="63">
        <v>0</v>
      </c>
      <c r="P254" s="63">
        <v>0</v>
      </c>
      <c r="Q254" s="63">
        <v>0</v>
      </c>
      <c r="R254" s="63">
        <v>0</v>
      </c>
      <c r="S254" s="63">
        <v>0</v>
      </c>
      <c r="T254" s="63">
        <v>0</v>
      </c>
      <c r="U254" s="63">
        <v>0</v>
      </c>
      <c r="V254" s="63">
        <v>0</v>
      </c>
      <c r="W254" s="63">
        <v>0</v>
      </c>
      <c r="X254" s="63">
        <v>0</v>
      </c>
      <c r="Y254" s="63">
        <v>0</v>
      </c>
      <c r="Z254" s="63">
        <v>0</v>
      </c>
      <c r="AA254" s="63">
        <v>1</v>
      </c>
      <c r="AB254" s="63">
        <v>1</v>
      </c>
      <c r="AC254" s="63">
        <v>1</v>
      </c>
      <c r="AD254" s="2"/>
      <c r="AE254" s="361">
        <f>(K254*O254)/$E$12</f>
      </c>
      <c r="AF254" s="361">
        <f>(L254*P254)/$E$12</f>
      </c>
      <c r="AG254" s="361">
        <f>(M254*Q254)/$E$12</f>
      </c>
      <c r="AH254" s="361">
        <f>(K254*R254)/$E$10</f>
      </c>
      <c r="AI254" s="361">
        <f>(L254*S254)/$E$10</f>
      </c>
      <c r="AJ254" s="361">
        <f>(M254*T254)/$E$10</f>
      </c>
      <c r="AK254" s="361">
        <f>(K254*U254)/$E$10</f>
      </c>
      <c r="AL254" s="361">
        <f>(L254*V254)/$E$10</f>
      </c>
      <c r="AM254" s="361">
        <f>(M254*W254)/$E$10</f>
      </c>
      <c r="AN254" s="361">
        <f>(K254*X254)/$E$13</f>
      </c>
      <c r="AO254" s="361">
        <f>(L254*Y254)/$E$13</f>
      </c>
      <c r="AP254" s="361">
        <f>(M254*Z254)/$E$13</f>
      </c>
      <c r="AQ254" s="361">
        <f>(K254*AA254)/$E$14</f>
      </c>
      <c r="AR254" s="361">
        <f>(L254*AB254)/$E$14</f>
      </c>
      <c r="AS254" s="361">
        <f>(M254*AC254)/$E$14</f>
      </c>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row>
    <row x14ac:dyDescent="0.25" r="255" customHeight="1" ht="13.5">
      <c r="A255" s="2"/>
      <c r="B255" s="3"/>
      <c r="C255" s="2"/>
      <c r="D255" s="402">
        <f>D197</f>
      </c>
      <c r="E255" s="3"/>
      <c r="F255" s="3"/>
      <c r="G255" s="3"/>
      <c r="H255" s="3"/>
      <c r="I255" s="3"/>
      <c r="J255" s="3"/>
      <c r="K255" s="403">
        <f>SUM(K234:K254)</f>
      </c>
      <c r="L255" s="403">
        <f>SUM(L234:L254)</f>
      </c>
      <c r="M255" s="403">
        <f>SUM(M234:M254)</f>
      </c>
      <c r="N255" s="2"/>
      <c r="O255" s="3"/>
      <c r="P255" s="3"/>
      <c r="Q255" s="3"/>
      <c r="R255" s="3"/>
      <c r="S255" s="3"/>
      <c r="T255" s="3"/>
      <c r="U255" s="3"/>
      <c r="V255" s="3"/>
      <c r="W255" s="3"/>
      <c r="X255" s="3"/>
      <c r="Y255" s="3"/>
      <c r="Z255" s="3"/>
      <c r="AA255" s="3"/>
      <c r="AB255" s="3"/>
      <c r="AC255" s="3"/>
      <c r="AD255" s="2"/>
      <c r="AE255" s="181">
        <f>SUM(AE234:AE254)</f>
      </c>
      <c r="AF255" s="181">
        <f>SUM(AF234:AF254)</f>
      </c>
      <c r="AG255" s="181">
        <f>SUM(AG234:AG254)</f>
      </c>
      <c r="AH255" s="181">
        <f>SUM(AH234:AH254)</f>
      </c>
      <c r="AI255" s="181">
        <f>SUM(AI234:AI254)</f>
      </c>
      <c r="AJ255" s="181">
        <f>SUM(AJ234:AJ254)</f>
      </c>
      <c r="AK255" s="181">
        <f>SUM(AK234:AK254)</f>
      </c>
      <c r="AL255" s="181">
        <f>SUM(AL234:AL254)</f>
      </c>
      <c r="AM255" s="181">
        <f>SUM(AM234:AM254)</f>
      </c>
      <c r="AN255" s="181">
        <f>SUM(AN234:AN254)</f>
      </c>
      <c r="AO255" s="181">
        <f>SUM(AO234:AO254)</f>
      </c>
      <c r="AP255" s="181">
        <f>SUM(AP234:AP254)</f>
      </c>
      <c r="AQ255" s="181">
        <f>SUM(AQ234:AQ254)</f>
      </c>
      <c r="AR255" s="181">
        <f>SUM(AR234:AR254)</f>
      </c>
      <c r="AS255" s="181">
        <f>SUM(AS234:AS254)</f>
      </c>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row>
    <row x14ac:dyDescent="0.25" r="256" customHeight="1" ht="13.5">
      <c r="A256" s="2"/>
      <c r="B256" s="3"/>
      <c r="C256" s="2"/>
      <c r="D256" s="404" t="s">
        <v>479</v>
      </c>
      <c r="E256" s="3"/>
      <c r="F256" s="3"/>
      <c r="G256" s="3"/>
      <c r="H256" s="3"/>
      <c r="I256" s="3"/>
      <c r="J256" s="3"/>
      <c r="K256" s="403"/>
      <c r="L256" s="403"/>
      <c r="M256" s="403"/>
      <c r="N256" s="2"/>
      <c r="O256" s="3"/>
      <c r="P256" s="3"/>
      <c r="Q256" s="3"/>
      <c r="R256" s="3"/>
      <c r="S256" s="3"/>
      <c r="T256" s="3"/>
      <c r="U256" s="3"/>
      <c r="V256" s="3"/>
      <c r="W256" s="3"/>
      <c r="X256" s="3"/>
      <c r="Y256" s="3"/>
      <c r="Z256" s="3"/>
      <c r="AA256" s="3"/>
      <c r="AB256" s="3"/>
      <c r="AC256" s="3"/>
      <c r="AD256" s="2"/>
      <c r="AE256" s="108"/>
      <c r="AF256" s="108"/>
      <c r="AG256" s="108"/>
      <c r="AH256" s="108"/>
      <c r="AI256" s="108"/>
      <c r="AJ256" s="108"/>
      <c r="AK256" s="108"/>
      <c r="AL256" s="108"/>
      <c r="AM256" s="108"/>
      <c r="AN256" s="108"/>
      <c r="AO256" s="108"/>
      <c r="AP256" s="108"/>
      <c r="AQ256" s="108"/>
      <c r="AR256" s="108"/>
      <c r="AS256" s="108"/>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row>
    <row x14ac:dyDescent="0.25" r="257" customHeight="1" ht="13.5">
      <c r="A257" s="2"/>
      <c r="B257" s="3"/>
      <c r="C257" s="2"/>
      <c r="D257" s="2"/>
      <c r="E257" s="3"/>
      <c r="F257" s="3"/>
      <c r="G257" s="3"/>
      <c r="H257" s="3"/>
      <c r="I257" s="3"/>
      <c r="J257" s="3"/>
      <c r="K257" s="108"/>
      <c r="L257" s="108"/>
      <c r="M257" s="108"/>
      <c r="N257" s="2"/>
      <c r="O257" s="3"/>
      <c r="P257" s="3"/>
      <c r="Q257" s="3"/>
      <c r="R257" s="3"/>
      <c r="S257" s="3"/>
      <c r="T257" s="3"/>
      <c r="U257" s="3"/>
      <c r="V257" s="3"/>
      <c r="W257" s="3"/>
      <c r="X257" s="3"/>
      <c r="Y257" s="3"/>
      <c r="Z257" s="3"/>
      <c r="AA257" s="3"/>
      <c r="AB257" s="3"/>
      <c r="AC257" s="3"/>
      <c r="AD257" s="2"/>
      <c r="AE257" s="108"/>
      <c r="AF257" s="108"/>
      <c r="AG257" s="108"/>
      <c r="AH257" s="108"/>
      <c r="AI257" s="108"/>
      <c r="AJ257" s="108"/>
      <c r="AK257" s="108"/>
      <c r="AL257" s="108"/>
      <c r="AM257" s="108"/>
      <c r="AN257" s="108"/>
      <c r="AO257" s="108"/>
      <c r="AP257" s="108"/>
      <c r="AQ257" s="108"/>
      <c r="AR257" s="108"/>
      <c r="AS257" s="108"/>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P270"/>
  <sheetViews>
    <sheetView workbookViewId="0"/>
  </sheetViews>
  <sheetFormatPr defaultRowHeight="15" x14ac:dyDescent="0.25"/>
  <cols>
    <col min="1" max="1" style="100" width="1.719285714285714" customWidth="1" bestFit="1"/>
    <col min="2" max="2" style="101" width="2.7192857142857143" customWidth="1" bestFit="1"/>
    <col min="3" max="3" style="100" width="2.005" customWidth="1" bestFit="1"/>
    <col min="4" max="4" style="138" width="53.71928571428572" customWidth="1" bestFit="1"/>
    <col min="5" max="5" style="101" width="19.14785714285714" customWidth="1" bestFit="1"/>
    <col min="6" max="6" style="101" width="26.14785714285714" customWidth="1" bestFit="1"/>
    <col min="7" max="7" style="101" width="14.147857142857141" customWidth="1" bestFit="1"/>
    <col min="8" max="8" style="101" width="14.147857142857141" customWidth="1" bestFit="1"/>
    <col min="9" max="9" style="101" width="16.862142857142857" customWidth="1" bestFit="1"/>
    <col min="10" max="10" style="101" width="14.147857142857141" customWidth="1" bestFit="1"/>
    <col min="11" max="11" style="102" width="14.147857142857141" customWidth="1" bestFit="1"/>
    <col min="12" max="12" style="101" width="14.147857142857141" customWidth="1" bestFit="1"/>
    <col min="13" max="13" style="101" width="14.147857142857141" customWidth="1" bestFit="1"/>
    <col min="14" max="14" style="101" width="9.290714285714287" customWidth="1" bestFit="1"/>
    <col min="15" max="15" style="102" width="22.576428571428572" customWidth="1" bestFit="1"/>
    <col min="16" max="16" style="102" width="22.576428571428572" customWidth="1" bestFit="1"/>
    <col min="17" max="17" style="102" width="22.576428571428572" customWidth="1" bestFit="1"/>
    <col min="18" max="18" style="102" width="22.576428571428572" customWidth="1" bestFit="1"/>
    <col min="19" max="19" style="102" width="22.576428571428572" customWidth="1" bestFit="1"/>
    <col min="20" max="20" style="102" width="22.576428571428572" customWidth="1" bestFit="1"/>
    <col min="21" max="21" style="102" width="22.576428571428572" customWidth="1" bestFit="1"/>
    <col min="22" max="22" style="102" width="22.576428571428572" customWidth="1" bestFit="1"/>
    <col min="23" max="23" style="102" width="22.576428571428572" customWidth="1" bestFit="1"/>
    <col min="24" max="24" style="102" width="22.576428571428572" customWidth="1" bestFit="1"/>
    <col min="25" max="25" style="102" width="22.576428571428572" customWidth="1" bestFit="1"/>
    <col min="26" max="26" style="102" width="22.576428571428572" customWidth="1" bestFit="1"/>
    <col min="27" max="27" style="102" width="22.576428571428572" customWidth="1" bestFit="1"/>
    <col min="28" max="28" style="102" width="22.576428571428572" customWidth="1" bestFit="1"/>
    <col min="29" max="29" style="102" width="22.576428571428572" customWidth="1" bestFit="1"/>
    <col min="30" max="30" style="102" width="22.576428571428572" customWidth="1" bestFit="1"/>
    <col min="31" max="31" style="102" width="22.576428571428572" customWidth="1" bestFit="1"/>
    <col min="32" max="32" style="102" width="22.576428571428572" customWidth="1" bestFit="1"/>
    <col min="33" max="33" style="102" width="22.290714285714284" customWidth="1" bestFit="1"/>
    <col min="34" max="34" style="102" width="42.005" customWidth="1" bestFit="1"/>
    <col min="35" max="35" style="102" width="29.433571428571426" customWidth="1" bestFit="1"/>
    <col min="36" max="36" style="102" width="11.719285714285713" customWidth="1" bestFit="1"/>
    <col min="37" max="37" style="102" width="9.290714285714287" customWidth="1" bestFit="1"/>
    <col min="38" max="38" style="102" width="9.290714285714287" customWidth="1" bestFit="1"/>
    <col min="39" max="39" style="102" width="9.290714285714287" customWidth="1" bestFit="1"/>
    <col min="40" max="40" style="102" width="9.290714285714287" customWidth="1" bestFit="1"/>
    <col min="41" max="41" style="102" width="9.290714285714287" customWidth="1" bestFit="1"/>
    <col min="42" max="42" style="102" width="9.290714285714287" customWidth="1" bestFit="1"/>
    <col min="43" max="43" style="102" width="9.290714285714287" customWidth="1" bestFit="1"/>
    <col min="44" max="44" style="138" width="9.290714285714287" customWidth="1" bestFit="1"/>
    <col min="45" max="45" style="102" width="9.290714285714287" customWidth="1" bestFit="1"/>
    <col min="46" max="46" style="101" width="9.290714285714287" customWidth="1" bestFit="1"/>
    <col min="47" max="47" style="101" width="9.290714285714287" customWidth="1" bestFit="1"/>
    <col min="48" max="48" style="101" width="9.290714285714287" customWidth="1" bestFit="1"/>
    <col min="49" max="49" style="101" width="9.290714285714287" customWidth="1" bestFit="1"/>
    <col min="50" max="50" style="101" width="9.290714285714287" customWidth="1" bestFit="1"/>
    <col min="51" max="51" style="101" width="9.290714285714287" customWidth="1" bestFit="1"/>
    <col min="52" max="52" style="101" width="9.290714285714287" customWidth="1" bestFit="1"/>
    <col min="53" max="53" style="101" width="11.005" customWidth="1" bestFit="1"/>
    <col min="54" max="54" style="101" width="13.576428571428572" customWidth="1" bestFit="1"/>
    <col min="55" max="55" style="101" width="13.576428571428572" customWidth="1" bestFit="1"/>
    <col min="56" max="56" style="101" width="13.576428571428572" customWidth="1" bestFit="1"/>
    <col min="57" max="57" style="101" width="13.576428571428572" customWidth="1" bestFit="1"/>
    <col min="58" max="58" style="101" width="13.576428571428572" customWidth="1" bestFit="1"/>
    <col min="59" max="59" style="101" width="13.576428571428572" customWidth="1" bestFit="1"/>
    <col min="60" max="60" style="100" width="13.576428571428572" customWidth="1" bestFit="1"/>
    <col min="61" max="61" style="100" width="13.576428571428572" customWidth="1" bestFit="1"/>
    <col min="62" max="62" style="137" width="13.576428571428572" customWidth="1" bestFit="1"/>
    <col min="63" max="63" style="101" width="13.576428571428572" customWidth="1" bestFit="1"/>
    <col min="64" max="64" style="101" width="13.576428571428572" customWidth="1" bestFit="1"/>
    <col min="65" max="65" style="101" width="13.576428571428572" customWidth="1" bestFit="1"/>
    <col min="66" max="66" style="101" width="13.576428571428572" customWidth="1" bestFit="1"/>
    <col min="67" max="67" style="100" width="13.576428571428572" customWidth="1" bestFit="1"/>
    <col min="68" max="68" style="100" width="13.576428571428572" customWidth="1" bestFit="1"/>
    <col min="69" max="69" style="100" width="13.576428571428572" customWidth="1" bestFit="1"/>
    <col min="70" max="70" style="100" width="13.576428571428572" customWidth="1" bestFit="1"/>
    <col min="71" max="71" style="100" width="13.576428571428572" customWidth="1" bestFit="1"/>
    <col min="72" max="72" style="100" width="13.576428571428572" customWidth="1" bestFit="1"/>
    <col min="73" max="73" style="100" width="13.576428571428572" customWidth="1" bestFit="1"/>
    <col min="74" max="74" style="100" width="13.576428571428572" customWidth="1" bestFit="1"/>
    <col min="75" max="75" style="100" width="13.576428571428572" customWidth="1" bestFit="1"/>
    <col min="76" max="76" style="100" width="13.576428571428572" customWidth="1" bestFit="1"/>
    <col min="77" max="77" style="100" width="13.576428571428572" customWidth="1" bestFit="1"/>
    <col min="78" max="78" style="100" width="13.576428571428572" customWidth="1" bestFit="1"/>
    <col min="79" max="79" style="100" width="13.576428571428572" customWidth="1" bestFit="1"/>
    <col min="80" max="80" style="100" width="13.576428571428572" customWidth="1" bestFit="1"/>
    <col min="81" max="81" style="100" width="13.576428571428572" customWidth="1" bestFit="1"/>
    <col min="82" max="82" style="100" width="13.576428571428572" customWidth="1" bestFit="1"/>
    <col min="83" max="83" style="100" width="13.576428571428572" customWidth="1" bestFit="1"/>
    <col min="84" max="84" style="100" width="13.576428571428572" customWidth="1" bestFit="1"/>
    <col min="85" max="85" style="100" width="13.576428571428572" customWidth="1" bestFit="1"/>
    <col min="86" max="86" style="100" width="13.576428571428572" customWidth="1" bestFit="1"/>
    <col min="87" max="87" style="100" width="13.576428571428572" customWidth="1" bestFit="1"/>
    <col min="88" max="88" style="100" width="13.576428571428572" customWidth="1" bestFit="1"/>
    <col min="89" max="89" style="100" width="13.576428571428572" customWidth="1" bestFit="1"/>
    <col min="90" max="90" style="100" width="13.576428571428572" customWidth="1" bestFit="1"/>
    <col min="91" max="91" style="100" width="13.576428571428572" customWidth="1" bestFit="1"/>
    <col min="92" max="92" style="100" width="13.576428571428572" customWidth="1" bestFit="1"/>
    <col min="93" max="93" style="100" width="13.576428571428572" customWidth="1" bestFit="1"/>
    <col min="94" max="94" style="100" width="13.576428571428572" customWidth="1" bestFit="1"/>
    <col min="95" max="95" style="100" width="13.576428571428572" customWidth="1" bestFit="1"/>
    <col min="96" max="96" style="100" width="13.576428571428572" customWidth="1" bestFit="1"/>
    <col min="97" max="97" style="100" width="13.576428571428572" customWidth="1" bestFit="1"/>
    <col min="98" max="98" style="100" width="13.576428571428572" customWidth="1" bestFit="1"/>
    <col min="99" max="99" style="100" width="13.576428571428572" customWidth="1" bestFit="1"/>
    <col min="100" max="100" style="100" width="13.576428571428572" customWidth="1" bestFit="1"/>
    <col min="101" max="101" style="100" width="13.576428571428572" customWidth="1" bestFit="1"/>
    <col min="102" max="102" style="100" width="13.576428571428572" customWidth="1" bestFit="1"/>
    <col min="103" max="103" style="100" width="13.576428571428572" customWidth="1" bestFit="1"/>
    <col min="104" max="104" style="100" width="13.576428571428572" customWidth="1" bestFit="1"/>
    <col min="105" max="105" style="100" width="13.576428571428572" customWidth="1" bestFit="1"/>
    <col min="106" max="106" style="100" width="13.576428571428572" customWidth="1" bestFit="1"/>
    <col min="107" max="107" style="100" width="13.576428571428572" customWidth="1" bestFit="1"/>
    <col min="108" max="108" style="100" width="13.576428571428572" customWidth="1" bestFit="1"/>
    <col min="109" max="109" style="100" width="13.576428571428572" customWidth="1" bestFit="1"/>
    <col min="110" max="110" style="100" width="13.576428571428572" customWidth="1" bestFit="1"/>
    <col min="111" max="111" style="100" width="13.576428571428572" customWidth="1" bestFit="1"/>
    <col min="112" max="112" style="100" width="13.576428571428572" customWidth="1" bestFit="1"/>
    <col min="113" max="113" style="100" width="13.576428571428572" customWidth="1" bestFit="1"/>
    <col min="114" max="114" style="100" width="13.576428571428572" customWidth="1" bestFit="1"/>
    <col min="115" max="115" style="100" width="13.576428571428572" customWidth="1" bestFit="1"/>
    <col min="116" max="116" style="100" width="13.576428571428572" customWidth="1" bestFit="1"/>
    <col min="117" max="117" style="100" width="13.576428571428572" customWidth="1" bestFit="1"/>
    <col min="118" max="118" style="100" width="13.576428571428572" customWidth="1" bestFit="1"/>
    <col min="119" max="119" style="100" width="13.576428571428572" customWidth="1" bestFit="1"/>
    <col min="120" max="120" style="100" width="13.576428571428572" customWidth="1" bestFit="1"/>
  </cols>
  <sheetData>
    <row x14ac:dyDescent="0.25" r="1" customHeight="1" ht="13.5">
      <c r="A1" s="104"/>
      <c r="B1" s="186"/>
      <c r="C1" s="104"/>
      <c r="D1" s="105" t="s">
        <v>451</v>
      </c>
      <c r="E1" s="272"/>
      <c r="F1" s="108"/>
      <c r="G1" s="108"/>
      <c r="H1" s="108"/>
      <c r="I1" s="108"/>
      <c r="J1" s="108"/>
      <c r="K1" s="108"/>
      <c r="L1" s="108"/>
      <c r="M1" s="108"/>
      <c r="N1" s="108"/>
      <c r="O1" s="108"/>
      <c r="P1" s="108"/>
      <c r="Q1" s="108"/>
      <c r="R1" s="108"/>
      <c r="S1" s="108"/>
      <c r="T1" s="108"/>
      <c r="U1" s="108"/>
      <c r="V1" s="108"/>
      <c r="W1" s="108"/>
      <c r="X1" s="3"/>
      <c r="Y1" s="3"/>
      <c r="Z1" s="108"/>
      <c r="AA1" s="108"/>
      <c r="AB1" s="108"/>
      <c r="AC1" s="142"/>
      <c r="AD1" s="142"/>
      <c r="AE1" s="142"/>
      <c r="AF1" s="142"/>
      <c r="AG1" s="142"/>
      <c r="AH1" s="142"/>
      <c r="AI1" s="142"/>
      <c r="AJ1" s="142"/>
      <c r="AK1" s="142"/>
      <c r="AL1" s="142"/>
      <c r="AM1" s="142"/>
      <c r="AN1" s="142"/>
      <c r="AO1" s="142"/>
      <c r="AP1" s="142"/>
      <c r="AQ1" s="142"/>
      <c r="AR1" s="134"/>
      <c r="AS1" s="3"/>
      <c r="AT1" s="3"/>
      <c r="AU1" s="3"/>
      <c r="AV1" s="3"/>
      <c r="AW1" s="3"/>
      <c r="AX1" s="3"/>
      <c r="AY1" s="3"/>
      <c r="AZ1" s="3"/>
      <c r="BA1" s="3"/>
      <c r="BB1" s="3"/>
      <c r="BC1" s="3"/>
      <c r="BD1" s="3"/>
      <c r="BE1" s="3"/>
      <c r="BF1" s="3"/>
      <c r="BG1" s="3"/>
      <c r="BH1" s="2"/>
      <c r="BI1" s="2"/>
      <c r="BJ1" s="3"/>
      <c r="BK1" s="3"/>
      <c r="BL1" s="3"/>
      <c r="BM1" s="3"/>
      <c r="BN1" s="3"/>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row>
    <row x14ac:dyDescent="0.25" r="2" customHeight="1" ht="13.5">
      <c r="A2" s="104"/>
      <c r="B2" s="186"/>
      <c r="C2" s="104"/>
      <c r="D2" s="105"/>
      <c r="E2" s="273">
        <f>Title</f>
      </c>
      <c r="F2" s="108"/>
      <c r="G2" s="108"/>
      <c r="H2" s="108"/>
      <c r="I2" s="108"/>
      <c r="J2" s="108"/>
      <c r="K2" s="108"/>
      <c r="L2" s="108"/>
      <c r="M2" s="108"/>
      <c r="N2" s="108"/>
      <c r="O2" s="108"/>
      <c r="P2" s="108"/>
      <c r="Q2" s="108"/>
      <c r="R2" s="108"/>
      <c r="S2" s="108"/>
      <c r="T2" s="108"/>
      <c r="U2" s="108"/>
      <c r="V2" s="108"/>
      <c r="W2" s="108"/>
      <c r="X2" s="3"/>
      <c r="Y2" s="3"/>
      <c r="Z2" s="108"/>
      <c r="AA2" s="108"/>
      <c r="AB2" s="108"/>
      <c r="AC2" s="142"/>
      <c r="AD2" s="142"/>
      <c r="AE2" s="142"/>
      <c r="AF2" s="142"/>
      <c r="AG2" s="142"/>
      <c r="AH2" s="142"/>
      <c r="AI2" s="142"/>
      <c r="AJ2" s="142"/>
      <c r="AK2" s="142"/>
      <c r="AL2" s="142"/>
      <c r="AM2" s="142"/>
      <c r="AN2" s="142"/>
      <c r="AO2" s="142"/>
      <c r="AP2" s="142"/>
      <c r="AQ2" s="142"/>
      <c r="AR2" s="134"/>
      <c r="AS2" s="3"/>
      <c r="AT2" s="3"/>
      <c r="AU2" s="3"/>
      <c r="AV2" s="3"/>
      <c r="AW2" s="3"/>
      <c r="AX2" s="3"/>
      <c r="AY2" s="3"/>
      <c r="AZ2" s="3"/>
      <c r="BA2" s="3"/>
      <c r="BB2" s="3"/>
      <c r="BC2" s="3"/>
      <c r="BD2" s="3"/>
      <c r="BE2" s="3"/>
      <c r="BF2" s="3"/>
      <c r="BG2" s="3"/>
      <c r="BH2" s="2"/>
      <c r="BI2" s="2"/>
      <c r="BJ2" s="3"/>
      <c r="BK2" s="3"/>
      <c r="BL2" s="3"/>
      <c r="BM2" s="3"/>
      <c r="BN2" s="3"/>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row>
    <row x14ac:dyDescent="0.25" r="3" customHeight="1" ht="13.5">
      <c r="A3" s="104"/>
      <c r="B3" s="186"/>
      <c r="C3" s="104"/>
      <c r="D3" s="105"/>
      <c r="E3" s="274">
        <f>MID(CELL("filename",E3),FIND("]",CELL("filename",E3))+1,256)</f>
      </c>
      <c r="F3" s="108"/>
      <c r="G3" s="108"/>
      <c r="H3" s="108"/>
      <c r="I3" s="108"/>
      <c r="J3" s="108"/>
      <c r="K3" s="108"/>
      <c r="L3" s="108"/>
      <c r="M3" s="108"/>
      <c r="N3" s="108"/>
      <c r="O3" s="108"/>
      <c r="P3" s="108"/>
      <c r="Q3" s="108"/>
      <c r="R3" s="108"/>
      <c r="S3" s="108"/>
      <c r="T3" s="108"/>
      <c r="U3" s="108"/>
      <c r="V3" s="108"/>
      <c r="W3" s="108"/>
      <c r="X3" s="3"/>
      <c r="Y3" s="3"/>
      <c r="Z3" s="108"/>
      <c r="AA3" s="108"/>
      <c r="AB3" s="108"/>
      <c r="AC3" s="142"/>
      <c r="AD3" s="142"/>
      <c r="AE3" s="142"/>
      <c r="AF3" s="142"/>
      <c r="AG3" s="142"/>
      <c r="AH3" s="142"/>
      <c r="AI3" s="142"/>
      <c r="AJ3" s="142"/>
      <c r="AK3" s="142"/>
      <c r="AL3" s="142"/>
      <c r="AM3" s="142"/>
      <c r="AN3" s="142"/>
      <c r="AO3" s="142"/>
      <c r="AP3" s="142"/>
      <c r="AQ3" s="142"/>
      <c r="AR3" s="134"/>
      <c r="AS3" s="3"/>
      <c r="AT3" s="3"/>
      <c r="AU3" s="3"/>
      <c r="AV3" s="3"/>
      <c r="AW3" s="3"/>
      <c r="AX3" s="3"/>
      <c r="AY3" s="3"/>
      <c r="AZ3" s="3"/>
      <c r="BA3" s="3"/>
      <c r="BB3" s="3"/>
      <c r="BC3" s="3"/>
      <c r="BD3" s="3"/>
      <c r="BE3" s="3"/>
      <c r="BF3" s="3"/>
      <c r="BG3" s="3"/>
      <c r="BH3" s="2"/>
      <c r="BI3" s="2"/>
      <c r="BJ3" s="3"/>
      <c r="BK3" s="3"/>
      <c r="BL3" s="3"/>
      <c r="BM3" s="3"/>
      <c r="BN3" s="3"/>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row>
    <row x14ac:dyDescent="0.25" r="4" customHeight="1" ht="13.5">
      <c r="A4" s="104"/>
      <c r="B4" s="186"/>
      <c r="C4" s="104"/>
      <c r="D4" s="105"/>
      <c r="E4" s="272"/>
      <c r="F4" s="108"/>
      <c r="G4" s="108"/>
      <c r="H4" s="108"/>
      <c r="I4" s="108"/>
      <c r="J4" s="108"/>
      <c r="K4" s="108"/>
      <c r="L4" s="108"/>
      <c r="M4" s="108"/>
      <c r="N4" s="108"/>
      <c r="O4" s="108"/>
      <c r="P4" s="108"/>
      <c r="Q4" s="108"/>
      <c r="R4" s="108"/>
      <c r="S4" s="108"/>
      <c r="T4" s="108"/>
      <c r="U4" s="108"/>
      <c r="V4" s="108"/>
      <c r="W4" s="108"/>
      <c r="X4" s="3"/>
      <c r="Y4" s="3"/>
      <c r="Z4" s="108"/>
      <c r="AA4" s="108"/>
      <c r="AB4" s="108"/>
      <c r="AC4" s="142"/>
      <c r="AD4" s="142"/>
      <c r="AE4" s="142"/>
      <c r="AF4" s="142"/>
      <c r="AG4" s="142"/>
      <c r="AH4" s="142"/>
      <c r="AI4" s="142"/>
      <c r="AJ4" s="142"/>
      <c r="AK4" s="142"/>
      <c r="AL4" s="142"/>
      <c r="AM4" s="142"/>
      <c r="AN4" s="142"/>
      <c r="AO4" s="142"/>
      <c r="AP4" s="142"/>
      <c r="AQ4" s="142"/>
      <c r="AR4" s="134"/>
      <c r="AS4" s="3"/>
      <c r="AT4" s="3"/>
      <c r="AU4" s="3"/>
      <c r="AV4" s="3"/>
      <c r="AW4" s="3"/>
      <c r="AX4" s="3"/>
      <c r="AY4" s="3"/>
      <c r="AZ4" s="3"/>
      <c r="BA4" s="3"/>
      <c r="BB4" s="3"/>
      <c r="BC4" s="3"/>
      <c r="BD4" s="3"/>
      <c r="BE4" s="3"/>
      <c r="BF4" s="3"/>
      <c r="BG4" s="3"/>
      <c r="BH4" s="2"/>
      <c r="BI4" s="2"/>
      <c r="BJ4" s="3"/>
      <c r="BK4" s="3"/>
      <c r="BL4" s="3"/>
      <c r="BM4" s="3"/>
      <c r="BN4" s="3"/>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row>
    <row x14ac:dyDescent="0.25" r="5" customHeight="1" ht="13.5">
      <c r="A5" s="112"/>
      <c r="B5" s="194"/>
      <c r="C5" s="112"/>
      <c r="D5" s="113"/>
      <c r="E5" s="114"/>
      <c r="F5" s="108"/>
      <c r="G5" s="108"/>
      <c r="H5" s="108"/>
      <c r="I5" s="108"/>
      <c r="J5" s="108"/>
      <c r="K5" s="108"/>
      <c r="L5" s="108"/>
      <c r="M5" s="108"/>
      <c r="N5" s="108"/>
      <c r="O5" s="108"/>
      <c r="P5" s="108"/>
      <c r="Q5" s="108"/>
      <c r="R5" s="108"/>
      <c r="S5" s="108"/>
      <c r="T5" s="108"/>
      <c r="U5" s="108"/>
      <c r="V5" s="108"/>
      <c r="W5" s="108"/>
      <c r="X5" s="3"/>
      <c r="Y5" s="3"/>
      <c r="Z5" s="108"/>
      <c r="AA5" s="108"/>
      <c r="AB5" s="108"/>
      <c r="AC5" s="142"/>
      <c r="AD5" s="142"/>
      <c r="AE5" s="142"/>
      <c r="AF5" s="142"/>
      <c r="AG5" s="142"/>
      <c r="AH5" s="142"/>
      <c r="AI5" s="142"/>
      <c r="AJ5" s="142"/>
      <c r="AK5" s="142"/>
      <c r="AL5" s="142"/>
      <c r="AM5" s="142"/>
      <c r="AN5" s="142"/>
      <c r="AO5" s="142"/>
      <c r="AP5" s="142"/>
      <c r="AQ5" s="142"/>
      <c r="AR5" s="134"/>
      <c r="AS5" s="3"/>
      <c r="AT5" s="3"/>
      <c r="AU5" s="3"/>
      <c r="AV5" s="3"/>
      <c r="AW5" s="3"/>
      <c r="AX5" s="3"/>
      <c r="AY5" s="3"/>
      <c r="AZ5" s="3"/>
      <c r="BA5" s="3"/>
      <c r="BB5" s="3"/>
      <c r="BC5" s="3"/>
      <c r="BD5" s="3"/>
      <c r="BE5" s="3"/>
      <c r="BF5" s="3"/>
      <c r="BG5" s="3"/>
      <c r="BH5" s="2"/>
      <c r="BI5" s="2"/>
      <c r="BJ5" s="3"/>
      <c r="BK5" s="3"/>
      <c r="BL5" s="3"/>
      <c r="BM5" s="3"/>
      <c r="BN5" s="3"/>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row>
    <row x14ac:dyDescent="0.25" r="6" customHeight="1" ht="18.75">
      <c r="A6" s="2"/>
      <c r="B6" s="3"/>
      <c r="C6" s="2"/>
      <c r="D6" s="134"/>
      <c r="E6" s="142"/>
      <c r="F6" s="108"/>
      <c r="G6" s="108"/>
      <c r="H6" s="108"/>
      <c r="I6" s="108"/>
      <c r="J6" s="108"/>
      <c r="K6" s="108"/>
      <c r="L6" s="108"/>
      <c r="M6" s="108"/>
      <c r="N6" s="108"/>
      <c r="O6" s="108"/>
      <c r="P6" s="108"/>
      <c r="Q6" s="108"/>
      <c r="R6" s="108"/>
      <c r="S6" s="108"/>
      <c r="T6" s="108"/>
      <c r="U6" s="108"/>
      <c r="V6" s="108"/>
      <c r="W6" s="108"/>
      <c r="X6" s="3"/>
      <c r="Y6" s="3"/>
      <c r="Z6" s="108"/>
      <c r="AA6" s="108"/>
      <c r="AB6" s="108"/>
      <c r="AC6" s="142"/>
      <c r="AD6" s="142"/>
      <c r="AE6" s="142"/>
      <c r="AF6" s="142"/>
      <c r="AG6" s="142"/>
      <c r="AH6" s="142"/>
      <c r="AI6" s="142"/>
      <c r="AJ6" s="142"/>
      <c r="AK6" s="142"/>
      <c r="AL6" s="142"/>
      <c r="AM6" s="142"/>
      <c r="AN6" s="142"/>
      <c r="AO6" s="142"/>
      <c r="AP6" s="142"/>
      <c r="AQ6" s="142"/>
      <c r="AR6" s="134"/>
      <c r="AS6" s="3"/>
      <c r="AT6" s="3"/>
      <c r="AU6" s="3"/>
      <c r="AV6" s="3"/>
      <c r="AW6" s="3"/>
      <c r="AX6" s="3"/>
      <c r="AY6" s="3"/>
      <c r="AZ6" s="3"/>
      <c r="BA6" s="3"/>
      <c r="BB6" s="3"/>
      <c r="BC6" s="3"/>
      <c r="BD6" s="3"/>
      <c r="BE6" s="3"/>
      <c r="BF6" s="3"/>
      <c r="BG6" s="3"/>
      <c r="BH6" s="2"/>
      <c r="BI6" s="2"/>
      <c r="BJ6" s="3"/>
      <c r="BK6" s="3"/>
      <c r="BL6" s="3"/>
      <c r="BM6" s="3"/>
      <c r="BN6" s="3"/>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row>
    <row x14ac:dyDescent="0.25" r="7" customHeight="1" ht="13.5">
      <c r="A7" s="2"/>
      <c r="B7" s="198">
        <v>0</v>
      </c>
      <c r="C7" s="2"/>
      <c r="D7" s="275" t="s">
        <v>349</v>
      </c>
      <c r="E7" s="142"/>
      <c r="F7" s="108"/>
      <c r="G7" s="108"/>
      <c r="H7" s="108"/>
      <c r="I7" s="108"/>
      <c r="J7" s="108"/>
      <c r="K7" s="108"/>
      <c r="L7" s="108"/>
      <c r="M7" s="108"/>
      <c r="N7" s="108"/>
      <c r="O7" s="108"/>
      <c r="P7" s="108"/>
      <c r="Q7" s="108"/>
      <c r="R7" s="108"/>
      <c r="S7" s="108"/>
      <c r="T7" s="108"/>
      <c r="U7" s="108"/>
      <c r="V7" s="108"/>
      <c r="W7" s="108"/>
      <c r="X7" s="3"/>
      <c r="Y7" s="3"/>
      <c r="Z7" s="108"/>
      <c r="AA7" s="108"/>
      <c r="AB7" s="108"/>
      <c r="AC7" s="142"/>
      <c r="AD7" s="142"/>
      <c r="AE7" s="142"/>
      <c r="AF7" s="142"/>
      <c r="AG7" s="142"/>
      <c r="AH7" s="142"/>
      <c r="AI7" s="142"/>
      <c r="AJ7" s="142"/>
      <c r="AK7" s="142"/>
      <c r="AL7" s="142"/>
      <c r="AM7" s="142"/>
      <c r="AN7" s="142"/>
      <c r="AO7" s="142"/>
      <c r="AP7" s="142"/>
      <c r="AQ7" s="142"/>
      <c r="AR7" s="134"/>
      <c r="AS7" s="3"/>
      <c r="AT7" s="3"/>
      <c r="AU7" s="3"/>
      <c r="AV7" s="3"/>
      <c r="AW7" s="3"/>
      <c r="AX7" s="3"/>
      <c r="AY7" s="3"/>
      <c r="AZ7" s="3"/>
      <c r="BA7" s="3"/>
      <c r="BB7" s="3"/>
      <c r="BC7" s="3"/>
      <c r="BD7" s="3"/>
      <c r="BE7" s="3"/>
      <c r="BF7" s="3"/>
      <c r="BG7" s="3"/>
      <c r="BH7" s="2"/>
      <c r="BI7" s="2"/>
      <c r="BJ7" s="3"/>
      <c r="BK7" s="3"/>
      <c r="BL7" s="3"/>
      <c r="BM7" s="3"/>
      <c r="BN7" s="3"/>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row>
    <row x14ac:dyDescent="0.25" r="8" customHeight="1" ht="13.5">
      <c r="A8" s="2"/>
      <c r="B8" s="200"/>
      <c r="C8" s="2"/>
      <c r="D8" s="276"/>
      <c r="E8" s="142"/>
      <c r="F8" s="108"/>
      <c r="G8" s="108"/>
      <c r="H8" s="108"/>
      <c r="I8" s="108"/>
      <c r="J8" s="108"/>
      <c r="K8" s="108"/>
      <c r="L8" s="108"/>
      <c r="M8" s="108"/>
      <c r="N8" s="108"/>
      <c r="O8" s="108"/>
      <c r="P8" s="108"/>
      <c r="Q8" s="108"/>
      <c r="R8" s="108"/>
      <c r="S8" s="108"/>
      <c r="T8" s="108"/>
      <c r="U8" s="108"/>
      <c r="V8" s="108"/>
      <c r="W8" s="108"/>
      <c r="X8" s="3"/>
      <c r="Y8" s="3"/>
      <c r="Z8" s="108"/>
      <c r="AA8" s="108"/>
      <c r="AB8" s="108"/>
      <c r="AC8" s="142"/>
      <c r="AD8" s="142"/>
      <c r="AE8" s="142"/>
      <c r="AF8" s="142"/>
      <c r="AG8" s="142"/>
      <c r="AH8" s="142"/>
      <c r="AI8" s="142"/>
      <c r="AJ8" s="142"/>
      <c r="AK8" s="142"/>
      <c r="AL8" s="142"/>
      <c r="AM8" s="142"/>
      <c r="AN8" s="142"/>
      <c r="AO8" s="142"/>
      <c r="AP8" s="142"/>
      <c r="AQ8" s="142"/>
      <c r="AR8" s="134"/>
      <c r="AS8" s="3"/>
      <c r="AT8" s="3"/>
      <c r="AU8" s="3"/>
      <c r="AV8" s="3"/>
      <c r="AW8" s="3"/>
      <c r="AX8" s="3"/>
      <c r="AY8" s="3"/>
      <c r="AZ8" s="3"/>
      <c r="BA8" s="3"/>
      <c r="BB8" s="3"/>
      <c r="BC8" s="3"/>
      <c r="BD8" s="3"/>
      <c r="BE8" s="3"/>
      <c r="BF8" s="3"/>
      <c r="BG8" s="3"/>
      <c r="BH8" s="2"/>
      <c r="BI8" s="2"/>
      <c r="BJ8" s="3"/>
      <c r="BK8" s="3"/>
      <c r="BL8" s="3"/>
      <c r="BM8" s="3"/>
      <c r="BN8" s="3"/>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row>
    <row x14ac:dyDescent="0.25" r="9" customHeight="1" ht="13.5">
      <c r="A9" s="2"/>
      <c r="B9" s="200"/>
      <c r="C9" s="2"/>
      <c r="D9" s="118" t="s">
        <v>465</v>
      </c>
      <c r="E9" s="142"/>
      <c r="F9" s="108"/>
      <c r="G9" s="108"/>
      <c r="H9" s="108"/>
      <c r="I9" s="108"/>
      <c r="J9" s="108"/>
      <c r="K9" s="108"/>
      <c r="L9" s="108"/>
      <c r="M9" s="108"/>
      <c r="N9" s="108"/>
      <c r="O9" s="108"/>
      <c r="P9" s="108"/>
      <c r="Q9" s="108"/>
      <c r="R9" s="108"/>
      <c r="S9" s="108"/>
      <c r="T9" s="108"/>
      <c r="U9" s="108"/>
      <c r="V9" s="108"/>
      <c r="W9" s="108"/>
      <c r="X9" s="3"/>
      <c r="Y9" s="3"/>
      <c r="Z9" s="108"/>
      <c r="AA9" s="108"/>
      <c r="AB9" s="108"/>
      <c r="AC9" s="142"/>
      <c r="AD9" s="142"/>
      <c r="AE9" s="142"/>
      <c r="AF9" s="142"/>
      <c r="AG9" s="142"/>
      <c r="AH9" s="142"/>
      <c r="AI9" s="142"/>
      <c r="AJ9" s="142"/>
      <c r="AK9" s="142"/>
      <c r="AL9" s="142"/>
      <c r="AM9" s="142"/>
      <c r="AN9" s="142"/>
      <c r="AO9" s="142"/>
      <c r="AP9" s="142"/>
      <c r="AQ9" s="142"/>
      <c r="AR9" s="134"/>
      <c r="AS9" s="3"/>
      <c r="AT9" s="3"/>
      <c r="AU9" s="3"/>
      <c r="AV9" s="3"/>
      <c r="AW9" s="3"/>
      <c r="AX9" s="3"/>
      <c r="AY9" s="3"/>
      <c r="AZ9" s="3"/>
      <c r="BA9" s="3"/>
      <c r="BB9" s="3"/>
      <c r="BC9" s="3"/>
      <c r="BD9" s="3"/>
      <c r="BE9" s="3"/>
      <c r="BF9" s="3"/>
      <c r="BG9" s="3"/>
      <c r="BH9" s="2"/>
      <c r="BI9" s="2"/>
      <c r="BJ9" s="3"/>
      <c r="BK9" s="3"/>
      <c r="BL9" s="3"/>
      <c r="BM9" s="3"/>
      <c r="BN9" s="3"/>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row>
    <row x14ac:dyDescent="0.25" r="10" customHeight="1" ht="13.5">
      <c r="A10" s="2"/>
      <c r="B10" s="200"/>
      <c r="C10" s="2"/>
      <c r="D10" s="277" t="s">
        <v>466</v>
      </c>
      <c r="E10" s="278">
        <v>0.46</v>
      </c>
      <c r="F10" s="108"/>
      <c r="G10" s="108"/>
      <c r="H10" s="108"/>
      <c r="I10" s="108"/>
      <c r="J10" s="108"/>
      <c r="K10" s="108"/>
      <c r="L10" s="108"/>
      <c r="M10" s="108"/>
      <c r="N10" s="108"/>
      <c r="O10" s="108"/>
      <c r="P10" s="108"/>
      <c r="Q10" s="108"/>
      <c r="R10" s="108"/>
      <c r="S10" s="108"/>
      <c r="T10" s="108"/>
      <c r="U10" s="108"/>
      <c r="V10" s="108"/>
      <c r="W10" s="108"/>
      <c r="X10" s="3"/>
      <c r="Y10" s="3"/>
      <c r="Z10" s="108"/>
      <c r="AA10" s="108"/>
      <c r="AB10" s="108"/>
      <c r="AC10" s="142"/>
      <c r="AD10" s="142"/>
      <c r="AE10" s="142"/>
      <c r="AF10" s="142"/>
      <c r="AG10" s="142"/>
      <c r="AH10" s="142"/>
      <c r="AI10" s="142"/>
      <c r="AJ10" s="142"/>
      <c r="AK10" s="142"/>
      <c r="AL10" s="142"/>
      <c r="AM10" s="142"/>
      <c r="AN10" s="142"/>
      <c r="AO10" s="142"/>
      <c r="AP10" s="142"/>
      <c r="AQ10" s="142"/>
      <c r="AR10" s="134"/>
      <c r="AS10" s="3"/>
      <c r="AT10" s="3"/>
      <c r="AU10" s="3"/>
      <c r="AV10" s="3"/>
      <c r="AW10" s="3"/>
      <c r="AX10" s="3"/>
      <c r="AY10" s="3"/>
      <c r="AZ10" s="3"/>
      <c r="BA10" s="3"/>
      <c r="BB10" s="3"/>
      <c r="BC10" s="3"/>
      <c r="BD10" s="3"/>
      <c r="BE10" s="3"/>
      <c r="BF10" s="3"/>
      <c r="BG10" s="3"/>
      <c r="BH10" s="2"/>
      <c r="BI10" s="2"/>
      <c r="BJ10" s="3"/>
      <c r="BK10" s="3"/>
      <c r="BL10" s="3"/>
      <c r="BM10" s="3"/>
      <c r="BN10" s="3"/>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row>
    <row x14ac:dyDescent="0.25" r="11" customHeight="1" ht="13.5">
      <c r="A11" s="2"/>
      <c r="B11" s="200"/>
      <c r="C11" s="2"/>
      <c r="D11" s="277" t="s">
        <v>443</v>
      </c>
      <c r="E11" s="278">
        <v>0.46</v>
      </c>
      <c r="F11" s="108"/>
      <c r="G11" s="108"/>
      <c r="H11" s="108"/>
      <c r="I11" s="108"/>
      <c r="J11" s="108"/>
      <c r="K11" s="108"/>
      <c r="L11" s="108"/>
      <c r="M11" s="108"/>
      <c r="N11" s="108"/>
      <c r="O11" s="108"/>
      <c r="P11" s="108"/>
      <c r="Q11" s="108"/>
      <c r="R11" s="108"/>
      <c r="S11" s="108"/>
      <c r="T11" s="108"/>
      <c r="U11" s="108"/>
      <c r="V11" s="108"/>
      <c r="W11" s="108"/>
      <c r="X11" s="3"/>
      <c r="Y11" s="3"/>
      <c r="Z11" s="108"/>
      <c r="AA11" s="108"/>
      <c r="AB11" s="108"/>
      <c r="AC11" s="142"/>
      <c r="AD11" s="142"/>
      <c r="AE11" s="142"/>
      <c r="AF11" s="142"/>
      <c r="AG11" s="142"/>
      <c r="AH11" s="142"/>
      <c r="AI11" s="142"/>
      <c r="AJ11" s="142"/>
      <c r="AK11" s="142"/>
      <c r="AL11" s="142"/>
      <c r="AM11" s="142"/>
      <c r="AN11" s="142"/>
      <c r="AO11" s="142"/>
      <c r="AP11" s="142"/>
      <c r="AQ11" s="142"/>
      <c r="AR11" s="134"/>
      <c r="AS11" s="3"/>
      <c r="AT11" s="3"/>
      <c r="AU11" s="3"/>
      <c r="AV11" s="3"/>
      <c r="AW11" s="3"/>
      <c r="AX11" s="3"/>
      <c r="AY11" s="3"/>
      <c r="AZ11" s="3"/>
      <c r="BA11" s="3"/>
      <c r="BB11" s="3"/>
      <c r="BC11" s="3"/>
      <c r="BD11" s="3"/>
      <c r="BE11" s="3"/>
      <c r="BF11" s="3"/>
      <c r="BG11" s="3"/>
      <c r="BH11" s="2"/>
      <c r="BI11" s="2"/>
      <c r="BJ11" s="3"/>
      <c r="BK11" s="3"/>
      <c r="BL11" s="3"/>
      <c r="BM11" s="3"/>
      <c r="BN11" s="3"/>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row>
    <row x14ac:dyDescent="0.25" r="12" customHeight="1" ht="13.5">
      <c r="A12" s="2"/>
      <c r="B12" s="200"/>
      <c r="C12" s="2"/>
      <c r="D12" s="277" t="s">
        <v>25</v>
      </c>
      <c r="E12" s="278">
        <v>0.46</v>
      </c>
      <c r="F12" s="108"/>
      <c r="G12" s="108"/>
      <c r="H12" s="108"/>
      <c r="I12" s="108"/>
      <c r="J12" s="108"/>
      <c r="K12" s="108"/>
      <c r="L12" s="108"/>
      <c r="M12" s="108"/>
      <c r="N12" s="108"/>
      <c r="O12" s="108"/>
      <c r="P12" s="108"/>
      <c r="Q12" s="108"/>
      <c r="R12" s="108"/>
      <c r="S12" s="108"/>
      <c r="T12" s="108"/>
      <c r="U12" s="108"/>
      <c r="V12" s="108"/>
      <c r="W12" s="108"/>
      <c r="X12" s="3"/>
      <c r="Y12" s="3"/>
      <c r="Z12" s="108"/>
      <c r="AA12" s="108"/>
      <c r="AB12" s="108"/>
      <c r="AC12" s="142"/>
      <c r="AD12" s="142"/>
      <c r="AE12" s="142"/>
      <c r="AF12" s="142"/>
      <c r="AG12" s="142"/>
      <c r="AH12" s="142"/>
      <c r="AI12" s="142"/>
      <c r="AJ12" s="142"/>
      <c r="AK12" s="142"/>
      <c r="AL12" s="142"/>
      <c r="AM12" s="142"/>
      <c r="AN12" s="142"/>
      <c r="AO12" s="142"/>
      <c r="AP12" s="142"/>
      <c r="AQ12" s="142"/>
      <c r="AR12" s="134"/>
      <c r="AS12" s="3"/>
      <c r="AT12" s="3"/>
      <c r="AU12" s="3"/>
      <c r="AV12" s="3"/>
      <c r="AW12" s="3"/>
      <c r="AX12" s="3"/>
      <c r="AY12" s="3"/>
      <c r="AZ12" s="3"/>
      <c r="BA12" s="3"/>
      <c r="BB12" s="3"/>
      <c r="BC12" s="3"/>
      <c r="BD12" s="3"/>
      <c r="BE12" s="3"/>
      <c r="BF12" s="3"/>
      <c r="BG12" s="3"/>
      <c r="BH12" s="2"/>
      <c r="BI12" s="2"/>
      <c r="BJ12" s="3"/>
      <c r="BK12" s="3"/>
      <c r="BL12" s="3"/>
      <c r="BM12" s="3"/>
      <c r="BN12" s="3"/>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row>
    <row x14ac:dyDescent="0.25" r="13" customHeight="1" ht="13.5">
      <c r="A13" s="2"/>
      <c r="B13" s="200"/>
      <c r="C13" s="2"/>
      <c r="D13" s="277" t="s">
        <v>444</v>
      </c>
      <c r="E13" s="278">
        <f>(38+45)/2/100</f>
      </c>
      <c r="F13" s="108"/>
      <c r="G13" s="108"/>
      <c r="H13" s="108"/>
      <c r="I13" s="108"/>
      <c r="J13" s="108"/>
      <c r="K13" s="108"/>
      <c r="L13" s="108"/>
      <c r="M13" s="108"/>
      <c r="N13" s="108"/>
      <c r="O13" s="108"/>
      <c r="P13" s="108"/>
      <c r="Q13" s="108"/>
      <c r="R13" s="108"/>
      <c r="S13" s="108"/>
      <c r="T13" s="108"/>
      <c r="U13" s="108"/>
      <c r="V13" s="108"/>
      <c r="W13" s="108"/>
      <c r="X13" s="3"/>
      <c r="Y13" s="3"/>
      <c r="Z13" s="108"/>
      <c r="AA13" s="108"/>
      <c r="AB13" s="108"/>
      <c r="AC13" s="142"/>
      <c r="AD13" s="142"/>
      <c r="AE13" s="142"/>
      <c r="AF13" s="142"/>
      <c r="AG13" s="142"/>
      <c r="AH13" s="142"/>
      <c r="AI13" s="142"/>
      <c r="AJ13" s="142"/>
      <c r="AK13" s="142"/>
      <c r="AL13" s="142"/>
      <c r="AM13" s="142"/>
      <c r="AN13" s="142"/>
      <c r="AO13" s="142"/>
      <c r="AP13" s="142"/>
      <c r="AQ13" s="142"/>
      <c r="AR13" s="134"/>
      <c r="AS13" s="3"/>
      <c r="AT13" s="3"/>
      <c r="AU13" s="3"/>
      <c r="AV13" s="3"/>
      <c r="AW13" s="3"/>
      <c r="AX13" s="3"/>
      <c r="AY13" s="3"/>
      <c r="AZ13" s="3"/>
      <c r="BA13" s="3"/>
      <c r="BB13" s="3"/>
      <c r="BC13" s="3"/>
      <c r="BD13" s="3"/>
      <c r="BE13" s="3"/>
      <c r="BF13" s="3"/>
      <c r="BG13" s="3"/>
      <c r="BH13" s="2"/>
      <c r="BI13" s="2"/>
      <c r="BJ13" s="3"/>
      <c r="BK13" s="3"/>
      <c r="BL13" s="3"/>
      <c r="BM13" s="3"/>
      <c r="BN13" s="3"/>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row>
    <row x14ac:dyDescent="0.25" r="14" customHeight="1" ht="13.5">
      <c r="A14" s="2"/>
      <c r="B14" s="200"/>
      <c r="C14" s="2"/>
      <c r="D14" s="277" t="s">
        <v>29</v>
      </c>
      <c r="E14" s="278">
        <v>0.2</v>
      </c>
      <c r="F14" s="108"/>
      <c r="G14" s="108"/>
      <c r="H14" s="108"/>
      <c r="I14" s="108"/>
      <c r="J14" s="108"/>
      <c r="K14" s="108"/>
      <c r="L14" s="108"/>
      <c r="M14" s="108"/>
      <c r="N14" s="108"/>
      <c r="O14" s="108"/>
      <c r="P14" s="108"/>
      <c r="Q14" s="108"/>
      <c r="R14" s="108"/>
      <c r="S14" s="108"/>
      <c r="T14" s="108"/>
      <c r="U14" s="108"/>
      <c r="V14" s="108"/>
      <c r="W14" s="108"/>
      <c r="X14" s="3"/>
      <c r="Y14" s="3"/>
      <c r="Z14" s="108"/>
      <c r="AA14" s="108"/>
      <c r="AB14" s="108"/>
      <c r="AC14" s="142"/>
      <c r="AD14" s="142"/>
      <c r="AE14" s="142"/>
      <c r="AF14" s="142"/>
      <c r="AG14" s="142"/>
      <c r="AH14" s="142"/>
      <c r="AI14" s="142"/>
      <c r="AJ14" s="142"/>
      <c r="AK14" s="142"/>
      <c r="AL14" s="142"/>
      <c r="AM14" s="142"/>
      <c r="AN14" s="142"/>
      <c r="AO14" s="142"/>
      <c r="AP14" s="142"/>
      <c r="AQ14" s="142"/>
      <c r="AR14" s="134"/>
      <c r="AS14" s="3"/>
      <c r="AT14" s="3"/>
      <c r="AU14" s="3"/>
      <c r="AV14" s="3"/>
      <c r="AW14" s="3"/>
      <c r="AX14" s="3"/>
      <c r="AY14" s="3"/>
      <c r="AZ14" s="3"/>
      <c r="BA14" s="3"/>
      <c r="BB14" s="3"/>
      <c r="BC14" s="3"/>
      <c r="BD14" s="3"/>
      <c r="BE14" s="3"/>
      <c r="BF14" s="3"/>
      <c r="BG14" s="3"/>
      <c r="BH14" s="2"/>
      <c r="BI14" s="2"/>
      <c r="BJ14" s="3"/>
      <c r="BK14" s="3"/>
      <c r="BL14" s="3"/>
      <c r="BM14" s="3"/>
      <c r="BN14" s="3"/>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row>
    <row x14ac:dyDescent="0.25" r="15" customHeight="1" ht="13.5">
      <c r="A15" s="2"/>
      <c r="B15" s="200"/>
      <c r="C15" s="2"/>
      <c r="D15" s="276"/>
      <c r="E15" s="142"/>
      <c r="F15" s="108"/>
      <c r="G15" s="108"/>
      <c r="H15" s="108"/>
      <c r="I15" s="108"/>
      <c r="J15" s="108"/>
      <c r="K15" s="108"/>
      <c r="L15" s="108"/>
      <c r="M15" s="108"/>
      <c r="N15" s="108"/>
      <c r="O15" s="108"/>
      <c r="P15" s="108"/>
      <c r="Q15" s="108"/>
      <c r="R15" s="108"/>
      <c r="S15" s="108"/>
      <c r="T15" s="108"/>
      <c r="U15" s="108"/>
      <c r="V15" s="108"/>
      <c r="W15" s="108"/>
      <c r="X15" s="3"/>
      <c r="Y15" s="3"/>
      <c r="Z15" s="108"/>
      <c r="AA15" s="108"/>
      <c r="AB15" s="108"/>
      <c r="AC15" s="142"/>
      <c r="AD15" s="142"/>
      <c r="AE15" s="142"/>
      <c r="AF15" s="142"/>
      <c r="AG15" s="142"/>
      <c r="AH15" s="142"/>
      <c r="AI15" s="142"/>
      <c r="AJ15" s="142"/>
      <c r="AK15" s="142"/>
      <c r="AL15" s="142"/>
      <c r="AM15" s="142"/>
      <c r="AN15" s="142"/>
      <c r="AO15" s="142"/>
      <c r="AP15" s="142"/>
      <c r="AQ15" s="142"/>
      <c r="AR15" s="134"/>
      <c r="AS15" s="3"/>
      <c r="AT15" s="3"/>
      <c r="AU15" s="3"/>
      <c r="AV15" s="3"/>
      <c r="AW15" s="3"/>
      <c r="AX15" s="3"/>
      <c r="AY15" s="3"/>
      <c r="AZ15" s="3"/>
      <c r="BA15" s="3"/>
      <c r="BB15" s="3"/>
      <c r="BC15" s="3"/>
      <c r="BD15" s="3"/>
      <c r="BE15" s="3"/>
      <c r="BF15" s="3"/>
      <c r="BG15" s="3"/>
      <c r="BH15" s="2"/>
      <c r="BI15" s="2"/>
      <c r="BJ15" s="3"/>
      <c r="BK15" s="3"/>
      <c r="BL15" s="3"/>
      <c r="BM15" s="3"/>
      <c r="BN15" s="3"/>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row>
    <row x14ac:dyDescent="0.25" r="16" customHeight="1" ht="13.5">
      <c r="A16" s="2"/>
      <c r="B16" s="200"/>
      <c r="C16" s="2"/>
      <c r="D16" s="240" t="s">
        <v>467</v>
      </c>
      <c r="E16" s="142"/>
      <c r="F16" s="108"/>
      <c r="G16" s="108"/>
      <c r="H16" s="108"/>
      <c r="I16" s="108"/>
      <c r="J16" s="108"/>
      <c r="K16" s="108"/>
      <c r="L16" s="108"/>
      <c r="M16" s="108"/>
      <c r="N16" s="108"/>
      <c r="O16" s="108"/>
      <c r="P16" s="108"/>
      <c r="Q16" s="108"/>
      <c r="R16" s="108"/>
      <c r="S16" s="108"/>
      <c r="T16" s="108"/>
      <c r="U16" s="108"/>
      <c r="V16" s="108"/>
      <c r="W16" s="108"/>
      <c r="X16" s="279" t="s">
        <v>467</v>
      </c>
      <c r="Y16" s="3"/>
      <c r="Z16" s="108"/>
      <c r="AA16" s="108"/>
      <c r="AB16" s="108"/>
      <c r="AC16" s="142"/>
      <c r="AD16" s="142"/>
      <c r="AE16" s="142"/>
      <c r="AF16" s="142"/>
      <c r="AG16" s="142"/>
      <c r="AH16" s="142"/>
      <c r="AI16" s="142"/>
      <c r="AJ16" s="142"/>
      <c r="AK16" s="142"/>
      <c r="AL16" s="142"/>
      <c r="AM16" s="142"/>
      <c r="AN16" s="142"/>
      <c r="AO16" s="142"/>
      <c r="AP16" s="142"/>
      <c r="AQ16" s="142"/>
      <c r="AR16" s="240" t="s">
        <v>467</v>
      </c>
      <c r="AS16" s="3"/>
      <c r="AT16" s="3"/>
      <c r="AU16" s="3"/>
      <c r="AV16" s="3"/>
      <c r="AW16" s="3"/>
      <c r="AX16" s="3"/>
      <c r="AY16" s="3"/>
      <c r="AZ16" s="3"/>
      <c r="BA16" s="3"/>
      <c r="BB16" s="3"/>
      <c r="BC16" s="3"/>
      <c r="BD16" s="3"/>
      <c r="BE16" s="3"/>
      <c r="BF16" s="3"/>
      <c r="BG16" s="3"/>
      <c r="BH16" s="2"/>
      <c r="BI16" s="2"/>
      <c r="BJ16" s="3"/>
      <c r="BK16" s="3"/>
      <c r="BL16" s="3"/>
      <c r="BM16" s="3"/>
      <c r="BN16" s="3"/>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row>
    <row x14ac:dyDescent="0.25" r="17" customHeight="1" ht="13.5">
      <c r="A17" s="2"/>
      <c r="B17" s="200"/>
      <c r="C17" s="2"/>
      <c r="D17" s="241" t="s">
        <v>468</v>
      </c>
      <c r="E17" s="212" t="s">
        <v>336</v>
      </c>
      <c r="F17" s="108"/>
      <c r="G17" s="108"/>
      <c r="H17" s="212" t="s">
        <v>469</v>
      </c>
      <c r="I17" s="108"/>
      <c r="J17" s="108"/>
      <c r="K17" s="212" t="s">
        <v>443</v>
      </c>
      <c r="L17" s="108"/>
      <c r="M17" s="108"/>
      <c r="N17" s="212" t="s">
        <v>25</v>
      </c>
      <c r="O17" s="108"/>
      <c r="P17" s="108"/>
      <c r="Q17" s="212" t="s">
        <v>444</v>
      </c>
      <c r="R17" s="108"/>
      <c r="S17" s="108"/>
      <c r="T17" s="140" t="s">
        <v>29</v>
      </c>
      <c r="U17" s="108"/>
      <c r="V17" s="108"/>
      <c r="W17" s="108"/>
      <c r="X17" s="242" t="s">
        <v>470</v>
      </c>
      <c r="Y17" s="212" t="s">
        <v>336</v>
      </c>
      <c r="Z17" s="108"/>
      <c r="AA17" s="108"/>
      <c r="AB17" s="212" t="s">
        <v>469</v>
      </c>
      <c r="AC17" s="142"/>
      <c r="AD17" s="142"/>
      <c r="AE17" s="212" t="s">
        <v>443</v>
      </c>
      <c r="AF17" s="142"/>
      <c r="AG17" s="142"/>
      <c r="AH17" s="212" t="s">
        <v>25</v>
      </c>
      <c r="AI17" s="142"/>
      <c r="AJ17" s="142"/>
      <c r="AK17" s="212" t="s">
        <v>444</v>
      </c>
      <c r="AL17" s="142"/>
      <c r="AM17" s="142"/>
      <c r="AN17" s="212" t="s">
        <v>29</v>
      </c>
      <c r="AO17" s="142"/>
      <c r="AP17" s="142"/>
      <c r="AQ17" s="142"/>
      <c r="AR17" s="241" t="s">
        <v>470</v>
      </c>
      <c r="AS17" s="212" t="s">
        <v>469</v>
      </c>
      <c r="AT17" s="3"/>
      <c r="AU17" s="3"/>
      <c r="AV17" s="212" t="s">
        <v>443</v>
      </c>
      <c r="AW17" s="3"/>
      <c r="AX17" s="3"/>
      <c r="AY17" s="212" t="s">
        <v>25</v>
      </c>
      <c r="AZ17" s="3"/>
      <c r="BA17" s="3"/>
      <c r="BB17" s="212" t="s">
        <v>444</v>
      </c>
      <c r="BC17" s="3"/>
      <c r="BD17" s="3"/>
      <c r="BE17" s="212" t="s">
        <v>29</v>
      </c>
      <c r="BF17" s="3"/>
      <c r="BG17" s="3"/>
      <c r="BH17" s="2"/>
      <c r="BI17" s="2"/>
      <c r="BJ17" s="3"/>
      <c r="BK17" s="3"/>
      <c r="BL17" s="3"/>
      <c r="BM17" s="3"/>
      <c r="BN17" s="3"/>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row>
    <row x14ac:dyDescent="0.25" r="18" customHeight="1" ht="13.5">
      <c r="A18" s="2"/>
      <c r="B18" s="200"/>
      <c r="C18" s="2"/>
      <c r="D18" s="246" t="s">
        <v>445</v>
      </c>
      <c r="E18" s="257">
        <v>2023</v>
      </c>
      <c r="F18" s="257">
        <v>2024</v>
      </c>
      <c r="G18" s="257">
        <v>2025</v>
      </c>
      <c r="H18" s="257">
        <v>2023</v>
      </c>
      <c r="I18" s="257">
        <v>2024</v>
      </c>
      <c r="J18" s="257">
        <v>2025</v>
      </c>
      <c r="K18" s="257">
        <v>2023</v>
      </c>
      <c r="L18" s="257">
        <v>2024</v>
      </c>
      <c r="M18" s="257">
        <v>2025</v>
      </c>
      <c r="N18" s="257">
        <v>2023</v>
      </c>
      <c r="O18" s="257">
        <v>2024</v>
      </c>
      <c r="P18" s="257">
        <v>2025</v>
      </c>
      <c r="Q18" s="257">
        <v>2023</v>
      </c>
      <c r="R18" s="257">
        <v>2024</v>
      </c>
      <c r="S18" s="257">
        <v>2025</v>
      </c>
      <c r="T18" s="257">
        <v>2023</v>
      </c>
      <c r="U18" s="257">
        <v>2024</v>
      </c>
      <c r="V18" s="257">
        <v>2025</v>
      </c>
      <c r="W18" s="108"/>
      <c r="X18" s="280" t="s">
        <v>445</v>
      </c>
      <c r="Y18" s="257">
        <v>2023</v>
      </c>
      <c r="Z18" s="257">
        <v>2024</v>
      </c>
      <c r="AA18" s="257">
        <v>2025</v>
      </c>
      <c r="AB18" s="257">
        <v>2023</v>
      </c>
      <c r="AC18" s="257">
        <v>2024</v>
      </c>
      <c r="AD18" s="257">
        <v>2025</v>
      </c>
      <c r="AE18" s="257">
        <v>2023</v>
      </c>
      <c r="AF18" s="257">
        <v>2024</v>
      </c>
      <c r="AG18" s="257">
        <v>2025</v>
      </c>
      <c r="AH18" s="257">
        <v>2023</v>
      </c>
      <c r="AI18" s="257">
        <v>2024</v>
      </c>
      <c r="AJ18" s="257">
        <v>2025</v>
      </c>
      <c r="AK18" s="257">
        <v>2023</v>
      </c>
      <c r="AL18" s="257">
        <v>2024</v>
      </c>
      <c r="AM18" s="257">
        <v>2025</v>
      </c>
      <c r="AN18" s="257">
        <v>2023</v>
      </c>
      <c r="AO18" s="257">
        <v>2024</v>
      </c>
      <c r="AP18" s="257">
        <v>2025</v>
      </c>
      <c r="AQ18" s="142"/>
      <c r="AR18" s="246" t="s">
        <v>445</v>
      </c>
      <c r="AS18" s="257">
        <v>2023</v>
      </c>
      <c r="AT18" s="257">
        <v>2024</v>
      </c>
      <c r="AU18" s="257">
        <v>2025</v>
      </c>
      <c r="AV18" s="257">
        <v>2023</v>
      </c>
      <c r="AW18" s="257">
        <v>2024</v>
      </c>
      <c r="AX18" s="257">
        <v>2025</v>
      </c>
      <c r="AY18" s="257">
        <v>2023</v>
      </c>
      <c r="AZ18" s="257">
        <v>2024</v>
      </c>
      <c r="BA18" s="257">
        <v>2025</v>
      </c>
      <c r="BB18" s="257">
        <v>2023</v>
      </c>
      <c r="BC18" s="257">
        <v>2024</v>
      </c>
      <c r="BD18" s="257">
        <v>2025</v>
      </c>
      <c r="BE18" s="257">
        <v>2023</v>
      </c>
      <c r="BF18" s="257">
        <v>2024</v>
      </c>
      <c r="BG18" s="257">
        <v>2025</v>
      </c>
      <c r="BH18" s="2"/>
      <c r="BI18" s="2"/>
      <c r="BJ18" s="124">
        <v>2025</v>
      </c>
      <c r="BK18" s="3"/>
      <c r="BL18" s="3"/>
      <c r="BM18" s="3"/>
      <c r="BN18" s="3"/>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row>
    <row x14ac:dyDescent="0.25" r="19" customHeight="1" ht="13.5">
      <c r="A19" s="2"/>
      <c r="B19" s="200"/>
      <c r="C19" s="2"/>
      <c r="D19" s="281" t="s">
        <v>471</v>
      </c>
      <c r="E19" s="124">
        <f>H19+K19+N19+Q19+T19</f>
      </c>
      <c r="F19" s="124">
        <f>I19+L19+O19+R19+U19</f>
      </c>
      <c r="G19" s="124">
        <f>J19+M19+P19+S19+V19</f>
      </c>
      <c r="H19" s="124">
        <f>H160</f>
      </c>
      <c r="I19" s="124">
        <f>I160</f>
      </c>
      <c r="J19" s="124">
        <f>J160</f>
      </c>
      <c r="K19" s="124">
        <f>K160</f>
      </c>
      <c r="L19" s="124">
        <f>L160</f>
      </c>
      <c r="M19" s="124">
        <f>M160</f>
      </c>
      <c r="N19" s="124">
        <f>N160</f>
      </c>
      <c r="O19" s="124">
        <f>O160</f>
      </c>
      <c r="P19" s="124">
        <f>P160</f>
      </c>
      <c r="Q19" s="124">
        <f>Q160</f>
      </c>
      <c r="R19" s="124">
        <f>R160</f>
      </c>
      <c r="S19" s="124">
        <f>S160</f>
      </c>
      <c r="T19" s="124">
        <f>T160</f>
      </c>
      <c r="U19" s="124">
        <f>U160</f>
      </c>
      <c r="V19" s="124">
        <f>V160</f>
      </c>
      <c r="W19" s="108"/>
      <c r="X19" s="282" t="s">
        <v>471</v>
      </c>
      <c r="Y19" s="124">
        <f>AB19+AE19+AH19+AK19+AN19</f>
      </c>
      <c r="Z19" s="124">
        <f>AC19+AF19+AI19+AL19+AO19</f>
      </c>
      <c r="AA19" s="124">
        <f>AD19+AG19+AJ19+AM19+AP19</f>
      </c>
      <c r="AB19" s="124">
        <f>AC160</f>
      </c>
      <c r="AC19" s="124">
        <f>AD160</f>
      </c>
      <c r="AD19" s="124">
        <f>AE160</f>
      </c>
      <c r="AE19" s="124">
        <f>AF160</f>
      </c>
      <c r="AF19" s="124">
        <f>AG160</f>
      </c>
      <c r="AG19" s="124">
        <f>AH160</f>
      </c>
      <c r="AH19" s="124">
        <f>AI160</f>
      </c>
      <c r="AI19" s="124">
        <f>AJ160</f>
      </c>
      <c r="AJ19" s="124">
        <f>AK160</f>
      </c>
      <c r="AK19" s="124">
        <f>AL160</f>
      </c>
      <c r="AL19" s="124">
        <f>AM160</f>
      </c>
      <c r="AM19" s="124">
        <f>AN160</f>
      </c>
      <c r="AN19" s="124">
        <f>AO160</f>
      </c>
      <c r="AO19" s="124">
        <f>AP160</f>
      </c>
      <c r="AP19" s="124">
        <f>AQ160</f>
      </c>
      <c r="AQ19" s="142"/>
      <c r="AR19" s="281" t="s">
        <v>471</v>
      </c>
      <c r="AS19" s="63">
        <f>AB19/$Y$19</f>
      </c>
      <c r="AT19" s="63">
        <f>AC19/$Z$19</f>
      </c>
      <c r="AU19" s="63">
        <f>AD19/$AA$19</f>
      </c>
      <c r="AV19" s="63">
        <f>AE19/$Y$19</f>
      </c>
      <c r="AW19" s="63">
        <f>AF19/$Z$19</f>
      </c>
      <c r="AX19" s="63">
        <f>AG19/$AA$19</f>
      </c>
      <c r="AY19" s="63">
        <f>AH19/$Y$19</f>
      </c>
      <c r="AZ19" s="63">
        <f>AI19/$Z$19</f>
      </c>
      <c r="BA19" s="63">
        <f>AJ19/$AA$19</f>
      </c>
      <c r="BB19" s="63">
        <f>AK19/$Y$19</f>
      </c>
      <c r="BC19" s="63">
        <f>AL19/$Z$19</f>
      </c>
      <c r="BD19" s="63">
        <f>AM19/$AA$19</f>
      </c>
      <c r="BE19" s="63">
        <f>AN19/$AA$19</f>
      </c>
      <c r="BF19" s="63">
        <f>AO19/$AA$19</f>
      </c>
      <c r="BG19" s="63">
        <f>AP19/$AA$19</f>
      </c>
      <c r="BH19" s="2"/>
      <c r="BI19" s="2"/>
      <c r="BJ19" s="120" t="s">
        <v>469</v>
      </c>
      <c r="BK19" s="140" t="s">
        <v>443</v>
      </c>
      <c r="BL19" s="140" t="s">
        <v>25</v>
      </c>
      <c r="BM19" s="140" t="s">
        <v>444</v>
      </c>
      <c r="BN19" s="140" t="s">
        <v>29</v>
      </c>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row>
    <row x14ac:dyDescent="0.25" r="20" customHeight="1" ht="13.5">
      <c r="A20" s="2"/>
      <c r="B20" s="200"/>
      <c r="C20" s="2"/>
      <c r="D20" s="283" t="s">
        <v>472</v>
      </c>
      <c r="E20" s="284">
        <f>H20+K20+N20+Q20+T20</f>
      </c>
      <c r="F20" s="284">
        <f>I20+L20+O20+R20+U20</f>
      </c>
      <c r="G20" s="284">
        <f>J20+M20+P20+S20+V20</f>
      </c>
      <c r="H20" s="284">
        <f>I241</f>
      </c>
      <c r="I20" s="284">
        <f>J241</f>
      </c>
      <c r="J20" s="284">
        <f>K241</f>
      </c>
      <c r="K20" s="284">
        <f>L241</f>
      </c>
      <c r="L20" s="284">
        <f>M241</f>
      </c>
      <c r="M20" s="284">
        <f>N241</f>
      </c>
      <c r="N20" s="284">
        <f>O241</f>
      </c>
      <c r="O20" s="284">
        <f>P241</f>
      </c>
      <c r="P20" s="284">
        <f>Q241</f>
      </c>
      <c r="Q20" s="284">
        <f>R241</f>
      </c>
      <c r="R20" s="284">
        <f>S241</f>
      </c>
      <c r="S20" s="284">
        <f>T241</f>
      </c>
      <c r="T20" s="284">
        <f>U241</f>
      </c>
      <c r="U20" s="284">
        <f>V241</f>
      </c>
      <c r="V20" s="284">
        <f>W241</f>
      </c>
      <c r="W20" s="108"/>
      <c r="X20" s="285" t="s">
        <v>472</v>
      </c>
      <c r="Y20" s="284">
        <f>AB20+AE20+AH20+AK20+AN20</f>
      </c>
      <c r="Z20" s="284">
        <f>AC20+AF20+AI20+AL20+AO20</f>
      </c>
      <c r="AA20" s="284">
        <f>AD20+AG20+AJ20+AM20+AP20</f>
      </c>
      <c r="AB20" s="284">
        <f>AC241</f>
      </c>
      <c r="AC20" s="284">
        <f>AD241</f>
      </c>
      <c r="AD20" s="284">
        <f>AE241</f>
      </c>
      <c r="AE20" s="284">
        <f>AF241</f>
      </c>
      <c r="AF20" s="284">
        <f>AG241</f>
      </c>
      <c r="AG20" s="284">
        <f>AH241</f>
      </c>
      <c r="AH20" s="284">
        <f>AI241</f>
      </c>
      <c r="AI20" s="284">
        <f>AJ241</f>
      </c>
      <c r="AJ20" s="284">
        <f>AK241</f>
      </c>
      <c r="AK20" s="284">
        <f>AL241</f>
      </c>
      <c r="AL20" s="284">
        <f>AM241</f>
      </c>
      <c r="AM20" s="284">
        <f>AN241</f>
      </c>
      <c r="AN20" s="284">
        <f>AO241</f>
      </c>
      <c r="AO20" s="284">
        <f>AP241</f>
      </c>
      <c r="AP20" s="284">
        <f>AQ241</f>
      </c>
      <c r="AQ20" s="142"/>
      <c r="AR20" s="283" t="s">
        <v>472</v>
      </c>
      <c r="AS20" s="286">
        <f>AB20/$Y$20</f>
      </c>
      <c r="AT20" s="286">
        <f>AC20/$Z$20</f>
      </c>
      <c r="AU20" s="286">
        <f>AD20/$AA$20</f>
      </c>
      <c r="AV20" s="286">
        <f>AE20/$Y$20</f>
      </c>
      <c r="AW20" s="286">
        <f>AF20/$Z$20</f>
      </c>
      <c r="AX20" s="286">
        <f>AG20/$AA$20</f>
      </c>
      <c r="AY20" s="286">
        <f>AH20/$Y$20</f>
      </c>
      <c r="AZ20" s="286">
        <f>AI20/$Z$20</f>
      </c>
      <c r="BA20" s="286">
        <f>AJ20/$AA$20</f>
      </c>
      <c r="BB20" s="286">
        <f>AK20/$Y$20</f>
      </c>
      <c r="BC20" s="286">
        <f>AL20/$Z$20</f>
      </c>
      <c r="BD20" s="286">
        <f>AM20/$AA$20</f>
      </c>
      <c r="BE20" s="286">
        <f>AN20/$AA$20</f>
      </c>
      <c r="BF20" s="286">
        <f>AO20/$AA$20</f>
      </c>
      <c r="BG20" s="286">
        <f>AP20/$AA$20</f>
      </c>
      <c r="BH20" s="2"/>
      <c r="BI20" s="2"/>
      <c r="BJ20" s="124">
        <f>AU21</f>
      </c>
      <c r="BK20" s="124">
        <f>AX21</f>
      </c>
      <c r="BL20" s="124">
        <f>BA21</f>
      </c>
      <c r="BM20" s="124">
        <f>BD21</f>
      </c>
      <c r="BN20" s="124">
        <f>BG21</f>
      </c>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row>
    <row x14ac:dyDescent="0.25" r="21" customHeight="1" ht="13.5">
      <c r="A21" s="2"/>
      <c r="B21" s="200"/>
      <c r="C21" s="2"/>
      <c r="D21" s="283" t="s">
        <v>336</v>
      </c>
      <c r="E21" s="284">
        <f>SUM(E19:E20)</f>
      </c>
      <c r="F21" s="284">
        <f>SUM(F19:F20)</f>
      </c>
      <c r="G21" s="284">
        <f>SUM(G19:G20)</f>
      </c>
      <c r="H21" s="284">
        <f>SUM(H19:H20)</f>
      </c>
      <c r="I21" s="284">
        <f>SUM(I19:I20)</f>
      </c>
      <c r="J21" s="284">
        <f>SUM(J19:J20)</f>
      </c>
      <c r="K21" s="284">
        <f>SUM(K19:K20)</f>
      </c>
      <c r="L21" s="284">
        <f>SUM(L19:L20)</f>
      </c>
      <c r="M21" s="284">
        <f>SUM(M19:M20)</f>
      </c>
      <c r="N21" s="284">
        <f>SUM(N19:N20)</f>
      </c>
      <c r="O21" s="284">
        <f>SUM(O19:O20)</f>
      </c>
      <c r="P21" s="284">
        <f>SUM(P19:P20)</f>
      </c>
      <c r="Q21" s="284">
        <f>SUM(Q19:Q20)</f>
      </c>
      <c r="R21" s="284">
        <f>SUM(R19:R20)</f>
      </c>
      <c r="S21" s="284">
        <f>SUM(S19:S20)</f>
      </c>
      <c r="T21" s="284">
        <f>SUM(T19:T20)</f>
      </c>
      <c r="U21" s="284">
        <f>SUM(U19:U20)</f>
      </c>
      <c r="V21" s="284">
        <f>SUM(V19:V20)</f>
      </c>
      <c r="W21" s="108"/>
      <c r="X21" s="285" t="s">
        <v>336</v>
      </c>
      <c r="Y21" s="284">
        <f>SUM(Y19:Y20)</f>
      </c>
      <c r="Z21" s="284">
        <f>SUM(Z19:Z20)</f>
      </c>
      <c r="AA21" s="284">
        <f>SUM(AA19:AA20)</f>
      </c>
      <c r="AB21" s="284">
        <f>SUM(AB19:AB20)</f>
      </c>
      <c r="AC21" s="284">
        <f>SUM(AC19:AC20)</f>
      </c>
      <c r="AD21" s="284">
        <f>SUM(AD19:AD20)</f>
      </c>
      <c r="AE21" s="284">
        <f>SUM(AE19:AE20)</f>
      </c>
      <c r="AF21" s="284">
        <f>SUM(AF19:AF20)</f>
      </c>
      <c r="AG21" s="284">
        <f>SUM(AG19:AG20)</f>
      </c>
      <c r="AH21" s="284">
        <f>SUM(AH19:AH20)</f>
      </c>
      <c r="AI21" s="284">
        <f>SUM(AI19:AI20)</f>
      </c>
      <c r="AJ21" s="284">
        <f>SUM(AJ19:AJ20)</f>
      </c>
      <c r="AK21" s="284">
        <f>SUM(AK19:AK20)</f>
      </c>
      <c r="AL21" s="284">
        <f>SUM(AL19:AL20)</f>
      </c>
      <c r="AM21" s="284">
        <f>SUM(AM19:AM20)</f>
      </c>
      <c r="AN21" s="284">
        <f>SUM(AN19:AN20)</f>
      </c>
      <c r="AO21" s="284">
        <f>SUM(AO19:AO20)</f>
      </c>
      <c r="AP21" s="284">
        <f>SUM(AP19:AP20)</f>
      </c>
      <c r="AQ21" s="142"/>
      <c r="AR21" s="287" t="s">
        <v>336</v>
      </c>
      <c r="AS21" s="288">
        <f>AB21/$Y$21</f>
      </c>
      <c r="AT21" s="288">
        <f>AC21/$Z$21</f>
      </c>
      <c r="AU21" s="288">
        <f>AD21/$AA$21</f>
      </c>
      <c r="AV21" s="288">
        <f>AE21/$Y$21</f>
      </c>
      <c r="AW21" s="288">
        <f>AF21/$Z$21</f>
      </c>
      <c r="AX21" s="288">
        <f>AG21/$AA$21</f>
      </c>
      <c r="AY21" s="288">
        <f>AH21/$Y$21</f>
      </c>
      <c r="AZ21" s="288">
        <f>AI21/$Z$21</f>
      </c>
      <c r="BA21" s="288">
        <f>AJ21/$AA$21</f>
      </c>
      <c r="BB21" s="288">
        <f>AK21/$Y$21</f>
      </c>
      <c r="BC21" s="288">
        <f>AL21/$Z$21</f>
      </c>
      <c r="BD21" s="288">
        <f>AM21/$AA$21</f>
      </c>
      <c r="BE21" s="288">
        <f>AN21/$AA$21</f>
      </c>
      <c r="BF21" s="288">
        <f>AO21/$AA$21</f>
      </c>
      <c r="BG21" s="288">
        <f>AP21/$AA$21</f>
      </c>
      <c r="BH21" s="2"/>
      <c r="BI21" s="2"/>
      <c r="BJ21" s="3"/>
      <c r="BK21" s="3"/>
      <c r="BL21" s="3"/>
      <c r="BM21" s="3"/>
      <c r="BN21" s="3"/>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row>
    <row x14ac:dyDescent="0.25" r="22" customHeight="1" ht="13.5">
      <c r="A22" s="2"/>
      <c r="B22" s="200"/>
      <c r="C22" s="2"/>
      <c r="D22" s="281" t="s">
        <v>473</v>
      </c>
      <c r="E22" s="289">
        <f>E21/ProjectedP205_Consumption!K34</f>
      </c>
      <c r="F22" s="289">
        <f>F21/ProjectedP205_Consumption!L34</f>
      </c>
      <c r="G22" s="289">
        <f>G21/ProjectedP205_Consumption!M34</f>
      </c>
      <c r="H22" s="124"/>
      <c r="I22" s="124"/>
      <c r="J22" s="124"/>
      <c r="K22" s="124"/>
      <c r="L22" s="124"/>
      <c r="M22" s="124"/>
      <c r="N22" s="124"/>
      <c r="O22" s="124"/>
      <c r="P22" s="124"/>
      <c r="Q22" s="124"/>
      <c r="R22" s="124"/>
      <c r="S22" s="124"/>
      <c r="T22" s="124"/>
      <c r="U22" s="124"/>
      <c r="V22" s="124"/>
      <c r="W22" s="108"/>
      <c r="X22" s="282" t="s">
        <v>473</v>
      </c>
      <c r="Y22" s="124">
        <f>Y21/ProjectedP205_Consumption!V189</f>
      </c>
      <c r="Z22" s="124">
        <f>Z21/ProjectedP205_Consumption!W189</f>
      </c>
      <c r="AA22" s="124">
        <f>AA21/ProjectedP205_Consumption!X189</f>
      </c>
      <c r="AB22" s="124"/>
      <c r="AC22" s="124"/>
      <c r="AD22" s="124"/>
      <c r="AE22" s="124"/>
      <c r="AF22" s="124"/>
      <c r="AG22" s="124"/>
      <c r="AH22" s="124"/>
      <c r="AI22" s="124"/>
      <c r="AJ22" s="124"/>
      <c r="AK22" s="124"/>
      <c r="AL22" s="124"/>
      <c r="AM22" s="124"/>
      <c r="AN22" s="124"/>
      <c r="AO22" s="124"/>
      <c r="AP22" s="124"/>
      <c r="AQ22" s="142"/>
      <c r="AR22" s="290"/>
      <c r="AS22" s="160"/>
      <c r="AT22" s="160"/>
      <c r="AU22" s="160"/>
      <c r="AV22" s="160"/>
      <c r="AW22" s="160"/>
      <c r="AX22" s="160"/>
      <c r="AY22" s="160"/>
      <c r="AZ22" s="160"/>
      <c r="BA22" s="160"/>
      <c r="BB22" s="160"/>
      <c r="BC22" s="160"/>
      <c r="BD22" s="160"/>
      <c r="BE22" s="160"/>
      <c r="BF22" s="160"/>
      <c r="BG22" s="160"/>
      <c r="BH22" s="2"/>
      <c r="BI22" s="2"/>
      <c r="BJ22" s="3"/>
      <c r="BK22" s="3"/>
      <c r="BL22" s="3"/>
      <c r="BM22" s="3"/>
      <c r="BN22" s="3"/>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row>
    <row x14ac:dyDescent="0.25" r="23" customHeight="1" ht="13.5">
      <c r="A23" s="2"/>
      <c r="B23" s="200"/>
      <c r="C23" s="2"/>
      <c r="D23" s="276"/>
      <c r="E23" s="142"/>
      <c r="F23" s="108"/>
      <c r="G23" s="108"/>
      <c r="H23" s="108"/>
      <c r="I23" s="108"/>
      <c r="J23" s="108"/>
      <c r="K23" s="108"/>
      <c r="L23" s="108"/>
      <c r="M23" s="108"/>
      <c r="N23" s="108"/>
      <c r="O23" s="108"/>
      <c r="P23" s="108"/>
      <c r="Q23" s="108"/>
      <c r="R23" s="108"/>
      <c r="S23" s="108"/>
      <c r="T23" s="108"/>
      <c r="U23" s="108"/>
      <c r="V23" s="108"/>
      <c r="W23" s="108"/>
      <c r="X23" s="276"/>
      <c r="Y23" s="3"/>
      <c r="Z23" s="124"/>
      <c r="AA23" s="124"/>
      <c r="AB23" s="108"/>
      <c r="AC23" s="142"/>
      <c r="AD23" s="142"/>
      <c r="AE23" s="142"/>
      <c r="AF23" s="142"/>
      <c r="AG23" s="142"/>
      <c r="AH23" s="142"/>
      <c r="AI23" s="142"/>
      <c r="AJ23" s="142"/>
      <c r="AK23" s="142"/>
      <c r="AL23" s="142"/>
      <c r="AM23" s="142"/>
      <c r="AN23" s="142"/>
      <c r="AO23" s="142"/>
      <c r="AP23" s="142"/>
      <c r="AQ23" s="142"/>
      <c r="AR23" s="291"/>
      <c r="AS23" s="160"/>
      <c r="AT23" s="160"/>
      <c r="AU23" s="160"/>
      <c r="AV23" s="160"/>
      <c r="AW23" s="160"/>
      <c r="AX23" s="160"/>
      <c r="AY23" s="160"/>
      <c r="AZ23" s="160"/>
      <c r="BA23" s="160"/>
      <c r="BB23" s="160"/>
      <c r="BC23" s="160"/>
      <c r="BD23" s="160"/>
      <c r="BE23" s="160"/>
      <c r="BF23" s="160"/>
      <c r="BG23" s="160"/>
      <c r="BH23" s="2"/>
      <c r="BI23" s="2"/>
      <c r="BJ23" s="3"/>
      <c r="BK23" s="3"/>
      <c r="BL23" s="3"/>
      <c r="BM23" s="3"/>
      <c r="BN23" s="3"/>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row>
    <row x14ac:dyDescent="0.25" r="24" customHeight="1" ht="13.5">
      <c r="A24" s="2"/>
      <c r="B24" s="200"/>
      <c r="C24" s="2"/>
      <c r="D24" s="240" t="s">
        <v>467</v>
      </c>
      <c r="E24" s="142"/>
      <c r="F24" s="108"/>
      <c r="G24" s="108"/>
      <c r="H24" s="108"/>
      <c r="I24" s="108"/>
      <c r="J24" s="108"/>
      <c r="K24" s="108"/>
      <c r="L24" s="108"/>
      <c r="M24" s="108"/>
      <c r="N24" s="108"/>
      <c r="O24" s="108"/>
      <c r="P24" s="108"/>
      <c r="Q24" s="108"/>
      <c r="R24" s="108"/>
      <c r="S24" s="108"/>
      <c r="T24" s="108"/>
      <c r="U24" s="108"/>
      <c r="V24" s="108"/>
      <c r="W24" s="108"/>
      <c r="X24" s="279" t="s">
        <v>467</v>
      </c>
      <c r="Y24" s="3"/>
      <c r="Z24" s="108"/>
      <c r="AA24" s="108"/>
      <c r="AB24" s="108"/>
      <c r="AC24" s="142"/>
      <c r="AD24" s="142"/>
      <c r="AE24" s="142"/>
      <c r="AF24" s="142"/>
      <c r="AG24" s="142"/>
      <c r="AH24" s="142"/>
      <c r="AI24" s="142"/>
      <c r="AJ24" s="142"/>
      <c r="AK24" s="142"/>
      <c r="AL24" s="142"/>
      <c r="AM24" s="142"/>
      <c r="AN24" s="142"/>
      <c r="AO24" s="142"/>
      <c r="AP24" s="142"/>
      <c r="AQ24" s="142"/>
      <c r="AR24" s="240" t="s">
        <v>467</v>
      </c>
      <c r="AS24" s="160"/>
      <c r="AT24" s="160"/>
      <c r="AU24" s="160"/>
      <c r="AV24" s="160"/>
      <c r="AW24" s="160"/>
      <c r="AX24" s="160"/>
      <c r="AY24" s="160"/>
      <c r="AZ24" s="160"/>
      <c r="BA24" s="160"/>
      <c r="BB24" s="160"/>
      <c r="BC24" s="160"/>
      <c r="BD24" s="160"/>
      <c r="BE24" s="160"/>
      <c r="BF24" s="160"/>
      <c r="BG24" s="160"/>
      <c r="BH24" s="2"/>
      <c r="BI24" s="2"/>
      <c r="BJ24" s="3"/>
      <c r="BK24" s="3"/>
      <c r="BL24" s="3"/>
      <c r="BM24" s="3"/>
      <c r="BN24" s="3"/>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row>
    <row x14ac:dyDescent="0.25" r="25" customHeight="1" ht="13.5">
      <c r="A25" s="2"/>
      <c r="B25" s="200"/>
      <c r="C25" s="2"/>
      <c r="D25" s="241" t="s">
        <v>468</v>
      </c>
      <c r="E25" s="212" t="s">
        <v>336</v>
      </c>
      <c r="F25" s="108"/>
      <c r="G25" s="108"/>
      <c r="H25" s="212" t="s">
        <v>469</v>
      </c>
      <c r="I25" s="108"/>
      <c r="J25" s="108"/>
      <c r="K25" s="212" t="s">
        <v>443</v>
      </c>
      <c r="L25" s="108"/>
      <c r="M25" s="108"/>
      <c r="N25" s="212" t="s">
        <v>25</v>
      </c>
      <c r="O25" s="108"/>
      <c r="P25" s="108"/>
      <c r="Q25" s="212" t="s">
        <v>444</v>
      </c>
      <c r="R25" s="108"/>
      <c r="S25" s="108"/>
      <c r="T25" s="140" t="s">
        <v>29</v>
      </c>
      <c r="U25" s="108"/>
      <c r="V25" s="108"/>
      <c r="W25" s="108"/>
      <c r="X25" s="242" t="s">
        <v>470</v>
      </c>
      <c r="Y25" s="212" t="s">
        <v>336</v>
      </c>
      <c r="Z25" s="108"/>
      <c r="AA25" s="108"/>
      <c r="AB25" s="212" t="s">
        <v>469</v>
      </c>
      <c r="AC25" s="142"/>
      <c r="AD25" s="142"/>
      <c r="AE25" s="212" t="s">
        <v>443</v>
      </c>
      <c r="AF25" s="142"/>
      <c r="AG25" s="142"/>
      <c r="AH25" s="212" t="s">
        <v>25</v>
      </c>
      <c r="AI25" s="142"/>
      <c r="AJ25" s="142"/>
      <c r="AK25" s="212" t="s">
        <v>444</v>
      </c>
      <c r="AL25" s="142"/>
      <c r="AM25" s="142"/>
      <c r="AN25" s="212" t="s">
        <v>29</v>
      </c>
      <c r="AO25" s="142"/>
      <c r="AP25" s="142"/>
      <c r="AQ25" s="142"/>
      <c r="AR25" s="241" t="s">
        <v>474</v>
      </c>
      <c r="AS25" s="212" t="s">
        <v>469</v>
      </c>
      <c r="AT25" s="160"/>
      <c r="AU25" s="160"/>
      <c r="AV25" s="212" t="s">
        <v>443</v>
      </c>
      <c r="AW25" s="160"/>
      <c r="AX25" s="160"/>
      <c r="AY25" s="212" t="s">
        <v>25</v>
      </c>
      <c r="AZ25" s="160"/>
      <c r="BA25" s="160"/>
      <c r="BB25" s="212" t="s">
        <v>444</v>
      </c>
      <c r="BC25" s="160"/>
      <c r="BD25" s="160"/>
      <c r="BE25" s="212" t="s">
        <v>29</v>
      </c>
      <c r="BF25" s="3"/>
      <c r="BG25" s="3"/>
      <c r="BH25" s="2"/>
      <c r="BI25" s="2"/>
      <c r="BJ25" s="3"/>
      <c r="BK25" s="3"/>
      <c r="BL25" s="3"/>
      <c r="BM25" s="3"/>
      <c r="BN25" s="3"/>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row>
    <row x14ac:dyDescent="0.25" r="26" customHeight="1" ht="13.5">
      <c r="A26" s="2"/>
      <c r="B26" s="200"/>
      <c r="C26" s="2"/>
      <c r="D26" s="246" t="s">
        <v>475</v>
      </c>
      <c r="E26" s="257">
        <v>2023</v>
      </c>
      <c r="F26" s="257">
        <v>2024</v>
      </c>
      <c r="G26" s="257">
        <v>2025</v>
      </c>
      <c r="H26" s="257">
        <v>2023</v>
      </c>
      <c r="I26" s="257">
        <v>2024</v>
      </c>
      <c r="J26" s="257">
        <v>2025</v>
      </c>
      <c r="K26" s="257">
        <v>2023</v>
      </c>
      <c r="L26" s="257">
        <v>2024</v>
      </c>
      <c r="M26" s="257">
        <v>2025</v>
      </c>
      <c r="N26" s="257">
        <v>2023</v>
      </c>
      <c r="O26" s="257">
        <v>2024</v>
      </c>
      <c r="P26" s="257">
        <v>2025</v>
      </c>
      <c r="Q26" s="257">
        <v>2023</v>
      </c>
      <c r="R26" s="257">
        <v>2024</v>
      </c>
      <c r="S26" s="257">
        <v>2025</v>
      </c>
      <c r="T26" s="257">
        <v>2023</v>
      </c>
      <c r="U26" s="257">
        <v>2024</v>
      </c>
      <c r="V26" s="257">
        <v>2025</v>
      </c>
      <c r="W26" s="108"/>
      <c r="X26" s="280" t="s">
        <v>475</v>
      </c>
      <c r="Y26" s="257">
        <v>2023</v>
      </c>
      <c r="Z26" s="257">
        <v>2024</v>
      </c>
      <c r="AA26" s="257">
        <v>2025</v>
      </c>
      <c r="AB26" s="257">
        <v>2023</v>
      </c>
      <c r="AC26" s="257">
        <v>2024</v>
      </c>
      <c r="AD26" s="257">
        <v>2025</v>
      </c>
      <c r="AE26" s="257">
        <v>2023</v>
      </c>
      <c r="AF26" s="257">
        <v>2024</v>
      </c>
      <c r="AG26" s="257">
        <v>2025</v>
      </c>
      <c r="AH26" s="257">
        <v>2023</v>
      </c>
      <c r="AI26" s="257">
        <v>2024</v>
      </c>
      <c r="AJ26" s="257">
        <v>2025</v>
      </c>
      <c r="AK26" s="257">
        <v>2023</v>
      </c>
      <c r="AL26" s="257">
        <v>2024</v>
      </c>
      <c r="AM26" s="257">
        <v>2025</v>
      </c>
      <c r="AN26" s="257">
        <v>2023</v>
      </c>
      <c r="AO26" s="257">
        <v>2024</v>
      </c>
      <c r="AP26" s="257">
        <v>2025</v>
      </c>
      <c r="AQ26" s="142"/>
      <c r="AR26" s="246" t="s">
        <v>475</v>
      </c>
      <c r="AS26" s="257">
        <v>2023</v>
      </c>
      <c r="AT26" s="257">
        <v>2024</v>
      </c>
      <c r="AU26" s="257">
        <v>2025</v>
      </c>
      <c r="AV26" s="257">
        <v>2023</v>
      </c>
      <c r="AW26" s="257">
        <v>2024</v>
      </c>
      <c r="AX26" s="257">
        <v>2025</v>
      </c>
      <c r="AY26" s="257">
        <v>2023</v>
      </c>
      <c r="AZ26" s="257">
        <v>2024</v>
      </c>
      <c r="BA26" s="257">
        <v>2025</v>
      </c>
      <c r="BB26" s="257">
        <v>2023</v>
      </c>
      <c r="BC26" s="257">
        <v>2024</v>
      </c>
      <c r="BD26" s="257">
        <v>2025</v>
      </c>
      <c r="BE26" s="257">
        <v>2023</v>
      </c>
      <c r="BF26" s="257">
        <v>2024</v>
      </c>
      <c r="BG26" s="257">
        <v>2025</v>
      </c>
      <c r="BH26" s="2"/>
      <c r="BI26" s="2"/>
      <c r="BJ26" s="3"/>
      <c r="BK26" s="3"/>
      <c r="BL26" s="3"/>
      <c r="BM26" s="3"/>
      <c r="BN26" s="3"/>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row>
    <row x14ac:dyDescent="0.25" r="27" customHeight="1" ht="13.5">
      <c r="A27" s="2"/>
      <c r="B27" s="200"/>
      <c r="C27" s="2"/>
      <c r="D27" s="281" t="s">
        <v>471</v>
      </c>
      <c r="E27" s="124">
        <f>H27+K27+N27+Q27+T27</f>
      </c>
      <c r="F27" s="124">
        <f>I27+L27+O27+R27+U27</f>
      </c>
      <c r="G27" s="124">
        <f>J27+M27+P27+S27+V27</f>
      </c>
      <c r="H27" s="124">
        <f>H187</f>
      </c>
      <c r="I27" s="124">
        <f>I187</f>
      </c>
      <c r="J27" s="124">
        <f>J187</f>
      </c>
      <c r="K27" s="124">
        <f>K187</f>
      </c>
      <c r="L27" s="124">
        <f>L187</f>
      </c>
      <c r="M27" s="124">
        <f>M187</f>
      </c>
      <c r="N27" s="124">
        <f>N187</f>
      </c>
      <c r="O27" s="124">
        <f>O187</f>
      </c>
      <c r="P27" s="124">
        <f>P187</f>
      </c>
      <c r="Q27" s="124">
        <f>Q187</f>
      </c>
      <c r="R27" s="124">
        <f>R187</f>
      </c>
      <c r="S27" s="124">
        <f>S187</f>
      </c>
      <c r="T27" s="124">
        <f>T187</f>
      </c>
      <c r="U27" s="124">
        <f>U187</f>
      </c>
      <c r="V27" s="124">
        <f>V187</f>
      </c>
      <c r="W27" s="108"/>
      <c r="X27" s="282" t="s">
        <v>471</v>
      </c>
      <c r="Y27" s="124">
        <f>AB27+AE27+AH27+AK27+AN27</f>
      </c>
      <c r="Z27" s="124">
        <f>AC27+AF27+AI27+AL27+AO27</f>
      </c>
      <c r="AA27" s="124">
        <f>AD27+AG27+AJ27+AM27+AP27</f>
      </c>
      <c r="AB27" s="124">
        <f>AC187</f>
      </c>
      <c r="AC27" s="124">
        <f>AD187</f>
      </c>
      <c r="AD27" s="124">
        <f>AE187</f>
      </c>
      <c r="AE27" s="124">
        <f>AF187</f>
      </c>
      <c r="AF27" s="124">
        <f>AG187</f>
      </c>
      <c r="AG27" s="124">
        <f>AH187</f>
      </c>
      <c r="AH27" s="124">
        <f>AI187</f>
      </c>
      <c r="AI27" s="124">
        <f>AJ187</f>
      </c>
      <c r="AJ27" s="124">
        <f>AK187</f>
      </c>
      <c r="AK27" s="124">
        <f>AL187</f>
      </c>
      <c r="AL27" s="124">
        <f>AM187</f>
      </c>
      <c r="AM27" s="124">
        <f>AN187</f>
      </c>
      <c r="AN27" s="124">
        <f>AO187</f>
      </c>
      <c r="AO27" s="124">
        <f>AP187</f>
      </c>
      <c r="AP27" s="124">
        <f>AQ187</f>
      </c>
      <c r="AQ27" s="142"/>
      <c r="AR27" s="118" t="s">
        <v>471</v>
      </c>
      <c r="AS27" s="160">
        <f>AB27/$Y$27</f>
      </c>
      <c r="AT27" s="160">
        <f>AC27/$Z$27</f>
      </c>
      <c r="AU27" s="160">
        <f>AD27/$AA$27</f>
      </c>
      <c r="AV27" s="160">
        <f>AE27/$Y$27</f>
      </c>
      <c r="AW27" s="160">
        <f>AF27/$Z$27</f>
      </c>
      <c r="AX27" s="160">
        <f>AG27/$AA$27</f>
      </c>
      <c r="AY27" s="160">
        <f>AH27/$Y$27</f>
      </c>
      <c r="AZ27" s="160">
        <f>AI27/$Z$27</f>
      </c>
      <c r="BA27" s="160">
        <f>AJ27/$AA$27</f>
      </c>
      <c r="BB27" s="160">
        <f>AK27/$Y$27</f>
      </c>
      <c r="BC27" s="160">
        <f>AL27/$Z$27</f>
      </c>
      <c r="BD27" s="160">
        <f>AM27/$AA$27</f>
      </c>
      <c r="BE27" s="160">
        <f>AN27/$AA$27</f>
      </c>
      <c r="BF27" s="160">
        <f>AO27/$AA$27</f>
      </c>
      <c r="BG27" s="160">
        <f>AP27/$AA$27</f>
      </c>
      <c r="BH27" s="2"/>
      <c r="BI27" s="2"/>
      <c r="BJ27" s="120" t="s">
        <v>469</v>
      </c>
      <c r="BK27" s="140" t="s">
        <v>443</v>
      </c>
      <c r="BL27" s="140" t="s">
        <v>25</v>
      </c>
      <c r="BM27" s="140" t="s">
        <v>444</v>
      </c>
      <c r="BN27" s="140" t="s">
        <v>29</v>
      </c>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row>
    <row x14ac:dyDescent="0.25" r="28" customHeight="1" ht="13.5">
      <c r="A28" s="2"/>
      <c r="B28" s="200"/>
      <c r="C28" s="2"/>
      <c r="D28" s="283" t="s">
        <v>472</v>
      </c>
      <c r="E28" s="284">
        <f>H28+K28+N28+Q28+T28</f>
      </c>
      <c r="F28" s="284">
        <f>I28+L28+O28+R28+U28</f>
      </c>
      <c r="G28" s="284">
        <f>J28+M28+P28+S28+V28</f>
      </c>
      <c r="H28" s="284">
        <f>I267</f>
      </c>
      <c r="I28" s="284">
        <f>J267</f>
      </c>
      <c r="J28" s="284">
        <f>K267</f>
      </c>
      <c r="K28" s="284">
        <f>L267</f>
      </c>
      <c r="L28" s="284">
        <f>M267</f>
      </c>
      <c r="M28" s="284">
        <f>N267</f>
      </c>
      <c r="N28" s="284">
        <f>O267</f>
      </c>
      <c r="O28" s="284">
        <f>P267</f>
      </c>
      <c r="P28" s="284">
        <f>Q267</f>
      </c>
      <c r="Q28" s="284">
        <f>R267</f>
      </c>
      <c r="R28" s="284">
        <f>S267</f>
      </c>
      <c r="S28" s="284">
        <f>T267</f>
      </c>
      <c r="T28" s="284">
        <f>U267</f>
      </c>
      <c r="U28" s="284">
        <f>V267</f>
      </c>
      <c r="V28" s="284">
        <f>W267</f>
      </c>
      <c r="W28" s="108"/>
      <c r="X28" s="285" t="s">
        <v>472</v>
      </c>
      <c r="Y28" s="284">
        <f>AB28+AE28+AH28+AK28+AN28</f>
      </c>
      <c r="Z28" s="284">
        <f>AC28+AF28+AI28+AL28+AO28</f>
      </c>
      <c r="AA28" s="284">
        <f>AD28+AG28+AJ28+AM28+AP28</f>
      </c>
      <c r="AB28" s="284">
        <f>AC267</f>
      </c>
      <c r="AC28" s="284">
        <f>AD267</f>
      </c>
      <c r="AD28" s="284">
        <f>AE267</f>
      </c>
      <c r="AE28" s="284">
        <f>AF267</f>
      </c>
      <c r="AF28" s="284">
        <f>AG267</f>
      </c>
      <c r="AG28" s="284">
        <f>AH267</f>
      </c>
      <c r="AH28" s="284">
        <f>AI267</f>
      </c>
      <c r="AI28" s="284">
        <f>AJ267</f>
      </c>
      <c r="AJ28" s="284">
        <f>AK267</f>
      </c>
      <c r="AK28" s="284">
        <f>AL267</f>
      </c>
      <c r="AL28" s="284">
        <f>AM267</f>
      </c>
      <c r="AM28" s="284">
        <f>AN267</f>
      </c>
      <c r="AN28" s="284">
        <f>AO267</f>
      </c>
      <c r="AO28" s="284">
        <f>AP267</f>
      </c>
      <c r="AP28" s="284">
        <f>AQ267</f>
      </c>
      <c r="AQ28" s="142"/>
      <c r="AR28" s="287" t="s">
        <v>472</v>
      </c>
      <c r="AS28" s="288">
        <f>AB28/$Y$28</f>
      </c>
      <c r="AT28" s="288">
        <f>AC28/$Z$28</f>
      </c>
      <c r="AU28" s="288">
        <f>AD28/$AA$28</f>
      </c>
      <c r="AV28" s="288">
        <f>AE28/$Y$28</f>
      </c>
      <c r="AW28" s="288">
        <f>AF28/$Z$28</f>
      </c>
      <c r="AX28" s="288">
        <f>AG28/$AA$28</f>
      </c>
      <c r="AY28" s="288">
        <f>AH28/$Y$28</f>
      </c>
      <c r="AZ28" s="288">
        <f>AI28/$Z$28</f>
      </c>
      <c r="BA28" s="288">
        <f>AJ28/$AA$28</f>
      </c>
      <c r="BB28" s="288">
        <f>AK28/$Y$28</f>
      </c>
      <c r="BC28" s="288">
        <f>AL28/$Z$28</f>
      </c>
      <c r="BD28" s="288">
        <f>AM28/$AA$28</f>
      </c>
      <c r="BE28" s="288">
        <f>AN28/$AA$28</f>
      </c>
      <c r="BF28" s="288">
        <f>AO28/$AA$28</f>
      </c>
      <c r="BG28" s="288">
        <f>AP28/$AA$28</f>
      </c>
      <c r="BH28" s="2"/>
      <c r="BI28" s="2"/>
      <c r="BJ28" s="63">
        <f>AU29</f>
      </c>
      <c r="BK28" s="63">
        <f>AX29</f>
      </c>
      <c r="BL28" s="63">
        <f>BA29</f>
      </c>
      <c r="BM28" s="63">
        <f>BD29</f>
      </c>
      <c r="BN28" s="63">
        <f>BG29</f>
      </c>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row>
    <row x14ac:dyDescent="0.25" r="29" customHeight="1" ht="13.5">
      <c r="A29" s="2"/>
      <c r="B29" s="200"/>
      <c r="C29" s="2"/>
      <c r="D29" s="283" t="s">
        <v>336</v>
      </c>
      <c r="E29" s="284">
        <f>SUM(E27:E28)</f>
      </c>
      <c r="F29" s="284">
        <f>SUM(F27:F28)</f>
      </c>
      <c r="G29" s="284">
        <f>SUM(G27:G28)</f>
      </c>
      <c r="H29" s="284">
        <f>SUM(H27:H28)</f>
      </c>
      <c r="I29" s="284">
        <f>SUM(I27:I28)</f>
      </c>
      <c r="J29" s="284">
        <f>SUM(J27:J28)</f>
      </c>
      <c r="K29" s="284">
        <f>SUM(K27:K28)</f>
      </c>
      <c r="L29" s="284">
        <f>SUM(L27:L28)</f>
      </c>
      <c r="M29" s="284">
        <f>SUM(M27:M28)</f>
      </c>
      <c r="N29" s="284">
        <f>SUM(N27:N28)</f>
      </c>
      <c r="O29" s="284">
        <f>SUM(O27:O28)</f>
      </c>
      <c r="P29" s="284">
        <f>SUM(P27:P28)</f>
      </c>
      <c r="Q29" s="284">
        <f>SUM(Q27:Q28)</f>
      </c>
      <c r="R29" s="284">
        <f>SUM(R27:R28)</f>
      </c>
      <c r="S29" s="284">
        <f>SUM(S27:S28)</f>
      </c>
      <c r="T29" s="284">
        <f>SUM(T27:T28)</f>
      </c>
      <c r="U29" s="284">
        <f>SUM(U27:U28)</f>
      </c>
      <c r="V29" s="284">
        <f>SUM(V27:V28)</f>
      </c>
      <c r="W29" s="108"/>
      <c r="X29" s="285" t="s">
        <v>336</v>
      </c>
      <c r="Y29" s="284">
        <f>SUM(Y27:Y28)</f>
      </c>
      <c r="Z29" s="284">
        <f>SUM(Z27:Z28)</f>
      </c>
      <c r="AA29" s="284">
        <f>SUM(AA27:AA28)</f>
      </c>
      <c r="AB29" s="284">
        <f>SUM(AB27:AB28)</f>
      </c>
      <c r="AC29" s="284">
        <f>SUM(AC27:AC28)</f>
      </c>
      <c r="AD29" s="284">
        <f>SUM(AD27:AD28)</f>
      </c>
      <c r="AE29" s="284">
        <f>SUM(AE27:AE28)</f>
      </c>
      <c r="AF29" s="284">
        <f>SUM(AF27:AF28)</f>
      </c>
      <c r="AG29" s="284">
        <f>SUM(AG27:AG28)</f>
      </c>
      <c r="AH29" s="284">
        <f>SUM(AH27:AH28)</f>
      </c>
      <c r="AI29" s="284">
        <f>SUM(AI27:AI28)</f>
      </c>
      <c r="AJ29" s="284">
        <f>SUM(AJ27:AJ28)</f>
      </c>
      <c r="AK29" s="284">
        <f>SUM(AK27:AK28)</f>
      </c>
      <c r="AL29" s="284">
        <f>SUM(AL27:AL28)</f>
      </c>
      <c r="AM29" s="284">
        <f>SUM(AM27:AM28)</f>
      </c>
      <c r="AN29" s="284">
        <f>SUM(AN27:AN28)</f>
      </c>
      <c r="AO29" s="284">
        <f>SUM(AO27:AO28)</f>
      </c>
      <c r="AP29" s="284">
        <f>SUM(AP27:AP28)</f>
      </c>
      <c r="AQ29" s="142"/>
      <c r="AR29" s="287" t="s">
        <v>336</v>
      </c>
      <c r="AS29" s="288">
        <f>AB29/$Y$29</f>
      </c>
      <c r="AT29" s="288">
        <f>AC29/$Z$29</f>
      </c>
      <c r="AU29" s="288">
        <f>AD29/$AA$29</f>
      </c>
      <c r="AV29" s="288">
        <f>AE29/$Y$29</f>
      </c>
      <c r="AW29" s="288">
        <f>AF29/$Z$29</f>
      </c>
      <c r="AX29" s="288">
        <f>AG29/$AA$29</f>
      </c>
      <c r="AY29" s="288">
        <f>AH29/$Y$29</f>
      </c>
      <c r="AZ29" s="288">
        <f>AI29/$Z$29</f>
      </c>
      <c r="BA29" s="288">
        <f>AJ29/$AA$29</f>
      </c>
      <c r="BB29" s="288">
        <f>AK29/$Y$29</f>
      </c>
      <c r="BC29" s="288">
        <f>AL29/$Z$29</f>
      </c>
      <c r="BD29" s="288">
        <f>AM29/$AA$29</f>
      </c>
      <c r="BE29" s="288">
        <f>AN29/$AA$29</f>
      </c>
      <c r="BF29" s="288">
        <f>AO29/$AA$29</f>
      </c>
      <c r="BG29" s="288">
        <f>AP29/$AA$29</f>
      </c>
      <c r="BH29" s="2"/>
      <c r="BI29" s="2"/>
      <c r="BJ29" s="3"/>
      <c r="BK29" s="3"/>
      <c r="BL29" s="3"/>
      <c r="BM29" s="3"/>
      <c r="BN29" s="3"/>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row>
    <row x14ac:dyDescent="0.25" r="30" customHeight="1" ht="13.5">
      <c r="A30" s="2"/>
      <c r="B30" s="200"/>
      <c r="C30" s="2"/>
      <c r="D30" s="281" t="s">
        <v>473</v>
      </c>
      <c r="E30" s="289">
        <f>E29/ProjectedP205_Consumption!K62</f>
      </c>
      <c r="F30" s="289">
        <f>F29/ProjectedP205_Consumption!L62</f>
      </c>
      <c r="G30" s="289">
        <f>G29/ProjectedP205_Consumption!M62</f>
      </c>
      <c r="H30" s="108"/>
      <c r="I30" s="108"/>
      <c r="J30" s="108"/>
      <c r="K30" s="108"/>
      <c r="L30" s="108"/>
      <c r="M30" s="108"/>
      <c r="N30" s="108"/>
      <c r="O30" s="108"/>
      <c r="P30" s="108"/>
      <c r="Q30" s="108"/>
      <c r="R30" s="108"/>
      <c r="S30" s="108"/>
      <c r="T30" s="108"/>
      <c r="U30" s="108"/>
      <c r="V30" s="108"/>
      <c r="W30" s="108"/>
      <c r="X30" s="3"/>
      <c r="Y30" s="124">
        <f>Y29/ProjectedP205_Consumption!V201</f>
      </c>
      <c r="Z30" s="124">
        <f>Z29/ProjectedP205_Consumption!W201</f>
      </c>
      <c r="AA30" s="124">
        <f>AA29/ProjectedP205_Consumption!X201</f>
      </c>
      <c r="AB30" s="108"/>
      <c r="AC30" s="142"/>
      <c r="AD30" s="142"/>
      <c r="AE30" s="142"/>
      <c r="AF30" s="142"/>
      <c r="AG30" s="142"/>
      <c r="AH30" s="142"/>
      <c r="AI30" s="142"/>
      <c r="AJ30" s="142"/>
      <c r="AK30" s="142"/>
      <c r="AL30" s="142"/>
      <c r="AM30" s="142"/>
      <c r="AN30" s="142"/>
      <c r="AO30" s="142"/>
      <c r="AP30" s="142"/>
      <c r="AQ30" s="142"/>
      <c r="AR30" s="134"/>
      <c r="AS30" s="3"/>
      <c r="AT30" s="3"/>
      <c r="AU30" s="3"/>
      <c r="AV30" s="3"/>
      <c r="AW30" s="3"/>
      <c r="AX30" s="3"/>
      <c r="AY30" s="3"/>
      <c r="AZ30" s="3"/>
      <c r="BA30" s="3"/>
      <c r="BB30" s="3"/>
      <c r="BC30" s="3"/>
      <c r="BD30" s="3"/>
      <c r="BE30" s="3"/>
      <c r="BF30" s="3"/>
      <c r="BG30" s="3"/>
      <c r="BH30" s="2"/>
      <c r="BI30" s="2"/>
      <c r="BJ30" s="3"/>
      <c r="BK30" s="3"/>
      <c r="BL30" s="3"/>
      <c r="BM30" s="3"/>
      <c r="BN30" s="3"/>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row>
    <row x14ac:dyDescent="0.25" r="31" customHeight="1" ht="18.75">
      <c r="A31" s="2"/>
      <c r="B31" s="3"/>
      <c r="C31" s="2"/>
      <c r="D31" s="134"/>
      <c r="E31" s="142"/>
      <c r="F31" s="108"/>
      <c r="G31" s="108"/>
      <c r="H31" s="108"/>
      <c r="I31" s="108"/>
      <c r="J31" s="108"/>
      <c r="K31" s="108"/>
      <c r="L31" s="108"/>
      <c r="M31" s="108"/>
      <c r="N31" s="108"/>
      <c r="O31" s="108"/>
      <c r="P31" s="108"/>
      <c r="Q31" s="108"/>
      <c r="R31" s="108"/>
      <c r="S31" s="108"/>
      <c r="T31" s="108"/>
      <c r="U31" s="108"/>
      <c r="V31" s="108"/>
      <c r="W31" s="108"/>
      <c r="X31" s="3"/>
      <c r="Y31" s="3"/>
      <c r="Z31" s="108"/>
      <c r="AA31" s="108"/>
      <c r="AB31" s="108"/>
      <c r="AC31" s="142"/>
      <c r="AD31" s="142"/>
      <c r="AE31" s="142"/>
      <c r="AF31" s="142"/>
      <c r="AG31" s="142"/>
      <c r="AH31" s="142"/>
      <c r="AI31" s="142"/>
      <c r="AJ31" s="142"/>
      <c r="AK31" s="142"/>
      <c r="AL31" s="142"/>
      <c r="AM31" s="142"/>
      <c r="AN31" s="142"/>
      <c r="AO31" s="142"/>
      <c r="AP31" s="142"/>
      <c r="AQ31" s="142"/>
      <c r="AR31" s="134"/>
      <c r="AS31" s="3"/>
      <c r="AT31" s="3"/>
      <c r="AU31" s="3"/>
      <c r="AV31" s="3"/>
      <c r="AW31" s="3"/>
      <c r="AX31" s="3"/>
      <c r="AY31" s="3"/>
      <c r="AZ31" s="3"/>
      <c r="BA31" s="3"/>
      <c r="BB31" s="3"/>
      <c r="BC31" s="3"/>
      <c r="BD31" s="3"/>
      <c r="BE31" s="3"/>
      <c r="BF31" s="3"/>
      <c r="BG31" s="3"/>
      <c r="BH31" s="2"/>
      <c r="BI31" s="2"/>
      <c r="BJ31" s="3"/>
      <c r="BK31" s="3"/>
      <c r="BL31" s="3"/>
      <c r="BM31" s="3"/>
      <c r="BN31" s="3"/>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row>
    <row x14ac:dyDescent="0.25" r="32" customHeight="1" ht="13.5">
      <c r="A32" s="2"/>
      <c r="B32" s="3"/>
      <c r="C32" s="2"/>
      <c r="D32" s="240" t="s">
        <v>467</v>
      </c>
      <c r="E32" s="142"/>
      <c r="F32" s="108"/>
      <c r="G32" s="108"/>
      <c r="H32" s="108"/>
      <c r="I32" s="108"/>
      <c r="J32" s="108"/>
      <c r="K32" s="108"/>
      <c r="L32" s="108"/>
      <c r="M32" s="108"/>
      <c r="N32" s="108"/>
      <c r="O32" s="108"/>
      <c r="P32" s="108"/>
      <c r="Q32" s="108"/>
      <c r="R32" s="108"/>
      <c r="S32" s="108"/>
      <c r="T32" s="108"/>
      <c r="U32" s="108"/>
      <c r="V32" s="108"/>
      <c r="W32" s="108"/>
      <c r="X32" s="279" t="s">
        <v>467</v>
      </c>
      <c r="Y32" s="3"/>
      <c r="Z32" s="108"/>
      <c r="AA32" s="108"/>
      <c r="AB32" s="108"/>
      <c r="AC32" s="142"/>
      <c r="AD32" s="142"/>
      <c r="AE32" s="142"/>
      <c r="AF32" s="142"/>
      <c r="AG32" s="142"/>
      <c r="AH32" s="142"/>
      <c r="AI32" s="142"/>
      <c r="AJ32" s="142"/>
      <c r="AK32" s="142"/>
      <c r="AL32" s="142"/>
      <c r="AM32" s="142"/>
      <c r="AN32" s="142"/>
      <c r="AO32" s="142"/>
      <c r="AP32" s="142"/>
      <c r="AQ32" s="142"/>
      <c r="AR32" s="240" t="s">
        <v>467</v>
      </c>
      <c r="AS32" s="3"/>
      <c r="AT32" s="3"/>
      <c r="AU32" s="3"/>
      <c r="AV32" s="3"/>
      <c r="AW32" s="3"/>
      <c r="AX32" s="3"/>
      <c r="AY32" s="3"/>
      <c r="AZ32" s="3"/>
      <c r="BA32" s="3"/>
      <c r="BB32" s="3"/>
      <c r="BC32" s="3"/>
      <c r="BD32" s="3"/>
      <c r="BE32" s="3"/>
      <c r="BF32" s="3"/>
      <c r="BG32" s="3"/>
      <c r="BH32" s="2"/>
      <c r="BI32" s="2"/>
      <c r="BJ32" s="3"/>
      <c r="BK32" s="3"/>
      <c r="BL32" s="3"/>
      <c r="BM32" s="3"/>
      <c r="BN32" s="3"/>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row>
    <row x14ac:dyDescent="0.25" r="33" customHeight="1" ht="13.5">
      <c r="A33" s="2"/>
      <c r="B33" s="3"/>
      <c r="C33" s="2"/>
      <c r="D33" s="241" t="s">
        <v>468</v>
      </c>
      <c r="E33" s="212" t="s">
        <v>336</v>
      </c>
      <c r="F33" s="108"/>
      <c r="G33" s="108"/>
      <c r="H33" s="212" t="s">
        <v>469</v>
      </c>
      <c r="I33" s="108"/>
      <c r="J33" s="108"/>
      <c r="K33" s="212" t="s">
        <v>443</v>
      </c>
      <c r="L33" s="108"/>
      <c r="M33" s="108"/>
      <c r="N33" s="212" t="s">
        <v>25</v>
      </c>
      <c r="O33" s="108"/>
      <c r="P33" s="108"/>
      <c r="Q33" s="212" t="s">
        <v>444</v>
      </c>
      <c r="R33" s="108"/>
      <c r="S33" s="108"/>
      <c r="T33" s="140" t="s">
        <v>29</v>
      </c>
      <c r="U33" s="108"/>
      <c r="V33" s="108"/>
      <c r="W33" s="108"/>
      <c r="X33" s="242" t="s">
        <v>470</v>
      </c>
      <c r="Y33" s="212" t="s">
        <v>336</v>
      </c>
      <c r="Z33" s="108"/>
      <c r="AA33" s="108"/>
      <c r="AB33" s="212" t="s">
        <v>469</v>
      </c>
      <c r="AC33" s="142"/>
      <c r="AD33" s="142"/>
      <c r="AE33" s="212" t="s">
        <v>443</v>
      </c>
      <c r="AF33" s="142"/>
      <c r="AG33" s="142"/>
      <c r="AH33" s="212" t="s">
        <v>25</v>
      </c>
      <c r="AI33" s="142"/>
      <c r="AJ33" s="142"/>
      <c r="AK33" s="212" t="s">
        <v>444</v>
      </c>
      <c r="AL33" s="142"/>
      <c r="AM33" s="142"/>
      <c r="AN33" s="212" t="s">
        <v>29</v>
      </c>
      <c r="AO33" s="142"/>
      <c r="AP33" s="142"/>
      <c r="AQ33" s="142"/>
      <c r="AR33" s="241" t="s">
        <v>470</v>
      </c>
      <c r="AS33" s="212" t="s">
        <v>469</v>
      </c>
      <c r="AT33" s="3"/>
      <c r="AU33" s="3"/>
      <c r="AV33" s="212" t="s">
        <v>443</v>
      </c>
      <c r="AW33" s="3"/>
      <c r="AX33" s="3"/>
      <c r="AY33" s="212" t="s">
        <v>25</v>
      </c>
      <c r="AZ33" s="3"/>
      <c r="BA33" s="3"/>
      <c r="BB33" s="212" t="s">
        <v>444</v>
      </c>
      <c r="BC33" s="3"/>
      <c r="BD33" s="3"/>
      <c r="BE33" s="212" t="s">
        <v>29</v>
      </c>
      <c r="BF33" s="3"/>
      <c r="BG33" s="3"/>
      <c r="BH33" s="2"/>
      <c r="BI33" s="2"/>
      <c r="BJ33" s="124">
        <v>2025</v>
      </c>
      <c r="BK33" s="3"/>
      <c r="BL33" s="3"/>
      <c r="BM33" s="3"/>
      <c r="BN33" s="3"/>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row>
    <row x14ac:dyDescent="0.25" r="34" customHeight="1" ht="13.5">
      <c r="A34" s="2"/>
      <c r="B34" s="3"/>
      <c r="C34" s="2"/>
      <c r="D34" s="246" t="s">
        <v>445</v>
      </c>
      <c r="E34" s="257">
        <v>2023</v>
      </c>
      <c r="F34" s="257">
        <v>2024</v>
      </c>
      <c r="G34" s="257">
        <v>2025</v>
      </c>
      <c r="H34" s="257">
        <v>2023</v>
      </c>
      <c r="I34" s="257">
        <v>2024</v>
      </c>
      <c r="J34" s="257">
        <v>2025</v>
      </c>
      <c r="K34" s="257">
        <v>2023</v>
      </c>
      <c r="L34" s="257">
        <v>2024</v>
      </c>
      <c r="M34" s="257">
        <v>2025</v>
      </c>
      <c r="N34" s="257">
        <v>2023</v>
      </c>
      <c r="O34" s="257">
        <v>2024</v>
      </c>
      <c r="P34" s="257">
        <v>2025</v>
      </c>
      <c r="Q34" s="257">
        <v>2023</v>
      </c>
      <c r="R34" s="257">
        <v>2024</v>
      </c>
      <c r="S34" s="257">
        <v>2025</v>
      </c>
      <c r="T34" s="257">
        <v>2023</v>
      </c>
      <c r="U34" s="257">
        <v>2024</v>
      </c>
      <c r="V34" s="257">
        <v>2025</v>
      </c>
      <c r="W34" s="108"/>
      <c r="X34" s="280" t="s">
        <v>445</v>
      </c>
      <c r="Y34" s="257">
        <v>2023</v>
      </c>
      <c r="Z34" s="257">
        <v>2024</v>
      </c>
      <c r="AA34" s="257">
        <v>2025</v>
      </c>
      <c r="AB34" s="257">
        <v>2023</v>
      </c>
      <c r="AC34" s="257">
        <v>2024</v>
      </c>
      <c r="AD34" s="257">
        <v>2025</v>
      </c>
      <c r="AE34" s="257">
        <v>2023</v>
      </c>
      <c r="AF34" s="257">
        <v>2024</v>
      </c>
      <c r="AG34" s="257">
        <v>2025</v>
      </c>
      <c r="AH34" s="257">
        <v>2023</v>
      </c>
      <c r="AI34" s="257">
        <v>2024</v>
      </c>
      <c r="AJ34" s="257">
        <v>2025</v>
      </c>
      <c r="AK34" s="257">
        <v>2023</v>
      </c>
      <c r="AL34" s="257">
        <v>2024</v>
      </c>
      <c r="AM34" s="257">
        <v>2025</v>
      </c>
      <c r="AN34" s="257">
        <v>2023</v>
      </c>
      <c r="AO34" s="257">
        <v>2024</v>
      </c>
      <c r="AP34" s="257">
        <v>2025</v>
      </c>
      <c r="AQ34" s="142"/>
      <c r="AR34" s="246" t="s">
        <v>445</v>
      </c>
      <c r="AS34" s="257">
        <v>2023</v>
      </c>
      <c r="AT34" s="257">
        <v>2024</v>
      </c>
      <c r="AU34" s="257">
        <v>2025</v>
      </c>
      <c r="AV34" s="257">
        <v>2023</v>
      </c>
      <c r="AW34" s="257">
        <v>2024</v>
      </c>
      <c r="AX34" s="257">
        <v>2025</v>
      </c>
      <c r="AY34" s="257">
        <v>2023</v>
      </c>
      <c r="AZ34" s="257">
        <v>2024</v>
      </c>
      <c r="BA34" s="257">
        <v>2025</v>
      </c>
      <c r="BB34" s="257">
        <v>2023</v>
      </c>
      <c r="BC34" s="257">
        <v>2024</v>
      </c>
      <c r="BD34" s="257">
        <v>2025</v>
      </c>
      <c r="BE34" s="257">
        <v>2023</v>
      </c>
      <c r="BF34" s="257">
        <v>2024</v>
      </c>
      <c r="BG34" s="257">
        <v>2025</v>
      </c>
      <c r="BH34" s="2"/>
      <c r="BI34" s="2"/>
      <c r="BJ34" s="120" t="s">
        <v>469</v>
      </c>
      <c r="BK34" s="140" t="s">
        <v>443</v>
      </c>
      <c r="BL34" s="140" t="s">
        <v>25</v>
      </c>
      <c r="BM34" s="140" t="s">
        <v>444</v>
      </c>
      <c r="BN34" s="140" t="s">
        <v>29</v>
      </c>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row>
    <row x14ac:dyDescent="0.25" r="35" customHeight="1" ht="13.5">
      <c r="A35" s="2"/>
      <c r="B35" s="3"/>
      <c r="C35" s="2"/>
      <c r="D35" s="292">
        <f>D113</f>
      </c>
      <c r="E35" s="293">
        <f>H35+K35+N35+Q35+T35</f>
      </c>
      <c r="F35" s="293">
        <f>I35+L35+O35+R35+U35</f>
      </c>
      <c r="G35" s="293">
        <f>J35+M35+P35+S35+V35</f>
      </c>
      <c r="H35" s="293">
        <f>H139+I220</f>
      </c>
      <c r="I35" s="293">
        <f>I139+J220</f>
      </c>
      <c r="J35" s="293">
        <f>J139+K220</f>
      </c>
      <c r="K35" s="293">
        <f>K139+L220</f>
      </c>
      <c r="L35" s="293">
        <f>L139+M220</f>
      </c>
      <c r="M35" s="293">
        <f>M139+N220</f>
      </c>
      <c r="N35" s="293">
        <f>N139+O220</f>
      </c>
      <c r="O35" s="293">
        <f>O139+P220</f>
      </c>
      <c r="P35" s="293">
        <f>P139+Q220</f>
      </c>
      <c r="Q35" s="293">
        <f>Q139+R220</f>
      </c>
      <c r="R35" s="293">
        <f>R139+S220</f>
      </c>
      <c r="S35" s="293">
        <f>S139+T220</f>
      </c>
      <c r="T35" s="293">
        <f>T139+U220</f>
      </c>
      <c r="U35" s="293">
        <f>U139+V220</f>
      </c>
      <c r="V35" s="293">
        <f>V139+W220</f>
      </c>
      <c r="W35" s="108"/>
      <c r="X35" s="140" t="s">
        <v>179</v>
      </c>
      <c r="Y35" s="124">
        <f>AB35+AE35+AH35+AK35+AN35</f>
      </c>
      <c r="Z35" s="124">
        <f>AC35+AF35+AI35+AL35+AO35</f>
      </c>
      <c r="AA35" s="124">
        <f>AD35+AG35+AJ35+AM35+AP35</f>
      </c>
      <c r="AB35" s="293">
        <f>H35/$E$10</f>
      </c>
      <c r="AC35" s="293">
        <f>I35/$E$10</f>
      </c>
      <c r="AD35" s="293">
        <f>J35/$E$10</f>
      </c>
      <c r="AE35" s="293">
        <f>K35/$E$10</f>
      </c>
      <c r="AF35" s="293">
        <f>L35/$E$10</f>
      </c>
      <c r="AG35" s="293">
        <f>M35/$E$10</f>
      </c>
      <c r="AH35" s="293">
        <f>N35/$E$10</f>
      </c>
      <c r="AI35" s="293">
        <f>O35/$E$10</f>
      </c>
      <c r="AJ35" s="293">
        <f>P35/$E$10</f>
      </c>
      <c r="AK35" s="293">
        <f>Q35/$E$13</f>
      </c>
      <c r="AL35" s="293">
        <f>R35/$E$13</f>
      </c>
      <c r="AM35" s="293">
        <f>S35/$E$13</f>
      </c>
      <c r="AN35" s="293">
        <f>T35/$E$14</f>
      </c>
      <c r="AO35" s="293">
        <f>U35/$E$14</f>
      </c>
      <c r="AP35" s="293">
        <f>V35/$E$14</f>
      </c>
      <c r="AQ35" s="142"/>
      <c r="AR35" s="123" t="s">
        <v>179</v>
      </c>
      <c r="AS35" s="63">
        <f>AB35/Y35</f>
      </c>
      <c r="AT35" s="63">
        <f>AC35/Z35</f>
      </c>
      <c r="AU35" s="63">
        <f>AD35/AA35</f>
      </c>
      <c r="AV35" s="63">
        <f>AE35/Y35</f>
      </c>
      <c r="AW35" s="63">
        <f>AF35/Z35</f>
      </c>
      <c r="AX35" s="63">
        <f>AG35/AA35</f>
      </c>
      <c r="AY35" s="63">
        <f>AH35/Y35</f>
      </c>
      <c r="AZ35" s="63">
        <f>AI35/Z35</f>
      </c>
      <c r="BA35" s="63">
        <f>AJ35/AA35</f>
      </c>
      <c r="BB35" s="63">
        <f>AK35/Y35</f>
      </c>
      <c r="BC35" s="63">
        <f>AL35/Z35</f>
      </c>
      <c r="BD35" s="63">
        <f>AM35/AA35</f>
      </c>
      <c r="BE35" s="63">
        <f>AN35/Y35</f>
      </c>
      <c r="BF35" s="63">
        <f>AO35/Z35</f>
      </c>
      <c r="BG35" s="63">
        <f>AP35/AA35</f>
      </c>
      <c r="BH35" s="2"/>
      <c r="BI35" s="2"/>
      <c r="BJ35" s="63">
        <f>AU35</f>
      </c>
      <c r="BK35" s="63">
        <f>AX35</f>
      </c>
      <c r="BL35" s="63">
        <f>BA35</f>
      </c>
      <c r="BM35" s="63">
        <f>BD35</f>
      </c>
      <c r="BN35" s="63">
        <f>BG35</f>
      </c>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row>
    <row x14ac:dyDescent="0.25" r="36" customHeight="1" ht="13.5">
      <c r="A36" s="2"/>
      <c r="B36" s="3"/>
      <c r="C36" s="2"/>
      <c r="D36" s="292">
        <f>D114</f>
      </c>
      <c r="E36" s="293">
        <f>H36+K36+N36+Q36+T36</f>
      </c>
      <c r="F36" s="293">
        <f>I36+L36+O36+R36+U36</f>
      </c>
      <c r="G36" s="293">
        <f>J36+M36+P36+S36+V36</f>
      </c>
      <c r="H36" s="293">
        <f>H140+I221</f>
      </c>
      <c r="I36" s="293">
        <f>I140+J221</f>
      </c>
      <c r="J36" s="293">
        <f>J140+K221</f>
      </c>
      <c r="K36" s="293">
        <f>K140+L221</f>
      </c>
      <c r="L36" s="293">
        <f>L140+M221</f>
      </c>
      <c r="M36" s="293">
        <f>M140+N221</f>
      </c>
      <c r="N36" s="293">
        <f>N140+O221</f>
      </c>
      <c r="O36" s="293">
        <f>O140+P221</f>
      </c>
      <c r="P36" s="293">
        <f>P140+Q221</f>
      </c>
      <c r="Q36" s="293">
        <f>Q140+R221</f>
      </c>
      <c r="R36" s="293">
        <f>R140+S221</f>
      </c>
      <c r="S36" s="293">
        <f>S140+T221</f>
      </c>
      <c r="T36" s="293">
        <f>T140+U221</f>
      </c>
      <c r="U36" s="293">
        <f>U140+V221</f>
      </c>
      <c r="V36" s="293">
        <f>V140+W221</f>
      </c>
      <c r="W36" s="108"/>
      <c r="X36" s="140" t="s">
        <v>231</v>
      </c>
      <c r="Y36" s="124">
        <f>AB36+AE36+AH36+AK36+AN36</f>
      </c>
      <c r="Z36" s="124">
        <f>AC36+AF36+AI36+AL36+AO36</f>
      </c>
      <c r="AA36" s="124">
        <f>AD36+AG36+AJ36+AM36+AP36</f>
      </c>
      <c r="AB36" s="293">
        <f>H36/$E$10</f>
      </c>
      <c r="AC36" s="293">
        <f>I36/$E$10</f>
      </c>
      <c r="AD36" s="293">
        <f>J36/$E$10</f>
      </c>
      <c r="AE36" s="293">
        <f>K36/$E$10</f>
      </c>
      <c r="AF36" s="293">
        <f>L36/$E$10</f>
      </c>
      <c r="AG36" s="293">
        <f>M36/$E$10</f>
      </c>
      <c r="AH36" s="293">
        <f>N36/$E$10</f>
      </c>
      <c r="AI36" s="293">
        <f>O36/$E$10</f>
      </c>
      <c r="AJ36" s="293">
        <f>P36/$E$10</f>
      </c>
      <c r="AK36" s="293">
        <f>Q36/$E$13</f>
      </c>
      <c r="AL36" s="293">
        <f>R36/$E$13</f>
      </c>
      <c r="AM36" s="293">
        <f>S36/$E$13</f>
      </c>
      <c r="AN36" s="293">
        <f>T36/$E$14</f>
      </c>
      <c r="AO36" s="293">
        <f>U36/$E$14</f>
      </c>
      <c r="AP36" s="293">
        <f>V36/$E$14</f>
      </c>
      <c r="AQ36" s="142"/>
      <c r="AR36" s="123" t="s">
        <v>231</v>
      </c>
      <c r="AS36" s="63">
        <f>AB36/Y36</f>
      </c>
      <c r="AT36" s="63">
        <f>AC36/Z36</f>
      </c>
      <c r="AU36" s="63">
        <f>AD36/AA36</f>
      </c>
      <c r="AV36" s="63">
        <f>AE36/Y36</f>
      </c>
      <c r="AW36" s="63">
        <f>AF36/Z36</f>
      </c>
      <c r="AX36" s="63">
        <f>AG36/AA36</f>
      </c>
      <c r="AY36" s="63">
        <f>AH36/Y36</f>
      </c>
      <c r="AZ36" s="63">
        <f>AI36/Z36</f>
      </c>
      <c r="BA36" s="63">
        <f>AJ36/AA36</f>
      </c>
      <c r="BB36" s="63">
        <f>AK36/Y36</f>
      </c>
      <c r="BC36" s="63">
        <f>AL36/Z36</f>
      </c>
      <c r="BD36" s="63">
        <f>AM36/AA36</f>
      </c>
      <c r="BE36" s="63">
        <f>AN36/Y36</f>
      </c>
      <c r="BF36" s="63">
        <f>AO36/Z36</f>
      </c>
      <c r="BG36" s="63">
        <f>AP36/AA36</f>
      </c>
      <c r="BH36" s="2"/>
      <c r="BI36" s="2"/>
      <c r="BJ36" s="63">
        <f>AU36</f>
      </c>
      <c r="BK36" s="63">
        <f>AX36</f>
      </c>
      <c r="BL36" s="63">
        <f>BA36</f>
      </c>
      <c r="BM36" s="63">
        <f>BD36</f>
      </c>
      <c r="BN36" s="63">
        <f>BG36</f>
      </c>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row>
    <row x14ac:dyDescent="0.25" r="37" customHeight="1" ht="13.5">
      <c r="A37" s="2"/>
      <c r="B37" s="3"/>
      <c r="C37" s="2"/>
      <c r="D37" s="292">
        <f>D115</f>
      </c>
      <c r="E37" s="293">
        <f>H37+K37+N37+Q37+T37</f>
      </c>
      <c r="F37" s="293">
        <f>I37+L37+O37+R37+U37</f>
      </c>
      <c r="G37" s="293">
        <f>J37+M37+P37+S37+V37</f>
      </c>
      <c r="H37" s="293">
        <f>H141+I222</f>
      </c>
      <c r="I37" s="293">
        <f>I141+J222</f>
      </c>
      <c r="J37" s="293">
        <f>J141+K222</f>
      </c>
      <c r="K37" s="293">
        <f>K141+L222</f>
      </c>
      <c r="L37" s="293">
        <f>L141+M222</f>
      </c>
      <c r="M37" s="293">
        <f>M141+N222</f>
      </c>
      <c r="N37" s="293">
        <f>N141+O222</f>
      </c>
      <c r="O37" s="293">
        <f>O141+P222</f>
      </c>
      <c r="P37" s="293">
        <f>P141+Q222</f>
      </c>
      <c r="Q37" s="293">
        <f>Q141+R222</f>
      </c>
      <c r="R37" s="293">
        <f>R141+S222</f>
      </c>
      <c r="S37" s="293">
        <f>S141+T222</f>
      </c>
      <c r="T37" s="293">
        <f>T141+U222</f>
      </c>
      <c r="U37" s="293">
        <f>U141+V222</f>
      </c>
      <c r="V37" s="293">
        <f>V141+W222</f>
      </c>
      <c r="W37" s="108"/>
      <c r="X37" s="140" t="s">
        <v>141</v>
      </c>
      <c r="Y37" s="124">
        <f>AB37+AE37+AH37+AK37+AN37</f>
      </c>
      <c r="Z37" s="124">
        <f>AC37+AF37+AI37+AL37+AO37</f>
      </c>
      <c r="AA37" s="124">
        <f>AD37+AG37+AJ37+AM37+AP37</f>
      </c>
      <c r="AB37" s="293">
        <f>H37/$E$10</f>
      </c>
      <c r="AC37" s="293">
        <f>I37/$E$10</f>
      </c>
      <c r="AD37" s="293">
        <f>J37/$E$10</f>
      </c>
      <c r="AE37" s="293">
        <f>K37/$E$10</f>
      </c>
      <c r="AF37" s="293">
        <f>L37/$E$10</f>
      </c>
      <c r="AG37" s="293">
        <f>M37/$E$10</f>
      </c>
      <c r="AH37" s="293">
        <f>N37/$E$10</f>
      </c>
      <c r="AI37" s="293">
        <f>O37/$E$10</f>
      </c>
      <c r="AJ37" s="293">
        <f>P37/$E$10</f>
      </c>
      <c r="AK37" s="293">
        <f>Q37/$E$13</f>
      </c>
      <c r="AL37" s="293">
        <f>R37/$E$13</f>
      </c>
      <c r="AM37" s="293">
        <f>S37/$E$13</f>
      </c>
      <c r="AN37" s="293">
        <f>T37/$E$14</f>
      </c>
      <c r="AO37" s="293">
        <f>U37/$E$14</f>
      </c>
      <c r="AP37" s="293">
        <f>V37/$E$14</f>
      </c>
      <c r="AQ37" s="142"/>
      <c r="AR37" s="123" t="s">
        <v>141</v>
      </c>
      <c r="AS37" s="63">
        <f>AB37/Y37</f>
      </c>
      <c r="AT37" s="63">
        <f>AC37/Z37</f>
      </c>
      <c r="AU37" s="63">
        <f>AD37/AA37</f>
      </c>
      <c r="AV37" s="63">
        <f>AE37/Y37</f>
      </c>
      <c r="AW37" s="63">
        <f>AF37/Z37</f>
      </c>
      <c r="AX37" s="63">
        <f>AG37/AA37</f>
      </c>
      <c r="AY37" s="63">
        <f>AH37/Y37</f>
      </c>
      <c r="AZ37" s="63">
        <f>AI37/Z37</f>
      </c>
      <c r="BA37" s="63">
        <f>AJ37/AA37</f>
      </c>
      <c r="BB37" s="63">
        <f>AK37/Y37</f>
      </c>
      <c r="BC37" s="63">
        <f>AL37/Z37</f>
      </c>
      <c r="BD37" s="63">
        <f>AM37/AA37</f>
      </c>
      <c r="BE37" s="63">
        <f>AN37/Y37</f>
      </c>
      <c r="BF37" s="63">
        <f>AO37/Z37</f>
      </c>
      <c r="BG37" s="63">
        <f>AP37/AA37</f>
      </c>
      <c r="BH37" s="2"/>
      <c r="BI37" s="2"/>
      <c r="BJ37" s="63">
        <f>AU37</f>
      </c>
      <c r="BK37" s="63">
        <f>AX37</f>
      </c>
      <c r="BL37" s="63">
        <f>BA37</f>
      </c>
      <c r="BM37" s="63">
        <f>BD37</f>
      </c>
      <c r="BN37" s="63">
        <f>BG37</f>
      </c>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row>
    <row x14ac:dyDescent="0.25" r="38" customHeight="1" ht="13.5">
      <c r="A38" s="2"/>
      <c r="B38" s="3"/>
      <c r="C38" s="2"/>
      <c r="D38" s="292">
        <f>D116</f>
      </c>
      <c r="E38" s="293">
        <f>H38+K38+N38+Q38+T38</f>
      </c>
      <c r="F38" s="293">
        <f>I38+L38+O38+R38+U38</f>
      </c>
      <c r="G38" s="293">
        <f>J38+M38+P38+S38+V38</f>
      </c>
      <c r="H38" s="293">
        <f>H142+I223</f>
      </c>
      <c r="I38" s="293">
        <f>I142+J223</f>
      </c>
      <c r="J38" s="293">
        <f>J142+K223</f>
      </c>
      <c r="K38" s="293">
        <f>K142+L223</f>
      </c>
      <c r="L38" s="293">
        <f>L142+M223</f>
      </c>
      <c r="M38" s="293">
        <f>M142+N223</f>
      </c>
      <c r="N38" s="293">
        <f>N142+O223</f>
      </c>
      <c r="O38" s="293">
        <f>O142+P223</f>
      </c>
      <c r="P38" s="293">
        <f>P142+Q223</f>
      </c>
      <c r="Q38" s="293">
        <f>Q142+R223</f>
      </c>
      <c r="R38" s="293">
        <f>R142+S223</f>
      </c>
      <c r="S38" s="293">
        <f>S142+T223</f>
      </c>
      <c r="T38" s="293">
        <f>T142+U223</f>
      </c>
      <c r="U38" s="293">
        <f>U142+V223</f>
      </c>
      <c r="V38" s="293">
        <f>V142+W223</f>
      </c>
      <c r="W38" s="108"/>
      <c r="X38" s="140" t="s">
        <v>247</v>
      </c>
      <c r="Y38" s="124">
        <f>AB38+AE38+AH38+AK38+AN38</f>
      </c>
      <c r="Z38" s="124">
        <f>AC38+AF38+AI38+AL38+AO38</f>
      </c>
      <c r="AA38" s="124">
        <f>AD38+AG38+AJ38+AM38+AP38</f>
      </c>
      <c r="AB38" s="293">
        <f>H38/$E$10</f>
      </c>
      <c r="AC38" s="293">
        <f>I38/$E$10</f>
      </c>
      <c r="AD38" s="293">
        <f>J38/$E$10</f>
      </c>
      <c r="AE38" s="293">
        <f>K38/$E$10</f>
      </c>
      <c r="AF38" s="293">
        <f>L38/$E$10</f>
      </c>
      <c r="AG38" s="293">
        <f>M38/$E$10</f>
      </c>
      <c r="AH38" s="293">
        <f>N38/$E$10</f>
      </c>
      <c r="AI38" s="293">
        <f>O38/$E$10</f>
      </c>
      <c r="AJ38" s="293">
        <f>P38/$E$10</f>
      </c>
      <c r="AK38" s="293">
        <f>Q38/$E$13</f>
      </c>
      <c r="AL38" s="293">
        <f>R38/$E$13</f>
      </c>
      <c r="AM38" s="293">
        <f>S38/$E$13</f>
      </c>
      <c r="AN38" s="293">
        <f>T38/$E$14</f>
      </c>
      <c r="AO38" s="293">
        <f>U38/$E$14</f>
      </c>
      <c r="AP38" s="293">
        <f>V38/$E$14</f>
      </c>
      <c r="AQ38" s="142"/>
      <c r="AR38" s="123" t="s">
        <v>247</v>
      </c>
      <c r="AS38" s="63">
        <f>AB38/Y38</f>
      </c>
      <c r="AT38" s="63">
        <f>AC38/Z38</f>
      </c>
      <c r="AU38" s="63">
        <f>AD38/AA38</f>
      </c>
      <c r="AV38" s="63">
        <f>AE38/Y38</f>
      </c>
      <c r="AW38" s="63">
        <f>AF38/Z38</f>
      </c>
      <c r="AX38" s="63">
        <f>AG38/AA38</f>
      </c>
      <c r="AY38" s="63">
        <f>AH38/Y38</f>
      </c>
      <c r="AZ38" s="63">
        <f>AI38/Z38</f>
      </c>
      <c r="BA38" s="63">
        <f>AJ38/AA38</f>
      </c>
      <c r="BB38" s="63">
        <f>AK38/Y38</f>
      </c>
      <c r="BC38" s="63">
        <f>AL38/Z38</f>
      </c>
      <c r="BD38" s="63">
        <f>AM38/AA38</f>
      </c>
      <c r="BE38" s="63">
        <f>AN38/Y38</f>
      </c>
      <c r="BF38" s="63">
        <f>AO38/Z38</f>
      </c>
      <c r="BG38" s="63">
        <f>AP38/AA38</f>
      </c>
      <c r="BH38" s="2"/>
      <c r="BI38" s="2"/>
      <c r="BJ38" s="63">
        <f>AU38</f>
      </c>
      <c r="BK38" s="63">
        <f>AX38</f>
      </c>
      <c r="BL38" s="63">
        <f>BA38</f>
      </c>
      <c r="BM38" s="63">
        <f>BD38</f>
      </c>
      <c r="BN38" s="63">
        <f>BG38</f>
      </c>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row>
    <row x14ac:dyDescent="0.25" r="39" customHeight="1" ht="13.5">
      <c r="A39" s="2"/>
      <c r="B39" s="3"/>
      <c r="C39" s="2"/>
      <c r="D39" s="292">
        <f>D117</f>
      </c>
      <c r="E39" s="293">
        <f>H39+K39+N39+Q39+T39</f>
      </c>
      <c r="F39" s="293">
        <f>I39+L39+O39+R39+U39</f>
      </c>
      <c r="G39" s="293">
        <f>J39+M39+P39+S39+V39</f>
      </c>
      <c r="H39" s="293">
        <f>H143+I224</f>
      </c>
      <c r="I39" s="293">
        <f>I143+J224</f>
      </c>
      <c r="J39" s="293">
        <f>J143+K224</f>
      </c>
      <c r="K39" s="293">
        <f>K143+L224</f>
      </c>
      <c r="L39" s="293">
        <f>L143+M224</f>
      </c>
      <c r="M39" s="293">
        <f>M143+N224</f>
      </c>
      <c r="N39" s="293">
        <f>N143+O224</f>
      </c>
      <c r="O39" s="293">
        <f>O143+P224</f>
      </c>
      <c r="P39" s="293">
        <f>P143+Q224</f>
      </c>
      <c r="Q39" s="293">
        <f>Q143+R224</f>
      </c>
      <c r="R39" s="293">
        <f>R143+S224</f>
      </c>
      <c r="S39" s="293">
        <f>S143+T224</f>
      </c>
      <c r="T39" s="293">
        <f>T143+U224</f>
      </c>
      <c r="U39" s="293">
        <f>U143+V224</f>
      </c>
      <c r="V39" s="293">
        <f>V143+W224</f>
      </c>
      <c r="W39" s="108"/>
      <c r="X39" s="140" t="s">
        <v>175</v>
      </c>
      <c r="Y39" s="124">
        <f>AB39+AE39+AH39+AK39+AN39</f>
      </c>
      <c r="Z39" s="124">
        <f>AC39+AF39+AI39+AL39+AO39</f>
      </c>
      <c r="AA39" s="124">
        <f>AD39+AG39+AJ39+AM39+AP39</f>
      </c>
      <c r="AB39" s="293">
        <f>H39/$E$10</f>
      </c>
      <c r="AC39" s="293">
        <f>I39/$E$10</f>
      </c>
      <c r="AD39" s="293">
        <f>J39/$E$10</f>
      </c>
      <c r="AE39" s="293">
        <f>K39/$E$10</f>
      </c>
      <c r="AF39" s="293">
        <f>L39/$E$10</f>
      </c>
      <c r="AG39" s="293">
        <f>M39/$E$10</f>
      </c>
      <c r="AH39" s="293">
        <f>N39/$E$10</f>
      </c>
      <c r="AI39" s="293">
        <f>O39/$E$10</f>
      </c>
      <c r="AJ39" s="293">
        <f>P39/$E$10</f>
      </c>
      <c r="AK39" s="293">
        <f>Q39/$E$13</f>
      </c>
      <c r="AL39" s="293">
        <f>R39/$E$13</f>
      </c>
      <c r="AM39" s="293">
        <f>S39/$E$13</f>
      </c>
      <c r="AN39" s="293">
        <f>T39/$E$14</f>
      </c>
      <c r="AO39" s="293">
        <f>U39/$E$14</f>
      </c>
      <c r="AP39" s="293">
        <f>V39/$E$14</f>
      </c>
      <c r="AQ39" s="142"/>
      <c r="AR39" s="123" t="s">
        <v>175</v>
      </c>
      <c r="AS39" s="63">
        <f>AB39/Y39</f>
      </c>
      <c r="AT39" s="63">
        <f>AC39/Z39</f>
      </c>
      <c r="AU39" s="63">
        <f>AD39/AA39</f>
      </c>
      <c r="AV39" s="63">
        <f>AE39/Y39</f>
      </c>
      <c r="AW39" s="63">
        <f>AF39/Z39</f>
      </c>
      <c r="AX39" s="63">
        <f>AG39/AA39</f>
      </c>
      <c r="AY39" s="63">
        <f>AH39/Y39</f>
      </c>
      <c r="AZ39" s="63">
        <f>AI39/Z39</f>
      </c>
      <c r="BA39" s="63">
        <f>AJ39/AA39</f>
      </c>
      <c r="BB39" s="63">
        <f>AK39/Y39</f>
      </c>
      <c r="BC39" s="63">
        <f>AL39/Z39</f>
      </c>
      <c r="BD39" s="63">
        <f>AM39/AA39</f>
      </c>
      <c r="BE39" s="63">
        <f>AN39/Y39</f>
      </c>
      <c r="BF39" s="63">
        <f>AO39/Z39</f>
      </c>
      <c r="BG39" s="63">
        <f>AP39/AA39</f>
      </c>
      <c r="BH39" s="2"/>
      <c r="BI39" s="2"/>
      <c r="BJ39" s="63">
        <f>AU39</f>
      </c>
      <c r="BK39" s="63">
        <f>AX39</f>
      </c>
      <c r="BL39" s="63">
        <f>BA39</f>
      </c>
      <c r="BM39" s="63">
        <f>BD39</f>
      </c>
      <c r="BN39" s="63">
        <f>BG39</f>
      </c>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row>
    <row x14ac:dyDescent="0.25" r="40" customHeight="1" ht="13.5">
      <c r="A40" s="2"/>
      <c r="B40" s="3"/>
      <c r="C40" s="2"/>
      <c r="D40" s="292">
        <f>D118</f>
      </c>
      <c r="E40" s="293">
        <f>H40+K40+N40+Q40+T40</f>
      </c>
      <c r="F40" s="293">
        <f>I40+L40+O40+R40+U40</f>
      </c>
      <c r="G40" s="293">
        <f>J40+M40+P40+S40+V40</f>
      </c>
      <c r="H40" s="293">
        <f>H144+I225</f>
      </c>
      <c r="I40" s="293">
        <f>I144+J225</f>
      </c>
      <c r="J40" s="293">
        <f>J144+K225</f>
      </c>
      <c r="K40" s="293">
        <f>K144+L225</f>
      </c>
      <c r="L40" s="293">
        <f>L144+M225</f>
      </c>
      <c r="M40" s="293">
        <f>M144+N225</f>
      </c>
      <c r="N40" s="293">
        <f>N144+O225</f>
      </c>
      <c r="O40" s="293">
        <f>O144+P225</f>
      </c>
      <c r="P40" s="293">
        <f>P144+Q225</f>
      </c>
      <c r="Q40" s="293">
        <f>Q144+R225</f>
      </c>
      <c r="R40" s="293">
        <f>R144+S225</f>
      </c>
      <c r="S40" s="293">
        <f>S144+T225</f>
      </c>
      <c r="T40" s="293">
        <f>T144+U225</f>
      </c>
      <c r="U40" s="293">
        <f>U144+V225</f>
      </c>
      <c r="V40" s="293">
        <f>V144+W225</f>
      </c>
      <c r="W40" s="108"/>
      <c r="X40" s="140" t="s">
        <v>131</v>
      </c>
      <c r="Y40" s="124">
        <f>AB40+AE40+AH40+AK40+AN40</f>
      </c>
      <c r="Z40" s="124">
        <f>AC40+AF40+AI40+AL40+AO40</f>
      </c>
      <c r="AA40" s="124">
        <f>AD40+AG40+AJ40+AM40+AP40</f>
      </c>
      <c r="AB40" s="293">
        <f>H40/$E$10</f>
      </c>
      <c r="AC40" s="293">
        <f>I40/$E$10</f>
      </c>
      <c r="AD40" s="293">
        <f>J40/$E$10</f>
      </c>
      <c r="AE40" s="293">
        <f>K40/$E$10</f>
      </c>
      <c r="AF40" s="293">
        <f>L40/$E$10</f>
      </c>
      <c r="AG40" s="293">
        <f>M40/$E$10</f>
      </c>
      <c r="AH40" s="293">
        <f>N40/$E$10</f>
      </c>
      <c r="AI40" s="293">
        <f>O40/$E$10</f>
      </c>
      <c r="AJ40" s="293">
        <f>P40/$E$10</f>
      </c>
      <c r="AK40" s="293">
        <f>Q40/$E$13</f>
      </c>
      <c r="AL40" s="293">
        <f>R40/$E$13</f>
      </c>
      <c r="AM40" s="293">
        <f>S40/$E$13</f>
      </c>
      <c r="AN40" s="293">
        <f>T40/$E$14</f>
      </c>
      <c r="AO40" s="293">
        <f>U40/$E$14</f>
      </c>
      <c r="AP40" s="293">
        <f>V40/$E$14</f>
      </c>
      <c r="AQ40" s="142"/>
      <c r="AR40" s="123" t="s">
        <v>131</v>
      </c>
      <c r="AS40" s="63">
        <f>AB40/Y40</f>
      </c>
      <c r="AT40" s="63">
        <f>AC40/Z40</f>
      </c>
      <c r="AU40" s="63">
        <f>AD40/AA40</f>
      </c>
      <c r="AV40" s="63">
        <f>AE40/Y40</f>
      </c>
      <c r="AW40" s="63">
        <f>AF40/Z40</f>
      </c>
      <c r="AX40" s="63">
        <f>AG40/AA40</f>
      </c>
      <c r="AY40" s="63">
        <f>AH40/Y40</f>
      </c>
      <c r="AZ40" s="63">
        <f>AI40/Z40</f>
      </c>
      <c r="BA40" s="63">
        <f>AJ40/AA40</f>
      </c>
      <c r="BB40" s="63">
        <f>AK40/Y40</f>
      </c>
      <c r="BC40" s="63">
        <f>AL40/Z40</f>
      </c>
      <c r="BD40" s="63">
        <f>AM40/AA40</f>
      </c>
      <c r="BE40" s="63">
        <f>AN40/Y40</f>
      </c>
      <c r="BF40" s="63">
        <f>AO40/Z40</f>
      </c>
      <c r="BG40" s="63">
        <f>AP40/AA40</f>
      </c>
      <c r="BH40" s="2"/>
      <c r="BI40" s="2"/>
      <c r="BJ40" s="63">
        <f>AU40</f>
      </c>
      <c r="BK40" s="63">
        <f>AX40</f>
      </c>
      <c r="BL40" s="63">
        <f>BA40</f>
      </c>
      <c r="BM40" s="63">
        <f>BD40</f>
      </c>
      <c r="BN40" s="63">
        <f>BG40</f>
      </c>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row>
    <row x14ac:dyDescent="0.25" r="41" customHeight="1" ht="13.5">
      <c r="A41" s="2"/>
      <c r="B41" s="3"/>
      <c r="C41" s="2"/>
      <c r="D41" s="292">
        <f>D119</f>
      </c>
      <c r="E41" s="293">
        <f>H41+K41+N41+Q41+T41</f>
      </c>
      <c r="F41" s="293">
        <f>I41+L41+O41+R41+U41</f>
      </c>
      <c r="G41" s="293">
        <f>J41+M41+P41+S41+V41</f>
      </c>
      <c r="H41" s="293">
        <f>H145+I226</f>
      </c>
      <c r="I41" s="293">
        <f>I145+J226</f>
      </c>
      <c r="J41" s="293">
        <f>J145+K226</f>
      </c>
      <c r="K41" s="293">
        <f>K145+L226</f>
      </c>
      <c r="L41" s="293">
        <f>L145+M226</f>
      </c>
      <c r="M41" s="293">
        <f>M145+N226</f>
      </c>
      <c r="N41" s="293">
        <f>N145+O226</f>
      </c>
      <c r="O41" s="293">
        <f>O145+P226</f>
      </c>
      <c r="P41" s="293">
        <f>P145+Q226</f>
      </c>
      <c r="Q41" s="293">
        <f>Q145+R226</f>
      </c>
      <c r="R41" s="293">
        <f>R145+S226</f>
      </c>
      <c r="S41" s="293">
        <f>S145+T226</f>
      </c>
      <c r="T41" s="293">
        <f>T145+U226</f>
      </c>
      <c r="U41" s="293">
        <f>U145+V226</f>
      </c>
      <c r="V41" s="293">
        <f>V145+W226</f>
      </c>
      <c r="W41" s="108"/>
      <c r="X41" s="140" t="s">
        <v>237</v>
      </c>
      <c r="Y41" s="124">
        <f>AB41+AE41+AH41+AK41+AN41</f>
      </c>
      <c r="Z41" s="124">
        <f>AC41+AF41+AI41+AL41+AO41</f>
      </c>
      <c r="AA41" s="124">
        <f>AD41+AG41+AJ41+AM41+AP41</f>
      </c>
      <c r="AB41" s="293">
        <f>H41/$E$10</f>
      </c>
      <c r="AC41" s="293">
        <f>I41/$E$10</f>
      </c>
      <c r="AD41" s="293">
        <f>J41/$E$10</f>
      </c>
      <c r="AE41" s="293">
        <f>K41/$E$10</f>
      </c>
      <c r="AF41" s="293">
        <f>L41/$E$10</f>
      </c>
      <c r="AG41" s="293">
        <f>M41/$E$10</f>
      </c>
      <c r="AH41" s="293">
        <f>N41/$E$10</f>
      </c>
      <c r="AI41" s="293">
        <f>O41/$E$10</f>
      </c>
      <c r="AJ41" s="293">
        <f>P41/$E$10</f>
      </c>
      <c r="AK41" s="293">
        <f>Q41/$E$13</f>
      </c>
      <c r="AL41" s="293">
        <f>R41/$E$13</f>
      </c>
      <c r="AM41" s="293">
        <f>S41/$E$13</f>
      </c>
      <c r="AN41" s="293">
        <f>T41/$E$14</f>
      </c>
      <c r="AO41" s="293">
        <f>U41/$E$14</f>
      </c>
      <c r="AP41" s="293">
        <f>V41/$E$14</f>
      </c>
      <c r="AQ41" s="142"/>
      <c r="AR41" s="123" t="s">
        <v>237</v>
      </c>
      <c r="AS41" s="63">
        <f>AB41/Y41</f>
      </c>
      <c r="AT41" s="63">
        <f>AC41/Z41</f>
      </c>
      <c r="AU41" s="63">
        <f>AD41/AA41</f>
      </c>
      <c r="AV41" s="63">
        <f>AE41/Y41</f>
      </c>
      <c r="AW41" s="63">
        <f>AF41/Z41</f>
      </c>
      <c r="AX41" s="63">
        <f>AG41/AA41</f>
      </c>
      <c r="AY41" s="63">
        <f>AH41/Y41</f>
      </c>
      <c r="AZ41" s="63">
        <f>AI41/Z41</f>
      </c>
      <c r="BA41" s="63">
        <f>AJ41/AA41</f>
      </c>
      <c r="BB41" s="63">
        <f>AK41/Y41</f>
      </c>
      <c r="BC41" s="63">
        <f>AL41/Z41</f>
      </c>
      <c r="BD41" s="63">
        <f>AM41/AA41</f>
      </c>
      <c r="BE41" s="63">
        <f>AN41/Y41</f>
      </c>
      <c r="BF41" s="63">
        <f>AO41/Z41</f>
      </c>
      <c r="BG41" s="63">
        <f>AP41/AA41</f>
      </c>
      <c r="BH41" s="2"/>
      <c r="BI41" s="2"/>
      <c r="BJ41" s="63">
        <f>AU41</f>
      </c>
      <c r="BK41" s="63">
        <f>AX41</f>
      </c>
      <c r="BL41" s="63">
        <f>BA41</f>
      </c>
      <c r="BM41" s="63">
        <f>BD41</f>
      </c>
      <c r="BN41" s="63">
        <f>BG41</f>
      </c>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row>
    <row x14ac:dyDescent="0.25" r="42" customHeight="1" ht="13.5">
      <c r="A42" s="2"/>
      <c r="B42" s="3"/>
      <c r="C42" s="2"/>
      <c r="D42" s="292">
        <f>D120</f>
      </c>
      <c r="E42" s="293">
        <f>H42+K42+N42+Q42+T42</f>
      </c>
      <c r="F42" s="293">
        <f>I42+L42+O42+R42+U42</f>
      </c>
      <c r="G42" s="293">
        <f>J42+M42+P42+S42+V42</f>
      </c>
      <c r="H42" s="293">
        <f>H146+I227</f>
      </c>
      <c r="I42" s="293">
        <f>I146+J227</f>
      </c>
      <c r="J42" s="293">
        <f>J146+K227</f>
      </c>
      <c r="K42" s="293">
        <f>K146+L227</f>
      </c>
      <c r="L42" s="293">
        <f>L146+M227</f>
      </c>
      <c r="M42" s="293">
        <f>M146+N227</f>
      </c>
      <c r="N42" s="293">
        <f>N146+O227</f>
      </c>
      <c r="O42" s="293">
        <f>O146+P227</f>
      </c>
      <c r="P42" s="293">
        <f>P146+Q227</f>
      </c>
      <c r="Q42" s="293">
        <f>Q146+R227</f>
      </c>
      <c r="R42" s="293">
        <f>R146+S227</f>
      </c>
      <c r="S42" s="293">
        <f>S146+T227</f>
      </c>
      <c r="T42" s="293">
        <f>T146+U227</f>
      </c>
      <c r="U42" s="293">
        <f>U146+V227</f>
      </c>
      <c r="V42" s="293">
        <f>V146+W227</f>
      </c>
      <c r="W42" s="108"/>
      <c r="X42" s="140" t="s">
        <v>139</v>
      </c>
      <c r="Y42" s="124">
        <f>AB42+AE42+AH42+AK42+AN42</f>
      </c>
      <c r="Z42" s="124">
        <f>AC42+AF42+AI42+AL42+AO42</f>
      </c>
      <c r="AA42" s="124">
        <f>AD42+AG42+AJ42+AM42+AP42</f>
      </c>
      <c r="AB42" s="293">
        <f>H42/$E$10</f>
      </c>
      <c r="AC42" s="293">
        <f>I42/$E$10</f>
      </c>
      <c r="AD42" s="293">
        <f>J42/$E$10</f>
      </c>
      <c r="AE42" s="293">
        <f>K42/$E$10</f>
      </c>
      <c r="AF42" s="293">
        <f>L42/$E$10</f>
      </c>
      <c r="AG42" s="293">
        <f>M42/$E$10</f>
      </c>
      <c r="AH42" s="293">
        <f>N42/$E$10</f>
      </c>
      <c r="AI42" s="293">
        <f>O42/$E$10</f>
      </c>
      <c r="AJ42" s="293">
        <f>P42/$E$10</f>
      </c>
      <c r="AK42" s="293">
        <f>Q42/$E$13</f>
      </c>
      <c r="AL42" s="293">
        <f>R42/$E$13</f>
      </c>
      <c r="AM42" s="293">
        <f>S42/$E$13</f>
      </c>
      <c r="AN42" s="293">
        <f>T42/$E$14</f>
      </c>
      <c r="AO42" s="293">
        <f>U42/$E$14</f>
      </c>
      <c r="AP42" s="293">
        <f>V42/$E$14</f>
      </c>
      <c r="AQ42" s="142"/>
      <c r="AR42" s="123" t="s">
        <v>139</v>
      </c>
      <c r="AS42" s="63">
        <f>AB42/Y42</f>
      </c>
      <c r="AT42" s="63">
        <f>AC42/Z42</f>
      </c>
      <c r="AU42" s="63">
        <f>AD42/AA42</f>
      </c>
      <c r="AV42" s="63">
        <f>AE42/Y42</f>
      </c>
      <c r="AW42" s="63">
        <f>AF42/Z42</f>
      </c>
      <c r="AX42" s="63">
        <f>AG42/AA42</f>
      </c>
      <c r="AY42" s="63">
        <f>AH42/Y42</f>
      </c>
      <c r="AZ42" s="63">
        <f>AI42/Z42</f>
      </c>
      <c r="BA42" s="63">
        <f>AJ42/AA42</f>
      </c>
      <c r="BB42" s="63">
        <f>AK42/Y42</f>
      </c>
      <c r="BC42" s="63">
        <f>AL42/Z42</f>
      </c>
      <c r="BD42" s="63">
        <f>AM42/AA42</f>
      </c>
      <c r="BE42" s="63">
        <f>AN42/Y42</f>
      </c>
      <c r="BF42" s="63">
        <f>AO42/Z42</f>
      </c>
      <c r="BG42" s="63">
        <f>AP42/AA42</f>
      </c>
      <c r="BH42" s="2"/>
      <c r="BI42" s="2"/>
      <c r="BJ42" s="63">
        <f>AU42</f>
      </c>
      <c r="BK42" s="63">
        <f>AX42</f>
      </c>
      <c r="BL42" s="63">
        <f>BA42</f>
      </c>
      <c r="BM42" s="63">
        <f>BD42</f>
      </c>
      <c r="BN42" s="63">
        <f>BG42</f>
      </c>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row>
    <row x14ac:dyDescent="0.25" r="43" customHeight="1" ht="13.5">
      <c r="A43" s="2"/>
      <c r="B43" s="3"/>
      <c r="C43" s="2"/>
      <c r="D43" s="292">
        <f>D121</f>
      </c>
      <c r="E43" s="293">
        <f>H43+K43+N43+Q43+T43</f>
      </c>
      <c r="F43" s="293">
        <f>I43+L43+O43+R43+U43</f>
      </c>
      <c r="G43" s="293">
        <f>J43+M43+P43+S43+V43</f>
      </c>
      <c r="H43" s="293">
        <f>H147+I228</f>
      </c>
      <c r="I43" s="293">
        <f>I147+J228</f>
      </c>
      <c r="J43" s="293">
        <f>J147+K228</f>
      </c>
      <c r="K43" s="293">
        <f>K147+L228</f>
      </c>
      <c r="L43" s="293">
        <f>L147+M228</f>
      </c>
      <c r="M43" s="293">
        <f>M147+N228</f>
      </c>
      <c r="N43" s="293">
        <f>N147+O228</f>
      </c>
      <c r="O43" s="293">
        <f>O147+P228</f>
      </c>
      <c r="P43" s="293">
        <f>P147+Q228</f>
      </c>
      <c r="Q43" s="293">
        <f>Q147+R228</f>
      </c>
      <c r="R43" s="293">
        <f>R147+S228</f>
      </c>
      <c r="S43" s="293">
        <f>S147+T228</f>
      </c>
      <c r="T43" s="293">
        <f>T147+U228</f>
      </c>
      <c r="U43" s="293">
        <f>U147+V228</f>
      </c>
      <c r="V43" s="293">
        <f>V147+W228</f>
      </c>
      <c r="W43" s="108"/>
      <c r="X43" s="140" t="s">
        <v>241</v>
      </c>
      <c r="Y43" s="124">
        <f>AB43+AE43+AH43+AK43+AN43</f>
      </c>
      <c r="Z43" s="124">
        <f>AC43+AF43+AI43+AL43+AO43</f>
      </c>
      <c r="AA43" s="124">
        <f>AD43+AG43+AJ43+AM43+AP43</f>
      </c>
      <c r="AB43" s="293">
        <f>H43/$E$10</f>
      </c>
      <c r="AC43" s="293">
        <f>I43/$E$10</f>
      </c>
      <c r="AD43" s="293">
        <f>J43/$E$10</f>
      </c>
      <c r="AE43" s="293">
        <f>K43/$E$10</f>
      </c>
      <c r="AF43" s="293">
        <f>L43/$E$10</f>
      </c>
      <c r="AG43" s="293">
        <f>M43/$E$10</f>
      </c>
      <c r="AH43" s="293">
        <f>N43/$E$10</f>
      </c>
      <c r="AI43" s="293">
        <f>O43/$E$10</f>
      </c>
      <c r="AJ43" s="293">
        <f>P43/$E$10</f>
      </c>
      <c r="AK43" s="293">
        <f>Q43/$E$13</f>
      </c>
      <c r="AL43" s="293">
        <f>R43/$E$13</f>
      </c>
      <c r="AM43" s="293">
        <f>S43/$E$13</f>
      </c>
      <c r="AN43" s="293">
        <f>T43/$E$14</f>
      </c>
      <c r="AO43" s="293">
        <f>U43/$E$14</f>
      </c>
      <c r="AP43" s="293">
        <f>V43/$E$14</f>
      </c>
      <c r="AQ43" s="142"/>
      <c r="AR43" s="123" t="s">
        <v>241</v>
      </c>
      <c r="AS43" s="63">
        <f>AB43/Y43</f>
      </c>
      <c r="AT43" s="63">
        <f>AC43/Z43</f>
      </c>
      <c r="AU43" s="63">
        <f>AD43/AA43</f>
      </c>
      <c r="AV43" s="63">
        <f>AE43/Y43</f>
      </c>
      <c r="AW43" s="63">
        <f>AF43/Z43</f>
      </c>
      <c r="AX43" s="63">
        <f>AG43/AA43</f>
      </c>
      <c r="AY43" s="63">
        <f>AH43/Y43</f>
      </c>
      <c r="AZ43" s="63">
        <f>AI43/Z43</f>
      </c>
      <c r="BA43" s="63">
        <f>AJ43/AA43</f>
      </c>
      <c r="BB43" s="63">
        <f>AK43/Y43</f>
      </c>
      <c r="BC43" s="63">
        <f>AL43/Z43</f>
      </c>
      <c r="BD43" s="63">
        <f>AM43/AA43</f>
      </c>
      <c r="BE43" s="63">
        <f>AN43/Y43</f>
      </c>
      <c r="BF43" s="63">
        <f>AO43/Z43</f>
      </c>
      <c r="BG43" s="63">
        <f>AP43/AA43</f>
      </c>
      <c r="BH43" s="2"/>
      <c r="BI43" s="2"/>
      <c r="BJ43" s="63">
        <f>AU43</f>
      </c>
      <c r="BK43" s="63">
        <f>AX43</f>
      </c>
      <c r="BL43" s="63">
        <f>BA43</f>
      </c>
      <c r="BM43" s="63">
        <f>BD43</f>
      </c>
      <c r="BN43" s="63">
        <f>BG43</f>
      </c>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row>
    <row x14ac:dyDescent="0.25" r="44" customHeight="1" ht="13.5">
      <c r="A44" s="2"/>
      <c r="B44" s="3"/>
      <c r="C44" s="2"/>
      <c r="D44" s="292">
        <f>D122</f>
      </c>
      <c r="E44" s="293">
        <f>H44+K44+N44+Q44+T44</f>
      </c>
      <c r="F44" s="293">
        <f>I44+L44+O44+R44+U44</f>
      </c>
      <c r="G44" s="293">
        <f>J44+M44+P44+S44+V44</f>
      </c>
      <c r="H44" s="293">
        <f>H148+I229</f>
      </c>
      <c r="I44" s="293">
        <f>I148+J229</f>
      </c>
      <c r="J44" s="293">
        <f>J148+K229</f>
      </c>
      <c r="K44" s="293">
        <f>K148+L229</f>
      </c>
      <c r="L44" s="293">
        <f>L148+M229</f>
      </c>
      <c r="M44" s="293">
        <f>M148+N229</f>
      </c>
      <c r="N44" s="293">
        <f>N148+O229</f>
      </c>
      <c r="O44" s="293">
        <f>O148+P229</f>
      </c>
      <c r="P44" s="293">
        <f>P148+Q229</f>
      </c>
      <c r="Q44" s="293">
        <f>Q148+R229</f>
      </c>
      <c r="R44" s="293">
        <f>R148+S229</f>
      </c>
      <c r="S44" s="293">
        <f>S148+T229</f>
      </c>
      <c r="T44" s="293">
        <f>T148+U229</f>
      </c>
      <c r="U44" s="293">
        <f>U148+V229</f>
      </c>
      <c r="V44" s="293">
        <f>V148+W229</f>
      </c>
      <c r="W44" s="108"/>
      <c r="X44" s="140" t="s">
        <v>249</v>
      </c>
      <c r="Y44" s="124">
        <f>AB44+AE44+AH44+AK44+AN44</f>
      </c>
      <c r="Z44" s="124">
        <f>AC44+AF44+AI44+AL44+AO44</f>
      </c>
      <c r="AA44" s="124">
        <f>AD44+AG44+AJ44+AM44+AP44</f>
      </c>
      <c r="AB44" s="293">
        <f>H44/$E$10</f>
      </c>
      <c r="AC44" s="293">
        <f>I44/$E$10</f>
      </c>
      <c r="AD44" s="293">
        <f>J44/$E$10</f>
      </c>
      <c r="AE44" s="293">
        <f>K44/$E$10</f>
      </c>
      <c r="AF44" s="293">
        <f>L44/$E$10</f>
      </c>
      <c r="AG44" s="293">
        <f>M44/$E$10</f>
      </c>
      <c r="AH44" s="293">
        <f>N44/$E$10</f>
      </c>
      <c r="AI44" s="293">
        <f>O44/$E$10</f>
      </c>
      <c r="AJ44" s="293">
        <f>P44/$E$10</f>
      </c>
      <c r="AK44" s="293">
        <f>Q44/$E$13</f>
      </c>
      <c r="AL44" s="293">
        <f>R44/$E$13</f>
      </c>
      <c r="AM44" s="293">
        <f>S44/$E$13</f>
      </c>
      <c r="AN44" s="293">
        <f>T44/$E$14</f>
      </c>
      <c r="AO44" s="293">
        <f>U44/$E$14</f>
      </c>
      <c r="AP44" s="293">
        <f>V44/$E$14</f>
      </c>
      <c r="AQ44" s="142"/>
      <c r="AR44" s="123" t="s">
        <v>249</v>
      </c>
      <c r="AS44" s="63">
        <f>AB44/Y44</f>
      </c>
      <c r="AT44" s="63">
        <f>AC44/Z44</f>
      </c>
      <c r="AU44" s="63">
        <f>AD44/AA44</f>
      </c>
      <c r="AV44" s="63">
        <f>AE44/Y44</f>
      </c>
      <c r="AW44" s="63">
        <f>AF44/Z44</f>
      </c>
      <c r="AX44" s="63">
        <f>AG44/AA44</f>
      </c>
      <c r="AY44" s="63">
        <f>AH44/Y44</f>
      </c>
      <c r="AZ44" s="63">
        <f>AI44/Z44</f>
      </c>
      <c r="BA44" s="63">
        <f>AJ44/AA44</f>
      </c>
      <c r="BB44" s="63">
        <f>AK44/Y44</f>
      </c>
      <c r="BC44" s="63">
        <f>AL44/Z44</f>
      </c>
      <c r="BD44" s="63">
        <f>AM44/AA44</f>
      </c>
      <c r="BE44" s="63">
        <f>AN44/Y44</f>
      </c>
      <c r="BF44" s="63">
        <f>AO44/Z44</f>
      </c>
      <c r="BG44" s="63">
        <f>AP44/AA44</f>
      </c>
      <c r="BH44" s="2"/>
      <c r="BI44" s="2"/>
      <c r="BJ44" s="63">
        <f>AU44</f>
      </c>
      <c r="BK44" s="63">
        <f>AX44</f>
      </c>
      <c r="BL44" s="63">
        <f>BA44</f>
      </c>
      <c r="BM44" s="63">
        <f>BD44</f>
      </c>
      <c r="BN44" s="63">
        <f>BG44</f>
      </c>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row>
    <row x14ac:dyDescent="0.25" r="45" customHeight="1" ht="13.5">
      <c r="A45" s="2"/>
      <c r="B45" s="3"/>
      <c r="C45" s="2"/>
      <c r="D45" s="292">
        <f>D123</f>
      </c>
      <c r="E45" s="293">
        <f>H45+K45+N45+Q45+T45</f>
      </c>
      <c r="F45" s="293">
        <f>I45+L45+O45+R45+U45</f>
      </c>
      <c r="G45" s="293">
        <f>J45+M45+P45+S45+V45</f>
      </c>
      <c r="H45" s="293">
        <f>H149+I230</f>
      </c>
      <c r="I45" s="293">
        <f>I149+J230</f>
      </c>
      <c r="J45" s="293">
        <f>J149+K230</f>
      </c>
      <c r="K45" s="293">
        <f>K149+L230</f>
      </c>
      <c r="L45" s="293">
        <f>L149+M230</f>
      </c>
      <c r="M45" s="293">
        <f>M149+N230</f>
      </c>
      <c r="N45" s="293">
        <f>N149+O230</f>
      </c>
      <c r="O45" s="293">
        <f>O149+P230</f>
      </c>
      <c r="P45" s="293">
        <f>P149+Q230</f>
      </c>
      <c r="Q45" s="293">
        <f>Q149+R230</f>
      </c>
      <c r="R45" s="293">
        <f>R149+S230</f>
      </c>
      <c r="S45" s="293">
        <f>S149+T230</f>
      </c>
      <c r="T45" s="293">
        <f>T149+U230</f>
      </c>
      <c r="U45" s="293">
        <f>U149+V230</f>
      </c>
      <c r="V45" s="293">
        <f>V149+W230</f>
      </c>
      <c r="W45" s="108"/>
      <c r="X45" s="140" t="s">
        <v>235</v>
      </c>
      <c r="Y45" s="124">
        <f>AB45+AE45+AH45+AK45+AN45</f>
      </c>
      <c r="Z45" s="124">
        <f>AC45+AF45+AI45+AL45+AO45</f>
      </c>
      <c r="AA45" s="124">
        <f>AD45+AG45+AJ45+AM45+AP45</f>
      </c>
      <c r="AB45" s="293">
        <f>H45/$E$10</f>
      </c>
      <c r="AC45" s="293">
        <f>I45/$E$10</f>
      </c>
      <c r="AD45" s="293">
        <f>J45/$E$10</f>
      </c>
      <c r="AE45" s="293">
        <f>K45/$E$10</f>
      </c>
      <c r="AF45" s="293">
        <f>L45/$E$10</f>
      </c>
      <c r="AG45" s="293">
        <f>M45/$E$10</f>
      </c>
      <c r="AH45" s="293">
        <f>N45/$E$10</f>
      </c>
      <c r="AI45" s="293">
        <f>O45/$E$10</f>
      </c>
      <c r="AJ45" s="293">
        <f>P45/$E$10</f>
      </c>
      <c r="AK45" s="293">
        <f>Q45/$E$13</f>
      </c>
      <c r="AL45" s="293">
        <f>R45/$E$13</f>
      </c>
      <c r="AM45" s="293">
        <f>S45/$E$13</f>
      </c>
      <c r="AN45" s="293">
        <f>T45/$E$14</f>
      </c>
      <c r="AO45" s="293">
        <f>U45/$E$14</f>
      </c>
      <c r="AP45" s="293">
        <f>V45/$E$14</f>
      </c>
      <c r="AQ45" s="142"/>
      <c r="AR45" s="123" t="s">
        <v>235</v>
      </c>
      <c r="AS45" s="63">
        <f>AB45/Y45</f>
      </c>
      <c r="AT45" s="63">
        <f>AC45/Z45</f>
      </c>
      <c r="AU45" s="63">
        <f>AD45/AA45</f>
      </c>
      <c r="AV45" s="63">
        <f>AE45/Y45</f>
      </c>
      <c r="AW45" s="63">
        <f>AF45/Z45</f>
      </c>
      <c r="AX45" s="63">
        <f>AG45/AA45</f>
      </c>
      <c r="AY45" s="63">
        <f>AH45/Y45</f>
      </c>
      <c r="AZ45" s="63">
        <f>AI45/Z45</f>
      </c>
      <c r="BA45" s="63">
        <f>AJ45/AA45</f>
      </c>
      <c r="BB45" s="63">
        <f>AK45/Y45</f>
      </c>
      <c r="BC45" s="63">
        <f>AL45/Z45</f>
      </c>
      <c r="BD45" s="63">
        <f>AM45/AA45</f>
      </c>
      <c r="BE45" s="63">
        <f>AN45/Y45</f>
      </c>
      <c r="BF45" s="63">
        <f>AO45/Z45</f>
      </c>
      <c r="BG45" s="63">
        <f>AP45/AA45</f>
      </c>
      <c r="BH45" s="2"/>
      <c r="BI45" s="2"/>
      <c r="BJ45" s="63">
        <f>AU45</f>
      </c>
      <c r="BK45" s="63">
        <f>AX45</f>
      </c>
      <c r="BL45" s="63">
        <f>BA45</f>
      </c>
      <c r="BM45" s="63">
        <f>BD45</f>
      </c>
      <c r="BN45" s="63">
        <f>BG45</f>
      </c>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row>
    <row x14ac:dyDescent="0.25" r="46" customHeight="1" ht="13.5">
      <c r="A46" s="2"/>
      <c r="B46" s="3"/>
      <c r="C46" s="2"/>
      <c r="D46" s="292">
        <f>D124</f>
      </c>
      <c r="E46" s="293">
        <f>H46+K46+N46+Q46+T46</f>
      </c>
      <c r="F46" s="293">
        <f>I46+L46+O46+R46+U46</f>
      </c>
      <c r="G46" s="293">
        <f>J46+M46+P46+S46+V46</f>
      </c>
      <c r="H46" s="293">
        <f>H150+I231</f>
      </c>
      <c r="I46" s="293">
        <f>I150+J231</f>
      </c>
      <c r="J46" s="293">
        <f>J150+K231</f>
      </c>
      <c r="K46" s="293">
        <f>K150+L231</f>
      </c>
      <c r="L46" s="293">
        <f>L150+M231</f>
      </c>
      <c r="M46" s="293">
        <f>M150+N231</f>
      </c>
      <c r="N46" s="293">
        <f>N150+O231</f>
      </c>
      <c r="O46" s="293">
        <f>O150+P231</f>
      </c>
      <c r="P46" s="293">
        <f>P150+Q231</f>
      </c>
      <c r="Q46" s="293">
        <f>Q150+R231</f>
      </c>
      <c r="R46" s="293">
        <f>R150+S231</f>
      </c>
      <c r="S46" s="293">
        <f>S150+T231</f>
      </c>
      <c r="T46" s="293">
        <f>T150+U231</f>
      </c>
      <c r="U46" s="293">
        <f>U150+V231</f>
      </c>
      <c r="V46" s="293">
        <f>V150+W231</f>
      </c>
      <c r="W46" s="108"/>
      <c r="X46" s="140" t="s">
        <v>125</v>
      </c>
      <c r="Y46" s="124">
        <f>AB46+AE46+AH46+AK46+AN46</f>
      </c>
      <c r="Z46" s="124">
        <f>AC46+AF46+AI46+AL46+AO46</f>
      </c>
      <c r="AA46" s="124">
        <f>AD46+AG46+AJ46+AM46+AP46</f>
      </c>
      <c r="AB46" s="293">
        <f>H46/$E$10</f>
      </c>
      <c r="AC46" s="293">
        <f>I46/$E$10</f>
      </c>
      <c r="AD46" s="293">
        <f>J46/$E$10</f>
      </c>
      <c r="AE46" s="293">
        <f>K46/$E$10</f>
      </c>
      <c r="AF46" s="293">
        <f>L46/$E$10</f>
      </c>
      <c r="AG46" s="293">
        <f>M46/$E$10</f>
      </c>
      <c r="AH46" s="293">
        <f>N46/$E$10</f>
      </c>
      <c r="AI46" s="293">
        <f>O46/$E$10</f>
      </c>
      <c r="AJ46" s="293">
        <f>P46/$E$10</f>
      </c>
      <c r="AK46" s="293">
        <f>Q46/$E$13</f>
      </c>
      <c r="AL46" s="293">
        <f>R46/$E$13</f>
      </c>
      <c r="AM46" s="293">
        <f>S46/$E$13</f>
      </c>
      <c r="AN46" s="293">
        <f>T46/$E$14</f>
      </c>
      <c r="AO46" s="293">
        <f>U46/$E$14</f>
      </c>
      <c r="AP46" s="293">
        <f>V46/$E$14</f>
      </c>
      <c r="AQ46" s="142"/>
      <c r="AR46" s="123" t="s">
        <v>125</v>
      </c>
      <c r="AS46" s="63">
        <f>AB46/Y46</f>
      </c>
      <c r="AT46" s="63">
        <f>AC46/Z46</f>
      </c>
      <c r="AU46" s="63">
        <f>AD46/AA46</f>
      </c>
      <c r="AV46" s="63">
        <f>AE46/Y46</f>
      </c>
      <c r="AW46" s="63">
        <f>AF46/Z46</f>
      </c>
      <c r="AX46" s="63">
        <f>AG46/AA46</f>
      </c>
      <c r="AY46" s="63">
        <f>AH46/Y46</f>
      </c>
      <c r="AZ46" s="63">
        <f>AI46/Z46</f>
      </c>
      <c r="BA46" s="63">
        <f>AJ46/AA46</f>
      </c>
      <c r="BB46" s="63">
        <f>AK46/Y46</f>
      </c>
      <c r="BC46" s="63">
        <f>AL46/Z46</f>
      </c>
      <c r="BD46" s="63">
        <f>AM46/AA46</f>
      </c>
      <c r="BE46" s="63">
        <f>AN46/Y46</f>
      </c>
      <c r="BF46" s="63">
        <f>AO46/Z46</f>
      </c>
      <c r="BG46" s="63">
        <f>AP46/AA46</f>
      </c>
      <c r="BH46" s="2"/>
      <c r="BI46" s="2"/>
      <c r="BJ46" s="63">
        <f>AU46</f>
      </c>
      <c r="BK46" s="63">
        <f>AX46</f>
      </c>
      <c r="BL46" s="63">
        <f>BA46</f>
      </c>
      <c r="BM46" s="63">
        <f>BD46</f>
      </c>
      <c r="BN46" s="63">
        <f>BG46</f>
      </c>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row>
    <row x14ac:dyDescent="0.25" r="47" customHeight="1" ht="13.5">
      <c r="A47" s="2"/>
      <c r="B47" s="3"/>
      <c r="C47" s="2"/>
      <c r="D47" s="292">
        <f>D125</f>
      </c>
      <c r="E47" s="293">
        <f>H47+K47+N47+Q47+T47</f>
      </c>
      <c r="F47" s="293">
        <f>I47+L47+O47+R47+U47</f>
      </c>
      <c r="G47" s="293">
        <f>J47+M47+P47+S47+V47</f>
      </c>
      <c r="H47" s="293">
        <f>H151+I232</f>
      </c>
      <c r="I47" s="293">
        <f>I151+J232</f>
      </c>
      <c r="J47" s="293">
        <f>J151+K232</f>
      </c>
      <c r="K47" s="293">
        <f>K151+L232</f>
      </c>
      <c r="L47" s="293">
        <f>L151+M232</f>
      </c>
      <c r="M47" s="293">
        <f>M151+N232</f>
      </c>
      <c r="N47" s="293">
        <f>N151+O232</f>
      </c>
      <c r="O47" s="293">
        <f>O151+P232</f>
      </c>
      <c r="P47" s="293">
        <f>P151+Q232</f>
      </c>
      <c r="Q47" s="293">
        <f>Q151+R232</f>
      </c>
      <c r="R47" s="293">
        <f>R151+S232</f>
      </c>
      <c r="S47" s="293">
        <f>S151+T232</f>
      </c>
      <c r="T47" s="293">
        <f>T151+U232</f>
      </c>
      <c r="U47" s="293">
        <f>U151+V232</f>
      </c>
      <c r="V47" s="293">
        <f>V151+W232</f>
      </c>
      <c r="W47" s="108"/>
      <c r="X47" s="140" t="s">
        <v>209</v>
      </c>
      <c r="Y47" s="124">
        <f>AB47+AE47+AH47+AK47+AN47</f>
      </c>
      <c r="Z47" s="124">
        <f>AC47+AF47+AI47+AL47+AO47</f>
      </c>
      <c r="AA47" s="124">
        <f>AD47+AG47+AJ47+AM47+AP47</f>
      </c>
      <c r="AB47" s="293">
        <f>H47/$E$10</f>
      </c>
      <c r="AC47" s="293">
        <f>I47/$E$10</f>
      </c>
      <c r="AD47" s="293">
        <f>J47/$E$10</f>
      </c>
      <c r="AE47" s="293">
        <f>K47/$E$10</f>
      </c>
      <c r="AF47" s="293">
        <f>L47/$E$10</f>
      </c>
      <c r="AG47" s="293">
        <f>M47/$E$10</f>
      </c>
      <c r="AH47" s="293">
        <f>N47/$E$10</f>
      </c>
      <c r="AI47" s="293">
        <f>O47/$E$10</f>
      </c>
      <c r="AJ47" s="293">
        <f>P47/$E$10</f>
      </c>
      <c r="AK47" s="293">
        <f>Q47/$E$13</f>
      </c>
      <c r="AL47" s="293">
        <f>R47/$E$13</f>
      </c>
      <c r="AM47" s="293">
        <f>S47/$E$13</f>
      </c>
      <c r="AN47" s="293">
        <f>T47/$E$14</f>
      </c>
      <c r="AO47" s="293">
        <f>U47/$E$14</f>
      </c>
      <c r="AP47" s="293">
        <f>V47/$E$14</f>
      </c>
      <c r="AQ47" s="142"/>
      <c r="AR47" s="123" t="s">
        <v>209</v>
      </c>
      <c r="AS47" s="63">
        <f>AB47/Y47</f>
      </c>
      <c r="AT47" s="63">
        <f>AC47/Z47</f>
      </c>
      <c r="AU47" s="63">
        <f>AD47/AA47</f>
      </c>
      <c r="AV47" s="63">
        <f>AE47/Y47</f>
      </c>
      <c r="AW47" s="63">
        <f>AF47/Z47</f>
      </c>
      <c r="AX47" s="63">
        <f>AG47/AA47</f>
      </c>
      <c r="AY47" s="63">
        <f>AH47/Y47</f>
      </c>
      <c r="AZ47" s="63">
        <f>AI47/Z47</f>
      </c>
      <c r="BA47" s="63">
        <f>AJ47/AA47</f>
      </c>
      <c r="BB47" s="63">
        <f>AK47/Y47</f>
      </c>
      <c r="BC47" s="63">
        <f>AL47/Z47</f>
      </c>
      <c r="BD47" s="63">
        <f>AM47/AA47</f>
      </c>
      <c r="BE47" s="63">
        <f>AN47/Y47</f>
      </c>
      <c r="BF47" s="63">
        <f>AO47/Z47</f>
      </c>
      <c r="BG47" s="63">
        <f>AP47/AA47</f>
      </c>
      <c r="BH47" s="2"/>
      <c r="BI47" s="2"/>
      <c r="BJ47" s="63">
        <f>AU47</f>
      </c>
      <c r="BK47" s="63">
        <f>AX47</f>
      </c>
      <c r="BL47" s="63">
        <f>BA47</f>
      </c>
      <c r="BM47" s="63">
        <f>BD47</f>
      </c>
      <c r="BN47" s="63">
        <f>BG47</f>
      </c>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row>
    <row x14ac:dyDescent="0.25" r="48" customHeight="1" ht="13.5">
      <c r="A48" s="2"/>
      <c r="B48" s="3"/>
      <c r="C48" s="2"/>
      <c r="D48" s="292">
        <f>D126</f>
      </c>
      <c r="E48" s="293">
        <f>H48+K48+N48+Q48+T48</f>
      </c>
      <c r="F48" s="293">
        <f>I48+L48+O48+R48+U48</f>
      </c>
      <c r="G48" s="293">
        <f>J48+M48+P48+S48+V48</f>
      </c>
      <c r="H48" s="293">
        <f>H152+I233</f>
      </c>
      <c r="I48" s="293">
        <f>I152+J233</f>
      </c>
      <c r="J48" s="293">
        <f>J152+K233</f>
      </c>
      <c r="K48" s="293">
        <f>K152+L233</f>
      </c>
      <c r="L48" s="293">
        <f>L152+M233</f>
      </c>
      <c r="M48" s="293">
        <f>M152+N233</f>
      </c>
      <c r="N48" s="293">
        <f>N152+O233</f>
      </c>
      <c r="O48" s="293">
        <f>O152+P233</f>
      </c>
      <c r="P48" s="293">
        <f>P152+Q233</f>
      </c>
      <c r="Q48" s="293">
        <f>Q152+R233</f>
      </c>
      <c r="R48" s="293">
        <f>R152+S233</f>
      </c>
      <c r="S48" s="293">
        <f>S152+T233</f>
      </c>
      <c r="T48" s="293">
        <f>T152+U233</f>
      </c>
      <c r="U48" s="293">
        <f>U152+V233</f>
      </c>
      <c r="V48" s="293">
        <f>V152+W233</f>
      </c>
      <c r="W48" s="108"/>
      <c r="X48" s="140" t="s">
        <v>223</v>
      </c>
      <c r="Y48" s="124">
        <f>AB48+AE48+AH48+AK48+AN48</f>
      </c>
      <c r="Z48" s="124">
        <f>AC48+AF48+AI48+AL48+AO48</f>
      </c>
      <c r="AA48" s="124">
        <f>AD48+AG48+AJ48+AM48+AP48</f>
      </c>
      <c r="AB48" s="293">
        <f>H48/$E$10</f>
      </c>
      <c r="AC48" s="293">
        <f>I48/$E$10</f>
      </c>
      <c r="AD48" s="293">
        <f>J48/$E$10</f>
      </c>
      <c r="AE48" s="293">
        <f>K48/$E$10</f>
      </c>
      <c r="AF48" s="293">
        <f>L48/$E$10</f>
      </c>
      <c r="AG48" s="293">
        <f>M48/$E$10</f>
      </c>
      <c r="AH48" s="293">
        <f>N48/$E$10</f>
      </c>
      <c r="AI48" s="293">
        <f>O48/$E$10</f>
      </c>
      <c r="AJ48" s="293">
        <f>P48/$E$10</f>
      </c>
      <c r="AK48" s="293">
        <f>Q48/$E$13</f>
      </c>
      <c r="AL48" s="293">
        <f>R48/$E$13</f>
      </c>
      <c r="AM48" s="293">
        <f>S48/$E$13</f>
      </c>
      <c r="AN48" s="293">
        <f>T48/$E$14</f>
      </c>
      <c r="AO48" s="293">
        <f>U48/$E$14</f>
      </c>
      <c r="AP48" s="293">
        <f>V48/$E$14</f>
      </c>
      <c r="AQ48" s="142"/>
      <c r="AR48" s="123" t="s">
        <v>223</v>
      </c>
      <c r="AS48" s="63">
        <f>AB48/Y48</f>
      </c>
      <c r="AT48" s="63">
        <f>AC48/Z48</f>
      </c>
      <c r="AU48" s="63">
        <f>AD48/AA48</f>
      </c>
      <c r="AV48" s="63">
        <f>AE48/Y48</f>
      </c>
      <c r="AW48" s="63">
        <f>AF48/Z48</f>
      </c>
      <c r="AX48" s="63">
        <f>AG48/AA48</f>
      </c>
      <c r="AY48" s="63">
        <f>AH48/Y48</f>
      </c>
      <c r="AZ48" s="63">
        <f>AI48/Z48</f>
      </c>
      <c r="BA48" s="63">
        <f>AJ48/AA48</f>
      </c>
      <c r="BB48" s="63">
        <f>AK48/Y48</f>
      </c>
      <c r="BC48" s="63">
        <f>AL48/Z48</f>
      </c>
      <c r="BD48" s="63">
        <f>AM48/AA48</f>
      </c>
      <c r="BE48" s="63">
        <f>AN48/Y48</f>
      </c>
      <c r="BF48" s="63">
        <f>AO48/Z48</f>
      </c>
      <c r="BG48" s="63">
        <f>AP48/AA48</f>
      </c>
      <c r="BH48" s="2"/>
      <c r="BI48" s="2"/>
      <c r="BJ48" s="63">
        <f>AU48</f>
      </c>
      <c r="BK48" s="63">
        <f>AX48</f>
      </c>
      <c r="BL48" s="63">
        <f>BA48</f>
      </c>
      <c r="BM48" s="63">
        <f>BD48</f>
      </c>
      <c r="BN48" s="63">
        <f>BG48</f>
      </c>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row>
    <row x14ac:dyDescent="0.25" r="49" customHeight="1" ht="13.5">
      <c r="A49" s="2"/>
      <c r="B49" s="3"/>
      <c r="C49" s="2"/>
      <c r="D49" s="292">
        <f>D127</f>
      </c>
      <c r="E49" s="293">
        <f>H49+K49+N49+Q49+T49</f>
      </c>
      <c r="F49" s="293">
        <f>I49+L49+O49+R49+U49</f>
      </c>
      <c r="G49" s="293">
        <f>J49+M49+P49+S49+V49</f>
      </c>
      <c r="H49" s="293">
        <f>H153+I234</f>
      </c>
      <c r="I49" s="293">
        <f>I153+J234</f>
      </c>
      <c r="J49" s="293">
        <f>J153+K234</f>
      </c>
      <c r="K49" s="293">
        <f>K153+L234</f>
      </c>
      <c r="L49" s="293">
        <f>L153+M234</f>
      </c>
      <c r="M49" s="293">
        <f>M153+N234</f>
      </c>
      <c r="N49" s="293">
        <f>N153+O234</f>
      </c>
      <c r="O49" s="293">
        <f>O153+P234</f>
      </c>
      <c r="P49" s="293">
        <f>P153+Q234</f>
      </c>
      <c r="Q49" s="293">
        <f>Q153+R234</f>
      </c>
      <c r="R49" s="293">
        <f>R153+S234</f>
      </c>
      <c r="S49" s="293">
        <f>S153+T234</f>
      </c>
      <c r="T49" s="293">
        <f>T153+U234</f>
      </c>
      <c r="U49" s="293">
        <f>U153+V234</f>
      </c>
      <c r="V49" s="293">
        <f>V153+W234</f>
      </c>
      <c r="W49" s="108"/>
      <c r="X49" s="140" t="s">
        <v>183</v>
      </c>
      <c r="Y49" s="124">
        <f>AB49+AE49+AH49+AK49+AN49</f>
      </c>
      <c r="Z49" s="124">
        <f>AC49+AF49+AI49+AL49+AO49</f>
      </c>
      <c r="AA49" s="124">
        <f>AD49+AG49+AJ49+AM49+AP49</f>
      </c>
      <c r="AB49" s="293">
        <f>H49/$E$10</f>
      </c>
      <c r="AC49" s="293">
        <f>I49/$E$10</f>
      </c>
      <c r="AD49" s="293">
        <f>J49/$E$10</f>
      </c>
      <c r="AE49" s="293">
        <f>K49/$E$10</f>
      </c>
      <c r="AF49" s="293">
        <f>L49/$E$10</f>
      </c>
      <c r="AG49" s="293">
        <f>M49/$E$10</f>
      </c>
      <c r="AH49" s="293">
        <f>N49/$E$10</f>
      </c>
      <c r="AI49" s="293">
        <f>O49/$E$10</f>
      </c>
      <c r="AJ49" s="293">
        <f>P49/$E$10</f>
      </c>
      <c r="AK49" s="293">
        <f>Q49/$E$13</f>
      </c>
      <c r="AL49" s="293">
        <f>R49/$E$13</f>
      </c>
      <c r="AM49" s="293">
        <f>S49/$E$13</f>
      </c>
      <c r="AN49" s="293">
        <f>T49/$E$14</f>
      </c>
      <c r="AO49" s="293">
        <f>U49/$E$14</f>
      </c>
      <c r="AP49" s="293">
        <f>V49/$E$14</f>
      </c>
      <c r="AQ49" s="142"/>
      <c r="AR49" s="123" t="s">
        <v>183</v>
      </c>
      <c r="AS49" s="63">
        <f>AB49/Y49</f>
      </c>
      <c r="AT49" s="63">
        <f>AC49/Z49</f>
      </c>
      <c r="AU49" s="63">
        <f>AD49/AA49</f>
      </c>
      <c r="AV49" s="63">
        <f>AE49/Y49</f>
      </c>
      <c r="AW49" s="63">
        <f>AF49/Z49</f>
      </c>
      <c r="AX49" s="63">
        <f>AG49/AA49</f>
      </c>
      <c r="AY49" s="63">
        <f>AH49/Y49</f>
      </c>
      <c r="AZ49" s="63">
        <f>AI49/Z49</f>
      </c>
      <c r="BA49" s="63">
        <f>AJ49/AA49</f>
      </c>
      <c r="BB49" s="63">
        <f>AK49/Y49</f>
      </c>
      <c r="BC49" s="63">
        <f>AL49/Z49</f>
      </c>
      <c r="BD49" s="63">
        <f>AM49/AA49</f>
      </c>
      <c r="BE49" s="63">
        <f>AN49/Y49</f>
      </c>
      <c r="BF49" s="63">
        <f>AO49/Z49</f>
      </c>
      <c r="BG49" s="63">
        <f>AP49/AA49</f>
      </c>
      <c r="BH49" s="2"/>
      <c r="BI49" s="2"/>
      <c r="BJ49" s="63">
        <f>AU49</f>
      </c>
      <c r="BK49" s="63">
        <f>AX49</f>
      </c>
      <c r="BL49" s="63">
        <f>BA49</f>
      </c>
      <c r="BM49" s="63">
        <f>BD49</f>
      </c>
      <c r="BN49" s="63">
        <f>BG49</f>
      </c>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row>
    <row x14ac:dyDescent="0.25" r="50" customHeight="1" ht="13.5">
      <c r="A50" s="2"/>
      <c r="B50" s="3"/>
      <c r="C50" s="2"/>
      <c r="D50" s="292">
        <f>D128</f>
      </c>
      <c r="E50" s="293">
        <f>H50+K50+N50+Q50+T50</f>
      </c>
      <c r="F50" s="293">
        <f>I50+L50+O50+R50+U50</f>
      </c>
      <c r="G50" s="293">
        <f>J50+M50+P50+S50+V50</f>
      </c>
      <c r="H50" s="293">
        <f>H154+I235</f>
      </c>
      <c r="I50" s="293">
        <f>I154+J235</f>
      </c>
      <c r="J50" s="293">
        <f>J154+K235</f>
      </c>
      <c r="K50" s="293">
        <f>K154+L235</f>
      </c>
      <c r="L50" s="293">
        <f>L154+M235</f>
      </c>
      <c r="M50" s="293">
        <f>M154+N235</f>
      </c>
      <c r="N50" s="293">
        <f>N154+O235</f>
      </c>
      <c r="O50" s="293">
        <f>O154+P235</f>
      </c>
      <c r="P50" s="293">
        <f>P154+Q235</f>
      </c>
      <c r="Q50" s="293">
        <f>Q154+R235</f>
      </c>
      <c r="R50" s="293">
        <f>R154+S235</f>
      </c>
      <c r="S50" s="293">
        <f>S154+T235</f>
      </c>
      <c r="T50" s="293">
        <f>T154+U235</f>
      </c>
      <c r="U50" s="293">
        <f>U154+V235</f>
      </c>
      <c r="V50" s="293">
        <f>V154+W235</f>
      </c>
      <c r="W50" s="108"/>
      <c r="X50" s="140" t="s">
        <v>161</v>
      </c>
      <c r="Y50" s="124">
        <f>AB50+AE50+AH50+AK50+AN50</f>
      </c>
      <c r="Z50" s="124">
        <f>AC50+AF50+AI50+AL50+AO50</f>
      </c>
      <c r="AA50" s="124">
        <f>AD50+AG50+AJ50+AM50+AP50</f>
      </c>
      <c r="AB50" s="293">
        <f>H50/$E$10</f>
      </c>
      <c r="AC50" s="293">
        <f>I50/$E$10</f>
      </c>
      <c r="AD50" s="293">
        <f>J50/$E$10</f>
      </c>
      <c r="AE50" s="293">
        <f>K50/$E$10</f>
      </c>
      <c r="AF50" s="293">
        <f>L50/$E$10</f>
      </c>
      <c r="AG50" s="293">
        <f>M50/$E$10</f>
      </c>
      <c r="AH50" s="293">
        <f>N50/$E$10</f>
      </c>
      <c r="AI50" s="293">
        <f>O50/$E$10</f>
      </c>
      <c r="AJ50" s="293">
        <f>P50/$E$10</f>
      </c>
      <c r="AK50" s="293">
        <f>Q50/$E$13</f>
      </c>
      <c r="AL50" s="293">
        <f>R50/$E$13</f>
      </c>
      <c r="AM50" s="293">
        <f>S50/$E$13</f>
      </c>
      <c r="AN50" s="293">
        <f>T50/$E$14</f>
      </c>
      <c r="AO50" s="293">
        <f>U50/$E$14</f>
      </c>
      <c r="AP50" s="293">
        <f>V50/$E$14</f>
      </c>
      <c r="AQ50" s="142"/>
      <c r="AR50" s="123" t="s">
        <v>161</v>
      </c>
      <c r="AS50" s="63">
        <f>AB50/Y50</f>
      </c>
      <c r="AT50" s="63">
        <f>AC50/Z50</f>
      </c>
      <c r="AU50" s="63">
        <f>AD50/AA50</f>
      </c>
      <c r="AV50" s="63">
        <f>AE50/Y50</f>
      </c>
      <c r="AW50" s="63">
        <f>AF50/Z50</f>
      </c>
      <c r="AX50" s="63">
        <f>AG50/AA50</f>
      </c>
      <c r="AY50" s="63">
        <f>AH50/Y50</f>
      </c>
      <c r="AZ50" s="63">
        <f>AI50/Z50</f>
      </c>
      <c r="BA50" s="63">
        <f>AJ50/AA50</f>
      </c>
      <c r="BB50" s="63">
        <f>AK50/Y50</f>
      </c>
      <c r="BC50" s="63">
        <f>AL50/Z50</f>
      </c>
      <c r="BD50" s="63">
        <f>AM50/AA50</f>
      </c>
      <c r="BE50" s="63">
        <f>AN50/Y50</f>
      </c>
      <c r="BF50" s="63">
        <f>AO50/Z50</f>
      </c>
      <c r="BG50" s="63">
        <f>AP50/AA50</f>
      </c>
      <c r="BH50" s="2"/>
      <c r="BI50" s="2"/>
      <c r="BJ50" s="63">
        <f>AU50</f>
      </c>
      <c r="BK50" s="63">
        <f>AX50</f>
      </c>
      <c r="BL50" s="63">
        <f>BA50</f>
      </c>
      <c r="BM50" s="63">
        <f>BD50</f>
      </c>
      <c r="BN50" s="63">
        <f>BG50</f>
      </c>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row>
    <row x14ac:dyDescent="0.25" r="51" customHeight="1" ht="13.5">
      <c r="A51" s="2"/>
      <c r="B51" s="3"/>
      <c r="C51" s="2"/>
      <c r="D51" s="292">
        <f>D129</f>
      </c>
      <c r="E51" s="293">
        <f>H51+K51+N51+Q51+T51</f>
      </c>
      <c r="F51" s="293">
        <f>I51+L51+O51+R51+U51</f>
      </c>
      <c r="G51" s="293">
        <f>J51+M51+P51+S51+V51</f>
      </c>
      <c r="H51" s="293">
        <f>H155+I236</f>
      </c>
      <c r="I51" s="293">
        <f>I155+J236</f>
      </c>
      <c r="J51" s="293">
        <f>J155+K236</f>
      </c>
      <c r="K51" s="293">
        <f>K155+L236</f>
      </c>
      <c r="L51" s="293">
        <f>L155+M236</f>
      </c>
      <c r="M51" s="293">
        <f>M155+N236</f>
      </c>
      <c r="N51" s="293">
        <f>N155+O236</f>
      </c>
      <c r="O51" s="293">
        <f>O155+P236</f>
      </c>
      <c r="P51" s="293">
        <f>P155+Q236</f>
      </c>
      <c r="Q51" s="293">
        <f>Q155+R236</f>
      </c>
      <c r="R51" s="293">
        <f>R155+S236</f>
      </c>
      <c r="S51" s="293">
        <f>S155+T236</f>
      </c>
      <c r="T51" s="293">
        <f>T155+U236</f>
      </c>
      <c r="U51" s="293">
        <f>U155+V236</f>
      </c>
      <c r="V51" s="293">
        <f>V155+W236</f>
      </c>
      <c r="W51" s="108"/>
      <c r="X51" s="140" t="s">
        <v>219</v>
      </c>
      <c r="Y51" s="124">
        <f>AB51+AE51+AH51+AK51+AN51</f>
      </c>
      <c r="Z51" s="124">
        <f>AC51+AF51+AI51+AL51+AO51</f>
      </c>
      <c r="AA51" s="124">
        <f>AD51+AG51+AJ51+AM51+AP51</f>
      </c>
      <c r="AB51" s="293">
        <f>H51/$E$10</f>
      </c>
      <c r="AC51" s="293">
        <f>I51/$E$10</f>
      </c>
      <c r="AD51" s="293">
        <f>J51/$E$10</f>
      </c>
      <c r="AE51" s="293">
        <f>K51/$E$10</f>
      </c>
      <c r="AF51" s="293">
        <f>L51/$E$10</f>
      </c>
      <c r="AG51" s="293">
        <f>M51/$E$10</f>
      </c>
      <c r="AH51" s="293">
        <f>N51/$E$10</f>
      </c>
      <c r="AI51" s="293">
        <f>O51/$E$10</f>
      </c>
      <c r="AJ51" s="293">
        <f>P51/$E$10</f>
      </c>
      <c r="AK51" s="293">
        <f>Q51/$E$13</f>
      </c>
      <c r="AL51" s="293">
        <f>R51/$E$13</f>
      </c>
      <c r="AM51" s="293">
        <f>S51/$E$13</f>
      </c>
      <c r="AN51" s="293">
        <f>T51/$E$14</f>
      </c>
      <c r="AO51" s="293">
        <f>U51/$E$14</f>
      </c>
      <c r="AP51" s="293">
        <f>V51/$E$14</f>
      </c>
      <c r="AQ51" s="142"/>
      <c r="AR51" s="123" t="s">
        <v>219</v>
      </c>
      <c r="AS51" s="63">
        <f>AB51/Y51</f>
      </c>
      <c r="AT51" s="63">
        <f>AC51/Z51</f>
      </c>
      <c r="AU51" s="63">
        <f>AD51/AA51</f>
      </c>
      <c r="AV51" s="63">
        <f>AE51/Y51</f>
      </c>
      <c r="AW51" s="63">
        <f>AF51/Z51</f>
      </c>
      <c r="AX51" s="63">
        <f>AG51/AA51</f>
      </c>
      <c r="AY51" s="63">
        <f>AH51/Y51</f>
      </c>
      <c r="AZ51" s="63">
        <f>AI51/Z51</f>
      </c>
      <c r="BA51" s="63">
        <f>AJ51/AA51</f>
      </c>
      <c r="BB51" s="63">
        <f>AK51/Y51</f>
      </c>
      <c r="BC51" s="63">
        <f>AL51/Z51</f>
      </c>
      <c r="BD51" s="63">
        <f>AM51/AA51</f>
      </c>
      <c r="BE51" s="63">
        <f>AN51/Y51</f>
      </c>
      <c r="BF51" s="63">
        <f>AO51/Z51</f>
      </c>
      <c r="BG51" s="63">
        <f>AP51/AA51</f>
      </c>
      <c r="BH51" s="2"/>
      <c r="BI51" s="2"/>
      <c r="BJ51" s="63">
        <f>AU51</f>
      </c>
      <c r="BK51" s="63">
        <f>AX51</f>
      </c>
      <c r="BL51" s="63">
        <f>BA51</f>
      </c>
      <c r="BM51" s="63">
        <f>BD51</f>
      </c>
      <c r="BN51" s="63">
        <f>BG51</f>
      </c>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row>
    <row x14ac:dyDescent="0.25" r="52" customHeight="1" ht="13.5">
      <c r="A52" s="2"/>
      <c r="B52" s="3"/>
      <c r="C52" s="2"/>
      <c r="D52" s="292">
        <f>D130</f>
      </c>
      <c r="E52" s="293">
        <f>H52+K52+N52+Q52+T52</f>
      </c>
      <c r="F52" s="293">
        <f>I52+L52+O52+R52+U52</f>
      </c>
      <c r="G52" s="293">
        <f>J52+M52+P52+S52+V52</f>
      </c>
      <c r="H52" s="293">
        <f>H156+I237</f>
      </c>
      <c r="I52" s="293">
        <f>I156+J237</f>
      </c>
      <c r="J52" s="293">
        <f>J156+K237</f>
      </c>
      <c r="K52" s="293">
        <f>K156+L237</f>
      </c>
      <c r="L52" s="293">
        <f>L156+M237</f>
      </c>
      <c r="M52" s="293">
        <f>M156+N237</f>
      </c>
      <c r="N52" s="293">
        <f>N156+O237</f>
      </c>
      <c r="O52" s="293">
        <f>O156+P237</f>
      </c>
      <c r="P52" s="293">
        <f>P156+Q237</f>
      </c>
      <c r="Q52" s="293">
        <f>Q156+R237</f>
      </c>
      <c r="R52" s="293">
        <f>R156+S237</f>
      </c>
      <c r="S52" s="293">
        <f>S156+T237</f>
      </c>
      <c r="T52" s="293">
        <f>T156+U237</f>
      </c>
      <c r="U52" s="293">
        <f>U156+V237</f>
      </c>
      <c r="V52" s="293">
        <f>V156+W237</f>
      </c>
      <c r="W52" s="108"/>
      <c r="X52" s="140" t="s">
        <v>159</v>
      </c>
      <c r="Y52" s="124">
        <f>AB52+AE52+AH52+AK52+AN52</f>
      </c>
      <c r="Z52" s="124">
        <f>AC52+AF52+AI52+AL52+AO52</f>
      </c>
      <c r="AA52" s="124">
        <f>AD52+AG52+AJ52+AM52+AP52</f>
      </c>
      <c r="AB52" s="293">
        <f>H52/$E$10</f>
      </c>
      <c r="AC52" s="293">
        <f>I52/$E$10</f>
      </c>
      <c r="AD52" s="293">
        <f>J52/$E$10</f>
      </c>
      <c r="AE52" s="293">
        <f>K52/$E$10</f>
      </c>
      <c r="AF52" s="293">
        <f>L52/$E$10</f>
      </c>
      <c r="AG52" s="293">
        <f>M52/$E$10</f>
      </c>
      <c r="AH52" s="293">
        <f>N52/$E$10</f>
      </c>
      <c r="AI52" s="293">
        <f>O52/$E$10</f>
      </c>
      <c r="AJ52" s="293">
        <f>P52/$E$10</f>
      </c>
      <c r="AK52" s="293">
        <f>Q52/$E$13</f>
      </c>
      <c r="AL52" s="293">
        <f>R52/$E$13</f>
      </c>
      <c r="AM52" s="293">
        <f>S52/$E$13</f>
      </c>
      <c r="AN52" s="293">
        <f>T52/$E$14</f>
      </c>
      <c r="AO52" s="293">
        <f>U52/$E$14</f>
      </c>
      <c r="AP52" s="293">
        <f>V52/$E$14</f>
      </c>
      <c r="AQ52" s="142"/>
      <c r="AR52" s="123" t="s">
        <v>159</v>
      </c>
      <c r="AS52" s="63">
        <f>AB52/Y52</f>
      </c>
      <c r="AT52" s="63">
        <f>AC52/Z52</f>
      </c>
      <c r="AU52" s="63">
        <f>AD52/AA52</f>
      </c>
      <c r="AV52" s="63">
        <f>AE52/Y52</f>
      </c>
      <c r="AW52" s="63">
        <f>AF52/Z52</f>
      </c>
      <c r="AX52" s="63">
        <f>AG52/AA52</f>
      </c>
      <c r="AY52" s="63">
        <f>AH52/Y52</f>
      </c>
      <c r="AZ52" s="63">
        <f>AI52/Z52</f>
      </c>
      <c r="BA52" s="63">
        <f>AJ52/AA52</f>
      </c>
      <c r="BB52" s="63">
        <f>AK52/Y52</f>
      </c>
      <c r="BC52" s="63">
        <f>AL52/Z52</f>
      </c>
      <c r="BD52" s="63">
        <f>AM52/AA52</f>
      </c>
      <c r="BE52" s="63">
        <f>AN52/Y52</f>
      </c>
      <c r="BF52" s="63">
        <f>AO52/Z52</f>
      </c>
      <c r="BG52" s="63">
        <f>AP52/AA52</f>
      </c>
      <c r="BH52" s="2"/>
      <c r="BI52" s="2"/>
      <c r="BJ52" s="63">
        <f>AU52</f>
      </c>
      <c r="BK52" s="63">
        <f>AX52</f>
      </c>
      <c r="BL52" s="63">
        <f>BA52</f>
      </c>
      <c r="BM52" s="63">
        <f>BD52</f>
      </c>
      <c r="BN52" s="63">
        <f>BG52</f>
      </c>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row>
    <row x14ac:dyDescent="0.25" r="53" customHeight="1" ht="13.5">
      <c r="A53" s="2"/>
      <c r="B53" s="3"/>
      <c r="C53" s="2"/>
      <c r="D53" s="292">
        <f>D131</f>
      </c>
      <c r="E53" s="293">
        <f>H53+K53+N53+Q53+T53</f>
      </c>
      <c r="F53" s="293">
        <f>I53+L53+O53+R53+U53</f>
      </c>
      <c r="G53" s="293">
        <f>J53+M53+P53+S53+V53</f>
      </c>
      <c r="H53" s="293">
        <f>H157+I238</f>
      </c>
      <c r="I53" s="293">
        <f>I157+J238</f>
      </c>
      <c r="J53" s="293">
        <f>J157+K238</f>
      </c>
      <c r="K53" s="293">
        <f>K157+L238</f>
      </c>
      <c r="L53" s="293">
        <f>L157+M238</f>
      </c>
      <c r="M53" s="293">
        <f>M157+N238</f>
      </c>
      <c r="N53" s="293">
        <f>N157+O238</f>
      </c>
      <c r="O53" s="293">
        <f>O157+P238</f>
      </c>
      <c r="P53" s="293">
        <f>P157+Q238</f>
      </c>
      <c r="Q53" s="293">
        <f>Q157+R238</f>
      </c>
      <c r="R53" s="293">
        <f>R157+S238</f>
      </c>
      <c r="S53" s="293">
        <f>S157+T238</f>
      </c>
      <c r="T53" s="293">
        <f>T157+U238</f>
      </c>
      <c r="U53" s="293">
        <f>U157+V238</f>
      </c>
      <c r="V53" s="293">
        <f>V157+W238</f>
      </c>
      <c r="W53" s="108"/>
      <c r="X53" s="140" t="s">
        <v>163</v>
      </c>
      <c r="Y53" s="124">
        <f>AB53+AE53+AH53+AK53+AN53</f>
      </c>
      <c r="Z53" s="124">
        <f>AC53+AF53+AI53+AL53+AO53</f>
      </c>
      <c r="AA53" s="124">
        <f>AD53+AG53+AJ53+AM53+AP53</f>
      </c>
      <c r="AB53" s="293">
        <f>H53/$E$10</f>
      </c>
      <c r="AC53" s="293">
        <f>I53/$E$10</f>
      </c>
      <c r="AD53" s="293">
        <f>J53/$E$10</f>
      </c>
      <c r="AE53" s="293">
        <f>K53/$E$10</f>
      </c>
      <c r="AF53" s="293">
        <f>L53/$E$10</f>
      </c>
      <c r="AG53" s="293">
        <f>M53/$E$10</f>
      </c>
      <c r="AH53" s="293">
        <f>N53/$E$10</f>
      </c>
      <c r="AI53" s="293">
        <f>O53/$E$10</f>
      </c>
      <c r="AJ53" s="293">
        <f>P53/$E$10</f>
      </c>
      <c r="AK53" s="293">
        <f>Q53/$E$13</f>
      </c>
      <c r="AL53" s="293">
        <f>R53/$E$13</f>
      </c>
      <c r="AM53" s="293">
        <f>S53/$E$13</f>
      </c>
      <c r="AN53" s="293">
        <f>T53/$E$14</f>
      </c>
      <c r="AO53" s="293">
        <f>U53/$E$14</f>
      </c>
      <c r="AP53" s="293">
        <f>V53/$E$14</f>
      </c>
      <c r="AQ53" s="142"/>
      <c r="AR53" s="123" t="s">
        <v>163</v>
      </c>
      <c r="AS53" s="63">
        <f>AB53/Y53</f>
      </c>
      <c r="AT53" s="63">
        <f>AC53/Z53</f>
      </c>
      <c r="AU53" s="63">
        <f>AD53/AA53</f>
      </c>
      <c r="AV53" s="63">
        <f>AE53/Y53</f>
      </c>
      <c r="AW53" s="63">
        <f>AF53/Z53</f>
      </c>
      <c r="AX53" s="63">
        <f>AG53/AA53</f>
      </c>
      <c r="AY53" s="63">
        <f>AH53/Y53</f>
      </c>
      <c r="AZ53" s="63">
        <f>AI53/Z53</f>
      </c>
      <c r="BA53" s="63">
        <f>AJ53/AA53</f>
      </c>
      <c r="BB53" s="63">
        <f>AK53/Y53</f>
      </c>
      <c r="BC53" s="63">
        <f>AL53/Z53</f>
      </c>
      <c r="BD53" s="63">
        <f>AM53/AA53</f>
      </c>
      <c r="BE53" s="63">
        <f>AN53/Y53</f>
      </c>
      <c r="BF53" s="63">
        <f>AO53/Z53</f>
      </c>
      <c r="BG53" s="63">
        <f>AP53/AA53</f>
      </c>
      <c r="BH53" s="2"/>
      <c r="BI53" s="2"/>
      <c r="BJ53" s="63">
        <f>AU53</f>
      </c>
      <c r="BK53" s="63">
        <f>AX53</f>
      </c>
      <c r="BL53" s="63">
        <f>BA53</f>
      </c>
      <c r="BM53" s="63">
        <f>BD53</f>
      </c>
      <c r="BN53" s="63">
        <f>BG53</f>
      </c>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row>
    <row x14ac:dyDescent="0.25" r="54" customHeight="1" ht="13.5">
      <c r="A54" s="2"/>
      <c r="B54" s="3"/>
      <c r="C54" s="2"/>
      <c r="D54" s="292">
        <f>D132</f>
      </c>
      <c r="E54" s="293">
        <f>H54+K54+N54+Q54+T54</f>
      </c>
      <c r="F54" s="293">
        <f>I54+L54+O54+R54+U54</f>
      </c>
      <c r="G54" s="293">
        <f>J54+M54+P54+S54+V54</f>
      </c>
      <c r="H54" s="293">
        <f>H158+I239</f>
      </c>
      <c r="I54" s="293">
        <f>I158+J239</f>
      </c>
      <c r="J54" s="293">
        <f>J158+K239</f>
      </c>
      <c r="K54" s="293">
        <f>K158+L239</f>
      </c>
      <c r="L54" s="293">
        <f>L158+M239</f>
      </c>
      <c r="M54" s="293">
        <f>M158+N239</f>
      </c>
      <c r="N54" s="293">
        <f>N158+O239</f>
      </c>
      <c r="O54" s="293">
        <f>O158+P239</f>
      </c>
      <c r="P54" s="293">
        <f>P158+Q239</f>
      </c>
      <c r="Q54" s="293">
        <f>Q158+R239</f>
      </c>
      <c r="R54" s="293">
        <f>R158+S239</f>
      </c>
      <c r="S54" s="293">
        <f>S158+T239</f>
      </c>
      <c r="T54" s="293">
        <f>T158+U239</f>
      </c>
      <c r="U54" s="293">
        <f>U158+V239</f>
      </c>
      <c r="V54" s="293">
        <f>V158+W239</f>
      </c>
      <c r="W54" s="108"/>
      <c r="X54" s="140" t="s">
        <v>227</v>
      </c>
      <c r="Y54" s="124">
        <f>AB54+AE54+AH54+AK54+AN54</f>
      </c>
      <c r="Z54" s="124">
        <f>AC54+AF54+AI54+AL54+AO54</f>
      </c>
      <c r="AA54" s="124">
        <f>AD54+AG54+AJ54+AM54+AP54</f>
      </c>
      <c r="AB54" s="293">
        <f>H54/$E$10</f>
      </c>
      <c r="AC54" s="293">
        <f>I54/$E$10</f>
      </c>
      <c r="AD54" s="293">
        <f>J54/$E$10</f>
      </c>
      <c r="AE54" s="293">
        <f>K54/$E$10</f>
      </c>
      <c r="AF54" s="293">
        <f>L54/$E$10</f>
      </c>
      <c r="AG54" s="293">
        <f>M54/$E$10</f>
      </c>
      <c r="AH54" s="293">
        <f>N54/$E$10</f>
      </c>
      <c r="AI54" s="293">
        <f>O54/$E$10</f>
      </c>
      <c r="AJ54" s="293">
        <f>P54/$E$10</f>
      </c>
      <c r="AK54" s="293">
        <f>Q54/$E$13</f>
      </c>
      <c r="AL54" s="293">
        <f>R54/$E$13</f>
      </c>
      <c r="AM54" s="293">
        <f>S54/$E$13</f>
      </c>
      <c r="AN54" s="293">
        <f>T54/$E$14</f>
      </c>
      <c r="AO54" s="293">
        <f>U54/$E$14</f>
      </c>
      <c r="AP54" s="293">
        <f>V54/$E$14</f>
      </c>
      <c r="AQ54" s="142"/>
      <c r="AR54" s="123" t="s">
        <v>227</v>
      </c>
      <c r="AS54" s="63">
        <f>AB54/Y54</f>
      </c>
      <c r="AT54" s="63">
        <f>AC54/Z54</f>
      </c>
      <c r="AU54" s="63">
        <f>AD54/AA54</f>
      </c>
      <c r="AV54" s="63">
        <f>AE54/Y54</f>
      </c>
      <c r="AW54" s="63">
        <f>AF54/Z54</f>
      </c>
      <c r="AX54" s="63">
        <f>AG54/AA54</f>
      </c>
      <c r="AY54" s="63">
        <f>AH54/Y54</f>
      </c>
      <c r="AZ54" s="63">
        <f>AI54/Z54</f>
      </c>
      <c r="BA54" s="63">
        <f>AJ54/AA54</f>
      </c>
      <c r="BB54" s="63">
        <f>AK54/Y54</f>
      </c>
      <c r="BC54" s="63">
        <f>AL54/Z54</f>
      </c>
      <c r="BD54" s="63">
        <f>AM54/AA54</f>
      </c>
      <c r="BE54" s="63">
        <f>AN54/Y54</f>
      </c>
      <c r="BF54" s="63">
        <f>AO54/Z54</f>
      </c>
      <c r="BG54" s="63">
        <f>AP54/AA54</f>
      </c>
      <c r="BH54" s="2"/>
      <c r="BI54" s="2"/>
      <c r="BJ54" s="63">
        <f>AU54</f>
      </c>
      <c r="BK54" s="63">
        <f>AX54</f>
      </c>
      <c r="BL54" s="63">
        <f>BA54</f>
      </c>
      <c r="BM54" s="63">
        <f>BD54</f>
      </c>
      <c r="BN54" s="63">
        <f>BG54</f>
      </c>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row>
    <row x14ac:dyDescent="0.25" r="55" customHeight="1" ht="13.5">
      <c r="A55" s="2"/>
      <c r="B55" s="3"/>
      <c r="C55" s="2"/>
      <c r="D55" s="292">
        <f>D133</f>
      </c>
      <c r="E55" s="293">
        <f>H55+K55+N55+Q55+T55</f>
      </c>
      <c r="F55" s="293">
        <f>I55+L55+O55+R55+U55</f>
      </c>
      <c r="G55" s="293">
        <f>J55+M55+P55+S55+V55</f>
      </c>
      <c r="H55" s="293">
        <f>H159+I240</f>
      </c>
      <c r="I55" s="293">
        <f>I159+J240</f>
      </c>
      <c r="J55" s="293">
        <f>J159+K240</f>
      </c>
      <c r="K55" s="293">
        <f>K159+L240</f>
      </c>
      <c r="L55" s="293">
        <f>L159+M240</f>
      </c>
      <c r="M55" s="293">
        <f>M159+N240</f>
      </c>
      <c r="N55" s="293">
        <f>N159+O240</f>
      </c>
      <c r="O55" s="293">
        <f>O159+P240</f>
      </c>
      <c r="P55" s="293">
        <f>P159+Q240</f>
      </c>
      <c r="Q55" s="293">
        <f>Q159+R240</f>
      </c>
      <c r="R55" s="293">
        <f>R159+S240</f>
      </c>
      <c r="S55" s="293">
        <f>S159+T240</f>
      </c>
      <c r="T55" s="293">
        <f>T159+U240</f>
      </c>
      <c r="U55" s="293">
        <f>U159+V240</f>
      </c>
      <c r="V55" s="293">
        <f>V159+W240</f>
      </c>
      <c r="W55" s="108"/>
      <c r="X55" s="140" t="s">
        <v>255</v>
      </c>
      <c r="Y55" s="284">
        <f>AB55+AE55+AH55+AK55+AN55</f>
      </c>
      <c r="Z55" s="284">
        <f>AC55+AF55+AI55+AL55+AO55</f>
      </c>
      <c r="AA55" s="284">
        <f>AD55+AG55+AJ55+AM55+AP55</f>
      </c>
      <c r="AB55" s="294">
        <f>H55/$E$10</f>
      </c>
      <c r="AC55" s="294">
        <f>I55/$E$10</f>
      </c>
      <c r="AD55" s="294">
        <f>J55/$E$10</f>
      </c>
      <c r="AE55" s="294">
        <f>K55/$E$10</f>
      </c>
      <c r="AF55" s="294">
        <f>L55/$E$10</f>
      </c>
      <c r="AG55" s="294">
        <f>M55/$E$10</f>
      </c>
      <c r="AH55" s="294">
        <f>N55/$E$10</f>
      </c>
      <c r="AI55" s="294">
        <f>O55/$E$10</f>
      </c>
      <c r="AJ55" s="294">
        <f>P55/$E$10</f>
      </c>
      <c r="AK55" s="294">
        <f>Q55/$E$13</f>
      </c>
      <c r="AL55" s="294">
        <f>R55/$E$13</f>
      </c>
      <c r="AM55" s="294">
        <f>S55/$E$13</f>
      </c>
      <c r="AN55" s="294">
        <f>T55/$E$14</f>
      </c>
      <c r="AO55" s="294">
        <f>U55/$E$14</f>
      </c>
      <c r="AP55" s="294">
        <f>V55/$E$14</f>
      </c>
      <c r="AQ55" s="124"/>
      <c r="AR55" s="123" t="s">
        <v>255</v>
      </c>
      <c r="AS55" s="63">
        <v>0</v>
      </c>
      <c r="AT55" s="63">
        <f>AC55/Z55</f>
      </c>
      <c r="AU55" s="63">
        <f>AD55/AA55</f>
      </c>
      <c r="AV55" s="63">
        <v>0</v>
      </c>
      <c r="AW55" s="63">
        <f>AF55/Z55</f>
      </c>
      <c r="AX55" s="63">
        <f>AG55/AA55</f>
      </c>
      <c r="AY55" s="63">
        <v>0</v>
      </c>
      <c r="AZ55" s="63">
        <f>AI55/Z55</f>
      </c>
      <c r="BA55" s="63">
        <f>AJ55/AA55</f>
      </c>
      <c r="BB55" s="63">
        <v>0</v>
      </c>
      <c r="BC55" s="63">
        <f>AL55/Z55</f>
      </c>
      <c r="BD55" s="63">
        <f>AM55/AA55</f>
      </c>
      <c r="BE55" s="63">
        <v>0</v>
      </c>
      <c r="BF55" s="63">
        <f>AO55/Z55</f>
      </c>
      <c r="BG55" s="63">
        <f>AP55/AA55</f>
      </c>
      <c r="BH55" s="2"/>
      <c r="BI55" s="2"/>
      <c r="BJ55" s="63">
        <f>AU55</f>
      </c>
      <c r="BK55" s="63">
        <f>AX55</f>
      </c>
      <c r="BL55" s="63">
        <f>BA55</f>
      </c>
      <c r="BM55" s="63">
        <f>BD55</f>
      </c>
      <c r="BN55" s="63">
        <f>BG55</f>
      </c>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row>
    <row x14ac:dyDescent="0.25" r="56" customHeight="1" ht="13.5">
      <c r="A56" s="2"/>
      <c r="B56" s="3"/>
      <c r="C56" s="2"/>
      <c r="D56" s="295" t="s">
        <v>336</v>
      </c>
      <c r="E56" s="296">
        <f>SUM(E35:E55)</f>
      </c>
      <c r="F56" s="296">
        <f>SUM(F35:F55)</f>
      </c>
      <c r="G56" s="296">
        <f>SUM(G35:G55)</f>
      </c>
      <c r="H56" s="296">
        <f>SUM(H35:H55)</f>
      </c>
      <c r="I56" s="296">
        <f>SUM(I35:I55)</f>
      </c>
      <c r="J56" s="296">
        <f>SUM(J35:J55)</f>
      </c>
      <c r="K56" s="296">
        <f>SUM(K35:K55)</f>
      </c>
      <c r="L56" s="296">
        <f>SUM(L35:L55)</f>
      </c>
      <c r="M56" s="296">
        <f>SUM(M35:M55)</f>
      </c>
      <c r="N56" s="296">
        <f>SUM(N35:N55)</f>
      </c>
      <c r="O56" s="296">
        <f>SUM(O35:O55)</f>
      </c>
      <c r="P56" s="296">
        <f>SUM(P35:P55)</f>
      </c>
      <c r="Q56" s="296">
        <f>SUM(Q35:Q55)</f>
      </c>
      <c r="R56" s="296">
        <f>SUM(R35:R55)</f>
      </c>
      <c r="S56" s="296">
        <f>SUM(S35:S55)</f>
      </c>
      <c r="T56" s="296">
        <f>SUM(T35:T55)</f>
      </c>
      <c r="U56" s="296">
        <f>SUM(U35:U55)</f>
      </c>
      <c r="V56" s="296">
        <f>SUM(V35:V55)</f>
      </c>
      <c r="W56" s="297"/>
      <c r="X56" s="298" t="s">
        <v>336</v>
      </c>
      <c r="Y56" s="296">
        <f>SUM(Y35:Y55)</f>
      </c>
      <c r="Z56" s="296">
        <f>SUM(Z35:Z55)</f>
      </c>
      <c r="AA56" s="296">
        <f>SUM(AA35:AA55)</f>
      </c>
      <c r="AB56" s="296">
        <f>SUM(AB35:AB55)</f>
      </c>
      <c r="AC56" s="296">
        <f>SUM(AC35:AC55)</f>
      </c>
      <c r="AD56" s="296">
        <f>SUM(AD35:AD55)</f>
      </c>
      <c r="AE56" s="296">
        <f>SUM(AE35:AE55)</f>
      </c>
      <c r="AF56" s="296">
        <f>SUM(AF35:AF55)</f>
      </c>
      <c r="AG56" s="296">
        <f>SUM(AG35:AG55)</f>
      </c>
      <c r="AH56" s="296">
        <f>SUM(AH35:AH55)</f>
      </c>
      <c r="AI56" s="296">
        <f>SUM(AI35:AI55)</f>
      </c>
      <c r="AJ56" s="296">
        <f>SUM(AJ35:AJ55)</f>
      </c>
      <c r="AK56" s="296">
        <f>SUM(AK35:AK55)</f>
      </c>
      <c r="AL56" s="296">
        <f>SUM(AL35:AL55)</f>
      </c>
      <c r="AM56" s="296">
        <f>SUM(AM35:AM55)</f>
      </c>
      <c r="AN56" s="296">
        <f>SUM(AN35:AN55)</f>
      </c>
      <c r="AO56" s="296">
        <f>SUM(AO35:AO55)</f>
      </c>
      <c r="AP56" s="296">
        <f>SUM(AP35:AP55)</f>
      </c>
      <c r="AQ56" s="297"/>
      <c r="AR56" s="297"/>
      <c r="AS56" s="297"/>
      <c r="AT56" s="297"/>
      <c r="AU56" s="297"/>
      <c r="AV56" s="124"/>
      <c r="AW56" s="299"/>
      <c r="AX56" s="124"/>
      <c r="AY56" s="124"/>
      <c r="AZ56" s="124"/>
      <c r="BA56" s="124"/>
      <c r="BB56" s="124"/>
      <c r="BC56" s="124"/>
      <c r="BD56" s="63"/>
      <c r="BE56" s="63"/>
      <c r="BF56" s="63"/>
      <c r="BG56" s="63"/>
      <c r="BH56" s="63"/>
      <c r="BI56" s="63"/>
      <c r="BJ56" s="124"/>
      <c r="BK56" s="124"/>
      <c r="BL56" s="124"/>
      <c r="BM56" s="124"/>
      <c r="BN56" s="124"/>
      <c r="BO56" s="124"/>
      <c r="BP56" s="124"/>
      <c r="BQ56" s="124"/>
      <c r="BR56" s="124"/>
      <c r="BS56" s="124"/>
      <c r="BT56" s="124"/>
      <c r="BU56" s="124"/>
      <c r="BV56" s="124"/>
      <c r="BW56" s="124"/>
      <c r="BX56" s="124"/>
      <c r="BY56" s="124"/>
      <c r="BZ56" s="124"/>
      <c r="CA56" s="124"/>
      <c r="CB56" s="124"/>
      <c r="CC56" s="124"/>
      <c r="CD56" s="124"/>
      <c r="CE56" s="124"/>
      <c r="CF56" s="124"/>
      <c r="CG56" s="124"/>
      <c r="CH56" s="124"/>
      <c r="CI56" s="124"/>
      <c r="CJ56" s="124"/>
      <c r="CK56" s="124"/>
      <c r="CL56" s="300"/>
      <c r="CM56" s="300"/>
      <c r="CN56" s="300"/>
      <c r="CO56" s="124"/>
      <c r="CP56" s="124"/>
      <c r="CQ56" s="124"/>
      <c r="CR56" s="124"/>
      <c r="CS56" s="124"/>
      <c r="CT56" s="124"/>
      <c r="CU56" s="124"/>
      <c r="CV56" s="124"/>
      <c r="CW56" s="124"/>
      <c r="CX56" s="124"/>
      <c r="CY56" s="124"/>
      <c r="CZ56" s="124"/>
      <c r="DA56" s="124"/>
      <c r="DB56" s="124"/>
      <c r="DC56" s="124"/>
      <c r="DD56" s="124"/>
      <c r="DE56" s="124"/>
      <c r="DF56" s="124"/>
      <c r="DG56" s="124"/>
      <c r="DH56" s="124"/>
      <c r="DI56" s="124"/>
      <c r="DJ56" s="124"/>
      <c r="DK56" s="124"/>
      <c r="DL56" s="124"/>
      <c r="DM56" s="124"/>
      <c r="DN56" s="124"/>
      <c r="DO56" s="124"/>
      <c r="DP56" s="124"/>
    </row>
    <row x14ac:dyDescent="0.25" r="57" customHeight="1" ht="13.5">
      <c r="A57" s="2"/>
      <c r="B57" s="3"/>
      <c r="C57" s="2"/>
      <c r="D57" s="290"/>
      <c r="E57" s="297"/>
      <c r="F57" s="297"/>
      <c r="G57" s="297"/>
      <c r="H57" s="297"/>
      <c r="I57" s="297"/>
      <c r="J57" s="297"/>
      <c r="K57" s="297"/>
      <c r="L57" s="297"/>
      <c r="M57" s="297"/>
      <c r="N57" s="297"/>
      <c r="O57" s="297"/>
      <c r="P57" s="297"/>
      <c r="Q57" s="297"/>
      <c r="R57" s="297"/>
      <c r="S57" s="297"/>
      <c r="T57" s="297"/>
      <c r="U57" s="297"/>
      <c r="V57" s="297"/>
      <c r="W57" s="297"/>
      <c r="X57" s="290"/>
      <c r="Y57" s="297"/>
      <c r="Z57" s="297"/>
      <c r="AA57" s="297"/>
      <c r="AB57" s="297"/>
      <c r="AC57" s="297"/>
      <c r="AD57" s="297"/>
      <c r="AE57" s="297"/>
      <c r="AF57" s="297"/>
      <c r="AG57" s="297"/>
      <c r="AH57" s="297"/>
      <c r="AI57" s="297"/>
      <c r="AJ57" s="297"/>
      <c r="AK57" s="297"/>
      <c r="AL57" s="297"/>
      <c r="AM57" s="297"/>
      <c r="AN57" s="297"/>
      <c r="AO57" s="297"/>
      <c r="AP57" s="297"/>
      <c r="AQ57" s="297"/>
      <c r="AR57" s="297"/>
      <c r="AS57" s="297"/>
      <c r="AT57" s="297"/>
      <c r="AU57" s="297"/>
      <c r="AV57" s="3"/>
      <c r="AW57" s="299"/>
      <c r="AX57" s="124"/>
      <c r="AY57" s="124"/>
      <c r="AZ57" s="124"/>
      <c r="BA57" s="124"/>
      <c r="BB57" s="124"/>
      <c r="BC57" s="124"/>
      <c r="BD57" s="63"/>
      <c r="BE57" s="63"/>
      <c r="BF57" s="63"/>
      <c r="BG57" s="63"/>
      <c r="BH57" s="63"/>
      <c r="BI57" s="63"/>
      <c r="BJ57" s="124"/>
      <c r="BK57" s="124"/>
      <c r="BL57" s="124"/>
      <c r="BM57" s="124"/>
      <c r="BN57" s="124"/>
      <c r="BO57" s="124"/>
      <c r="BP57" s="124"/>
      <c r="BQ57" s="124"/>
      <c r="BR57" s="124"/>
      <c r="BS57" s="124"/>
      <c r="BT57" s="124"/>
      <c r="BU57" s="124"/>
      <c r="BV57" s="124"/>
      <c r="BW57" s="124"/>
      <c r="BX57" s="124"/>
      <c r="BY57" s="124"/>
      <c r="BZ57" s="124"/>
      <c r="CA57" s="124"/>
      <c r="CB57" s="124"/>
      <c r="CC57" s="124"/>
      <c r="CD57" s="124"/>
      <c r="CE57" s="124"/>
      <c r="CF57" s="124"/>
      <c r="CG57" s="124"/>
      <c r="CH57" s="124"/>
      <c r="CI57" s="124"/>
      <c r="CJ57" s="124"/>
      <c r="CK57" s="124"/>
      <c r="CL57" s="300"/>
      <c r="CM57" s="300"/>
      <c r="CN57" s="300"/>
      <c r="CO57" s="124"/>
      <c r="CP57" s="124"/>
      <c r="CQ57" s="124"/>
      <c r="CR57" s="124"/>
      <c r="CS57" s="124"/>
      <c r="CT57" s="124"/>
      <c r="CU57" s="124"/>
      <c r="CV57" s="124"/>
      <c r="CW57" s="124"/>
      <c r="CX57" s="124"/>
      <c r="CY57" s="124"/>
      <c r="CZ57" s="124"/>
      <c r="DA57" s="124"/>
      <c r="DB57" s="124"/>
      <c r="DC57" s="124"/>
      <c r="DD57" s="124"/>
      <c r="DE57" s="124"/>
      <c r="DF57" s="124"/>
      <c r="DG57" s="124"/>
      <c r="DH57" s="124"/>
      <c r="DI57" s="124"/>
      <c r="DJ57" s="124"/>
      <c r="DK57" s="124"/>
      <c r="DL57" s="124"/>
      <c r="DM57" s="124"/>
      <c r="DN57" s="124"/>
      <c r="DO57" s="124"/>
      <c r="DP57" s="124"/>
    </row>
    <row x14ac:dyDescent="0.25" r="58" customHeight="1" ht="13.5">
      <c r="A58" s="2"/>
      <c r="B58" s="3"/>
      <c r="C58" s="2"/>
      <c r="D58" s="240" t="s">
        <v>467</v>
      </c>
      <c r="E58" s="297"/>
      <c r="F58" s="297"/>
      <c r="G58" s="297"/>
      <c r="H58" s="297"/>
      <c r="I58" s="297"/>
      <c r="J58" s="297"/>
      <c r="K58" s="297"/>
      <c r="L58" s="297"/>
      <c r="M58" s="297"/>
      <c r="N58" s="297"/>
      <c r="O58" s="297"/>
      <c r="P58" s="297"/>
      <c r="Q58" s="297"/>
      <c r="R58" s="297"/>
      <c r="S58" s="297"/>
      <c r="T58" s="297"/>
      <c r="U58" s="297"/>
      <c r="V58" s="297"/>
      <c r="W58" s="297"/>
      <c r="X58" s="279" t="s">
        <v>467</v>
      </c>
      <c r="Y58" s="297"/>
      <c r="Z58" s="297"/>
      <c r="AA58" s="297"/>
      <c r="AB58" s="297"/>
      <c r="AC58" s="297"/>
      <c r="AD58" s="297"/>
      <c r="AE58" s="297"/>
      <c r="AF58" s="297"/>
      <c r="AG58" s="297"/>
      <c r="AH58" s="297"/>
      <c r="AI58" s="297"/>
      <c r="AJ58" s="297"/>
      <c r="AK58" s="297"/>
      <c r="AL58" s="297"/>
      <c r="AM58" s="297"/>
      <c r="AN58" s="297"/>
      <c r="AO58" s="297"/>
      <c r="AP58" s="297"/>
      <c r="AQ58" s="297"/>
      <c r="AR58" s="240" t="s">
        <v>467</v>
      </c>
      <c r="AS58" s="124"/>
      <c r="AT58" s="124"/>
      <c r="AU58" s="124"/>
      <c r="AV58" s="124"/>
      <c r="AW58" s="124"/>
      <c r="AX58" s="124"/>
      <c r="AY58" s="124"/>
      <c r="AZ58" s="124"/>
      <c r="BA58" s="124"/>
      <c r="BB58" s="124"/>
      <c r="BC58" s="124"/>
      <c r="BD58" s="124"/>
      <c r="BE58" s="124"/>
      <c r="BF58" s="124"/>
      <c r="BG58" s="124"/>
      <c r="BH58" s="63"/>
      <c r="BI58" s="63"/>
      <c r="BJ58" s="124"/>
      <c r="BK58" s="124"/>
      <c r="BL58" s="124"/>
      <c r="BM58" s="124"/>
      <c r="BN58" s="124"/>
      <c r="BO58" s="124"/>
      <c r="BP58" s="124"/>
      <c r="BQ58" s="124"/>
      <c r="BR58" s="124"/>
      <c r="BS58" s="124"/>
      <c r="BT58" s="124"/>
      <c r="BU58" s="124"/>
      <c r="BV58" s="124"/>
      <c r="BW58" s="124"/>
      <c r="BX58" s="124"/>
      <c r="BY58" s="124"/>
      <c r="BZ58" s="124"/>
      <c r="CA58" s="124"/>
      <c r="CB58" s="124"/>
      <c r="CC58" s="124"/>
      <c r="CD58" s="124"/>
      <c r="CE58" s="124"/>
      <c r="CF58" s="124"/>
      <c r="CG58" s="124"/>
      <c r="CH58" s="124"/>
      <c r="CI58" s="124"/>
      <c r="CJ58" s="124"/>
      <c r="CK58" s="124"/>
      <c r="CL58" s="300"/>
      <c r="CM58" s="300"/>
      <c r="CN58" s="300"/>
      <c r="CO58" s="124"/>
      <c r="CP58" s="124"/>
      <c r="CQ58" s="124"/>
      <c r="CR58" s="124"/>
      <c r="CS58" s="124"/>
      <c r="CT58" s="124"/>
      <c r="CU58" s="124"/>
      <c r="CV58" s="124"/>
      <c r="CW58" s="124"/>
      <c r="CX58" s="124"/>
      <c r="CY58" s="124"/>
      <c r="CZ58" s="124"/>
      <c r="DA58" s="124"/>
      <c r="DB58" s="124"/>
      <c r="DC58" s="124"/>
      <c r="DD58" s="124"/>
      <c r="DE58" s="124"/>
      <c r="DF58" s="124"/>
      <c r="DG58" s="124"/>
      <c r="DH58" s="124"/>
      <c r="DI58" s="124"/>
      <c r="DJ58" s="124"/>
      <c r="DK58" s="124"/>
      <c r="DL58" s="124"/>
      <c r="DM58" s="124"/>
      <c r="DN58" s="124"/>
      <c r="DO58" s="124"/>
      <c r="DP58" s="124"/>
    </row>
    <row x14ac:dyDescent="0.25" r="59" customHeight="1" ht="13.5">
      <c r="A59" s="2"/>
      <c r="B59" s="3"/>
      <c r="C59" s="2"/>
      <c r="D59" s="241" t="s">
        <v>468</v>
      </c>
      <c r="E59" s="212" t="s">
        <v>336</v>
      </c>
      <c r="F59" s="124"/>
      <c r="G59" s="124"/>
      <c r="H59" s="212" t="s">
        <v>469</v>
      </c>
      <c r="I59" s="124"/>
      <c r="J59" s="124"/>
      <c r="K59" s="212" t="s">
        <v>443</v>
      </c>
      <c r="L59" s="124"/>
      <c r="M59" s="124"/>
      <c r="N59" s="212" t="s">
        <v>25</v>
      </c>
      <c r="O59" s="124"/>
      <c r="P59" s="124"/>
      <c r="Q59" s="212" t="s">
        <v>444</v>
      </c>
      <c r="R59" s="124"/>
      <c r="S59" s="124"/>
      <c r="T59" s="140" t="s">
        <v>29</v>
      </c>
      <c r="U59" s="124"/>
      <c r="V59" s="124"/>
      <c r="W59" s="297"/>
      <c r="X59" s="242" t="s">
        <v>470</v>
      </c>
      <c r="Y59" s="212" t="s">
        <v>336</v>
      </c>
      <c r="Z59" s="124"/>
      <c r="AA59" s="124"/>
      <c r="AB59" s="212" t="s">
        <v>469</v>
      </c>
      <c r="AC59" s="124"/>
      <c r="AD59" s="124"/>
      <c r="AE59" s="212" t="s">
        <v>443</v>
      </c>
      <c r="AF59" s="124"/>
      <c r="AG59" s="124"/>
      <c r="AH59" s="212" t="s">
        <v>25</v>
      </c>
      <c r="AI59" s="124"/>
      <c r="AJ59" s="124"/>
      <c r="AK59" s="212" t="s">
        <v>444</v>
      </c>
      <c r="AL59" s="124"/>
      <c r="AM59" s="124"/>
      <c r="AN59" s="212" t="s">
        <v>29</v>
      </c>
      <c r="AO59" s="124"/>
      <c r="AP59" s="124"/>
      <c r="AQ59" s="297"/>
      <c r="AR59" s="241" t="s">
        <v>470</v>
      </c>
      <c r="AS59" s="212" t="s">
        <v>469</v>
      </c>
      <c r="AT59" s="124"/>
      <c r="AU59" s="124"/>
      <c r="AV59" s="212" t="s">
        <v>443</v>
      </c>
      <c r="AW59" s="124"/>
      <c r="AX59" s="124"/>
      <c r="AY59" s="212" t="s">
        <v>25</v>
      </c>
      <c r="AZ59" s="124"/>
      <c r="BA59" s="124"/>
      <c r="BB59" s="212" t="s">
        <v>444</v>
      </c>
      <c r="BC59" s="124"/>
      <c r="BD59" s="124"/>
      <c r="BE59" s="212" t="s">
        <v>29</v>
      </c>
      <c r="BF59" s="124"/>
      <c r="BG59" s="124"/>
      <c r="BH59" s="63"/>
      <c r="BI59" s="63"/>
      <c r="BJ59" s="124">
        <v>2025</v>
      </c>
      <c r="BK59" s="124"/>
      <c r="BL59" s="124"/>
      <c r="BM59" s="124"/>
      <c r="BN59" s="124"/>
      <c r="BO59" s="124"/>
      <c r="BP59" s="124"/>
      <c r="BQ59" s="124"/>
      <c r="BR59" s="124"/>
      <c r="BS59" s="124"/>
      <c r="BT59" s="124"/>
      <c r="BU59" s="124"/>
      <c r="BV59" s="124"/>
      <c r="BW59" s="124"/>
      <c r="BX59" s="124"/>
      <c r="BY59" s="124"/>
      <c r="BZ59" s="124"/>
      <c r="CA59" s="124"/>
      <c r="CB59" s="124"/>
      <c r="CC59" s="124"/>
      <c r="CD59" s="124"/>
      <c r="CE59" s="124"/>
      <c r="CF59" s="124"/>
      <c r="CG59" s="124"/>
      <c r="CH59" s="124"/>
      <c r="CI59" s="124"/>
      <c r="CJ59" s="124"/>
      <c r="CK59" s="124"/>
      <c r="CL59" s="300"/>
      <c r="CM59" s="300"/>
      <c r="CN59" s="300"/>
      <c r="CO59" s="124"/>
      <c r="CP59" s="124"/>
      <c r="CQ59" s="124"/>
      <c r="CR59" s="124"/>
      <c r="CS59" s="124"/>
      <c r="CT59" s="124"/>
      <c r="CU59" s="124"/>
      <c r="CV59" s="124"/>
      <c r="CW59" s="124"/>
      <c r="CX59" s="124"/>
      <c r="CY59" s="124"/>
      <c r="CZ59" s="124"/>
      <c r="DA59" s="124"/>
      <c r="DB59" s="124"/>
      <c r="DC59" s="124"/>
      <c r="DD59" s="124"/>
      <c r="DE59" s="124"/>
      <c r="DF59" s="124"/>
      <c r="DG59" s="124"/>
      <c r="DH59" s="124"/>
      <c r="DI59" s="124"/>
      <c r="DJ59" s="124"/>
      <c r="DK59" s="124"/>
      <c r="DL59" s="124"/>
      <c r="DM59" s="124"/>
      <c r="DN59" s="124"/>
      <c r="DO59" s="124"/>
      <c r="DP59" s="124"/>
    </row>
    <row x14ac:dyDescent="0.25" r="60" customHeight="1" ht="13.5">
      <c r="A60" s="2"/>
      <c r="B60" s="3"/>
      <c r="C60" s="2"/>
      <c r="D60" s="246" t="s">
        <v>475</v>
      </c>
      <c r="E60" s="257">
        <v>2023</v>
      </c>
      <c r="F60" s="257">
        <v>2024</v>
      </c>
      <c r="G60" s="257">
        <v>2025</v>
      </c>
      <c r="H60" s="257">
        <v>2023</v>
      </c>
      <c r="I60" s="257">
        <v>2024</v>
      </c>
      <c r="J60" s="257">
        <v>2025</v>
      </c>
      <c r="K60" s="257">
        <v>2023</v>
      </c>
      <c r="L60" s="257">
        <v>2024</v>
      </c>
      <c r="M60" s="257">
        <v>2025</v>
      </c>
      <c r="N60" s="257">
        <v>2023</v>
      </c>
      <c r="O60" s="257">
        <v>2024</v>
      </c>
      <c r="P60" s="257">
        <v>2025</v>
      </c>
      <c r="Q60" s="257">
        <v>2023</v>
      </c>
      <c r="R60" s="257">
        <v>2024</v>
      </c>
      <c r="S60" s="257">
        <v>2025</v>
      </c>
      <c r="T60" s="257">
        <v>2023</v>
      </c>
      <c r="U60" s="257">
        <v>2024</v>
      </c>
      <c r="V60" s="257">
        <v>2025</v>
      </c>
      <c r="W60" s="297"/>
      <c r="X60" s="280" t="s">
        <v>475</v>
      </c>
      <c r="Y60" s="257">
        <v>2023</v>
      </c>
      <c r="Z60" s="257">
        <v>2024</v>
      </c>
      <c r="AA60" s="257">
        <v>2025</v>
      </c>
      <c r="AB60" s="257">
        <v>2023</v>
      </c>
      <c r="AC60" s="257">
        <v>2024</v>
      </c>
      <c r="AD60" s="257">
        <v>2025</v>
      </c>
      <c r="AE60" s="257">
        <v>2023</v>
      </c>
      <c r="AF60" s="257">
        <v>2024</v>
      </c>
      <c r="AG60" s="257">
        <v>2025</v>
      </c>
      <c r="AH60" s="257">
        <v>2023</v>
      </c>
      <c r="AI60" s="257">
        <v>2024</v>
      </c>
      <c r="AJ60" s="257">
        <v>2025</v>
      </c>
      <c r="AK60" s="257">
        <v>2023</v>
      </c>
      <c r="AL60" s="257">
        <v>2024</v>
      </c>
      <c r="AM60" s="257">
        <v>2025</v>
      </c>
      <c r="AN60" s="257">
        <v>2023</v>
      </c>
      <c r="AO60" s="257">
        <v>2024</v>
      </c>
      <c r="AP60" s="257">
        <v>2025</v>
      </c>
      <c r="AQ60" s="297"/>
      <c r="AR60" s="246" t="s">
        <v>475</v>
      </c>
      <c r="AS60" s="257">
        <v>2023</v>
      </c>
      <c r="AT60" s="257">
        <v>2024</v>
      </c>
      <c r="AU60" s="257">
        <v>2025</v>
      </c>
      <c r="AV60" s="257">
        <v>2023</v>
      </c>
      <c r="AW60" s="257">
        <v>2024</v>
      </c>
      <c r="AX60" s="257">
        <v>2025</v>
      </c>
      <c r="AY60" s="257">
        <v>2023</v>
      </c>
      <c r="AZ60" s="257">
        <v>2024</v>
      </c>
      <c r="BA60" s="257">
        <v>2025</v>
      </c>
      <c r="BB60" s="257">
        <v>2023</v>
      </c>
      <c r="BC60" s="257">
        <v>2024</v>
      </c>
      <c r="BD60" s="257">
        <v>2025</v>
      </c>
      <c r="BE60" s="257">
        <v>2023</v>
      </c>
      <c r="BF60" s="257">
        <v>2024</v>
      </c>
      <c r="BG60" s="257">
        <v>2025</v>
      </c>
      <c r="BH60" s="63"/>
      <c r="BI60" s="63"/>
      <c r="BJ60" s="120" t="s">
        <v>469</v>
      </c>
      <c r="BK60" s="140" t="s">
        <v>443</v>
      </c>
      <c r="BL60" s="140" t="s">
        <v>25</v>
      </c>
      <c r="BM60" s="140" t="s">
        <v>444</v>
      </c>
      <c r="BN60" s="140" t="s">
        <v>29</v>
      </c>
      <c r="BO60" s="124"/>
      <c r="BP60" s="124"/>
      <c r="BQ60" s="124"/>
      <c r="BR60" s="124"/>
      <c r="BS60" s="124"/>
      <c r="BT60" s="124"/>
      <c r="BU60" s="124"/>
      <c r="BV60" s="124"/>
      <c r="BW60" s="124"/>
      <c r="BX60" s="124"/>
      <c r="BY60" s="124"/>
      <c r="BZ60" s="124"/>
      <c r="CA60" s="124"/>
      <c r="CB60" s="124"/>
      <c r="CC60" s="124"/>
      <c r="CD60" s="124"/>
      <c r="CE60" s="124"/>
      <c r="CF60" s="124"/>
      <c r="CG60" s="124"/>
      <c r="CH60" s="124"/>
      <c r="CI60" s="124"/>
      <c r="CJ60" s="124"/>
      <c r="CK60" s="124"/>
      <c r="CL60" s="300"/>
      <c r="CM60" s="300"/>
      <c r="CN60" s="300"/>
      <c r="CO60" s="124"/>
      <c r="CP60" s="124"/>
      <c r="CQ60" s="124"/>
      <c r="CR60" s="124"/>
      <c r="CS60" s="124"/>
      <c r="CT60" s="124"/>
      <c r="CU60" s="124"/>
      <c r="CV60" s="124"/>
      <c r="CW60" s="124"/>
      <c r="CX60" s="124"/>
      <c r="CY60" s="124"/>
      <c r="CZ60" s="124"/>
      <c r="DA60" s="124"/>
      <c r="DB60" s="124"/>
      <c r="DC60" s="124"/>
      <c r="DD60" s="124"/>
      <c r="DE60" s="124"/>
      <c r="DF60" s="124"/>
      <c r="DG60" s="124"/>
      <c r="DH60" s="124"/>
      <c r="DI60" s="124"/>
      <c r="DJ60" s="124"/>
      <c r="DK60" s="124"/>
      <c r="DL60" s="124"/>
      <c r="DM60" s="124"/>
      <c r="DN60" s="124"/>
      <c r="DO60" s="124"/>
      <c r="DP60" s="124"/>
    </row>
    <row x14ac:dyDescent="0.25" r="61" customHeight="1" ht="13.5">
      <c r="A61" s="2"/>
      <c r="B61" s="3"/>
      <c r="C61" s="2"/>
      <c r="D61" s="292">
        <f>D139</f>
      </c>
      <c r="E61" s="293">
        <f>H61+K61+N61+Q61+T61</f>
      </c>
      <c r="F61" s="293">
        <f>I61+L61+O61+R61+U61</f>
      </c>
      <c r="G61" s="293">
        <f>J61+M61+P61+S61+V61</f>
      </c>
      <c r="H61" s="293">
        <f>H166+I246</f>
      </c>
      <c r="I61" s="293">
        <f>I166+J246</f>
      </c>
      <c r="J61" s="293">
        <f>J166+K246</f>
      </c>
      <c r="K61" s="293">
        <f>K166+L246</f>
      </c>
      <c r="L61" s="293">
        <f>L166+M246</f>
      </c>
      <c r="M61" s="293">
        <f>M166+N246</f>
      </c>
      <c r="N61" s="293">
        <f>N166+O246</f>
      </c>
      <c r="O61" s="293">
        <f>O166+P246</f>
      </c>
      <c r="P61" s="293">
        <f>P166+Q246</f>
      </c>
      <c r="Q61" s="293">
        <f>Q166+R246</f>
      </c>
      <c r="R61" s="293">
        <f>R166+S246</f>
      </c>
      <c r="S61" s="293">
        <f>S166+T246</f>
      </c>
      <c r="T61" s="293">
        <f>T166+U246</f>
      </c>
      <c r="U61" s="293">
        <f>U166+V246</f>
      </c>
      <c r="V61" s="293">
        <f>V166+W246</f>
      </c>
      <c r="W61" s="297"/>
      <c r="X61" s="140" t="s">
        <v>179</v>
      </c>
      <c r="Y61" s="124">
        <f>AB61+AE61+AH61+AK61+AN61</f>
      </c>
      <c r="Z61" s="124">
        <f>AC61+AF61+AI61+AL61+AO61</f>
      </c>
      <c r="AA61" s="124">
        <f>AD61+AG61+AJ61+AM61+AP61</f>
      </c>
      <c r="AB61" s="293">
        <f>H61/$E$10</f>
      </c>
      <c r="AC61" s="293">
        <f>I61/$E$10</f>
      </c>
      <c r="AD61" s="293">
        <f>J61/$E$10</f>
      </c>
      <c r="AE61" s="293">
        <f>K61/$E$10</f>
      </c>
      <c r="AF61" s="293">
        <f>L61/$E$10</f>
      </c>
      <c r="AG61" s="293">
        <f>M61/$E$10</f>
      </c>
      <c r="AH61" s="293">
        <f>N61/$E$12</f>
      </c>
      <c r="AI61" s="293">
        <f>O61/$E$12</f>
      </c>
      <c r="AJ61" s="293">
        <f>P61/$E$12</f>
      </c>
      <c r="AK61" s="293">
        <f>Q61/$E$13</f>
      </c>
      <c r="AL61" s="293">
        <f>R61/$E$13</f>
      </c>
      <c r="AM61" s="293">
        <f>S61/$E$13</f>
      </c>
      <c r="AN61" s="293">
        <f>T61/$E$14</f>
      </c>
      <c r="AO61" s="293">
        <f>U61/$E$14</f>
      </c>
      <c r="AP61" s="293">
        <f>V61/$E$14</f>
      </c>
      <c r="AQ61" s="297"/>
      <c r="AR61" s="123" t="s">
        <v>179</v>
      </c>
      <c r="AS61" s="63">
        <f>AB61/Y61</f>
      </c>
      <c r="AT61" s="63">
        <f>AC61/Z61</f>
      </c>
      <c r="AU61" s="63">
        <f>AD61/AA61</f>
      </c>
      <c r="AV61" s="63">
        <f>AE61/Y61</f>
      </c>
      <c r="AW61" s="63">
        <f>AF61/Z61</f>
      </c>
      <c r="AX61" s="63">
        <f>AG61/AA61</f>
      </c>
      <c r="AY61" s="63">
        <f>AH61/Y61</f>
      </c>
      <c r="AZ61" s="63">
        <f>AI61/Z61</f>
      </c>
      <c r="BA61" s="63">
        <f>AJ61/AA61</f>
      </c>
      <c r="BB61" s="63">
        <f>AK61/Y61</f>
      </c>
      <c r="BC61" s="63">
        <f>AL61/Z61</f>
      </c>
      <c r="BD61" s="63">
        <f>AM61/AA61</f>
      </c>
      <c r="BE61" s="63">
        <f>AN61/Y61</f>
      </c>
      <c r="BF61" s="63">
        <f>AO61/Z61</f>
      </c>
      <c r="BG61" s="63">
        <f>AP61/AA61</f>
      </c>
      <c r="BH61" s="63"/>
      <c r="BI61" s="63"/>
      <c r="BJ61" s="63">
        <f>AU61</f>
      </c>
      <c r="BK61" s="63">
        <f>AX61</f>
      </c>
      <c r="BL61" s="63">
        <f>BA61</f>
      </c>
      <c r="BM61" s="63">
        <f>BD61</f>
      </c>
      <c r="BN61" s="63">
        <f>BG61</f>
      </c>
      <c r="BO61" s="124"/>
      <c r="BP61" s="124"/>
      <c r="BQ61" s="124"/>
      <c r="BR61" s="124"/>
      <c r="BS61" s="124"/>
      <c r="BT61" s="124"/>
      <c r="BU61" s="124"/>
      <c r="BV61" s="124"/>
      <c r="BW61" s="124"/>
      <c r="BX61" s="124"/>
      <c r="BY61" s="124"/>
      <c r="BZ61" s="124"/>
      <c r="CA61" s="124"/>
      <c r="CB61" s="124"/>
      <c r="CC61" s="124"/>
      <c r="CD61" s="124"/>
      <c r="CE61" s="124"/>
      <c r="CF61" s="124"/>
      <c r="CG61" s="124"/>
      <c r="CH61" s="124"/>
      <c r="CI61" s="124"/>
      <c r="CJ61" s="124"/>
      <c r="CK61" s="124"/>
      <c r="CL61" s="300"/>
      <c r="CM61" s="300"/>
      <c r="CN61" s="300"/>
      <c r="CO61" s="124"/>
      <c r="CP61" s="124"/>
      <c r="CQ61" s="124"/>
      <c r="CR61" s="124"/>
      <c r="CS61" s="124"/>
      <c r="CT61" s="124"/>
      <c r="CU61" s="124"/>
      <c r="CV61" s="124"/>
      <c r="CW61" s="124"/>
      <c r="CX61" s="124"/>
      <c r="CY61" s="124"/>
      <c r="CZ61" s="124"/>
      <c r="DA61" s="124"/>
      <c r="DB61" s="124"/>
      <c r="DC61" s="124"/>
      <c r="DD61" s="124"/>
      <c r="DE61" s="124"/>
      <c r="DF61" s="124"/>
      <c r="DG61" s="124"/>
      <c r="DH61" s="124"/>
      <c r="DI61" s="124"/>
      <c r="DJ61" s="124"/>
      <c r="DK61" s="124"/>
      <c r="DL61" s="124"/>
      <c r="DM61" s="124"/>
      <c r="DN61" s="124"/>
      <c r="DO61" s="124"/>
      <c r="DP61" s="124"/>
    </row>
    <row x14ac:dyDescent="0.25" r="62" customHeight="1" ht="13.5">
      <c r="A62" s="2"/>
      <c r="B62" s="3"/>
      <c r="C62" s="2"/>
      <c r="D62" s="292">
        <f>D140</f>
      </c>
      <c r="E62" s="293">
        <f>H62+K62+N62+Q62+T62</f>
      </c>
      <c r="F62" s="293">
        <f>I62+L62+O62+R62+U62</f>
      </c>
      <c r="G62" s="293">
        <f>J62+M62+P62+S62+V62</f>
      </c>
      <c r="H62" s="293">
        <f>H167+I247</f>
      </c>
      <c r="I62" s="293">
        <f>I167+J247</f>
      </c>
      <c r="J62" s="293">
        <f>J167+K247</f>
      </c>
      <c r="K62" s="293">
        <f>K167+L247</f>
      </c>
      <c r="L62" s="293">
        <f>L167+M247</f>
      </c>
      <c r="M62" s="293">
        <f>M167+N247</f>
      </c>
      <c r="N62" s="293">
        <f>N167+O247</f>
      </c>
      <c r="O62" s="293">
        <f>O167+P247</f>
      </c>
      <c r="P62" s="293">
        <f>P167+Q247</f>
      </c>
      <c r="Q62" s="293">
        <f>Q167+R247</f>
      </c>
      <c r="R62" s="293">
        <f>R167+S247</f>
      </c>
      <c r="S62" s="293">
        <f>S167+T247</f>
      </c>
      <c r="T62" s="293">
        <f>T167+U247</f>
      </c>
      <c r="U62" s="293">
        <f>U167+V247</f>
      </c>
      <c r="V62" s="293">
        <f>V167+W247</f>
      </c>
      <c r="W62" s="297"/>
      <c r="X62" s="140" t="s">
        <v>231</v>
      </c>
      <c r="Y62" s="124">
        <f>AB62+AE62+AH62+AK62+AN62</f>
      </c>
      <c r="Z62" s="124">
        <f>AC62+AF62+AI62+AL62+AO62</f>
      </c>
      <c r="AA62" s="124">
        <f>AD62+AG62+AJ62+AM62+AP62</f>
      </c>
      <c r="AB62" s="293">
        <f>H62/$E$10</f>
      </c>
      <c r="AC62" s="293">
        <f>I62/$E$10</f>
      </c>
      <c r="AD62" s="293">
        <f>J62/$E$10</f>
      </c>
      <c r="AE62" s="293">
        <f>K62/$E$10</f>
      </c>
      <c r="AF62" s="293">
        <f>L62/$E$10</f>
      </c>
      <c r="AG62" s="293">
        <f>M62/$E$10</f>
      </c>
      <c r="AH62" s="293">
        <f>N62/$E$12</f>
      </c>
      <c r="AI62" s="293">
        <f>O62/$E$12</f>
      </c>
      <c r="AJ62" s="293">
        <f>P62/$E$12</f>
      </c>
      <c r="AK62" s="293">
        <f>Q62/$E$13</f>
      </c>
      <c r="AL62" s="293">
        <f>R62/$E$13</f>
      </c>
      <c r="AM62" s="293">
        <f>S62/$E$13</f>
      </c>
      <c r="AN62" s="293">
        <f>T62/$E$14</f>
      </c>
      <c r="AO62" s="293">
        <f>U62/$E$14</f>
      </c>
      <c r="AP62" s="293">
        <f>V62/$E$14</f>
      </c>
      <c r="AQ62" s="297"/>
      <c r="AR62" s="123" t="s">
        <v>231</v>
      </c>
      <c r="AS62" s="63">
        <f>AB62/Y62</f>
      </c>
      <c r="AT62" s="63">
        <f>AC62/Z62</f>
      </c>
      <c r="AU62" s="63">
        <f>AD62/AA62</f>
      </c>
      <c r="AV62" s="63">
        <f>AE62/Y62</f>
      </c>
      <c r="AW62" s="63">
        <f>AF62/Z62</f>
      </c>
      <c r="AX62" s="63">
        <f>AG62/AA62</f>
      </c>
      <c r="AY62" s="63">
        <f>AH62/Y62</f>
      </c>
      <c r="AZ62" s="63">
        <f>AI62/Z62</f>
      </c>
      <c r="BA62" s="63">
        <f>AJ62/AA62</f>
      </c>
      <c r="BB62" s="63">
        <f>AK62/Y62</f>
      </c>
      <c r="BC62" s="63">
        <f>AL62/Z62</f>
      </c>
      <c r="BD62" s="63">
        <f>AM62/AA62</f>
      </c>
      <c r="BE62" s="63">
        <f>AN62/Y62</f>
      </c>
      <c r="BF62" s="63">
        <f>AO62/Z62</f>
      </c>
      <c r="BG62" s="63">
        <f>AP62/AA62</f>
      </c>
      <c r="BH62" s="63"/>
      <c r="BI62" s="63"/>
      <c r="BJ62" s="63">
        <f>AU62</f>
      </c>
      <c r="BK62" s="63">
        <f>AX62</f>
      </c>
      <c r="BL62" s="63">
        <f>BA62</f>
      </c>
      <c r="BM62" s="63">
        <f>BD62</f>
      </c>
      <c r="BN62" s="63">
        <f>BG62</f>
      </c>
      <c r="BO62" s="124"/>
      <c r="BP62" s="124"/>
      <c r="BQ62" s="124"/>
      <c r="BR62" s="124"/>
      <c r="BS62" s="124"/>
      <c r="BT62" s="124"/>
      <c r="BU62" s="124"/>
      <c r="BV62" s="124"/>
      <c r="BW62" s="124"/>
      <c r="BX62" s="124"/>
      <c r="BY62" s="124"/>
      <c r="BZ62" s="124"/>
      <c r="CA62" s="124"/>
      <c r="CB62" s="124"/>
      <c r="CC62" s="124"/>
      <c r="CD62" s="124"/>
      <c r="CE62" s="124"/>
      <c r="CF62" s="124"/>
      <c r="CG62" s="124"/>
      <c r="CH62" s="124"/>
      <c r="CI62" s="124"/>
      <c r="CJ62" s="124"/>
      <c r="CK62" s="124"/>
      <c r="CL62" s="300"/>
      <c r="CM62" s="300"/>
      <c r="CN62" s="300"/>
      <c r="CO62" s="124"/>
      <c r="CP62" s="124"/>
      <c r="CQ62" s="124"/>
      <c r="CR62" s="124"/>
      <c r="CS62" s="124"/>
      <c r="CT62" s="124"/>
      <c r="CU62" s="124"/>
      <c r="CV62" s="124"/>
      <c r="CW62" s="124"/>
      <c r="CX62" s="124"/>
      <c r="CY62" s="124"/>
      <c r="CZ62" s="124"/>
      <c r="DA62" s="124"/>
      <c r="DB62" s="124"/>
      <c r="DC62" s="124"/>
      <c r="DD62" s="124"/>
      <c r="DE62" s="124"/>
      <c r="DF62" s="124"/>
      <c r="DG62" s="124"/>
      <c r="DH62" s="124"/>
      <c r="DI62" s="124"/>
      <c r="DJ62" s="124"/>
      <c r="DK62" s="124"/>
      <c r="DL62" s="124"/>
      <c r="DM62" s="124"/>
      <c r="DN62" s="124"/>
      <c r="DO62" s="124"/>
      <c r="DP62" s="124"/>
    </row>
    <row x14ac:dyDescent="0.25" r="63" customHeight="1" ht="13.5">
      <c r="A63" s="2"/>
      <c r="B63" s="3"/>
      <c r="C63" s="2"/>
      <c r="D63" s="292">
        <f>D141</f>
      </c>
      <c r="E63" s="293">
        <f>H63+K63+N63+Q63+T63</f>
      </c>
      <c r="F63" s="293">
        <f>I63+L63+O63+R63+U63</f>
      </c>
      <c r="G63" s="293">
        <f>J63+M63+P63+S63+V63</f>
      </c>
      <c r="H63" s="293">
        <f>H168+I248</f>
      </c>
      <c r="I63" s="293">
        <f>I168+J248</f>
      </c>
      <c r="J63" s="293">
        <f>J168+K248</f>
      </c>
      <c r="K63" s="293">
        <f>K168+L248</f>
      </c>
      <c r="L63" s="293">
        <f>L168+M248</f>
      </c>
      <c r="M63" s="293">
        <f>M168+N248</f>
      </c>
      <c r="N63" s="293">
        <f>N168+O248</f>
      </c>
      <c r="O63" s="293">
        <f>O168+P248</f>
      </c>
      <c r="P63" s="293">
        <f>P168+Q248</f>
      </c>
      <c r="Q63" s="293">
        <f>Q168+R248</f>
      </c>
      <c r="R63" s="293">
        <f>R168+S248</f>
      </c>
      <c r="S63" s="293">
        <f>S168+T248</f>
      </c>
      <c r="T63" s="293">
        <f>T168+U248</f>
      </c>
      <c r="U63" s="293">
        <f>U168+V248</f>
      </c>
      <c r="V63" s="293">
        <f>V168+W248</f>
      </c>
      <c r="W63" s="297"/>
      <c r="X63" s="140" t="s">
        <v>141</v>
      </c>
      <c r="Y63" s="124">
        <f>AB63+AE63+AH63+AK63+AN63</f>
      </c>
      <c r="Z63" s="124">
        <f>AC63+AF63+AI63+AL63+AO63</f>
      </c>
      <c r="AA63" s="124">
        <f>AD63+AG63+AJ63+AM63+AP63</f>
      </c>
      <c r="AB63" s="293">
        <f>H63/$E$10</f>
      </c>
      <c r="AC63" s="293">
        <f>I63/$E$10</f>
      </c>
      <c r="AD63" s="293">
        <f>J63/$E$10</f>
      </c>
      <c r="AE63" s="293">
        <f>K63/$E$10</f>
      </c>
      <c r="AF63" s="293">
        <f>L63/$E$10</f>
      </c>
      <c r="AG63" s="293">
        <f>M63/$E$10</f>
      </c>
      <c r="AH63" s="293">
        <f>N63/$E$12</f>
      </c>
      <c r="AI63" s="293">
        <f>O63/$E$12</f>
      </c>
      <c r="AJ63" s="293">
        <f>P63/$E$12</f>
      </c>
      <c r="AK63" s="293">
        <f>Q63/$E$13</f>
      </c>
      <c r="AL63" s="293">
        <f>R63/$E$13</f>
      </c>
      <c r="AM63" s="293">
        <f>S63/$E$13</f>
      </c>
      <c r="AN63" s="293">
        <f>T63/$E$14</f>
      </c>
      <c r="AO63" s="293">
        <f>U63/$E$14</f>
      </c>
      <c r="AP63" s="293">
        <f>V63/$E$14</f>
      </c>
      <c r="AQ63" s="297"/>
      <c r="AR63" s="123" t="s">
        <v>141</v>
      </c>
      <c r="AS63" s="63">
        <f>AB63/Y63</f>
      </c>
      <c r="AT63" s="63">
        <f>AC63/Z63</f>
      </c>
      <c r="AU63" s="63">
        <f>AD63/AA63</f>
      </c>
      <c r="AV63" s="63">
        <f>AE63/Y63</f>
      </c>
      <c r="AW63" s="63">
        <f>AF63/Z63</f>
      </c>
      <c r="AX63" s="63">
        <f>AG63/AA63</f>
      </c>
      <c r="AY63" s="63">
        <f>AH63/Y63</f>
      </c>
      <c r="AZ63" s="63">
        <f>AI63/Z63</f>
      </c>
      <c r="BA63" s="63">
        <f>AJ63/AA63</f>
      </c>
      <c r="BB63" s="63">
        <f>AK63/Y63</f>
      </c>
      <c r="BC63" s="63">
        <f>AL63/Z63</f>
      </c>
      <c r="BD63" s="63">
        <f>AM63/AA63</f>
      </c>
      <c r="BE63" s="63">
        <f>AN63/Y63</f>
      </c>
      <c r="BF63" s="63">
        <f>AO63/Z63</f>
      </c>
      <c r="BG63" s="63">
        <f>AP63/AA63</f>
      </c>
      <c r="BH63" s="63"/>
      <c r="BI63" s="63"/>
      <c r="BJ63" s="63">
        <f>AU63</f>
      </c>
      <c r="BK63" s="63">
        <f>AX63</f>
      </c>
      <c r="BL63" s="63">
        <f>BA63</f>
      </c>
      <c r="BM63" s="63">
        <f>BD63</f>
      </c>
      <c r="BN63" s="63">
        <f>BG63</f>
      </c>
      <c r="BO63" s="124"/>
      <c r="BP63" s="124"/>
      <c r="BQ63" s="124"/>
      <c r="BR63" s="124"/>
      <c r="BS63" s="124"/>
      <c r="BT63" s="124"/>
      <c r="BU63" s="124"/>
      <c r="BV63" s="124"/>
      <c r="BW63" s="124"/>
      <c r="BX63" s="124"/>
      <c r="BY63" s="124"/>
      <c r="BZ63" s="124"/>
      <c r="CA63" s="124"/>
      <c r="CB63" s="124"/>
      <c r="CC63" s="124"/>
      <c r="CD63" s="124"/>
      <c r="CE63" s="124"/>
      <c r="CF63" s="124"/>
      <c r="CG63" s="124"/>
      <c r="CH63" s="124"/>
      <c r="CI63" s="124"/>
      <c r="CJ63" s="124"/>
      <c r="CK63" s="124"/>
      <c r="CL63" s="300"/>
      <c r="CM63" s="300"/>
      <c r="CN63" s="300"/>
      <c r="CO63" s="124"/>
      <c r="CP63" s="124"/>
      <c r="CQ63" s="124"/>
      <c r="CR63" s="124"/>
      <c r="CS63" s="124"/>
      <c r="CT63" s="124"/>
      <c r="CU63" s="124"/>
      <c r="CV63" s="124"/>
      <c r="CW63" s="124"/>
      <c r="CX63" s="124"/>
      <c r="CY63" s="124"/>
      <c r="CZ63" s="124"/>
      <c r="DA63" s="124"/>
      <c r="DB63" s="124"/>
      <c r="DC63" s="124"/>
      <c r="DD63" s="124"/>
      <c r="DE63" s="124"/>
      <c r="DF63" s="124"/>
      <c r="DG63" s="124"/>
      <c r="DH63" s="124"/>
      <c r="DI63" s="124"/>
      <c r="DJ63" s="124"/>
      <c r="DK63" s="124"/>
      <c r="DL63" s="124"/>
      <c r="DM63" s="124"/>
      <c r="DN63" s="124"/>
      <c r="DO63" s="124"/>
      <c r="DP63" s="124"/>
    </row>
    <row x14ac:dyDescent="0.25" r="64" customHeight="1" ht="13.5">
      <c r="A64" s="2"/>
      <c r="B64" s="3"/>
      <c r="C64" s="2"/>
      <c r="D64" s="292">
        <f>D142</f>
      </c>
      <c r="E64" s="293">
        <f>H64+K64+N64+Q64+T64</f>
      </c>
      <c r="F64" s="293">
        <f>I64+L64+O64+R64+U64</f>
      </c>
      <c r="G64" s="293">
        <f>J64+M64+P64+S64+V64</f>
      </c>
      <c r="H64" s="293">
        <f>H169+I249</f>
      </c>
      <c r="I64" s="293">
        <f>I169+J249</f>
      </c>
      <c r="J64" s="293">
        <f>J169+K249</f>
      </c>
      <c r="K64" s="293">
        <f>K169+L249</f>
      </c>
      <c r="L64" s="293">
        <f>L169+M249</f>
      </c>
      <c r="M64" s="293">
        <f>M169+N249</f>
      </c>
      <c r="N64" s="293">
        <f>N169+O249</f>
      </c>
      <c r="O64" s="293">
        <f>O169+P249</f>
      </c>
      <c r="P64" s="293">
        <f>P169+Q249</f>
      </c>
      <c r="Q64" s="293">
        <f>Q169+R249</f>
      </c>
      <c r="R64" s="293">
        <f>R169+S249</f>
      </c>
      <c r="S64" s="293">
        <f>S169+T249</f>
      </c>
      <c r="T64" s="293">
        <f>T169+U249</f>
      </c>
      <c r="U64" s="293">
        <f>U169+V249</f>
      </c>
      <c r="V64" s="293">
        <f>V169+W249</f>
      </c>
      <c r="W64" s="297"/>
      <c r="X64" s="140" t="s">
        <v>247</v>
      </c>
      <c r="Y64" s="124">
        <f>AB64+AE64+AH64+AK64+AN64</f>
      </c>
      <c r="Z64" s="124">
        <f>AC64+AF64+AI64+AL64+AO64</f>
      </c>
      <c r="AA64" s="124">
        <f>AD64+AG64+AJ64+AM64+AP64</f>
      </c>
      <c r="AB64" s="293">
        <f>H64/$E$10</f>
      </c>
      <c r="AC64" s="293">
        <f>I64/$E$10</f>
      </c>
      <c r="AD64" s="293">
        <f>J64/$E$10</f>
      </c>
      <c r="AE64" s="293">
        <f>K64/$E$10</f>
      </c>
      <c r="AF64" s="293">
        <f>L64/$E$10</f>
      </c>
      <c r="AG64" s="293">
        <f>M64/$E$10</f>
      </c>
      <c r="AH64" s="293">
        <f>N64/$E$12</f>
      </c>
      <c r="AI64" s="293">
        <f>O64/$E$12</f>
      </c>
      <c r="AJ64" s="293">
        <f>P64/$E$12</f>
      </c>
      <c r="AK64" s="293">
        <f>Q64/$E$13</f>
      </c>
      <c r="AL64" s="293">
        <f>R64/$E$13</f>
      </c>
      <c r="AM64" s="293">
        <f>S64/$E$13</f>
      </c>
      <c r="AN64" s="293">
        <f>T64/$E$14</f>
      </c>
      <c r="AO64" s="293">
        <f>U64/$E$14</f>
      </c>
      <c r="AP64" s="293">
        <f>V64/$E$14</f>
      </c>
      <c r="AQ64" s="297"/>
      <c r="AR64" s="123" t="s">
        <v>247</v>
      </c>
      <c r="AS64" s="63">
        <f>AB64/Y64</f>
      </c>
      <c r="AT64" s="63">
        <f>AC64/Z64</f>
      </c>
      <c r="AU64" s="63">
        <f>AD64/AA64</f>
      </c>
      <c r="AV64" s="63">
        <f>AE64/Y64</f>
      </c>
      <c r="AW64" s="63">
        <f>AF64/Z64</f>
      </c>
      <c r="AX64" s="63">
        <f>AG64/AA64</f>
      </c>
      <c r="AY64" s="63">
        <f>AH64/Y64</f>
      </c>
      <c r="AZ64" s="63">
        <f>AI64/Z64</f>
      </c>
      <c r="BA64" s="63">
        <f>AJ64/AA64</f>
      </c>
      <c r="BB64" s="63">
        <f>AK64/Y64</f>
      </c>
      <c r="BC64" s="63">
        <f>AL64/Z64</f>
      </c>
      <c r="BD64" s="63">
        <f>AM64/AA64</f>
      </c>
      <c r="BE64" s="63">
        <f>AN64/Y64</f>
      </c>
      <c r="BF64" s="63">
        <f>AO64/Z64</f>
      </c>
      <c r="BG64" s="63">
        <f>AP64/AA64</f>
      </c>
      <c r="BH64" s="63"/>
      <c r="BI64" s="63"/>
      <c r="BJ64" s="63">
        <f>AU64</f>
      </c>
      <c r="BK64" s="63">
        <f>AX64</f>
      </c>
      <c r="BL64" s="63">
        <f>BA64</f>
      </c>
      <c r="BM64" s="63">
        <f>BD64</f>
      </c>
      <c r="BN64" s="63">
        <f>BG64</f>
      </c>
      <c r="BO64" s="124"/>
      <c r="BP64" s="124"/>
      <c r="BQ64" s="124"/>
      <c r="BR64" s="124"/>
      <c r="BS64" s="124"/>
      <c r="BT64" s="124"/>
      <c r="BU64" s="124"/>
      <c r="BV64" s="124"/>
      <c r="BW64" s="124"/>
      <c r="BX64" s="124"/>
      <c r="BY64" s="124"/>
      <c r="BZ64" s="124"/>
      <c r="CA64" s="124"/>
      <c r="CB64" s="124"/>
      <c r="CC64" s="124"/>
      <c r="CD64" s="124"/>
      <c r="CE64" s="124"/>
      <c r="CF64" s="124"/>
      <c r="CG64" s="124"/>
      <c r="CH64" s="124"/>
      <c r="CI64" s="124"/>
      <c r="CJ64" s="124"/>
      <c r="CK64" s="124"/>
      <c r="CL64" s="300"/>
      <c r="CM64" s="300"/>
      <c r="CN64" s="300"/>
      <c r="CO64" s="124"/>
      <c r="CP64" s="124"/>
      <c r="CQ64" s="124"/>
      <c r="CR64" s="124"/>
      <c r="CS64" s="124"/>
      <c r="CT64" s="124"/>
      <c r="CU64" s="124"/>
      <c r="CV64" s="124"/>
      <c r="CW64" s="124"/>
      <c r="CX64" s="124"/>
      <c r="CY64" s="124"/>
      <c r="CZ64" s="124"/>
      <c r="DA64" s="124"/>
      <c r="DB64" s="124"/>
      <c r="DC64" s="124"/>
      <c r="DD64" s="124"/>
      <c r="DE64" s="124"/>
      <c r="DF64" s="124"/>
      <c r="DG64" s="124"/>
      <c r="DH64" s="124"/>
      <c r="DI64" s="124"/>
      <c r="DJ64" s="124"/>
      <c r="DK64" s="124"/>
      <c r="DL64" s="124"/>
      <c r="DM64" s="124"/>
      <c r="DN64" s="124"/>
      <c r="DO64" s="124"/>
      <c r="DP64" s="124"/>
    </row>
    <row x14ac:dyDescent="0.25" r="65" customHeight="1" ht="13.5">
      <c r="A65" s="2"/>
      <c r="B65" s="3"/>
      <c r="C65" s="2"/>
      <c r="D65" s="292">
        <f>D143</f>
      </c>
      <c r="E65" s="293">
        <f>H65+K65+N65+Q65+T65</f>
      </c>
      <c r="F65" s="293">
        <f>I65+L65+O65+R65+U65</f>
      </c>
      <c r="G65" s="293">
        <f>J65+M65+P65+S65+V65</f>
      </c>
      <c r="H65" s="293">
        <f>H170+I250</f>
      </c>
      <c r="I65" s="293">
        <f>I170+J250</f>
      </c>
      <c r="J65" s="293">
        <f>J170+K250</f>
      </c>
      <c r="K65" s="293">
        <f>K170+L250</f>
      </c>
      <c r="L65" s="293">
        <f>L170+M250</f>
      </c>
      <c r="M65" s="293">
        <f>M170+N250</f>
      </c>
      <c r="N65" s="293">
        <f>N170+O250</f>
      </c>
      <c r="O65" s="293">
        <f>O170+P250</f>
      </c>
      <c r="P65" s="293">
        <f>P170+Q250</f>
      </c>
      <c r="Q65" s="293">
        <f>Q170+R250</f>
      </c>
      <c r="R65" s="293">
        <f>R170+S250</f>
      </c>
      <c r="S65" s="293">
        <f>S170+T250</f>
      </c>
      <c r="T65" s="293">
        <f>T170+U250</f>
      </c>
      <c r="U65" s="293">
        <f>U170+V250</f>
      </c>
      <c r="V65" s="293">
        <f>V170+W250</f>
      </c>
      <c r="W65" s="297"/>
      <c r="X65" s="140" t="s">
        <v>175</v>
      </c>
      <c r="Y65" s="124">
        <f>AB65+AE65+AH65+AK65+AN65</f>
      </c>
      <c r="Z65" s="124">
        <f>AC65+AF65+AI65+AL65+AO65</f>
      </c>
      <c r="AA65" s="124">
        <f>AD65+AG65+AJ65+AM65+AP65</f>
      </c>
      <c r="AB65" s="293">
        <f>H65/$E$10</f>
      </c>
      <c r="AC65" s="293">
        <f>I65/$E$10</f>
      </c>
      <c r="AD65" s="293">
        <f>J65/$E$10</f>
      </c>
      <c r="AE65" s="293">
        <f>K65/$E$10</f>
      </c>
      <c r="AF65" s="293">
        <f>L65/$E$10</f>
      </c>
      <c r="AG65" s="293">
        <f>M65/$E$10</f>
      </c>
      <c r="AH65" s="293">
        <f>N65/$E$12</f>
      </c>
      <c r="AI65" s="293">
        <f>O65/$E$12</f>
      </c>
      <c r="AJ65" s="293">
        <f>P65/$E$12</f>
      </c>
      <c r="AK65" s="293">
        <f>Q65/$E$13</f>
      </c>
      <c r="AL65" s="293">
        <f>R65/$E$13</f>
      </c>
      <c r="AM65" s="293">
        <f>S65/$E$13</f>
      </c>
      <c r="AN65" s="293">
        <f>T65/$E$14</f>
      </c>
      <c r="AO65" s="293">
        <f>U65/$E$14</f>
      </c>
      <c r="AP65" s="293">
        <f>V65/$E$14</f>
      </c>
      <c r="AQ65" s="297"/>
      <c r="AR65" s="123" t="s">
        <v>175</v>
      </c>
      <c r="AS65" s="63">
        <f>AB65/Y65</f>
      </c>
      <c r="AT65" s="63">
        <f>AC65/Z65</f>
      </c>
      <c r="AU65" s="63">
        <f>AD65/AA65</f>
      </c>
      <c r="AV65" s="63">
        <f>AE65/Y65</f>
      </c>
      <c r="AW65" s="63">
        <f>AF65/Z65</f>
      </c>
      <c r="AX65" s="63">
        <f>AG65/AA65</f>
      </c>
      <c r="AY65" s="63">
        <f>AH65/Y65</f>
      </c>
      <c r="AZ65" s="63">
        <f>AI65/Z65</f>
      </c>
      <c r="BA65" s="63">
        <f>AJ65/AA65</f>
      </c>
      <c r="BB65" s="63">
        <f>AK65/Y65</f>
      </c>
      <c r="BC65" s="63">
        <f>AL65/Z65</f>
      </c>
      <c r="BD65" s="63">
        <f>AM65/AA65</f>
      </c>
      <c r="BE65" s="63">
        <f>AN65/Y65</f>
      </c>
      <c r="BF65" s="63">
        <f>AO65/Z65</f>
      </c>
      <c r="BG65" s="63">
        <f>AP65/AA65</f>
      </c>
      <c r="BH65" s="63"/>
      <c r="BI65" s="63"/>
      <c r="BJ65" s="63">
        <f>AU65</f>
      </c>
      <c r="BK65" s="63">
        <f>AX65</f>
      </c>
      <c r="BL65" s="63">
        <f>BA65</f>
      </c>
      <c r="BM65" s="63">
        <f>BD65</f>
      </c>
      <c r="BN65" s="63">
        <f>BG65</f>
      </c>
      <c r="BO65" s="124"/>
      <c r="BP65" s="124"/>
      <c r="BQ65" s="124"/>
      <c r="BR65" s="124"/>
      <c r="BS65" s="124"/>
      <c r="BT65" s="124"/>
      <c r="BU65" s="124"/>
      <c r="BV65" s="124"/>
      <c r="BW65" s="124"/>
      <c r="BX65" s="124"/>
      <c r="BY65" s="124"/>
      <c r="BZ65" s="124"/>
      <c r="CA65" s="124"/>
      <c r="CB65" s="124"/>
      <c r="CC65" s="124"/>
      <c r="CD65" s="124"/>
      <c r="CE65" s="124"/>
      <c r="CF65" s="124"/>
      <c r="CG65" s="124"/>
      <c r="CH65" s="124"/>
      <c r="CI65" s="124"/>
      <c r="CJ65" s="124"/>
      <c r="CK65" s="124"/>
      <c r="CL65" s="300"/>
      <c r="CM65" s="300"/>
      <c r="CN65" s="300"/>
      <c r="CO65" s="124"/>
      <c r="CP65" s="124"/>
      <c r="CQ65" s="124"/>
      <c r="CR65" s="124"/>
      <c r="CS65" s="124"/>
      <c r="CT65" s="124"/>
      <c r="CU65" s="124"/>
      <c r="CV65" s="124"/>
      <c r="CW65" s="124"/>
      <c r="CX65" s="124"/>
      <c r="CY65" s="124"/>
      <c r="CZ65" s="124"/>
      <c r="DA65" s="124"/>
      <c r="DB65" s="124"/>
      <c r="DC65" s="124"/>
      <c r="DD65" s="124"/>
      <c r="DE65" s="124"/>
      <c r="DF65" s="124"/>
      <c r="DG65" s="124"/>
      <c r="DH65" s="124"/>
      <c r="DI65" s="124"/>
      <c r="DJ65" s="124"/>
      <c r="DK65" s="124"/>
      <c r="DL65" s="124"/>
      <c r="DM65" s="124"/>
      <c r="DN65" s="124"/>
      <c r="DO65" s="124"/>
      <c r="DP65" s="124"/>
    </row>
    <row x14ac:dyDescent="0.25" r="66" customHeight="1" ht="13.5">
      <c r="A66" s="2"/>
      <c r="B66" s="3"/>
      <c r="C66" s="2"/>
      <c r="D66" s="292">
        <f>D144</f>
      </c>
      <c r="E66" s="293">
        <f>H66+K66+N66+Q66+T66</f>
      </c>
      <c r="F66" s="293">
        <f>I66+L66+O66+R66+U66</f>
      </c>
      <c r="G66" s="293">
        <f>J66+M66+P66+S66+V66</f>
      </c>
      <c r="H66" s="293">
        <f>H171+I251</f>
      </c>
      <c r="I66" s="293">
        <f>I171+J251</f>
      </c>
      <c r="J66" s="293">
        <f>J171+K251</f>
      </c>
      <c r="K66" s="293">
        <f>K171+L251</f>
      </c>
      <c r="L66" s="293">
        <f>L171+M251</f>
      </c>
      <c r="M66" s="293">
        <f>M171+N251</f>
      </c>
      <c r="N66" s="293">
        <f>N171+O251</f>
      </c>
      <c r="O66" s="293">
        <f>O171+P251</f>
      </c>
      <c r="P66" s="293">
        <f>P171+Q251</f>
      </c>
      <c r="Q66" s="293">
        <f>Q171+R251</f>
      </c>
      <c r="R66" s="293">
        <f>R171+S251</f>
      </c>
      <c r="S66" s="293">
        <f>S171+T251</f>
      </c>
      <c r="T66" s="293">
        <f>T171+U251</f>
      </c>
      <c r="U66" s="293">
        <f>U171+V251</f>
      </c>
      <c r="V66" s="293">
        <f>V171+W251</f>
      </c>
      <c r="W66" s="297"/>
      <c r="X66" s="140" t="s">
        <v>131</v>
      </c>
      <c r="Y66" s="124">
        <f>AB66+AE66+AH66+AK66+AN66</f>
      </c>
      <c r="Z66" s="124">
        <f>AC66+AF66+AI66+AL66+AO66</f>
      </c>
      <c r="AA66" s="124">
        <f>AD66+AG66+AJ66+AM66+AP66</f>
      </c>
      <c r="AB66" s="293">
        <f>H66/$E$10</f>
      </c>
      <c r="AC66" s="293">
        <f>I66/$E$10</f>
      </c>
      <c r="AD66" s="293">
        <f>J66/$E$10</f>
      </c>
      <c r="AE66" s="293">
        <f>K66/$E$10</f>
      </c>
      <c r="AF66" s="293">
        <f>L66/$E$10</f>
      </c>
      <c r="AG66" s="293">
        <f>M66/$E$10</f>
      </c>
      <c r="AH66" s="293">
        <f>N66/$E$12</f>
      </c>
      <c r="AI66" s="293">
        <f>O66/$E$12</f>
      </c>
      <c r="AJ66" s="293">
        <f>P66/$E$12</f>
      </c>
      <c r="AK66" s="293">
        <f>Q66/$E$13</f>
      </c>
      <c r="AL66" s="293">
        <f>R66/$E$13</f>
      </c>
      <c r="AM66" s="293">
        <f>S66/$E$13</f>
      </c>
      <c r="AN66" s="293">
        <f>T66/$E$14</f>
      </c>
      <c r="AO66" s="293">
        <f>U66/$E$14</f>
      </c>
      <c r="AP66" s="293">
        <f>V66/$E$14</f>
      </c>
      <c r="AQ66" s="297"/>
      <c r="AR66" s="123" t="s">
        <v>131</v>
      </c>
      <c r="AS66" s="63">
        <f>AB66/Y66</f>
      </c>
      <c r="AT66" s="63">
        <f>AC66/Z66</f>
      </c>
      <c r="AU66" s="63">
        <f>AD66/AA66</f>
      </c>
      <c r="AV66" s="63">
        <f>AE66/Y66</f>
      </c>
      <c r="AW66" s="63">
        <f>AF66/Z66</f>
      </c>
      <c r="AX66" s="63">
        <f>AG66/AA66</f>
      </c>
      <c r="AY66" s="63">
        <f>AH66/Y66</f>
      </c>
      <c r="AZ66" s="63">
        <f>AI66/Z66</f>
      </c>
      <c r="BA66" s="63">
        <f>AJ66/AA66</f>
      </c>
      <c r="BB66" s="63">
        <f>AK66/Y66</f>
      </c>
      <c r="BC66" s="63">
        <f>AL66/Z66</f>
      </c>
      <c r="BD66" s="63">
        <f>AM66/AA66</f>
      </c>
      <c r="BE66" s="63">
        <f>AN66/Y66</f>
      </c>
      <c r="BF66" s="63">
        <f>AO66/Z66</f>
      </c>
      <c r="BG66" s="63">
        <f>AP66/AA66</f>
      </c>
      <c r="BH66" s="63"/>
      <c r="BI66" s="63"/>
      <c r="BJ66" s="63">
        <f>AU66</f>
      </c>
      <c r="BK66" s="63">
        <f>AX66</f>
      </c>
      <c r="BL66" s="63">
        <f>BA66</f>
      </c>
      <c r="BM66" s="63">
        <f>BD66</f>
      </c>
      <c r="BN66" s="63">
        <f>BG66</f>
      </c>
      <c r="BO66" s="124"/>
      <c r="BP66" s="124"/>
      <c r="BQ66" s="124"/>
      <c r="BR66" s="124"/>
      <c r="BS66" s="124"/>
      <c r="BT66" s="124"/>
      <c r="BU66" s="124"/>
      <c r="BV66" s="124"/>
      <c r="BW66" s="124"/>
      <c r="BX66" s="124"/>
      <c r="BY66" s="124"/>
      <c r="BZ66" s="124"/>
      <c r="CA66" s="124"/>
      <c r="CB66" s="124"/>
      <c r="CC66" s="124"/>
      <c r="CD66" s="124"/>
      <c r="CE66" s="124"/>
      <c r="CF66" s="124"/>
      <c r="CG66" s="124"/>
      <c r="CH66" s="124"/>
      <c r="CI66" s="124"/>
      <c r="CJ66" s="124"/>
      <c r="CK66" s="124"/>
      <c r="CL66" s="300"/>
      <c r="CM66" s="300"/>
      <c r="CN66" s="300"/>
      <c r="CO66" s="124"/>
      <c r="CP66" s="124"/>
      <c r="CQ66" s="124"/>
      <c r="CR66" s="124"/>
      <c r="CS66" s="124"/>
      <c r="CT66" s="124"/>
      <c r="CU66" s="124"/>
      <c r="CV66" s="124"/>
      <c r="CW66" s="124"/>
      <c r="CX66" s="124"/>
      <c r="CY66" s="124"/>
      <c r="CZ66" s="124"/>
      <c r="DA66" s="124"/>
      <c r="DB66" s="124"/>
      <c r="DC66" s="124"/>
      <c r="DD66" s="124"/>
      <c r="DE66" s="124"/>
      <c r="DF66" s="124"/>
      <c r="DG66" s="124"/>
      <c r="DH66" s="124"/>
      <c r="DI66" s="124"/>
      <c r="DJ66" s="124"/>
      <c r="DK66" s="124"/>
      <c r="DL66" s="124"/>
      <c r="DM66" s="124"/>
      <c r="DN66" s="124"/>
      <c r="DO66" s="124"/>
      <c r="DP66" s="124"/>
    </row>
    <row x14ac:dyDescent="0.25" r="67" customHeight="1" ht="13.5">
      <c r="A67" s="2"/>
      <c r="B67" s="3"/>
      <c r="C67" s="2"/>
      <c r="D67" s="292">
        <f>D145</f>
      </c>
      <c r="E67" s="293">
        <f>H67+K67+N67+Q67+T67</f>
      </c>
      <c r="F67" s="293">
        <f>I67+L67+O67+R67+U67</f>
      </c>
      <c r="G67" s="293">
        <f>J67+M67+P67+S67+V67</f>
      </c>
      <c r="H67" s="293">
        <f>H172+I252</f>
      </c>
      <c r="I67" s="293">
        <f>I172+J252</f>
      </c>
      <c r="J67" s="293">
        <f>J172+K252</f>
      </c>
      <c r="K67" s="293">
        <f>K172+L252</f>
      </c>
      <c r="L67" s="293">
        <f>L172+M252</f>
      </c>
      <c r="M67" s="293">
        <f>M172+N252</f>
      </c>
      <c r="N67" s="293">
        <f>N172+O252</f>
      </c>
      <c r="O67" s="293">
        <f>O172+P252</f>
      </c>
      <c r="P67" s="293">
        <f>P172+Q252</f>
      </c>
      <c r="Q67" s="293">
        <f>Q172+R252</f>
      </c>
      <c r="R67" s="293">
        <f>R172+S252</f>
      </c>
      <c r="S67" s="293">
        <f>S172+T252</f>
      </c>
      <c r="T67" s="293">
        <f>T172+U252</f>
      </c>
      <c r="U67" s="293">
        <f>U172+V252</f>
      </c>
      <c r="V67" s="293">
        <f>V172+W252</f>
      </c>
      <c r="W67" s="297"/>
      <c r="X67" s="140" t="s">
        <v>237</v>
      </c>
      <c r="Y67" s="124">
        <f>AB67+AE67+AH67+AK67+AN67</f>
      </c>
      <c r="Z67" s="124">
        <f>AC67+AF67+AI67+AL67+AO67</f>
      </c>
      <c r="AA67" s="124">
        <f>AD67+AG67+AJ67+AM67+AP67</f>
      </c>
      <c r="AB67" s="293">
        <f>H67/$E$10</f>
      </c>
      <c r="AC67" s="293">
        <f>I67/$E$10</f>
      </c>
      <c r="AD67" s="293">
        <f>J67/$E$10</f>
      </c>
      <c r="AE67" s="293">
        <f>K67/$E$10</f>
      </c>
      <c r="AF67" s="293">
        <f>L67/$E$10</f>
      </c>
      <c r="AG67" s="293">
        <f>M67/$E$10</f>
      </c>
      <c r="AH67" s="293">
        <f>N67/$E$12</f>
      </c>
      <c r="AI67" s="293">
        <f>O67/$E$12</f>
      </c>
      <c r="AJ67" s="293">
        <f>P67/$E$12</f>
      </c>
      <c r="AK67" s="293">
        <f>Q67/$E$13</f>
      </c>
      <c r="AL67" s="293">
        <f>R67/$E$13</f>
      </c>
      <c r="AM67" s="293">
        <f>S67/$E$13</f>
      </c>
      <c r="AN67" s="293">
        <f>T67/$E$14</f>
      </c>
      <c r="AO67" s="293">
        <f>U67/$E$14</f>
      </c>
      <c r="AP67" s="293">
        <f>V67/$E$14</f>
      </c>
      <c r="AQ67" s="297"/>
      <c r="AR67" s="123" t="s">
        <v>237</v>
      </c>
      <c r="AS67" s="63">
        <f>AB67/Y67</f>
      </c>
      <c r="AT67" s="63">
        <f>AC67/Z67</f>
      </c>
      <c r="AU67" s="63">
        <f>AD67/AA67</f>
      </c>
      <c r="AV67" s="63">
        <f>AE67/Y67</f>
      </c>
      <c r="AW67" s="63">
        <f>AF67/Z67</f>
      </c>
      <c r="AX67" s="63">
        <f>AG67/AA67</f>
      </c>
      <c r="AY67" s="63">
        <f>AH67/Y67</f>
      </c>
      <c r="AZ67" s="63">
        <f>AI67/Z67</f>
      </c>
      <c r="BA67" s="63">
        <f>AJ67/AA67</f>
      </c>
      <c r="BB67" s="63">
        <f>AK67/Y67</f>
      </c>
      <c r="BC67" s="63">
        <f>AL67/Z67</f>
      </c>
      <c r="BD67" s="63">
        <f>AM67/AA67</f>
      </c>
      <c r="BE67" s="63">
        <f>AN67/Y67</f>
      </c>
      <c r="BF67" s="63">
        <f>AO67/Z67</f>
      </c>
      <c r="BG67" s="63">
        <f>AP67/AA67</f>
      </c>
      <c r="BH67" s="63"/>
      <c r="BI67" s="63"/>
      <c r="BJ67" s="63">
        <f>AU67</f>
      </c>
      <c r="BK67" s="63">
        <f>AX67</f>
      </c>
      <c r="BL67" s="63">
        <f>BA67</f>
      </c>
      <c r="BM67" s="63">
        <f>BD67</f>
      </c>
      <c r="BN67" s="63">
        <f>BG67</f>
      </c>
      <c r="BO67" s="124"/>
      <c r="BP67" s="124"/>
      <c r="BQ67" s="124"/>
      <c r="BR67" s="124"/>
      <c r="BS67" s="124"/>
      <c r="BT67" s="124"/>
      <c r="BU67" s="124"/>
      <c r="BV67" s="124"/>
      <c r="BW67" s="124"/>
      <c r="BX67" s="124"/>
      <c r="BY67" s="124"/>
      <c r="BZ67" s="124"/>
      <c r="CA67" s="124"/>
      <c r="CB67" s="124"/>
      <c r="CC67" s="124"/>
      <c r="CD67" s="124"/>
      <c r="CE67" s="124"/>
      <c r="CF67" s="124"/>
      <c r="CG67" s="124"/>
      <c r="CH67" s="124"/>
      <c r="CI67" s="124"/>
      <c r="CJ67" s="124"/>
      <c r="CK67" s="124"/>
      <c r="CL67" s="300"/>
      <c r="CM67" s="300"/>
      <c r="CN67" s="300"/>
      <c r="CO67" s="124"/>
      <c r="CP67" s="124"/>
      <c r="CQ67" s="124"/>
      <c r="CR67" s="124"/>
      <c r="CS67" s="124"/>
      <c r="CT67" s="124"/>
      <c r="CU67" s="124"/>
      <c r="CV67" s="124"/>
      <c r="CW67" s="124"/>
      <c r="CX67" s="124"/>
      <c r="CY67" s="124"/>
      <c r="CZ67" s="124"/>
      <c r="DA67" s="124"/>
      <c r="DB67" s="124"/>
      <c r="DC67" s="124"/>
      <c r="DD67" s="124"/>
      <c r="DE67" s="124"/>
      <c r="DF67" s="124"/>
      <c r="DG67" s="124"/>
      <c r="DH67" s="124"/>
      <c r="DI67" s="124"/>
      <c r="DJ67" s="124"/>
      <c r="DK67" s="124"/>
      <c r="DL67" s="124"/>
      <c r="DM67" s="124"/>
      <c r="DN67" s="124"/>
      <c r="DO67" s="124"/>
      <c r="DP67" s="124"/>
    </row>
    <row x14ac:dyDescent="0.25" r="68" customHeight="1" ht="13.5">
      <c r="A68" s="2"/>
      <c r="B68" s="3"/>
      <c r="C68" s="2"/>
      <c r="D68" s="292">
        <f>D146</f>
      </c>
      <c r="E68" s="293">
        <f>H68+K68+N68+Q68+T68</f>
      </c>
      <c r="F68" s="293">
        <f>I68+L68+O68+R68+U68</f>
      </c>
      <c r="G68" s="293">
        <f>J68+M68+P68+S68+V68</f>
      </c>
      <c r="H68" s="293">
        <f>H173+I253</f>
      </c>
      <c r="I68" s="293">
        <f>I173+J253</f>
      </c>
      <c r="J68" s="293">
        <f>J173+K253</f>
      </c>
      <c r="K68" s="293">
        <f>K173+L253</f>
      </c>
      <c r="L68" s="293">
        <f>L173+M253</f>
      </c>
      <c r="M68" s="293">
        <f>M173+N253</f>
      </c>
      <c r="N68" s="293">
        <f>N173+O253</f>
      </c>
      <c r="O68" s="293">
        <f>O173+P253</f>
      </c>
      <c r="P68" s="293">
        <f>P173+Q253</f>
      </c>
      <c r="Q68" s="293">
        <f>Q173+R253</f>
      </c>
      <c r="R68" s="293">
        <f>R173+S253</f>
      </c>
      <c r="S68" s="293">
        <f>S173+T253</f>
      </c>
      <c r="T68" s="293">
        <f>T173+U253</f>
      </c>
      <c r="U68" s="293">
        <f>U173+V253</f>
      </c>
      <c r="V68" s="293">
        <f>V173+W253</f>
      </c>
      <c r="W68" s="297"/>
      <c r="X68" s="140" t="s">
        <v>139</v>
      </c>
      <c r="Y68" s="124">
        <f>AB68+AE68+AH68+AK68+AN68</f>
      </c>
      <c r="Z68" s="124">
        <f>AC68+AF68+AI68+AL68+AO68</f>
      </c>
      <c r="AA68" s="124">
        <f>AD68+AG68+AJ68+AM68+AP68</f>
      </c>
      <c r="AB68" s="293">
        <f>H68/$E$10</f>
      </c>
      <c r="AC68" s="293">
        <f>I68/$E$10</f>
      </c>
      <c r="AD68" s="293">
        <f>J68/$E$10</f>
      </c>
      <c r="AE68" s="293">
        <f>K68/$E$10</f>
      </c>
      <c r="AF68" s="293">
        <f>L68/$E$10</f>
      </c>
      <c r="AG68" s="293">
        <f>M68/$E$10</f>
      </c>
      <c r="AH68" s="293">
        <f>N68/$E$12</f>
      </c>
      <c r="AI68" s="293">
        <f>O68/$E$12</f>
      </c>
      <c r="AJ68" s="293">
        <f>P68/$E$12</f>
      </c>
      <c r="AK68" s="293">
        <f>Q68/$E$13</f>
      </c>
      <c r="AL68" s="293">
        <f>R68/$E$13</f>
      </c>
      <c r="AM68" s="293">
        <f>S68/$E$13</f>
      </c>
      <c r="AN68" s="293">
        <f>T68/$E$14</f>
      </c>
      <c r="AO68" s="293">
        <f>U68/$E$14</f>
      </c>
      <c r="AP68" s="293">
        <f>V68/$E$14</f>
      </c>
      <c r="AQ68" s="297"/>
      <c r="AR68" s="123" t="s">
        <v>139</v>
      </c>
      <c r="AS68" s="63">
        <f>AB68/Y68</f>
      </c>
      <c r="AT68" s="63">
        <f>AC68/Z68</f>
      </c>
      <c r="AU68" s="63">
        <f>AD68/AA68</f>
      </c>
      <c r="AV68" s="63">
        <f>AE68/Y68</f>
      </c>
      <c r="AW68" s="63">
        <f>AF68/Z68</f>
      </c>
      <c r="AX68" s="63">
        <f>AG68/AA68</f>
      </c>
      <c r="AY68" s="63">
        <f>AH68/Y68</f>
      </c>
      <c r="AZ68" s="63">
        <f>AI68/Z68</f>
      </c>
      <c r="BA68" s="63">
        <f>AJ68/AA68</f>
      </c>
      <c r="BB68" s="63">
        <f>AK68/Y68</f>
      </c>
      <c r="BC68" s="63">
        <f>AL68/Z68</f>
      </c>
      <c r="BD68" s="63">
        <f>AM68/AA68</f>
      </c>
      <c r="BE68" s="63">
        <f>AN68/Y68</f>
      </c>
      <c r="BF68" s="63">
        <f>AO68/Z68</f>
      </c>
      <c r="BG68" s="63">
        <f>AP68/AA68</f>
      </c>
      <c r="BH68" s="63"/>
      <c r="BI68" s="63"/>
      <c r="BJ68" s="63">
        <f>AU68</f>
      </c>
      <c r="BK68" s="63">
        <f>AX68</f>
      </c>
      <c r="BL68" s="63">
        <f>BA68</f>
      </c>
      <c r="BM68" s="63">
        <f>BD68</f>
      </c>
      <c r="BN68" s="63">
        <f>BG68</f>
      </c>
      <c r="BO68" s="124"/>
      <c r="BP68" s="124"/>
      <c r="BQ68" s="124"/>
      <c r="BR68" s="124"/>
      <c r="BS68" s="124"/>
      <c r="BT68" s="124"/>
      <c r="BU68" s="124"/>
      <c r="BV68" s="124"/>
      <c r="BW68" s="124"/>
      <c r="BX68" s="124"/>
      <c r="BY68" s="124"/>
      <c r="BZ68" s="124"/>
      <c r="CA68" s="124"/>
      <c r="CB68" s="124"/>
      <c r="CC68" s="124"/>
      <c r="CD68" s="124"/>
      <c r="CE68" s="124"/>
      <c r="CF68" s="124"/>
      <c r="CG68" s="124"/>
      <c r="CH68" s="124"/>
      <c r="CI68" s="124"/>
      <c r="CJ68" s="124"/>
      <c r="CK68" s="124"/>
      <c r="CL68" s="300"/>
      <c r="CM68" s="300"/>
      <c r="CN68" s="300"/>
      <c r="CO68" s="124"/>
      <c r="CP68" s="124"/>
      <c r="CQ68" s="124"/>
      <c r="CR68" s="124"/>
      <c r="CS68" s="124"/>
      <c r="CT68" s="124"/>
      <c r="CU68" s="124"/>
      <c r="CV68" s="124"/>
      <c r="CW68" s="124"/>
      <c r="CX68" s="124"/>
      <c r="CY68" s="124"/>
      <c r="CZ68" s="124"/>
      <c r="DA68" s="124"/>
      <c r="DB68" s="124"/>
      <c r="DC68" s="124"/>
      <c r="DD68" s="124"/>
      <c r="DE68" s="124"/>
      <c r="DF68" s="124"/>
      <c r="DG68" s="124"/>
      <c r="DH68" s="124"/>
      <c r="DI68" s="124"/>
      <c r="DJ68" s="124"/>
      <c r="DK68" s="124"/>
      <c r="DL68" s="124"/>
      <c r="DM68" s="124"/>
      <c r="DN68" s="124"/>
      <c r="DO68" s="124"/>
      <c r="DP68" s="124"/>
    </row>
    <row x14ac:dyDescent="0.25" r="69" customHeight="1" ht="13.5">
      <c r="A69" s="2"/>
      <c r="B69" s="3"/>
      <c r="C69" s="2"/>
      <c r="D69" s="292">
        <f>D147</f>
      </c>
      <c r="E69" s="293">
        <f>H69+K69+N69+Q69+T69</f>
      </c>
      <c r="F69" s="293">
        <f>I69+L69+O69+R69+U69</f>
      </c>
      <c r="G69" s="293">
        <f>J69+M69+P69+S69+V69</f>
      </c>
      <c r="H69" s="293">
        <f>H174+I254</f>
      </c>
      <c r="I69" s="293">
        <f>I174+J254</f>
      </c>
      <c r="J69" s="293">
        <f>J174+K254</f>
      </c>
      <c r="K69" s="293">
        <f>K174+L254</f>
      </c>
      <c r="L69" s="293">
        <f>L174+M254</f>
      </c>
      <c r="M69" s="293">
        <f>M174+N254</f>
      </c>
      <c r="N69" s="293">
        <f>N174+O254</f>
      </c>
      <c r="O69" s="293">
        <f>O174+P254</f>
      </c>
      <c r="P69" s="293">
        <f>P174+Q254</f>
      </c>
      <c r="Q69" s="293">
        <f>Q174+R254</f>
      </c>
      <c r="R69" s="293">
        <f>R174+S254</f>
      </c>
      <c r="S69" s="293">
        <f>S174+T254</f>
      </c>
      <c r="T69" s="293">
        <f>T174+U254</f>
      </c>
      <c r="U69" s="293">
        <f>U174+V254</f>
      </c>
      <c r="V69" s="293">
        <f>V174+W254</f>
      </c>
      <c r="W69" s="297"/>
      <c r="X69" s="140" t="s">
        <v>241</v>
      </c>
      <c r="Y69" s="124">
        <f>AB69+AE69+AH69+AK69+AN69</f>
      </c>
      <c r="Z69" s="124">
        <f>AC69+AF69+AI69+AL69+AO69</f>
      </c>
      <c r="AA69" s="124">
        <f>AD69+AG69+AJ69+AM69+AP69</f>
      </c>
      <c r="AB69" s="293">
        <f>H69/$E$10</f>
      </c>
      <c r="AC69" s="293">
        <f>I69/$E$10</f>
      </c>
      <c r="AD69" s="293">
        <f>J69/$E$10</f>
      </c>
      <c r="AE69" s="293">
        <f>K69/$E$10</f>
      </c>
      <c r="AF69" s="293">
        <f>L69/$E$10</f>
      </c>
      <c r="AG69" s="293">
        <f>M69/$E$10</f>
      </c>
      <c r="AH69" s="293">
        <f>N69/$E$12</f>
      </c>
      <c r="AI69" s="293">
        <f>O69/$E$12</f>
      </c>
      <c r="AJ69" s="293">
        <f>P69/$E$12</f>
      </c>
      <c r="AK69" s="293">
        <f>Q69/$E$13</f>
      </c>
      <c r="AL69" s="293">
        <f>R69/$E$13</f>
      </c>
      <c r="AM69" s="293">
        <f>S69/$E$13</f>
      </c>
      <c r="AN69" s="293">
        <f>T69/$E$14</f>
      </c>
      <c r="AO69" s="293">
        <f>U69/$E$14</f>
      </c>
      <c r="AP69" s="293">
        <f>V69/$E$14</f>
      </c>
      <c r="AQ69" s="297"/>
      <c r="AR69" s="123" t="s">
        <v>241</v>
      </c>
      <c r="AS69" s="63">
        <f>AB69/Y69</f>
      </c>
      <c r="AT69" s="63">
        <f>AC69/Z69</f>
      </c>
      <c r="AU69" s="63">
        <f>AD69/AA69</f>
      </c>
      <c r="AV69" s="63">
        <f>AE69/Y69</f>
      </c>
      <c r="AW69" s="63">
        <f>AF69/Z69</f>
      </c>
      <c r="AX69" s="63">
        <f>AG69/AA69</f>
      </c>
      <c r="AY69" s="63">
        <f>AH69/Y69</f>
      </c>
      <c r="AZ69" s="63">
        <f>AI69/Z69</f>
      </c>
      <c r="BA69" s="63">
        <f>AJ69/AA69</f>
      </c>
      <c r="BB69" s="63">
        <f>AK69/Y69</f>
      </c>
      <c r="BC69" s="63">
        <f>AL69/Z69</f>
      </c>
      <c r="BD69" s="63">
        <f>AM69/AA69</f>
      </c>
      <c r="BE69" s="63">
        <f>AN69/Y69</f>
      </c>
      <c r="BF69" s="63">
        <f>AO69/Z69</f>
      </c>
      <c r="BG69" s="63">
        <f>AP69/AA69</f>
      </c>
      <c r="BH69" s="63"/>
      <c r="BI69" s="63"/>
      <c r="BJ69" s="63">
        <f>AU69</f>
      </c>
      <c r="BK69" s="63">
        <f>AX69</f>
      </c>
      <c r="BL69" s="63">
        <f>BA69</f>
      </c>
      <c r="BM69" s="63">
        <f>BD69</f>
      </c>
      <c r="BN69" s="63">
        <f>BG69</f>
      </c>
      <c r="BO69" s="124"/>
      <c r="BP69" s="124"/>
      <c r="BQ69" s="124"/>
      <c r="BR69" s="124"/>
      <c r="BS69" s="124"/>
      <c r="BT69" s="124"/>
      <c r="BU69" s="124"/>
      <c r="BV69" s="124"/>
      <c r="BW69" s="124"/>
      <c r="BX69" s="124"/>
      <c r="BY69" s="124"/>
      <c r="BZ69" s="124"/>
      <c r="CA69" s="124"/>
      <c r="CB69" s="124"/>
      <c r="CC69" s="124"/>
      <c r="CD69" s="124"/>
      <c r="CE69" s="124"/>
      <c r="CF69" s="124"/>
      <c r="CG69" s="124"/>
      <c r="CH69" s="124"/>
      <c r="CI69" s="124"/>
      <c r="CJ69" s="124"/>
      <c r="CK69" s="124"/>
      <c r="CL69" s="300"/>
      <c r="CM69" s="300"/>
      <c r="CN69" s="300"/>
      <c r="CO69" s="124"/>
      <c r="CP69" s="124"/>
      <c r="CQ69" s="124"/>
      <c r="CR69" s="124"/>
      <c r="CS69" s="124"/>
      <c r="CT69" s="124"/>
      <c r="CU69" s="124"/>
      <c r="CV69" s="124"/>
      <c r="CW69" s="124"/>
      <c r="CX69" s="124"/>
      <c r="CY69" s="124"/>
      <c r="CZ69" s="124"/>
      <c r="DA69" s="124"/>
      <c r="DB69" s="124"/>
      <c r="DC69" s="124"/>
      <c r="DD69" s="124"/>
      <c r="DE69" s="124"/>
      <c r="DF69" s="124"/>
      <c r="DG69" s="124"/>
      <c r="DH69" s="124"/>
      <c r="DI69" s="124"/>
      <c r="DJ69" s="124"/>
      <c r="DK69" s="124"/>
      <c r="DL69" s="124"/>
      <c r="DM69" s="124"/>
      <c r="DN69" s="124"/>
      <c r="DO69" s="124"/>
      <c r="DP69" s="124"/>
    </row>
    <row x14ac:dyDescent="0.25" r="70" customHeight="1" ht="13.5">
      <c r="A70" s="2"/>
      <c r="B70" s="3"/>
      <c r="C70" s="2"/>
      <c r="D70" s="292">
        <f>D148</f>
      </c>
      <c r="E70" s="293">
        <f>H70+K70+N70+Q70+T70</f>
      </c>
      <c r="F70" s="293">
        <f>I70+L70+O70+R70+U70</f>
      </c>
      <c r="G70" s="293">
        <f>J70+M70+P70+S70+V70</f>
      </c>
      <c r="H70" s="293">
        <f>H175+I255</f>
      </c>
      <c r="I70" s="293">
        <f>I175+J255</f>
      </c>
      <c r="J70" s="293">
        <f>J175+K255</f>
      </c>
      <c r="K70" s="293">
        <f>K175+L255</f>
      </c>
      <c r="L70" s="293">
        <f>L175+M255</f>
      </c>
      <c r="M70" s="293">
        <f>M175+N255</f>
      </c>
      <c r="N70" s="293">
        <f>N175+O255</f>
      </c>
      <c r="O70" s="293">
        <f>O175+P255</f>
      </c>
      <c r="P70" s="293">
        <f>P175+Q255</f>
      </c>
      <c r="Q70" s="293">
        <f>Q175+R255</f>
      </c>
      <c r="R70" s="293">
        <f>R175+S255</f>
      </c>
      <c r="S70" s="293">
        <f>S175+T255</f>
      </c>
      <c r="T70" s="293">
        <f>T175+U255</f>
      </c>
      <c r="U70" s="293">
        <f>U175+V255</f>
      </c>
      <c r="V70" s="293">
        <f>V175+W255</f>
      </c>
      <c r="W70" s="297"/>
      <c r="X70" s="140" t="s">
        <v>249</v>
      </c>
      <c r="Y70" s="124">
        <f>AB70+AE70+AH70+AK70+AN70</f>
      </c>
      <c r="Z70" s="124">
        <f>AC70+AF70+AI70+AL70+AO70</f>
      </c>
      <c r="AA70" s="124">
        <f>AD70+AG70+AJ70+AM70+AP70</f>
      </c>
      <c r="AB70" s="293">
        <f>H70/$E$10</f>
      </c>
      <c r="AC70" s="293">
        <f>I70/$E$10</f>
      </c>
      <c r="AD70" s="293">
        <f>J70/$E$10</f>
      </c>
      <c r="AE70" s="293">
        <f>K70/$E$10</f>
      </c>
      <c r="AF70" s="293">
        <f>L70/$E$10</f>
      </c>
      <c r="AG70" s="293">
        <f>M70/$E$10</f>
      </c>
      <c r="AH70" s="293">
        <f>N70/$E$12</f>
      </c>
      <c r="AI70" s="293">
        <f>O70/$E$12</f>
      </c>
      <c r="AJ70" s="293">
        <f>P70/$E$12</f>
      </c>
      <c r="AK70" s="293">
        <f>Q70/$E$13</f>
      </c>
      <c r="AL70" s="293">
        <f>R70/$E$13</f>
      </c>
      <c r="AM70" s="293">
        <f>S70/$E$13</f>
      </c>
      <c r="AN70" s="293">
        <f>T70/$E$14</f>
      </c>
      <c r="AO70" s="293">
        <f>U70/$E$14</f>
      </c>
      <c r="AP70" s="293">
        <f>V70/$E$14</f>
      </c>
      <c r="AQ70" s="297"/>
      <c r="AR70" s="123" t="s">
        <v>249</v>
      </c>
      <c r="AS70" s="63">
        <f>AB70/Y70</f>
      </c>
      <c r="AT70" s="63">
        <f>AC70/Z70</f>
      </c>
      <c r="AU70" s="63">
        <f>AD70/AA70</f>
      </c>
      <c r="AV70" s="63">
        <f>AE70/Y70</f>
      </c>
      <c r="AW70" s="63">
        <f>AF70/Z70</f>
      </c>
      <c r="AX70" s="63">
        <f>AG70/AA70</f>
      </c>
      <c r="AY70" s="63">
        <f>AH70/Y70</f>
      </c>
      <c r="AZ70" s="63">
        <f>AI70/Z70</f>
      </c>
      <c r="BA70" s="63">
        <f>AJ70/AA70</f>
      </c>
      <c r="BB70" s="63">
        <f>AK70/Y70</f>
      </c>
      <c r="BC70" s="63">
        <f>AL70/Z70</f>
      </c>
      <c r="BD70" s="63">
        <f>AM70/AA70</f>
      </c>
      <c r="BE70" s="63">
        <f>AN70/Y70</f>
      </c>
      <c r="BF70" s="63">
        <f>AO70/Z70</f>
      </c>
      <c r="BG70" s="63">
        <f>AP70/AA70</f>
      </c>
      <c r="BH70" s="63"/>
      <c r="BI70" s="63"/>
      <c r="BJ70" s="63">
        <f>AU70</f>
      </c>
      <c r="BK70" s="63">
        <f>AX70</f>
      </c>
      <c r="BL70" s="63">
        <f>BA70</f>
      </c>
      <c r="BM70" s="63">
        <f>BD70</f>
      </c>
      <c r="BN70" s="63">
        <f>BG70</f>
      </c>
      <c r="BO70" s="124"/>
      <c r="BP70" s="124"/>
      <c r="BQ70" s="124"/>
      <c r="BR70" s="124"/>
      <c r="BS70" s="124"/>
      <c r="BT70" s="124"/>
      <c r="BU70" s="124"/>
      <c r="BV70" s="124"/>
      <c r="BW70" s="124"/>
      <c r="BX70" s="124"/>
      <c r="BY70" s="124"/>
      <c r="BZ70" s="124"/>
      <c r="CA70" s="124"/>
      <c r="CB70" s="124"/>
      <c r="CC70" s="124"/>
      <c r="CD70" s="124"/>
      <c r="CE70" s="124"/>
      <c r="CF70" s="124"/>
      <c r="CG70" s="124"/>
      <c r="CH70" s="124"/>
      <c r="CI70" s="124"/>
      <c r="CJ70" s="124"/>
      <c r="CK70" s="124"/>
      <c r="CL70" s="300"/>
      <c r="CM70" s="300"/>
      <c r="CN70" s="300"/>
      <c r="CO70" s="124"/>
      <c r="CP70" s="124"/>
      <c r="CQ70" s="124"/>
      <c r="CR70" s="124"/>
      <c r="CS70" s="124"/>
      <c r="CT70" s="124"/>
      <c r="CU70" s="124"/>
      <c r="CV70" s="124"/>
      <c r="CW70" s="124"/>
      <c r="CX70" s="124"/>
      <c r="CY70" s="124"/>
      <c r="CZ70" s="124"/>
      <c r="DA70" s="124"/>
      <c r="DB70" s="124"/>
      <c r="DC70" s="124"/>
      <c r="DD70" s="124"/>
      <c r="DE70" s="124"/>
      <c r="DF70" s="124"/>
      <c r="DG70" s="124"/>
      <c r="DH70" s="124"/>
      <c r="DI70" s="124"/>
      <c r="DJ70" s="124"/>
      <c r="DK70" s="124"/>
      <c r="DL70" s="124"/>
      <c r="DM70" s="124"/>
      <c r="DN70" s="124"/>
      <c r="DO70" s="124"/>
      <c r="DP70" s="124"/>
    </row>
    <row x14ac:dyDescent="0.25" r="71" customHeight="1" ht="13.5">
      <c r="A71" s="2"/>
      <c r="B71" s="3"/>
      <c r="C71" s="2"/>
      <c r="D71" s="292">
        <f>D149</f>
      </c>
      <c r="E71" s="293">
        <f>H71+K71+N71+Q71+T71</f>
      </c>
      <c r="F71" s="293">
        <f>I71+L71+O71+R71+U71</f>
      </c>
      <c r="G71" s="293">
        <f>J71+M71+P71+S71+V71</f>
      </c>
      <c r="H71" s="293">
        <f>H176+I256</f>
      </c>
      <c r="I71" s="293">
        <f>I176+J256</f>
      </c>
      <c r="J71" s="293">
        <f>J176+K256</f>
      </c>
      <c r="K71" s="293">
        <f>K176+L256</f>
      </c>
      <c r="L71" s="293">
        <f>L176+M256</f>
      </c>
      <c r="M71" s="293">
        <f>M176+N256</f>
      </c>
      <c r="N71" s="293">
        <f>N176+O256</f>
      </c>
      <c r="O71" s="293">
        <f>O176+P256</f>
      </c>
      <c r="P71" s="293">
        <f>P176+Q256</f>
      </c>
      <c r="Q71" s="293">
        <f>Q176+R256</f>
      </c>
      <c r="R71" s="293">
        <f>R176+S256</f>
      </c>
      <c r="S71" s="293">
        <f>S176+T256</f>
      </c>
      <c r="T71" s="293">
        <f>T176+U256</f>
      </c>
      <c r="U71" s="293">
        <f>U176+V256</f>
      </c>
      <c r="V71" s="293">
        <f>V176+W256</f>
      </c>
      <c r="W71" s="297"/>
      <c r="X71" s="140" t="s">
        <v>235</v>
      </c>
      <c r="Y71" s="124">
        <f>AB71+AE71+AH71+AK71+AN71</f>
      </c>
      <c r="Z71" s="124">
        <f>AC71+AF71+AI71+AL71+AO71</f>
      </c>
      <c r="AA71" s="124">
        <f>AD71+AG71+AJ71+AM71+AP71</f>
      </c>
      <c r="AB71" s="293">
        <f>H71/$E$10</f>
      </c>
      <c r="AC71" s="293">
        <f>I71/$E$10</f>
      </c>
      <c r="AD71" s="293">
        <f>J71/$E$10</f>
      </c>
      <c r="AE71" s="293">
        <f>K71/$E$10</f>
      </c>
      <c r="AF71" s="293">
        <f>L71/$E$10</f>
      </c>
      <c r="AG71" s="293">
        <f>M71/$E$10</f>
      </c>
      <c r="AH71" s="293">
        <f>N71/$E$12</f>
      </c>
      <c r="AI71" s="293">
        <f>O71/$E$12</f>
      </c>
      <c r="AJ71" s="293">
        <f>P71/$E$12</f>
      </c>
      <c r="AK71" s="293">
        <f>Q71/$E$13</f>
      </c>
      <c r="AL71" s="293">
        <f>R71/$E$13</f>
      </c>
      <c r="AM71" s="293">
        <f>S71/$E$13</f>
      </c>
      <c r="AN71" s="293">
        <f>T71/$E$14</f>
      </c>
      <c r="AO71" s="293">
        <f>U71/$E$14</f>
      </c>
      <c r="AP71" s="293">
        <f>V71/$E$14</f>
      </c>
      <c r="AQ71" s="297"/>
      <c r="AR71" s="123" t="s">
        <v>235</v>
      </c>
      <c r="AS71" s="63">
        <f>AB71/Y71</f>
      </c>
      <c r="AT71" s="63">
        <f>AC71/Z71</f>
      </c>
      <c r="AU71" s="63">
        <f>AD71/AA71</f>
      </c>
      <c r="AV71" s="63">
        <f>AE71/Y71</f>
      </c>
      <c r="AW71" s="63">
        <f>AF71/Z71</f>
      </c>
      <c r="AX71" s="63">
        <f>AG71/AA71</f>
      </c>
      <c r="AY71" s="63">
        <f>AH71/Y71</f>
      </c>
      <c r="AZ71" s="63">
        <f>AI71/Z71</f>
      </c>
      <c r="BA71" s="63">
        <f>AJ71/AA71</f>
      </c>
      <c r="BB71" s="63">
        <f>AK71/Y71</f>
      </c>
      <c r="BC71" s="63">
        <f>AL71/Z71</f>
      </c>
      <c r="BD71" s="63">
        <f>AM71/AA71</f>
      </c>
      <c r="BE71" s="63">
        <f>AN71/Y71</f>
      </c>
      <c r="BF71" s="63">
        <f>AO71/Z71</f>
      </c>
      <c r="BG71" s="63">
        <f>AP71/AA71</f>
      </c>
      <c r="BH71" s="63"/>
      <c r="BI71" s="63"/>
      <c r="BJ71" s="63">
        <f>AU71</f>
      </c>
      <c r="BK71" s="63">
        <f>AX71</f>
      </c>
      <c r="BL71" s="63">
        <f>BA71</f>
      </c>
      <c r="BM71" s="63">
        <f>BD71</f>
      </c>
      <c r="BN71" s="63">
        <f>BG71</f>
      </c>
      <c r="BO71" s="124"/>
      <c r="BP71" s="124"/>
      <c r="BQ71" s="124"/>
      <c r="BR71" s="124"/>
      <c r="BS71" s="124"/>
      <c r="BT71" s="124"/>
      <c r="BU71" s="124"/>
      <c r="BV71" s="124"/>
      <c r="BW71" s="124"/>
      <c r="BX71" s="124"/>
      <c r="BY71" s="124"/>
      <c r="BZ71" s="124"/>
      <c r="CA71" s="124"/>
      <c r="CB71" s="124"/>
      <c r="CC71" s="124"/>
      <c r="CD71" s="124"/>
      <c r="CE71" s="124"/>
      <c r="CF71" s="124"/>
      <c r="CG71" s="124"/>
      <c r="CH71" s="124"/>
      <c r="CI71" s="124"/>
      <c r="CJ71" s="124"/>
      <c r="CK71" s="124"/>
      <c r="CL71" s="300"/>
      <c r="CM71" s="300"/>
      <c r="CN71" s="300"/>
      <c r="CO71" s="124"/>
      <c r="CP71" s="124"/>
      <c r="CQ71" s="124"/>
      <c r="CR71" s="124"/>
      <c r="CS71" s="124"/>
      <c r="CT71" s="124"/>
      <c r="CU71" s="124"/>
      <c r="CV71" s="124"/>
      <c r="CW71" s="124"/>
      <c r="CX71" s="124"/>
      <c r="CY71" s="124"/>
      <c r="CZ71" s="124"/>
      <c r="DA71" s="124"/>
      <c r="DB71" s="124"/>
      <c r="DC71" s="124"/>
      <c r="DD71" s="124"/>
      <c r="DE71" s="124"/>
      <c r="DF71" s="124"/>
      <c r="DG71" s="124"/>
      <c r="DH71" s="124"/>
      <c r="DI71" s="124"/>
      <c r="DJ71" s="124"/>
      <c r="DK71" s="124"/>
      <c r="DL71" s="124"/>
      <c r="DM71" s="124"/>
      <c r="DN71" s="124"/>
      <c r="DO71" s="124"/>
      <c r="DP71" s="124"/>
    </row>
    <row x14ac:dyDescent="0.25" r="72" customHeight="1" ht="13.5">
      <c r="A72" s="2"/>
      <c r="B72" s="3"/>
      <c r="C72" s="2"/>
      <c r="D72" s="292">
        <f>D150</f>
      </c>
      <c r="E72" s="293">
        <f>H72+K72+N72+Q72+T72</f>
      </c>
      <c r="F72" s="293">
        <f>I72+L72+O72+R72+U72</f>
      </c>
      <c r="G72" s="293">
        <f>J72+M72+P72+S72+V72</f>
      </c>
      <c r="H72" s="293">
        <f>H177+I257</f>
      </c>
      <c r="I72" s="293">
        <f>I177+J257</f>
      </c>
      <c r="J72" s="293">
        <f>J177+K257</f>
      </c>
      <c r="K72" s="293">
        <f>K177+L257</f>
      </c>
      <c r="L72" s="293">
        <f>L177+M257</f>
      </c>
      <c r="M72" s="293">
        <f>M177+N257</f>
      </c>
      <c r="N72" s="293">
        <f>N177+O257</f>
      </c>
      <c r="O72" s="293">
        <f>O177+P257</f>
      </c>
      <c r="P72" s="293">
        <f>P177+Q257</f>
      </c>
      <c r="Q72" s="293">
        <f>Q177+R257</f>
      </c>
      <c r="R72" s="293">
        <f>R177+S257</f>
      </c>
      <c r="S72" s="293">
        <f>S177+T257</f>
      </c>
      <c r="T72" s="293">
        <f>T177+U257</f>
      </c>
      <c r="U72" s="293">
        <f>U177+V257</f>
      </c>
      <c r="V72" s="293">
        <f>V177+W257</f>
      </c>
      <c r="W72" s="297"/>
      <c r="X72" s="140" t="s">
        <v>125</v>
      </c>
      <c r="Y72" s="124">
        <f>AB72+AE72+AH72+AK72+AN72</f>
      </c>
      <c r="Z72" s="124">
        <f>AC72+AF72+AI72+AL72+AO72</f>
      </c>
      <c r="AA72" s="124">
        <f>AD72+AG72+AJ72+AM72+AP72</f>
      </c>
      <c r="AB72" s="293">
        <f>H72/$E$10</f>
      </c>
      <c r="AC72" s="293">
        <f>I72/$E$10</f>
      </c>
      <c r="AD72" s="293">
        <f>J72/$E$10</f>
      </c>
      <c r="AE72" s="293">
        <f>K72/$E$10</f>
      </c>
      <c r="AF72" s="293">
        <f>L72/$E$10</f>
      </c>
      <c r="AG72" s="293">
        <f>M72/$E$10</f>
      </c>
      <c r="AH72" s="293">
        <f>N72/$E$12</f>
      </c>
      <c r="AI72" s="293">
        <f>O72/$E$12</f>
      </c>
      <c r="AJ72" s="293">
        <f>P72/$E$12</f>
      </c>
      <c r="AK72" s="293">
        <f>Q72/$E$13</f>
      </c>
      <c r="AL72" s="293">
        <f>R72/$E$13</f>
      </c>
      <c r="AM72" s="293">
        <f>S72/$E$13</f>
      </c>
      <c r="AN72" s="293">
        <f>T72/$E$14</f>
      </c>
      <c r="AO72" s="293">
        <f>U72/$E$14</f>
      </c>
      <c r="AP72" s="293">
        <f>V72/$E$14</f>
      </c>
      <c r="AQ72" s="297"/>
      <c r="AR72" s="123" t="s">
        <v>125</v>
      </c>
      <c r="AS72" s="63">
        <f>AB72/Y72</f>
      </c>
      <c r="AT72" s="63">
        <f>AC72/Z72</f>
      </c>
      <c r="AU72" s="63">
        <f>AD72/AA72</f>
      </c>
      <c r="AV72" s="63">
        <f>AE72/Y72</f>
      </c>
      <c r="AW72" s="63">
        <f>AF72/Z72</f>
      </c>
      <c r="AX72" s="63">
        <f>AG72/AA72</f>
      </c>
      <c r="AY72" s="63">
        <f>AH72/Y72</f>
      </c>
      <c r="AZ72" s="63">
        <f>AI72/Z72</f>
      </c>
      <c r="BA72" s="63">
        <f>AJ72/AA72</f>
      </c>
      <c r="BB72" s="63">
        <f>AK72/Y72</f>
      </c>
      <c r="BC72" s="63">
        <f>AL72/Z72</f>
      </c>
      <c r="BD72" s="63">
        <f>AM72/AA72</f>
      </c>
      <c r="BE72" s="63">
        <f>AN72/Y72</f>
      </c>
      <c r="BF72" s="63">
        <f>AO72/Z72</f>
      </c>
      <c r="BG72" s="63">
        <f>AP72/AA72</f>
      </c>
      <c r="BH72" s="63"/>
      <c r="BI72" s="63"/>
      <c r="BJ72" s="63">
        <f>AU72</f>
      </c>
      <c r="BK72" s="63">
        <f>AX72</f>
      </c>
      <c r="BL72" s="63">
        <f>BA72</f>
      </c>
      <c r="BM72" s="63">
        <f>BD72</f>
      </c>
      <c r="BN72" s="63">
        <f>BG72</f>
      </c>
      <c r="BO72" s="124"/>
      <c r="BP72" s="124"/>
      <c r="BQ72" s="124"/>
      <c r="BR72" s="124"/>
      <c r="BS72" s="124"/>
      <c r="BT72" s="124"/>
      <c r="BU72" s="124"/>
      <c r="BV72" s="124"/>
      <c r="BW72" s="124"/>
      <c r="BX72" s="124"/>
      <c r="BY72" s="124"/>
      <c r="BZ72" s="124"/>
      <c r="CA72" s="124"/>
      <c r="CB72" s="124"/>
      <c r="CC72" s="124"/>
      <c r="CD72" s="124"/>
      <c r="CE72" s="124"/>
      <c r="CF72" s="124"/>
      <c r="CG72" s="124"/>
      <c r="CH72" s="124"/>
      <c r="CI72" s="124"/>
      <c r="CJ72" s="124"/>
      <c r="CK72" s="124"/>
      <c r="CL72" s="300"/>
      <c r="CM72" s="300"/>
      <c r="CN72" s="300"/>
      <c r="CO72" s="124"/>
      <c r="CP72" s="124"/>
      <c r="CQ72" s="124"/>
      <c r="CR72" s="124"/>
      <c r="CS72" s="124"/>
      <c r="CT72" s="124"/>
      <c r="CU72" s="124"/>
      <c r="CV72" s="124"/>
      <c r="CW72" s="124"/>
      <c r="CX72" s="124"/>
      <c r="CY72" s="124"/>
      <c r="CZ72" s="124"/>
      <c r="DA72" s="124"/>
      <c r="DB72" s="124"/>
      <c r="DC72" s="124"/>
      <c r="DD72" s="124"/>
      <c r="DE72" s="124"/>
      <c r="DF72" s="124"/>
      <c r="DG72" s="124"/>
      <c r="DH72" s="124"/>
      <c r="DI72" s="124"/>
      <c r="DJ72" s="124"/>
      <c r="DK72" s="124"/>
      <c r="DL72" s="124"/>
      <c r="DM72" s="124"/>
      <c r="DN72" s="124"/>
      <c r="DO72" s="124"/>
      <c r="DP72" s="124"/>
    </row>
    <row x14ac:dyDescent="0.25" r="73" customHeight="1" ht="13.5">
      <c r="A73" s="2"/>
      <c r="B73" s="3"/>
      <c r="C73" s="2"/>
      <c r="D73" s="292">
        <f>D151</f>
      </c>
      <c r="E73" s="293">
        <f>H73+K73+N73+Q73+T73</f>
      </c>
      <c r="F73" s="293">
        <f>I73+L73+O73+R73+U73</f>
      </c>
      <c r="G73" s="293">
        <f>J73+M73+P73+S73+V73</f>
      </c>
      <c r="H73" s="293">
        <f>H178+I258</f>
      </c>
      <c r="I73" s="293">
        <f>I178+J258</f>
      </c>
      <c r="J73" s="293">
        <f>J178+K258</f>
      </c>
      <c r="K73" s="293">
        <f>K178+L258</f>
      </c>
      <c r="L73" s="293">
        <f>L178+M258</f>
      </c>
      <c r="M73" s="293">
        <f>M178+N258</f>
      </c>
      <c r="N73" s="293">
        <f>N178+O258</f>
      </c>
      <c r="O73" s="293">
        <f>O178+P258</f>
      </c>
      <c r="P73" s="293">
        <f>P178+Q258</f>
      </c>
      <c r="Q73" s="293">
        <f>Q178+R258</f>
      </c>
      <c r="R73" s="293">
        <f>R178+S258</f>
      </c>
      <c r="S73" s="293">
        <f>S178+T258</f>
      </c>
      <c r="T73" s="293">
        <f>T178+U258</f>
      </c>
      <c r="U73" s="293">
        <f>U178+V258</f>
      </c>
      <c r="V73" s="293">
        <f>V178+W258</f>
      </c>
      <c r="W73" s="297"/>
      <c r="X73" s="140" t="s">
        <v>209</v>
      </c>
      <c r="Y73" s="124">
        <f>AB73+AE73+AH73+AK73+AN73</f>
      </c>
      <c r="Z73" s="124">
        <f>AC73+AF73+AI73+AL73+AO73</f>
      </c>
      <c r="AA73" s="124">
        <f>AD73+AG73+AJ73+AM73+AP73</f>
      </c>
      <c r="AB73" s="293">
        <f>H73/$E$10</f>
      </c>
      <c r="AC73" s="293">
        <f>I73/$E$10</f>
      </c>
      <c r="AD73" s="293">
        <f>J73/$E$10</f>
      </c>
      <c r="AE73" s="293">
        <f>K73/$E$10</f>
      </c>
      <c r="AF73" s="293">
        <f>L73/$E$10</f>
      </c>
      <c r="AG73" s="293">
        <f>M73/$E$10</f>
      </c>
      <c r="AH73" s="293">
        <f>N73/$E$12</f>
      </c>
      <c r="AI73" s="293">
        <f>O73/$E$12</f>
      </c>
      <c r="AJ73" s="293">
        <f>P73/$E$12</f>
      </c>
      <c r="AK73" s="293">
        <f>Q73/$E$13</f>
      </c>
      <c r="AL73" s="293">
        <f>R73/$E$13</f>
      </c>
      <c r="AM73" s="293">
        <f>S73/$E$13</f>
      </c>
      <c r="AN73" s="293">
        <f>T73/$E$14</f>
      </c>
      <c r="AO73" s="293">
        <f>U73/$E$14</f>
      </c>
      <c r="AP73" s="293">
        <f>V73/$E$14</f>
      </c>
      <c r="AQ73" s="297"/>
      <c r="AR73" s="123" t="s">
        <v>209</v>
      </c>
      <c r="AS73" s="63">
        <f>AB73/Y73</f>
      </c>
      <c r="AT73" s="63">
        <f>AC73/Z73</f>
      </c>
      <c r="AU73" s="63">
        <f>AD73/AA73</f>
      </c>
      <c r="AV73" s="63">
        <f>AE73/Y73</f>
      </c>
      <c r="AW73" s="63">
        <f>AF73/Z73</f>
      </c>
      <c r="AX73" s="63">
        <f>AG73/AA73</f>
      </c>
      <c r="AY73" s="63">
        <f>AH73/Y73</f>
      </c>
      <c r="AZ73" s="63">
        <f>AI73/Z73</f>
      </c>
      <c r="BA73" s="63">
        <f>AJ73/AA73</f>
      </c>
      <c r="BB73" s="63">
        <f>AK73/Y73</f>
      </c>
      <c r="BC73" s="63">
        <f>AL73/Z73</f>
      </c>
      <c r="BD73" s="63">
        <f>AM73/AA73</f>
      </c>
      <c r="BE73" s="63">
        <f>AN73/Y73</f>
      </c>
      <c r="BF73" s="63">
        <f>AO73/Z73</f>
      </c>
      <c r="BG73" s="63">
        <f>AP73/AA73</f>
      </c>
      <c r="BH73" s="63"/>
      <c r="BI73" s="63"/>
      <c r="BJ73" s="63">
        <f>AU73</f>
      </c>
      <c r="BK73" s="63">
        <f>AX73</f>
      </c>
      <c r="BL73" s="63">
        <f>BA73</f>
      </c>
      <c r="BM73" s="63">
        <f>BD73</f>
      </c>
      <c r="BN73" s="63">
        <f>BG73</f>
      </c>
      <c r="BO73" s="124"/>
      <c r="BP73" s="124"/>
      <c r="BQ73" s="124"/>
      <c r="BR73" s="124"/>
      <c r="BS73" s="124"/>
      <c r="BT73" s="124"/>
      <c r="BU73" s="124"/>
      <c r="BV73" s="124"/>
      <c r="BW73" s="124"/>
      <c r="BX73" s="124"/>
      <c r="BY73" s="124"/>
      <c r="BZ73" s="124"/>
      <c r="CA73" s="124"/>
      <c r="CB73" s="124"/>
      <c r="CC73" s="124"/>
      <c r="CD73" s="124"/>
      <c r="CE73" s="124"/>
      <c r="CF73" s="124"/>
      <c r="CG73" s="124"/>
      <c r="CH73" s="124"/>
      <c r="CI73" s="124"/>
      <c r="CJ73" s="124"/>
      <c r="CK73" s="124"/>
      <c r="CL73" s="300"/>
      <c r="CM73" s="300"/>
      <c r="CN73" s="300"/>
      <c r="CO73" s="124"/>
      <c r="CP73" s="124"/>
      <c r="CQ73" s="124"/>
      <c r="CR73" s="124"/>
      <c r="CS73" s="124"/>
      <c r="CT73" s="124"/>
      <c r="CU73" s="124"/>
      <c r="CV73" s="124"/>
      <c r="CW73" s="124"/>
      <c r="CX73" s="124"/>
      <c r="CY73" s="124"/>
      <c r="CZ73" s="124"/>
      <c r="DA73" s="124"/>
      <c r="DB73" s="124"/>
      <c r="DC73" s="124"/>
      <c r="DD73" s="124"/>
      <c r="DE73" s="124"/>
      <c r="DF73" s="124"/>
      <c r="DG73" s="124"/>
      <c r="DH73" s="124"/>
      <c r="DI73" s="124"/>
      <c r="DJ73" s="124"/>
      <c r="DK73" s="124"/>
      <c r="DL73" s="124"/>
      <c r="DM73" s="124"/>
      <c r="DN73" s="124"/>
      <c r="DO73" s="124"/>
      <c r="DP73" s="124"/>
    </row>
    <row x14ac:dyDescent="0.25" r="74" customHeight="1" ht="13.5">
      <c r="A74" s="2"/>
      <c r="B74" s="3"/>
      <c r="C74" s="2"/>
      <c r="D74" s="292">
        <f>D152</f>
      </c>
      <c r="E74" s="293">
        <f>H74+K74+N74+Q74+T74</f>
      </c>
      <c r="F74" s="293">
        <f>I74+L74+O74+R74+U74</f>
      </c>
      <c r="G74" s="293">
        <f>J74+M74+P74+S74+V74</f>
      </c>
      <c r="H74" s="293">
        <f>H179+I259</f>
      </c>
      <c r="I74" s="293">
        <f>I179+J259</f>
      </c>
      <c r="J74" s="293">
        <f>J179+K259</f>
      </c>
      <c r="K74" s="293">
        <f>K179+L259</f>
      </c>
      <c r="L74" s="293">
        <f>L179+M259</f>
      </c>
      <c r="M74" s="293">
        <f>M179+N259</f>
      </c>
      <c r="N74" s="293">
        <f>N179+O259</f>
      </c>
      <c r="O74" s="293">
        <f>O179+P259</f>
      </c>
      <c r="P74" s="293">
        <f>P179+Q259</f>
      </c>
      <c r="Q74" s="293">
        <f>Q179+R259</f>
      </c>
      <c r="R74" s="293">
        <f>R179+S259</f>
      </c>
      <c r="S74" s="293">
        <f>S179+T259</f>
      </c>
      <c r="T74" s="293">
        <f>T179+U259</f>
      </c>
      <c r="U74" s="293">
        <f>U179+V259</f>
      </c>
      <c r="V74" s="293">
        <f>V179+W259</f>
      </c>
      <c r="W74" s="297"/>
      <c r="X74" s="140" t="s">
        <v>223</v>
      </c>
      <c r="Y74" s="124">
        <f>AB74+AE74+AH74+AK74+AN74</f>
      </c>
      <c r="Z74" s="124">
        <f>AC74+AF74+AI74+AL74+AO74</f>
      </c>
      <c r="AA74" s="124">
        <f>AD74+AG74+AJ74+AM74+AP74</f>
      </c>
      <c r="AB74" s="293">
        <f>H74/$E$10</f>
      </c>
      <c r="AC74" s="293">
        <f>I74/$E$10</f>
      </c>
      <c r="AD74" s="293">
        <f>J74/$E$10</f>
      </c>
      <c r="AE74" s="293">
        <f>K74/$E$10</f>
      </c>
      <c r="AF74" s="293">
        <f>L74/$E$10</f>
      </c>
      <c r="AG74" s="293">
        <f>M74/$E$10</f>
      </c>
      <c r="AH74" s="293">
        <f>N74/$E$12</f>
      </c>
      <c r="AI74" s="293">
        <f>O74/$E$12</f>
      </c>
      <c r="AJ74" s="293">
        <f>P74/$E$12</f>
      </c>
      <c r="AK74" s="293">
        <f>Q74/$E$13</f>
      </c>
      <c r="AL74" s="293">
        <f>R74/$E$13</f>
      </c>
      <c r="AM74" s="293">
        <f>S74/$E$13</f>
      </c>
      <c r="AN74" s="293">
        <f>T74/$E$14</f>
      </c>
      <c r="AO74" s="293">
        <f>U74/$E$14</f>
      </c>
      <c r="AP74" s="293">
        <f>V74/$E$14</f>
      </c>
      <c r="AQ74" s="297"/>
      <c r="AR74" s="123" t="s">
        <v>223</v>
      </c>
      <c r="AS74" s="63">
        <f>AB74/Y74</f>
      </c>
      <c r="AT74" s="63">
        <f>AC74/Z74</f>
      </c>
      <c r="AU74" s="63">
        <f>AD74/AA74</f>
      </c>
      <c r="AV74" s="63">
        <f>AE74/Y74</f>
      </c>
      <c r="AW74" s="63">
        <f>AF74/Z74</f>
      </c>
      <c r="AX74" s="63">
        <f>AG74/AA74</f>
      </c>
      <c r="AY74" s="63">
        <f>AH74/Y74</f>
      </c>
      <c r="AZ74" s="63">
        <f>AI74/Z74</f>
      </c>
      <c r="BA74" s="63">
        <f>AJ74/AA74</f>
      </c>
      <c r="BB74" s="63">
        <f>AK74/Y74</f>
      </c>
      <c r="BC74" s="63">
        <f>AL74/Z74</f>
      </c>
      <c r="BD74" s="63">
        <f>AM74/AA74</f>
      </c>
      <c r="BE74" s="63">
        <f>AN74/Y74</f>
      </c>
      <c r="BF74" s="63">
        <f>AO74/Z74</f>
      </c>
      <c r="BG74" s="63">
        <f>AP74/AA74</f>
      </c>
      <c r="BH74" s="63"/>
      <c r="BI74" s="63"/>
      <c r="BJ74" s="63">
        <f>AU74</f>
      </c>
      <c r="BK74" s="63">
        <f>AX74</f>
      </c>
      <c r="BL74" s="63">
        <f>BA74</f>
      </c>
      <c r="BM74" s="63">
        <f>BD74</f>
      </c>
      <c r="BN74" s="63">
        <f>BG74</f>
      </c>
      <c r="BO74" s="124"/>
      <c r="BP74" s="124"/>
      <c r="BQ74" s="124"/>
      <c r="BR74" s="124"/>
      <c r="BS74" s="124"/>
      <c r="BT74" s="124"/>
      <c r="BU74" s="124"/>
      <c r="BV74" s="124"/>
      <c r="BW74" s="124"/>
      <c r="BX74" s="124"/>
      <c r="BY74" s="124"/>
      <c r="BZ74" s="124"/>
      <c r="CA74" s="124"/>
      <c r="CB74" s="124"/>
      <c r="CC74" s="124"/>
      <c r="CD74" s="124"/>
      <c r="CE74" s="124"/>
      <c r="CF74" s="124"/>
      <c r="CG74" s="124"/>
      <c r="CH74" s="124"/>
      <c r="CI74" s="124"/>
      <c r="CJ74" s="124"/>
      <c r="CK74" s="124"/>
      <c r="CL74" s="300"/>
      <c r="CM74" s="300"/>
      <c r="CN74" s="300"/>
      <c r="CO74" s="124"/>
      <c r="CP74" s="124"/>
      <c r="CQ74" s="124"/>
      <c r="CR74" s="124"/>
      <c r="CS74" s="124"/>
      <c r="CT74" s="124"/>
      <c r="CU74" s="124"/>
      <c r="CV74" s="124"/>
      <c r="CW74" s="124"/>
      <c r="CX74" s="124"/>
      <c r="CY74" s="124"/>
      <c r="CZ74" s="124"/>
      <c r="DA74" s="124"/>
      <c r="DB74" s="124"/>
      <c r="DC74" s="124"/>
      <c r="DD74" s="124"/>
      <c r="DE74" s="124"/>
      <c r="DF74" s="124"/>
      <c r="DG74" s="124"/>
      <c r="DH74" s="124"/>
      <c r="DI74" s="124"/>
      <c r="DJ74" s="124"/>
      <c r="DK74" s="124"/>
      <c r="DL74" s="124"/>
      <c r="DM74" s="124"/>
      <c r="DN74" s="124"/>
      <c r="DO74" s="124"/>
      <c r="DP74" s="124"/>
    </row>
    <row x14ac:dyDescent="0.25" r="75" customHeight="1" ht="13.5">
      <c r="A75" s="2"/>
      <c r="B75" s="3"/>
      <c r="C75" s="2"/>
      <c r="D75" s="292">
        <f>D153</f>
      </c>
      <c r="E75" s="293">
        <f>H75+K75+N75+Q75+T75</f>
      </c>
      <c r="F75" s="293">
        <f>I75+L75+O75+R75+U75</f>
      </c>
      <c r="G75" s="293">
        <f>J75+M75+P75+S75+V75</f>
      </c>
      <c r="H75" s="293">
        <f>H180+I260</f>
      </c>
      <c r="I75" s="293">
        <f>I180+J260</f>
      </c>
      <c r="J75" s="293">
        <f>J180+K260</f>
      </c>
      <c r="K75" s="293">
        <f>K180+L260</f>
      </c>
      <c r="L75" s="293">
        <f>L180+M260</f>
      </c>
      <c r="M75" s="293">
        <f>M180+N260</f>
      </c>
      <c r="N75" s="293">
        <f>N180+O260</f>
      </c>
      <c r="O75" s="293">
        <f>O180+P260</f>
      </c>
      <c r="P75" s="293">
        <f>P180+Q260</f>
      </c>
      <c r="Q75" s="293">
        <f>Q180+R260</f>
      </c>
      <c r="R75" s="293">
        <f>R180+S260</f>
      </c>
      <c r="S75" s="293">
        <f>S180+T260</f>
      </c>
      <c r="T75" s="293">
        <f>T180+U260</f>
      </c>
      <c r="U75" s="293">
        <f>U180+V260</f>
      </c>
      <c r="V75" s="293">
        <f>V180+W260</f>
      </c>
      <c r="W75" s="297"/>
      <c r="X75" s="140" t="s">
        <v>183</v>
      </c>
      <c r="Y75" s="124">
        <f>AB75+AE75+AH75+AK75+AN75</f>
      </c>
      <c r="Z75" s="124">
        <f>AC75+AF75+AI75+AL75+AO75</f>
      </c>
      <c r="AA75" s="124">
        <f>AD75+AG75+AJ75+AM75+AP75</f>
      </c>
      <c r="AB75" s="293">
        <f>H75/$E$10</f>
      </c>
      <c r="AC75" s="293">
        <f>I75/$E$10</f>
      </c>
      <c r="AD75" s="293">
        <f>J75/$E$10</f>
      </c>
      <c r="AE75" s="293">
        <f>K75/$E$10</f>
      </c>
      <c r="AF75" s="293">
        <f>L75/$E$10</f>
      </c>
      <c r="AG75" s="293">
        <f>M75/$E$10</f>
      </c>
      <c r="AH75" s="293">
        <f>N75/$E$12</f>
      </c>
      <c r="AI75" s="293">
        <f>O75/$E$12</f>
      </c>
      <c r="AJ75" s="293">
        <f>P75/$E$12</f>
      </c>
      <c r="AK75" s="293">
        <f>Q75/$E$13</f>
      </c>
      <c r="AL75" s="293">
        <f>R75/$E$13</f>
      </c>
      <c r="AM75" s="293">
        <f>S75/$E$13</f>
      </c>
      <c r="AN75" s="293">
        <f>T75/$E$14</f>
      </c>
      <c r="AO75" s="293">
        <f>U75/$E$14</f>
      </c>
      <c r="AP75" s="293">
        <f>V75/$E$14</f>
      </c>
      <c r="AQ75" s="297"/>
      <c r="AR75" s="123" t="s">
        <v>183</v>
      </c>
      <c r="AS75" s="63">
        <f>AB75/Y75</f>
      </c>
      <c r="AT75" s="63">
        <f>AC75/Z75</f>
      </c>
      <c r="AU75" s="63">
        <f>AD75/AA75</f>
      </c>
      <c r="AV75" s="63">
        <f>AE75/Y75</f>
      </c>
      <c r="AW75" s="63">
        <f>AF75/Z75</f>
      </c>
      <c r="AX75" s="63">
        <f>AG75/AA75</f>
      </c>
      <c r="AY75" s="63">
        <f>AH75/Y75</f>
      </c>
      <c r="AZ75" s="63">
        <f>AI75/Z75</f>
      </c>
      <c r="BA75" s="63">
        <f>AJ75/AA75</f>
      </c>
      <c r="BB75" s="63">
        <f>AK75/Y75</f>
      </c>
      <c r="BC75" s="63">
        <f>AL75/Z75</f>
      </c>
      <c r="BD75" s="63">
        <f>AM75/AA75</f>
      </c>
      <c r="BE75" s="63">
        <f>AN75/Y75</f>
      </c>
      <c r="BF75" s="63">
        <f>AO75/Z75</f>
      </c>
      <c r="BG75" s="63">
        <f>AP75/AA75</f>
      </c>
      <c r="BH75" s="63"/>
      <c r="BI75" s="63"/>
      <c r="BJ75" s="63">
        <f>AU75</f>
      </c>
      <c r="BK75" s="63">
        <f>AX75</f>
      </c>
      <c r="BL75" s="63">
        <f>BA75</f>
      </c>
      <c r="BM75" s="63">
        <f>BD75</f>
      </c>
      <c r="BN75" s="63">
        <f>BG75</f>
      </c>
      <c r="BO75" s="124"/>
      <c r="BP75" s="124"/>
      <c r="BQ75" s="124"/>
      <c r="BR75" s="124"/>
      <c r="BS75" s="124"/>
      <c r="BT75" s="124"/>
      <c r="BU75" s="124"/>
      <c r="BV75" s="124"/>
      <c r="BW75" s="124"/>
      <c r="BX75" s="124"/>
      <c r="BY75" s="124"/>
      <c r="BZ75" s="124"/>
      <c r="CA75" s="124"/>
      <c r="CB75" s="124"/>
      <c r="CC75" s="124"/>
      <c r="CD75" s="124"/>
      <c r="CE75" s="124"/>
      <c r="CF75" s="124"/>
      <c r="CG75" s="124"/>
      <c r="CH75" s="124"/>
      <c r="CI75" s="124"/>
      <c r="CJ75" s="124"/>
      <c r="CK75" s="124"/>
      <c r="CL75" s="300"/>
      <c r="CM75" s="300"/>
      <c r="CN75" s="300"/>
      <c r="CO75" s="124"/>
      <c r="CP75" s="124"/>
      <c r="CQ75" s="124"/>
      <c r="CR75" s="124"/>
      <c r="CS75" s="124"/>
      <c r="CT75" s="124"/>
      <c r="CU75" s="124"/>
      <c r="CV75" s="124"/>
      <c r="CW75" s="124"/>
      <c r="CX75" s="124"/>
      <c r="CY75" s="124"/>
      <c r="CZ75" s="124"/>
      <c r="DA75" s="124"/>
      <c r="DB75" s="124"/>
      <c r="DC75" s="124"/>
      <c r="DD75" s="124"/>
      <c r="DE75" s="124"/>
      <c r="DF75" s="124"/>
      <c r="DG75" s="124"/>
      <c r="DH75" s="124"/>
      <c r="DI75" s="124"/>
      <c r="DJ75" s="124"/>
      <c r="DK75" s="124"/>
      <c r="DL75" s="124"/>
      <c r="DM75" s="124"/>
      <c r="DN75" s="124"/>
      <c r="DO75" s="124"/>
      <c r="DP75" s="124"/>
    </row>
    <row x14ac:dyDescent="0.25" r="76" customHeight="1" ht="13.5">
      <c r="A76" s="2"/>
      <c r="B76" s="3"/>
      <c r="C76" s="2"/>
      <c r="D76" s="292">
        <f>D154</f>
      </c>
      <c r="E76" s="293">
        <f>H76+K76+N76+Q76+T76</f>
      </c>
      <c r="F76" s="293">
        <f>I76+L76+O76+R76+U76</f>
      </c>
      <c r="G76" s="293">
        <f>J76+M76+P76+S76+V76</f>
      </c>
      <c r="H76" s="293">
        <f>H181+I261</f>
      </c>
      <c r="I76" s="293">
        <f>I181+J261</f>
      </c>
      <c r="J76" s="293">
        <f>J181+K261</f>
      </c>
      <c r="K76" s="293">
        <f>K181+L261</f>
      </c>
      <c r="L76" s="293">
        <f>L181+M261</f>
      </c>
      <c r="M76" s="293">
        <f>M181+N261</f>
      </c>
      <c r="N76" s="293">
        <f>N181+O261</f>
      </c>
      <c r="O76" s="293">
        <f>O181+P261</f>
      </c>
      <c r="P76" s="293">
        <f>P181+Q261</f>
      </c>
      <c r="Q76" s="293">
        <f>Q181+R261</f>
      </c>
      <c r="R76" s="293">
        <f>R181+S261</f>
      </c>
      <c r="S76" s="293">
        <f>S181+T261</f>
      </c>
      <c r="T76" s="293">
        <f>T181+U261</f>
      </c>
      <c r="U76" s="293">
        <f>U181+V261</f>
      </c>
      <c r="V76" s="293">
        <f>V181+W261</f>
      </c>
      <c r="W76" s="297"/>
      <c r="X76" s="140" t="s">
        <v>161</v>
      </c>
      <c r="Y76" s="124">
        <f>AB76+AE76+AH76+AK76+AN76</f>
      </c>
      <c r="Z76" s="124">
        <f>AC76+AF76+AI76+AL76+AO76</f>
      </c>
      <c r="AA76" s="124">
        <f>AD76+AG76+AJ76+AM76+AP76</f>
      </c>
      <c r="AB76" s="293">
        <f>H76/$E$10</f>
      </c>
      <c r="AC76" s="293">
        <f>I76/$E$10</f>
      </c>
      <c r="AD76" s="293">
        <f>J76/$E$10</f>
      </c>
      <c r="AE76" s="293">
        <f>K76/$E$10</f>
      </c>
      <c r="AF76" s="293">
        <f>L76/$E$10</f>
      </c>
      <c r="AG76" s="293">
        <f>M76/$E$10</f>
      </c>
      <c r="AH76" s="293">
        <f>N76/$E$12</f>
      </c>
      <c r="AI76" s="293">
        <f>O76/$E$12</f>
      </c>
      <c r="AJ76" s="293">
        <f>P76/$E$12</f>
      </c>
      <c r="AK76" s="293">
        <f>Q76/$E$13</f>
      </c>
      <c r="AL76" s="293">
        <f>R76/$E$13</f>
      </c>
      <c r="AM76" s="293">
        <f>S76/$E$13</f>
      </c>
      <c r="AN76" s="293">
        <f>T76/$E$14</f>
      </c>
      <c r="AO76" s="293">
        <f>U76/$E$14</f>
      </c>
      <c r="AP76" s="293">
        <f>V76/$E$14</f>
      </c>
      <c r="AQ76" s="297"/>
      <c r="AR76" s="123" t="s">
        <v>161</v>
      </c>
      <c r="AS76" s="63">
        <f>AB76/Y76</f>
      </c>
      <c r="AT76" s="63">
        <f>AC76/Z76</f>
      </c>
      <c r="AU76" s="63">
        <f>AD76/AA76</f>
      </c>
      <c r="AV76" s="63">
        <f>AE76/Y76</f>
      </c>
      <c r="AW76" s="63">
        <f>AF76/Z76</f>
      </c>
      <c r="AX76" s="63">
        <f>AG76/AA76</f>
      </c>
      <c r="AY76" s="63">
        <f>AH76/Y76</f>
      </c>
      <c r="AZ76" s="63">
        <f>AI76/Z76</f>
      </c>
      <c r="BA76" s="63">
        <f>AJ76/AA76</f>
      </c>
      <c r="BB76" s="63">
        <f>AK76/Y76</f>
      </c>
      <c r="BC76" s="63">
        <f>AL76/Z76</f>
      </c>
      <c r="BD76" s="63">
        <f>AM76/AA76</f>
      </c>
      <c r="BE76" s="63">
        <f>AN76/Y76</f>
      </c>
      <c r="BF76" s="63">
        <f>AO76/Z76</f>
      </c>
      <c r="BG76" s="63">
        <f>AP76/AA76</f>
      </c>
      <c r="BH76" s="63"/>
      <c r="BI76" s="63"/>
      <c r="BJ76" s="63">
        <f>AU76</f>
      </c>
      <c r="BK76" s="63">
        <f>AX76</f>
      </c>
      <c r="BL76" s="63">
        <f>BA76</f>
      </c>
      <c r="BM76" s="63">
        <f>BD76</f>
      </c>
      <c r="BN76" s="63">
        <f>BG76</f>
      </c>
      <c r="BO76" s="124"/>
      <c r="BP76" s="124"/>
      <c r="BQ76" s="124"/>
      <c r="BR76" s="124"/>
      <c r="BS76" s="124"/>
      <c r="BT76" s="124"/>
      <c r="BU76" s="124"/>
      <c r="BV76" s="124"/>
      <c r="BW76" s="124"/>
      <c r="BX76" s="124"/>
      <c r="BY76" s="124"/>
      <c r="BZ76" s="124"/>
      <c r="CA76" s="124"/>
      <c r="CB76" s="124"/>
      <c r="CC76" s="124"/>
      <c r="CD76" s="124"/>
      <c r="CE76" s="124"/>
      <c r="CF76" s="124"/>
      <c r="CG76" s="124"/>
      <c r="CH76" s="124"/>
      <c r="CI76" s="124"/>
      <c r="CJ76" s="124"/>
      <c r="CK76" s="124"/>
      <c r="CL76" s="300"/>
      <c r="CM76" s="300"/>
      <c r="CN76" s="300"/>
      <c r="CO76" s="124"/>
      <c r="CP76" s="124"/>
      <c r="CQ76" s="124"/>
      <c r="CR76" s="124"/>
      <c r="CS76" s="124"/>
      <c r="CT76" s="124"/>
      <c r="CU76" s="124"/>
      <c r="CV76" s="124"/>
      <c r="CW76" s="124"/>
      <c r="CX76" s="124"/>
      <c r="CY76" s="124"/>
      <c r="CZ76" s="124"/>
      <c r="DA76" s="124"/>
      <c r="DB76" s="124"/>
      <c r="DC76" s="124"/>
      <c r="DD76" s="124"/>
      <c r="DE76" s="124"/>
      <c r="DF76" s="124"/>
      <c r="DG76" s="124"/>
      <c r="DH76" s="124"/>
      <c r="DI76" s="124"/>
      <c r="DJ76" s="124"/>
      <c r="DK76" s="124"/>
      <c r="DL76" s="124"/>
      <c r="DM76" s="124"/>
      <c r="DN76" s="124"/>
      <c r="DO76" s="124"/>
      <c r="DP76" s="124"/>
    </row>
    <row x14ac:dyDescent="0.25" r="77" customHeight="1" ht="13.5">
      <c r="A77" s="2"/>
      <c r="B77" s="3"/>
      <c r="C77" s="2"/>
      <c r="D77" s="292">
        <f>D155</f>
      </c>
      <c r="E77" s="293">
        <f>H77+K77+N77+Q77+T77</f>
      </c>
      <c r="F77" s="293">
        <f>I77+L77+O77+R77+U77</f>
      </c>
      <c r="G77" s="293">
        <f>J77+M77+P77+S77+V77</f>
      </c>
      <c r="H77" s="293">
        <f>H182+I262</f>
      </c>
      <c r="I77" s="293">
        <f>I182+J262</f>
      </c>
      <c r="J77" s="293">
        <f>J182+K262</f>
      </c>
      <c r="K77" s="293">
        <f>K182+L262</f>
      </c>
      <c r="L77" s="293">
        <f>L182+M262</f>
      </c>
      <c r="M77" s="293">
        <f>M182+N262</f>
      </c>
      <c r="N77" s="293">
        <f>N182+O262</f>
      </c>
      <c r="O77" s="293">
        <f>O182+P262</f>
      </c>
      <c r="P77" s="293">
        <f>P182+Q262</f>
      </c>
      <c r="Q77" s="293">
        <f>Q182+R262</f>
      </c>
      <c r="R77" s="293">
        <f>R182+S262</f>
      </c>
      <c r="S77" s="293">
        <f>S182+T262</f>
      </c>
      <c r="T77" s="293">
        <f>T182+U262</f>
      </c>
      <c r="U77" s="293">
        <f>U182+V262</f>
      </c>
      <c r="V77" s="293">
        <f>V182+W262</f>
      </c>
      <c r="W77" s="297"/>
      <c r="X77" s="140" t="s">
        <v>219</v>
      </c>
      <c r="Y77" s="124">
        <f>AB77+AE77+AH77+AK77+AN77</f>
      </c>
      <c r="Z77" s="124">
        <f>AC77+AF77+AI77+AL77+AO77</f>
      </c>
      <c r="AA77" s="124">
        <f>AD77+AG77+AJ77+AM77+AP77</f>
      </c>
      <c r="AB77" s="293">
        <f>H77/$E$10</f>
      </c>
      <c r="AC77" s="293">
        <f>I77/$E$10</f>
      </c>
      <c r="AD77" s="293">
        <f>J77/$E$10</f>
      </c>
      <c r="AE77" s="293">
        <f>K77/$E$10</f>
      </c>
      <c r="AF77" s="293">
        <f>L77/$E$10</f>
      </c>
      <c r="AG77" s="293">
        <f>M77/$E$10</f>
      </c>
      <c r="AH77" s="293">
        <f>N77/$E$12</f>
      </c>
      <c r="AI77" s="293">
        <f>O77/$E$12</f>
      </c>
      <c r="AJ77" s="293">
        <f>P77/$E$12</f>
      </c>
      <c r="AK77" s="293">
        <f>Q77/$E$13</f>
      </c>
      <c r="AL77" s="293">
        <f>R77/$E$13</f>
      </c>
      <c r="AM77" s="293">
        <f>S77/$E$13</f>
      </c>
      <c r="AN77" s="293">
        <f>T77/$E$14</f>
      </c>
      <c r="AO77" s="293">
        <f>U77/$E$14</f>
      </c>
      <c r="AP77" s="293">
        <f>V77/$E$14</f>
      </c>
      <c r="AQ77" s="297"/>
      <c r="AR77" s="123" t="s">
        <v>219</v>
      </c>
      <c r="AS77" s="63">
        <f>AB77/Y77</f>
      </c>
      <c r="AT77" s="63">
        <f>AC77/Z77</f>
      </c>
      <c r="AU77" s="63">
        <f>AD77/AA77</f>
      </c>
      <c r="AV77" s="63">
        <f>AE77/Y77</f>
      </c>
      <c r="AW77" s="63">
        <f>AF77/Z77</f>
      </c>
      <c r="AX77" s="63">
        <f>AG77/AA77</f>
      </c>
      <c r="AY77" s="63">
        <f>AH77/Y77</f>
      </c>
      <c r="AZ77" s="63">
        <f>AI77/Z77</f>
      </c>
      <c r="BA77" s="63">
        <f>AJ77/AA77</f>
      </c>
      <c r="BB77" s="63">
        <f>AK77/Y77</f>
      </c>
      <c r="BC77" s="63">
        <f>AL77/Z77</f>
      </c>
      <c r="BD77" s="63">
        <f>AM77/AA77</f>
      </c>
      <c r="BE77" s="63">
        <f>AN77/Y77</f>
      </c>
      <c r="BF77" s="63">
        <f>AO77/Z77</f>
      </c>
      <c r="BG77" s="63">
        <f>AP77/AA77</f>
      </c>
      <c r="BH77" s="63"/>
      <c r="BI77" s="63"/>
      <c r="BJ77" s="63">
        <f>AU77</f>
      </c>
      <c r="BK77" s="63">
        <f>AX77</f>
      </c>
      <c r="BL77" s="63">
        <f>BA77</f>
      </c>
      <c r="BM77" s="63">
        <f>BD77</f>
      </c>
      <c r="BN77" s="63">
        <f>BG77</f>
      </c>
      <c r="BO77" s="124"/>
      <c r="BP77" s="124"/>
      <c r="BQ77" s="124"/>
      <c r="BR77" s="124"/>
      <c r="BS77" s="124"/>
      <c r="BT77" s="124"/>
      <c r="BU77" s="124"/>
      <c r="BV77" s="124"/>
      <c r="BW77" s="124"/>
      <c r="BX77" s="124"/>
      <c r="BY77" s="124"/>
      <c r="BZ77" s="124"/>
      <c r="CA77" s="124"/>
      <c r="CB77" s="124"/>
      <c r="CC77" s="124"/>
      <c r="CD77" s="124"/>
      <c r="CE77" s="124"/>
      <c r="CF77" s="124"/>
      <c r="CG77" s="124"/>
      <c r="CH77" s="124"/>
      <c r="CI77" s="124"/>
      <c r="CJ77" s="124"/>
      <c r="CK77" s="124"/>
      <c r="CL77" s="300"/>
      <c r="CM77" s="300"/>
      <c r="CN77" s="300"/>
      <c r="CO77" s="124"/>
      <c r="CP77" s="124"/>
      <c r="CQ77" s="124"/>
      <c r="CR77" s="124"/>
      <c r="CS77" s="124"/>
      <c r="CT77" s="124"/>
      <c r="CU77" s="124"/>
      <c r="CV77" s="124"/>
      <c r="CW77" s="124"/>
      <c r="CX77" s="124"/>
      <c r="CY77" s="124"/>
      <c r="CZ77" s="124"/>
      <c r="DA77" s="124"/>
      <c r="DB77" s="124"/>
      <c r="DC77" s="124"/>
      <c r="DD77" s="124"/>
      <c r="DE77" s="124"/>
      <c r="DF77" s="124"/>
      <c r="DG77" s="124"/>
      <c r="DH77" s="124"/>
      <c r="DI77" s="124"/>
      <c r="DJ77" s="124"/>
      <c r="DK77" s="124"/>
      <c r="DL77" s="124"/>
      <c r="DM77" s="124"/>
      <c r="DN77" s="124"/>
      <c r="DO77" s="124"/>
      <c r="DP77" s="124"/>
    </row>
    <row x14ac:dyDescent="0.25" r="78" customHeight="1" ht="13.5">
      <c r="A78" s="2"/>
      <c r="B78" s="3"/>
      <c r="C78" s="2"/>
      <c r="D78" s="292">
        <f>D156</f>
      </c>
      <c r="E78" s="293">
        <f>H78+K78+N78+Q78+T78</f>
      </c>
      <c r="F78" s="293">
        <f>I78+L78+O78+R78+U78</f>
      </c>
      <c r="G78" s="293">
        <f>J78+M78+P78+S78+V78</f>
      </c>
      <c r="H78" s="293">
        <f>H183+I263</f>
      </c>
      <c r="I78" s="293">
        <f>I183+J263</f>
      </c>
      <c r="J78" s="293">
        <f>J183+K263</f>
      </c>
      <c r="K78" s="293">
        <f>K183+L263</f>
      </c>
      <c r="L78" s="293">
        <f>L183+M263</f>
      </c>
      <c r="M78" s="293">
        <f>M183+N263</f>
      </c>
      <c r="N78" s="293">
        <f>N183+O263</f>
      </c>
      <c r="O78" s="293">
        <f>O183+P263</f>
      </c>
      <c r="P78" s="293">
        <f>P183+Q263</f>
      </c>
      <c r="Q78" s="293">
        <f>Q183+R263</f>
      </c>
      <c r="R78" s="293">
        <f>R183+S263</f>
      </c>
      <c r="S78" s="293">
        <f>S183+T263</f>
      </c>
      <c r="T78" s="293">
        <f>T183+U263</f>
      </c>
      <c r="U78" s="293">
        <f>U183+V263</f>
      </c>
      <c r="V78" s="293">
        <f>V183+W263</f>
      </c>
      <c r="W78" s="297"/>
      <c r="X78" s="140" t="s">
        <v>159</v>
      </c>
      <c r="Y78" s="124">
        <f>AB78+AE78+AH78+AK78+AN78</f>
      </c>
      <c r="Z78" s="124">
        <f>AC78+AF78+AI78+AL78+AO78</f>
      </c>
      <c r="AA78" s="124">
        <f>AD78+AG78+AJ78+AM78+AP78</f>
      </c>
      <c r="AB78" s="293">
        <f>H78/$E$10</f>
      </c>
      <c r="AC78" s="293">
        <f>I78/$E$10</f>
      </c>
      <c r="AD78" s="293">
        <f>J78/$E$10</f>
      </c>
      <c r="AE78" s="293">
        <f>K78/$E$10</f>
      </c>
      <c r="AF78" s="293">
        <f>L78/$E$10</f>
      </c>
      <c r="AG78" s="293">
        <f>M78/$E$10</f>
      </c>
      <c r="AH78" s="293">
        <f>N78/$E$12</f>
      </c>
      <c r="AI78" s="293">
        <f>O78/$E$12</f>
      </c>
      <c r="AJ78" s="293">
        <f>P78/$E$12</f>
      </c>
      <c r="AK78" s="293">
        <f>Q78/$E$13</f>
      </c>
      <c r="AL78" s="293">
        <f>R78/$E$13</f>
      </c>
      <c r="AM78" s="293">
        <f>S78/$E$13</f>
      </c>
      <c r="AN78" s="293">
        <f>T78/$E$14</f>
      </c>
      <c r="AO78" s="293">
        <f>U78/$E$14</f>
      </c>
      <c r="AP78" s="293">
        <f>V78/$E$14</f>
      </c>
      <c r="AQ78" s="297"/>
      <c r="AR78" s="123" t="s">
        <v>159</v>
      </c>
      <c r="AS78" s="63">
        <f>AB78/Y78</f>
      </c>
      <c r="AT78" s="63">
        <f>AC78/Z78</f>
      </c>
      <c r="AU78" s="63">
        <f>AD78/AA78</f>
      </c>
      <c r="AV78" s="63">
        <f>AE78/Y78</f>
      </c>
      <c r="AW78" s="63">
        <f>AF78/Z78</f>
      </c>
      <c r="AX78" s="63">
        <f>AG78/AA78</f>
      </c>
      <c r="AY78" s="63">
        <f>AH78/Y78</f>
      </c>
      <c r="AZ78" s="63">
        <f>AI78/Z78</f>
      </c>
      <c r="BA78" s="63">
        <f>AJ78/AA78</f>
      </c>
      <c r="BB78" s="63">
        <f>AK78/Y78</f>
      </c>
      <c r="BC78" s="63">
        <f>AL78/Z78</f>
      </c>
      <c r="BD78" s="63">
        <f>AM78/AA78</f>
      </c>
      <c r="BE78" s="63">
        <f>AN78/Y78</f>
      </c>
      <c r="BF78" s="63">
        <f>AO78/Z78</f>
      </c>
      <c r="BG78" s="63">
        <f>AP78/AA78</f>
      </c>
      <c r="BH78" s="63"/>
      <c r="BI78" s="63"/>
      <c r="BJ78" s="63">
        <f>AU78</f>
      </c>
      <c r="BK78" s="63">
        <f>AX78</f>
      </c>
      <c r="BL78" s="63">
        <f>BA78</f>
      </c>
      <c r="BM78" s="63">
        <f>BD78</f>
      </c>
      <c r="BN78" s="63">
        <f>BG78</f>
      </c>
      <c r="BO78" s="124"/>
      <c r="BP78" s="124"/>
      <c r="BQ78" s="124"/>
      <c r="BR78" s="124"/>
      <c r="BS78" s="124"/>
      <c r="BT78" s="124"/>
      <c r="BU78" s="124"/>
      <c r="BV78" s="124"/>
      <c r="BW78" s="124"/>
      <c r="BX78" s="124"/>
      <c r="BY78" s="124"/>
      <c r="BZ78" s="124"/>
      <c r="CA78" s="124"/>
      <c r="CB78" s="124"/>
      <c r="CC78" s="124"/>
      <c r="CD78" s="124"/>
      <c r="CE78" s="124"/>
      <c r="CF78" s="124"/>
      <c r="CG78" s="124"/>
      <c r="CH78" s="124"/>
      <c r="CI78" s="124"/>
      <c r="CJ78" s="124"/>
      <c r="CK78" s="124"/>
      <c r="CL78" s="300"/>
      <c r="CM78" s="300"/>
      <c r="CN78" s="300"/>
      <c r="CO78" s="124"/>
      <c r="CP78" s="124"/>
      <c r="CQ78" s="124"/>
      <c r="CR78" s="124"/>
      <c r="CS78" s="124"/>
      <c r="CT78" s="124"/>
      <c r="CU78" s="124"/>
      <c r="CV78" s="124"/>
      <c r="CW78" s="124"/>
      <c r="CX78" s="124"/>
      <c r="CY78" s="124"/>
      <c r="CZ78" s="124"/>
      <c r="DA78" s="124"/>
      <c r="DB78" s="124"/>
      <c r="DC78" s="124"/>
      <c r="DD78" s="124"/>
      <c r="DE78" s="124"/>
      <c r="DF78" s="124"/>
      <c r="DG78" s="124"/>
      <c r="DH78" s="124"/>
      <c r="DI78" s="124"/>
      <c r="DJ78" s="124"/>
      <c r="DK78" s="124"/>
      <c r="DL78" s="124"/>
      <c r="DM78" s="124"/>
      <c r="DN78" s="124"/>
      <c r="DO78" s="124"/>
      <c r="DP78" s="124"/>
    </row>
    <row x14ac:dyDescent="0.25" r="79" customHeight="1" ht="13.5">
      <c r="A79" s="2"/>
      <c r="B79" s="3"/>
      <c r="C79" s="2"/>
      <c r="D79" s="292">
        <f>D157</f>
      </c>
      <c r="E79" s="293">
        <f>H79+K79+N79+Q79+T79</f>
      </c>
      <c r="F79" s="293">
        <f>I79+L79+O79+R79+U79</f>
      </c>
      <c r="G79" s="293">
        <f>J79+M79+P79+S79+V79</f>
      </c>
      <c r="H79" s="293">
        <f>H184+I264</f>
      </c>
      <c r="I79" s="293">
        <f>I184+J264</f>
      </c>
      <c r="J79" s="293">
        <f>J184+K264</f>
      </c>
      <c r="K79" s="293">
        <f>K184+L264</f>
      </c>
      <c r="L79" s="293">
        <f>L184+M264</f>
      </c>
      <c r="M79" s="293">
        <f>M184+N264</f>
      </c>
      <c r="N79" s="293">
        <f>N184+O264</f>
      </c>
      <c r="O79" s="293">
        <f>O184+P264</f>
      </c>
      <c r="P79" s="293">
        <f>P184+Q264</f>
      </c>
      <c r="Q79" s="293">
        <f>Q184+R264</f>
      </c>
      <c r="R79" s="293">
        <f>R184+S264</f>
      </c>
      <c r="S79" s="293">
        <f>S184+T264</f>
      </c>
      <c r="T79" s="293">
        <f>T184+U264</f>
      </c>
      <c r="U79" s="293">
        <f>U184+V264</f>
      </c>
      <c r="V79" s="293">
        <f>V184+W264</f>
      </c>
      <c r="W79" s="297"/>
      <c r="X79" s="140" t="s">
        <v>163</v>
      </c>
      <c r="Y79" s="124">
        <f>AB79+AE79+AH79+AK79+AN79</f>
      </c>
      <c r="Z79" s="124">
        <f>AC79+AF79+AI79+AL79+AO79</f>
      </c>
      <c r="AA79" s="124">
        <f>AD79+AG79+AJ79+AM79+AP79</f>
      </c>
      <c r="AB79" s="293">
        <f>H79/$E$10</f>
      </c>
      <c r="AC79" s="293">
        <f>I79/$E$10</f>
      </c>
      <c r="AD79" s="293">
        <f>J79/$E$10</f>
      </c>
      <c r="AE79" s="293">
        <f>K79/$E$10</f>
      </c>
      <c r="AF79" s="293">
        <f>L79/$E$10</f>
      </c>
      <c r="AG79" s="293">
        <f>M79/$E$10</f>
      </c>
      <c r="AH79" s="293">
        <f>N79/$E$12</f>
      </c>
      <c r="AI79" s="293">
        <f>O79/$E$12</f>
      </c>
      <c r="AJ79" s="293">
        <f>P79/$E$12</f>
      </c>
      <c r="AK79" s="293">
        <f>Q79/$E$13</f>
      </c>
      <c r="AL79" s="293">
        <f>R79/$E$13</f>
      </c>
      <c r="AM79" s="293">
        <f>S79/$E$13</f>
      </c>
      <c r="AN79" s="293">
        <f>T79/$E$14</f>
      </c>
      <c r="AO79" s="293">
        <f>U79/$E$14</f>
      </c>
      <c r="AP79" s="293">
        <f>V79/$E$14</f>
      </c>
      <c r="AQ79" s="297"/>
      <c r="AR79" s="123" t="s">
        <v>163</v>
      </c>
      <c r="AS79" s="63">
        <f>AB79/Y79</f>
      </c>
      <c r="AT79" s="63">
        <f>AC79/Z79</f>
      </c>
      <c r="AU79" s="63">
        <f>AD79/AA79</f>
      </c>
      <c r="AV79" s="63">
        <f>AE79/Y79</f>
      </c>
      <c r="AW79" s="63">
        <f>AF79/Z79</f>
      </c>
      <c r="AX79" s="63">
        <f>AG79/AA79</f>
      </c>
      <c r="AY79" s="63">
        <f>AH79/Y79</f>
      </c>
      <c r="AZ79" s="63">
        <f>AI79/Z79</f>
      </c>
      <c r="BA79" s="63">
        <f>AJ79/AA79</f>
      </c>
      <c r="BB79" s="63">
        <f>AK79/Y79</f>
      </c>
      <c r="BC79" s="63">
        <f>AL79/Z79</f>
      </c>
      <c r="BD79" s="63">
        <f>AM79/AA79</f>
      </c>
      <c r="BE79" s="63">
        <f>AN79/Y79</f>
      </c>
      <c r="BF79" s="63">
        <f>AO79/Z79</f>
      </c>
      <c r="BG79" s="63">
        <f>AP79/AA79</f>
      </c>
      <c r="BH79" s="63"/>
      <c r="BI79" s="63"/>
      <c r="BJ79" s="63">
        <f>AU79</f>
      </c>
      <c r="BK79" s="63">
        <f>AX79</f>
      </c>
      <c r="BL79" s="63">
        <f>BA79</f>
      </c>
      <c r="BM79" s="63">
        <f>BD79</f>
      </c>
      <c r="BN79" s="63">
        <f>BG79</f>
      </c>
      <c r="BO79" s="124"/>
      <c r="BP79" s="124"/>
      <c r="BQ79" s="124"/>
      <c r="BR79" s="124"/>
      <c r="BS79" s="124"/>
      <c r="BT79" s="124"/>
      <c r="BU79" s="124"/>
      <c r="BV79" s="124"/>
      <c r="BW79" s="124"/>
      <c r="BX79" s="124"/>
      <c r="BY79" s="124"/>
      <c r="BZ79" s="124"/>
      <c r="CA79" s="124"/>
      <c r="CB79" s="124"/>
      <c r="CC79" s="124"/>
      <c r="CD79" s="124"/>
      <c r="CE79" s="124"/>
      <c r="CF79" s="124"/>
      <c r="CG79" s="124"/>
      <c r="CH79" s="124"/>
      <c r="CI79" s="124"/>
      <c r="CJ79" s="124"/>
      <c r="CK79" s="124"/>
      <c r="CL79" s="300"/>
      <c r="CM79" s="300"/>
      <c r="CN79" s="300"/>
      <c r="CO79" s="124"/>
      <c r="CP79" s="124"/>
      <c r="CQ79" s="124"/>
      <c r="CR79" s="124"/>
      <c r="CS79" s="124"/>
      <c r="CT79" s="124"/>
      <c r="CU79" s="124"/>
      <c r="CV79" s="124"/>
      <c r="CW79" s="124"/>
      <c r="CX79" s="124"/>
      <c r="CY79" s="124"/>
      <c r="CZ79" s="124"/>
      <c r="DA79" s="124"/>
      <c r="DB79" s="124"/>
      <c r="DC79" s="124"/>
      <c r="DD79" s="124"/>
      <c r="DE79" s="124"/>
      <c r="DF79" s="124"/>
      <c r="DG79" s="124"/>
      <c r="DH79" s="124"/>
      <c r="DI79" s="124"/>
      <c r="DJ79" s="124"/>
      <c r="DK79" s="124"/>
      <c r="DL79" s="124"/>
      <c r="DM79" s="124"/>
      <c r="DN79" s="124"/>
      <c r="DO79" s="124"/>
      <c r="DP79" s="124"/>
    </row>
    <row x14ac:dyDescent="0.25" r="80" customHeight="1" ht="13.5">
      <c r="A80" s="2"/>
      <c r="B80" s="3"/>
      <c r="C80" s="2"/>
      <c r="D80" s="292">
        <f>D158</f>
      </c>
      <c r="E80" s="293">
        <f>H80+K80+N80+Q80+T80</f>
      </c>
      <c r="F80" s="293">
        <f>I80+L80+O80+R80+U80</f>
      </c>
      <c r="G80" s="293">
        <f>J80+M80+P80+S80+V80</f>
      </c>
      <c r="H80" s="293">
        <f>H185+I265</f>
      </c>
      <c r="I80" s="293">
        <f>I185+J265</f>
      </c>
      <c r="J80" s="293">
        <f>J185+K265</f>
      </c>
      <c r="K80" s="293">
        <f>K185+L265</f>
      </c>
      <c r="L80" s="293">
        <f>L185+M265</f>
      </c>
      <c r="M80" s="293">
        <f>M185+N265</f>
      </c>
      <c r="N80" s="293">
        <f>N185+O265</f>
      </c>
      <c r="O80" s="293">
        <f>O185+P265</f>
      </c>
      <c r="P80" s="293">
        <f>P185+Q265</f>
      </c>
      <c r="Q80" s="293">
        <f>Q185+R265</f>
      </c>
      <c r="R80" s="293">
        <f>R185+S265</f>
      </c>
      <c r="S80" s="293">
        <f>S185+T265</f>
      </c>
      <c r="T80" s="293">
        <f>T185+U265</f>
      </c>
      <c r="U80" s="293">
        <f>U185+V265</f>
      </c>
      <c r="V80" s="293">
        <f>V185+W265</f>
      </c>
      <c r="W80" s="297"/>
      <c r="X80" s="140" t="s">
        <v>227</v>
      </c>
      <c r="Y80" s="124">
        <f>AB80+AE80+AH80+AK80+AN80</f>
      </c>
      <c r="Z80" s="124">
        <f>AC80+AF80+AI80+AL80+AO80</f>
      </c>
      <c r="AA80" s="124">
        <f>AD80+AG80+AJ80+AM80+AP80</f>
      </c>
      <c r="AB80" s="293">
        <f>H80/$E$10</f>
      </c>
      <c r="AC80" s="293">
        <f>I80/$E$10</f>
      </c>
      <c r="AD80" s="293">
        <f>J80/$E$10</f>
      </c>
      <c r="AE80" s="293">
        <f>K80/$E$10</f>
      </c>
      <c r="AF80" s="293">
        <f>L80/$E$10</f>
      </c>
      <c r="AG80" s="293">
        <f>M80/$E$10</f>
      </c>
      <c r="AH80" s="293">
        <f>N80/$E$12</f>
      </c>
      <c r="AI80" s="293">
        <f>O80/$E$12</f>
      </c>
      <c r="AJ80" s="293">
        <f>P80/$E$12</f>
      </c>
      <c r="AK80" s="293">
        <f>Q80/$E$13</f>
      </c>
      <c r="AL80" s="293">
        <f>R80/$E$13</f>
      </c>
      <c r="AM80" s="293">
        <f>S80/$E$13</f>
      </c>
      <c r="AN80" s="293">
        <f>T80/$E$14</f>
      </c>
      <c r="AO80" s="293">
        <f>U80/$E$14</f>
      </c>
      <c r="AP80" s="293">
        <f>V80/$E$14</f>
      </c>
      <c r="AQ80" s="297"/>
      <c r="AR80" s="123" t="s">
        <v>227</v>
      </c>
      <c r="AS80" s="63">
        <f>AB80/Y80</f>
      </c>
      <c r="AT80" s="63">
        <f>AC80/Z80</f>
      </c>
      <c r="AU80" s="63">
        <f>AD80/AA80</f>
      </c>
      <c r="AV80" s="63">
        <f>AE80/Y80</f>
      </c>
      <c r="AW80" s="63">
        <f>AF80/Z80</f>
      </c>
      <c r="AX80" s="63">
        <f>AG80/AA80</f>
      </c>
      <c r="AY80" s="63">
        <f>AH80/Y80</f>
      </c>
      <c r="AZ80" s="63">
        <f>AI80/Z80</f>
      </c>
      <c r="BA80" s="63">
        <f>AJ80/AA80</f>
      </c>
      <c r="BB80" s="63">
        <f>AK80/Y80</f>
      </c>
      <c r="BC80" s="63">
        <f>AL80/Z80</f>
      </c>
      <c r="BD80" s="63">
        <f>AM80/AA80</f>
      </c>
      <c r="BE80" s="63">
        <f>AN80/Y80</f>
      </c>
      <c r="BF80" s="63">
        <f>AO80/Z80</f>
      </c>
      <c r="BG80" s="63">
        <f>AP80/AA80</f>
      </c>
      <c r="BH80" s="63"/>
      <c r="BI80" s="63"/>
      <c r="BJ80" s="63">
        <f>AU80</f>
      </c>
      <c r="BK80" s="63">
        <f>AX80</f>
      </c>
      <c r="BL80" s="63">
        <f>BA80</f>
      </c>
      <c r="BM80" s="63">
        <f>BD80</f>
      </c>
      <c r="BN80" s="63">
        <f>BG80</f>
      </c>
      <c r="BO80" s="124"/>
      <c r="BP80" s="124"/>
      <c r="BQ80" s="124"/>
      <c r="BR80" s="124"/>
      <c r="BS80" s="124"/>
      <c r="BT80" s="124"/>
      <c r="BU80" s="124"/>
      <c r="BV80" s="124"/>
      <c r="BW80" s="124"/>
      <c r="BX80" s="124"/>
      <c r="BY80" s="124"/>
      <c r="BZ80" s="124"/>
      <c r="CA80" s="124"/>
      <c r="CB80" s="124"/>
      <c r="CC80" s="124"/>
      <c r="CD80" s="124"/>
      <c r="CE80" s="124"/>
      <c r="CF80" s="124"/>
      <c r="CG80" s="124"/>
      <c r="CH80" s="124"/>
      <c r="CI80" s="124"/>
      <c r="CJ80" s="124"/>
      <c r="CK80" s="124"/>
      <c r="CL80" s="300"/>
      <c r="CM80" s="300"/>
      <c r="CN80" s="300"/>
      <c r="CO80" s="124"/>
      <c r="CP80" s="124"/>
      <c r="CQ80" s="124"/>
      <c r="CR80" s="124"/>
      <c r="CS80" s="124"/>
      <c r="CT80" s="124"/>
      <c r="CU80" s="124"/>
      <c r="CV80" s="124"/>
      <c r="CW80" s="124"/>
      <c r="CX80" s="124"/>
      <c r="CY80" s="124"/>
      <c r="CZ80" s="124"/>
      <c r="DA80" s="124"/>
      <c r="DB80" s="124"/>
      <c r="DC80" s="124"/>
      <c r="DD80" s="124"/>
      <c r="DE80" s="124"/>
      <c r="DF80" s="124"/>
      <c r="DG80" s="124"/>
      <c r="DH80" s="124"/>
      <c r="DI80" s="124"/>
      <c r="DJ80" s="124"/>
      <c r="DK80" s="124"/>
      <c r="DL80" s="124"/>
      <c r="DM80" s="124"/>
      <c r="DN80" s="124"/>
      <c r="DO80" s="124"/>
      <c r="DP80" s="124"/>
    </row>
    <row x14ac:dyDescent="0.25" r="81" customHeight="1" ht="13.5">
      <c r="A81" s="2"/>
      <c r="B81" s="3"/>
      <c r="C81" s="2"/>
      <c r="D81" s="292">
        <f>D159</f>
      </c>
      <c r="E81" s="293">
        <f>H81+K81+N81+Q81+T81</f>
      </c>
      <c r="F81" s="293">
        <f>I81+L81+O81+R81+U81</f>
      </c>
      <c r="G81" s="293">
        <f>J81+M81+P81+S81+V81</f>
      </c>
      <c r="H81" s="293">
        <f>H186+I266</f>
      </c>
      <c r="I81" s="293">
        <f>I186+J266</f>
      </c>
      <c r="J81" s="293">
        <f>J186+K266</f>
      </c>
      <c r="K81" s="293">
        <f>K186+L266</f>
      </c>
      <c r="L81" s="293">
        <f>L186+M266</f>
      </c>
      <c r="M81" s="293">
        <f>M186+N266</f>
      </c>
      <c r="N81" s="293">
        <f>N186+O266</f>
      </c>
      <c r="O81" s="293">
        <f>O186+P266</f>
      </c>
      <c r="P81" s="293">
        <f>P186+Q266</f>
      </c>
      <c r="Q81" s="293">
        <f>Q186+R266</f>
      </c>
      <c r="R81" s="293">
        <f>R186+S266</f>
      </c>
      <c r="S81" s="293">
        <f>S186+T266</f>
      </c>
      <c r="T81" s="293">
        <f>T186+U266</f>
      </c>
      <c r="U81" s="293">
        <f>U186+V266</f>
      </c>
      <c r="V81" s="293">
        <f>V186+W266</f>
      </c>
      <c r="W81" s="297"/>
      <c r="X81" s="140" t="s">
        <v>255</v>
      </c>
      <c r="Y81" s="284">
        <f>AB81+AE81+AH81+AK81+AN81</f>
      </c>
      <c r="Z81" s="284">
        <f>AC81+AF81+AI81+AL81+AO81</f>
      </c>
      <c r="AA81" s="284">
        <f>AD81+AG81+AJ81+AM81+AP81</f>
      </c>
      <c r="AB81" s="294">
        <f>H81/$E$10</f>
      </c>
      <c r="AC81" s="294">
        <f>I81/$E$10</f>
      </c>
      <c r="AD81" s="294">
        <f>J81/$E$10</f>
      </c>
      <c r="AE81" s="294">
        <f>K81/$E$10</f>
      </c>
      <c r="AF81" s="294">
        <f>L81/$E$10</f>
      </c>
      <c r="AG81" s="294">
        <f>M81/$E$10</f>
      </c>
      <c r="AH81" s="294">
        <f>N81/$E$12</f>
      </c>
      <c r="AI81" s="294">
        <f>O81/$E$12</f>
      </c>
      <c r="AJ81" s="294">
        <f>P81/$E$12</f>
      </c>
      <c r="AK81" s="294">
        <f>Q81/$E$13</f>
      </c>
      <c r="AL81" s="294">
        <f>R81/$E$13</f>
      </c>
      <c r="AM81" s="294">
        <f>S81/$E$13</f>
      </c>
      <c r="AN81" s="294">
        <f>T81/$E$14</f>
      </c>
      <c r="AO81" s="294">
        <f>U81/$E$14</f>
      </c>
      <c r="AP81" s="294">
        <f>V81/$E$14</f>
      </c>
      <c r="AQ81" s="297"/>
      <c r="AR81" s="123" t="s">
        <v>255</v>
      </c>
      <c r="AS81" s="63">
        <v>0</v>
      </c>
      <c r="AT81" s="63">
        <f>AC81/Z81</f>
      </c>
      <c r="AU81" s="63">
        <f>AD81/AA81</f>
      </c>
      <c r="AV81" s="63">
        <v>0</v>
      </c>
      <c r="AW81" s="63">
        <f>AF81/Z81</f>
      </c>
      <c r="AX81" s="63">
        <f>AG81/AA81</f>
      </c>
      <c r="AY81" s="63">
        <v>0</v>
      </c>
      <c r="AZ81" s="63">
        <f>AI81/Z81</f>
      </c>
      <c r="BA81" s="63">
        <f>AJ81/AA81</f>
      </c>
      <c r="BB81" s="63">
        <v>0</v>
      </c>
      <c r="BC81" s="63">
        <f>AL81/Z81</f>
      </c>
      <c r="BD81" s="63">
        <f>AM81/AA81</f>
      </c>
      <c r="BE81" s="63">
        <v>0</v>
      </c>
      <c r="BF81" s="63">
        <f>AO81/Z81</f>
      </c>
      <c r="BG81" s="63">
        <f>AP81/AA81</f>
      </c>
      <c r="BH81" s="63"/>
      <c r="BI81" s="63"/>
      <c r="BJ81" s="63">
        <f>AU81</f>
      </c>
      <c r="BK81" s="63">
        <f>AX81</f>
      </c>
      <c r="BL81" s="63">
        <f>BA81</f>
      </c>
      <c r="BM81" s="63">
        <f>BD81</f>
      </c>
      <c r="BN81" s="63">
        <f>BG81</f>
      </c>
      <c r="BO81" s="124"/>
      <c r="BP81" s="124"/>
      <c r="BQ81" s="124"/>
      <c r="BR81" s="124"/>
      <c r="BS81" s="124"/>
      <c r="BT81" s="124"/>
      <c r="BU81" s="124"/>
      <c r="BV81" s="124"/>
      <c r="BW81" s="124"/>
      <c r="BX81" s="124"/>
      <c r="BY81" s="124"/>
      <c r="BZ81" s="124"/>
      <c r="CA81" s="124"/>
      <c r="CB81" s="124"/>
      <c r="CC81" s="124"/>
      <c r="CD81" s="124"/>
      <c r="CE81" s="124"/>
      <c r="CF81" s="124"/>
      <c r="CG81" s="124"/>
      <c r="CH81" s="124"/>
      <c r="CI81" s="124"/>
      <c r="CJ81" s="124"/>
      <c r="CK81" s="124"/>
      <c r="CL81" s="300"/>
      <c r="CM81" s="300"/>
      <c r="CN81" s="300"/>
      <c r="CO81" s="124"/>
      <c r="CP81" s="124"/>
      <c r="CQ81" s="124"/>
      <c r="CR81" s="124"/>
      <c r="CS81" s="124"/>
      <c r="CT81" s="124"/>
      <c r="CU81" s="124"/>
      <c r="CV81" s="124"/>
      <c r="CW81" s="124"/>
      <c r="CX81" s="124"/>
      <c r="CY81" s="124"/>
      <c r="CZ81" s="124"/>
      <c r="DA81" s="124"/>
      <c r="DB81" s="124"/>
      <c r="DC81" s="124"/>
      <c r="DD81" s="124"/>
      <c r="DE81" s="124"/>
      <c r="DF81" s="124"/>
      <c r="DG81" s="124"/>
      <c r="DH81" s="124"/>
      <c r="DI81" s="124"/>
      <c r="DJ81" s="124"/>
      <c r="DK81" s="124"/>
      <c r="DL81" s="124"/>
      <c r="DM81" s="124"/>
      <c r="DN81" s="124"/>
      <c r="DO81" s="124"/>
      <c r="DP81" s="124"/>
    </row>
    <row x14ac:dyDescent="0.25" r="82" customHeight="1" ht="13.5">
      <c r="A82" s="2"/>
      <c r="B82" s="3"/>
      <c r="C82" s="2"/>
      <c r="D82" s="295" t="s">
        <v>336</v>
      </c>
      <c r="E82" s="296">
        <f>SUM(E61:E81)</f>
      </c>
      <c r="F82" s="296">
        <f>SUM(F61:F81)</f>
      </c>
      <c r="G82" s="296">
        <f>SUM(G61:G81)</f>
      </c>
      <c r="H82" s="296">
        <f>SUM(H61:H81)</f>
      </c>
      <c r="I82" s="296">
        <f>SUM(I61:I81)</f>
      </c>
      <c r="J82" s="296">
        <f>SUM(J61:J81)</f>
      </c>
      <c r="K82" s="296">
        <f>SUM(K61:K81)</f>
      </c>
      <c r="L82" s="296">
        <f>SUM(L61:L81)</f>
      </c>
      <c r="M82" s="296">
        <f>SUM(M61:M81)</f>
      </c>
      <c r="N82" s="296">
        <f>SUM(N61:N81)</f>
      </c>
      <c r="O82" s="296">
        <f>SUM(O61:O81)</f>
      </c>
      <c r="P82" s="296">
        <f>SUM(P61:P81)</f>
      </c>
      <c r="Q82" s="296">
        <f>SUM(Q61:Q81)</f>
      </c>
      <c r="R82" s="296">
        <f>SUM(R61:R81)</f>
      </c>
      <c r="S82" s="296">
        <f>SUM(S61:S81)</f>
      </c>
      <c r="T82" s="296">
        <f>SUM(T61:T81)</f>
      </c>
      <c r="U82" s="296">
        <f>SUM(U61:U81)</f>
      </c>
      <c r="V82" s="296">
        <f>SUM(V61:V81)</f>
      </c>
      <c r="W82" s="297"/>
      <c r="X82" s="298" t="s">
        <v>336</v>
      </c>
      <c r="Y82" s="294">
        <f>SUM(Y61:Y81)</f>
      </c>
      <c r="Z82" s="294">
        <f>SUM(Z61:Z81)</f>
      </c>
      <c r="AA82" s="294">
        <f>SUM(AA61:AA81)</f>
      </c>
      <c r="AB82" s="294">
        <f>SUM(AB61:AB81)</f>
      </c>
      <c r="AC82" s="294">
        <f>SUM(AC61:AC81)</f>
      </c>
      <c r="AD82" s="294">
        <f>SUM(AD61:AD81)</f>
      </c>
      <c r="AE82" s="294">
        <f>SUM(AE61:AE81)</f>
      </c>
      <c r="AF82" s="294">
        <f>SUM(AF61:AF81)</f>
      </c>
      <c r="AG82" s="294">
        <f>SUM(AG61:AG81)</f>
      </c>
      <c r="AH82" s="294">
        <f>SUM(AH61:AH81)</f>
      </c>
      <c r="AI82" s="294">
        <f>SUM(AI61:AI81)</f>
      </c>
      <c r="AJ82" s="294">
        <f>SUM(AJ61:AJ81)</f>
      </c>
      <c r="AK82" s="294">
        <f>SUM(AK61:AK81)</f>
      </c>
      <c r="AL82" s="294">
        <f>SUM(AL61:AL81)</f>
      </c>
      <c r="AM82" s="294">
        <f>SUM(AM61:AM81)</f>
      </c>
      <c r="AN82" s="294">
        <f>SUM(AN61:AN81)</f>
      </c>
      <c r="AO82" s="294">
        <f>SUM(AO61:AO81)</f>
      </c>
      <c r="AP82" s="294">
        <f>SUM(AP61:AP81)</f>
      </c>
      <c r="AQ82" s="297"/>
      <c r="AR82" s="297"/>
      <c r="AS82" s="297"/>
      <c r="AT82" s="297"/>
      <c r="AU82" s="297"/>
      <c r="AV82" s="3"/>
      <c r="AW82" s="299"/>
      <c r="AX82" s="124"/>
      <c r="AY82" s="124"/>
      <c r="AZ82" s="124"/>
      <c r="BA82" s="124"/>
      <c r="BB82" s="124"/>
      <c r="BC82" s="124"/>
      <c r="BD82" s="63"/>
      <c r="BE82" s="63"/>
      <c r="BF82" s="63"/>
      <c r="BG82" s="124"/>
      <c r="BH82" s="124"/>
      <c r="BI82" s="124"/>
      <c r="BJ82" s="124"/>
      <c r="BK82" s="124"/>
      <c r="BL82" s="124"/>
      <c r="BM82" s="124"/>
      <c r="BN82" s="124"/>
      <c r="BO82" s="124"/>
      <c r="BP82" s="124"/>
      <c r="BQ82" s="124"/>
      <c r="BR82" s="124"/>
      <c r="BS82" s="124"/>
      <c r="BT82" s="124"/>
      <c r="BU82" s="124"/>
      <c r="BV82" s="124"/>
      <c r="BW82" s="124"/>
      <c r="BX82" s="124"/>
      <c r="BY82" s="124"/>
      <c r="BZ82" s="124"/>
      <c r="CA82" s="124"/>
      <c r="CB82" s="124"/>
      <c r="CC82" s="124"/>
      <c r="CD82" s="124"/>
      <c r="CE82" s="124"/>
      <c r="CF82" s="124"/>
      <c r="CG82" s="124"/>
      <c r="CH82" s="124"/>
      <c r="CI82" s="300"/>
      <c r="CJ82" s="300"/>
      <c r="CK82" s="300"/>
      <c r="CL82" s="124"/>
      <c r="CM82" s="124"/>
      <c r="CN82" s="124"/>
      <c r="CO82" s="124"/>
      <c r="CP82" s="124"/>
      <c r="CQ82" s="124"/>
      <c r="CR82" s="124"/>
      <c r="CS82" s="124"/>
      <c r="CT82" s="124"/>
      <c r="CU82" s="124"/>
      <c r="CV82" s="124"/>
      <c r="CW82" s="124"/>
      <c r="CX82" s="124"/>
      <c r="CY82" s="124"/>
      <c r="CZ82" s="124"/>
      <c r="DA82" s="124"/>
      <c r="DB82" s="124"/>
      <c r="DC82" s="124"/>
      <c r="DD82" s="124"/>
      <c r="DE82" s="124"/>
      <c r="DF82" s="124"/>
      <c r="DG82" s="124"/>
      <c r="DH82" s="124"/>
      <c r="DI82" s="124"/>
      <c r="DJ82" s="124"/>
      <c r="DK82" s="124"/>
      <c r="DL82" s="124"/>
      <c r="DM82" s="124"/>
      <c r="DN82" s="2"/>
      <c r="DO82" s="2"/>
      <c r="DP82" s="2"/>
    </row>
    <row x14ac:dyDescent="0.25" r="83" customHeight="1" ht="13.5">
      <c r="A83" s="2"/>
      <c r="B83" s="3"/>
      <c r="C83" s="2"/>
      <c r="D83" s="290"/>
      <c r="E83" s="297"/>
      <c r="F83" s="297"/>
      <c r="G83" s="297"/>
      <c r="H83" s="297"/>
      <c r="I83" s="297"/>
      <c r="J83" s="297"/>
      <c r="K83" s="297"/>
      <c r="L83" s="297"/>
      <c r="M83" s="297"/>
      <c r="N83" s="297"/>
      <c r="O83" s="297"/>
      <c r="P83" s="297"/>
      <c r="Q83" s="297"/>
      <c r="R83" s="297"/>
      <c r="S83" s="297"/>
      <c r="T83" s="297"/>
      <c r="U83" s="297"/>
      <c r="V83" s="297"/>
      <c r="W83" s="297"/>
      <c r="X83" s="290"/>
      <c r="Y83" s="297"/>
      <c r="Z83" s="297"/>
      <c r="AA83" s="297"/>
      <c r="AB83" s="297"/>
      <c r="AC83" s="297"/>
      <c r="AD83" s="297"/>
      <c r="AE83" s="297"/>
      <c r="AF83" s="297"/>
      <c r="AG83" s="297"/>
      <c r="AH83" s="297"/>
      <c r="AI83" s="297"/>
      <c r="AJ83" s="297"/>
      <c r="AK83" s="297"/>
      <c r="AL83" s="297"/>
      <c r="AM83" s="297"/>
      <c r="AN83" s="297"/>
      <c r="AO83" s="297"/>
      <c r="AP83" s="297"/>
      <c r="AQ83" s="297"/>
      <c r="AR83" s="297"/>
      <c r="AS83" s="3"/>
      <c r="AT83" s="299"/>
      <c r="AU83" s="124"/>
      <c r="AV83" s="124"/>
      <c r="AW83" s="124"/>
      <c r="AX83" s="124"/>
      <c r="AY83" s="124"/>
      <c r="AZ83" s="124"/>
      <c r="BA83" s="63"/>
      <c r="BB83" s="63"/>
      <c r="BC83" s="63"/>
      <c r="BD83" s="124"/>
      <c r="BE83" s="124"/>
      <c r="BF83" s="124"/>
      <c r="BG83" s="124"/>
      <c r="BH83" s="124"/>
      <c r="BI83" s="124"/>
      <c r="BJ83" s="124"/>
      <c r="BK83" s="124"/>
      <c r="BL83" s="124"/>
      <c r="BM83" s="124"/>
      <c r="BN83" s="124"/>
      <c r="BO83" s="124"/>
      <c r="BP83" s="124"/>
      <c r="BQ83" s="124"/>
      <c r="BR83" s="124"/>
      <c r="BS83" s="124"/>
      <c r="BT83" s="124"/>
      <c r="BU83" s="124"/>
      <c r="BV83" s="124"/>
      <c r="BW83" s="124"/>
      <c r="BX83" s="124"/>
      <c r="BY83" s="124"/>
      <c r="BZ83" s="124"/>
      <c r="CA83" s="124"/>
      <c r="CB83" s="124"/>
      <c r="CC83" s="124"/>
      <c r="CD83" s="124"/>
      <c r="CE83" s="124"/>
      <c r="CF83" s="300"/>
      <c r="CG83" s="300"/>
      <c r="CH83" s="300"/>
      <c r="CI83" s="124"/>
      <c r="CJ83" s="124"/>
      <c r="CK83" s="124"/>
      <c r="CL83" s="124"/>
      <c r="CM83" s="124"/>
      <c r="CN83" s="124"/>
      <c r="CO83" s="124"/>
      <c r="CP83" s="124"/>
      <c r="CQ83" s="124"/>
      <c r="CR83" s="124"/>
      <c r="CS83" s="124"/>
      <c r="CT83" s="124"/>
      <c r="CU83" s="124"/>
      <c r="CV83" s="124"/>
      <c r="CW83" s="124"/>
      <c r="CX83" s="124"/>
      <c r="CY83" s="124"/>
      <c r="CZ83" s="124"/>
      <c r="DA83" s="124"/>
      <c r="DB83" s="124"/>
      <c r="DC83" s="124"/>
      <c r="DD83" s="124"/>
      <c r="DE83" s="124"/>
      <c r="DF83" s="124"/>
      <c r="DG83" s="124"/>
      <c r="DH83" s="124"/>
      <c r="DI83" s="124"/>
      <c r="DJ83" s="124"/>
      <c r="DK83" s="2"/>
      <c r="DL83" s="2"/>
      <c r="DM83" s="2"/>
      <c r="DN83" s="2"/>
      <c r="DO83" s="2"/>
      <c r="DP83" s="2"/>
    </row>
    <row x14ac:dyDescent="0.25" r="84" customHeight="1" ht="13.5">
      <c r="A84" s="2"/>
      <c r="B84" s="3"/>
      <c r="C84" s="2"/>
      <c r="D84" s="290"/>
      <c r="E84" s="297"/>
      <c r="F84" s="297"/>
      <c r="G84" s="297"/>
      <c r="H84" s="297"/>
      <c r="I84" s="297"/>
      <c r="J84" s="297"/>
      <c r="K84" s="297"/>
      <c r="L84" s="297"/>
      <c r="M84" s="297"/>
      <c r="N84" s="297"/>
      <c r="O84" s="297"/>
      <c r="P84" s="297"/>
      <c r="Q84" s="297"/>
      <c r="R84" s="297"/>
      <c r="S84" s="297"/>
      <c r="T84" s="297"/>
      <c r="U84" s="297"/>
      <c r="V84" s="297"/>
      <c r="W84" s="297"/>
      <c r="X84" s="290"/>
      <c r="Y84" s="297"/>
      <c r="Z84" s="297"/>
      <c r="AA84" s="297"/>
      <c r="AB84" s="297"/>
      <c r="AC84" s="297"/>
      <c r="AD84" s="297"/>
      <c r="AE84" s="297"/>
      <c r="AF84" s="297"/>
      <c r="AG84" s="297"/>
      <c r="AH84" s="297"/>
      <c r="AI84" s="297"/>
      <c r="AJ84" s="297"/>
      <c r="AK84" s="297"/>
      <c r="AL84" s="297"/>
      <c r="AM84" s="297"/>
      <c r="AN84" s="297"/>
      <c r="AO84" s="297"/>
      <c r="AP84" s="297"/>
      <c r="AQ84" s="297"/>
      <c r="AR84" s="297"/>
      <c r="AS84" s="3"/>
      <c r="AT84" s="299"/>
      <c r="AU84" s="124"/>
      <c r="AV84" s="124"/>
      <c r="AW84" s="124"/>
      <c r="AX84" s="124"/>
      <c r="AY84" s="124"/>
      <c r="AZ84" s="124"/>
      <c r="BA84" s="63"/>
      <c r="BB84" s="63"/>
      <c r="BC84" s="63"/>
      <c r="BD84" s="124"/>
      <c r="BE84" s="124"/>
      <c r="BF84" s="124"/>
      <c r="BG84" s="124"/>
      <c r="BH84" s="124"/>
      <c r="BI84" s="124"/>
      <c r="BJ84" s="124"/>
      <c r="BK84" s="124"/>
      <c r="BL84" s="124"/>
      <c r="BM84" s="124"/>
      <c r="BN84" s="124"/>
      <c r="BO84" s="124"/>
      <c r="BP84" s="124"/>
      <c r="BQ84" s="124"/>
      <c r="BR84" s="124"/>
      <c r="BS84" s="124"/>
      <c r="BT84" s="124"/>
      <c r="BU84" s="124"/>
      <c r="BV84" s="124"/>
      <c r="BW84" s="124"/>
      <c r="BX84" s="124"/>
      <c r="BY84" s="124"/>
      <c r="BZ84" s="124"/>
      <c r="CA84" s="124"/>
      <c r="CB84" s="124"/>
      <c r="CC84" s="124"/>
      <c r="CD84" s="124"/>
      <c r="CE84" s="124"/>
      <c r="CF84" s="300"/>
      <c r="CG84" s="300"/>
      <c r="CH84" s="300"/>
      <c r="CI84" s="124"/>
      <c r="CJ84" s="124"/>
      <c r="CK84" s="124"/>
      <c r="CL84" s="124"/>
      <c r="CM84" s="124"/>
      <c r="CN84" s="124"/>
      <c r="CO84" s="124"/>
      <c r="CP84" s="124"/>
      <c r="CQ84" s="124"/>
      <c r="CR84" s="124"/>
      <c r="CS84" s="124"/>
      <c r="CT84" s="124"/>
      <c r="CU84" s="124"/>
      <c r="CV84" s="124"/>
      <c r="CW84" s="124"/>
      <c r="CX84" s="124"/>
      <c r="CY84" s="124"/>
      <c r="CZ84" s="124"/>
      <c r="DA84" s="124"/>
      <c r="DB84" s="124"/>
      <c r="DC84" s="124"/>
      <c r="DD84" s="124"/>
      <c r="DE84" s="124"/>
      <c r="DF84" s="124"/>
      <c r="DG84" s="124"/>
      <c r="DH84" s="124"/>
      <c r="DI84" s="124"/>
      <c r="DJ84" s="124"/>
      <c r="DK84" s="2"/>
      <c r="DL84" s="2"/>
      <c r="DM84" s="2"/>
      <c r="DN84" s="2"/>
      <c r="DO84" s="2"/>
      <c r="DP84" s="2"/>
    </row>
    <row x14ac:dyDescent="0.25" r="85" customHeight="1" ht="13.5">
      <c r="A85" s="2"/>
      <c r="B85" s="3"/>
      <c r="C85" s="2"/>
      <c r="D85" s="240" t="s">
        <v>467</v>
      </c>
      <c r="E85" s="297"/>
      <c r="F85" s="297"/>
      <c r="G85" s="297"/>
      <c r="H85" s="297"/>
      <c r="I85" s="279" t="s">
        <v>467</v>
      </c>
      <c r="J85" s="297"/>
      <c r="K85" s="297"/>
      <c r="L85" s="297"/>
      <c r="M85" s="297"/>
      <c r="N85" s="297"/>
      <c r="O85" s="297"/>
      <c r="P85" s="297"/>
      <c r="Q85" s="297"/>
      <c r="R85" s="297"/>
      <c r="S85" s="297"/>
      <c r="T85" s="297"/>
      <c r="U85" s="297"/>
      <c r="V85" s="297"/>
      <c r="W85" s="297"/>
      <c r="X85" s="290"/>
      <c r="Y85" s="297"/>
      <c r="Z85" s="297"/>
      <c r="AA85" s="297"/>
      <c r="AB85" s="297"/>
      <c r="AC85" s="297"/>
      <c r="AD85" s="297"/>
      <c r="AE85" s="297"/>
      <c r="AF85" s="297"/>
      <c r="AG85" s="297"/>
      <c r="AH85" s="297"/>
      <c r="AI85" s="297"/>
      <c r="AJ85" s="297"/>
      <c r="AK85" s="297"/>
      <c r="AL85" s="297"/>
      <c r="AM85" s="297"/>
      <c r="AN85" s="297"/>
      <c r="AO85" s="297"/>
      <c r="AP85" s="297"/>
      <c r="AQ85" s="297"/>
      <c r="AR85" s="297"/>
      <c r="AS85" s="3"/>
      <c r="AT85" s="299"/>
      <c r="AU85" s="124"/>
      <c r="AV85" s="124"/>
      <c r="AW85" s="124"/>
      <c r="AX85" s="124"/>
      <c r="AY85" s="124"/>
      <c r="AZ85" s="124"/>
      <c r="BA85" s="63"/>
      <c r="BB85" s="63"/>
      <c r="BC85" s="63"/>
      <c r="BD85" s="124"/>
      <c r="BE85" s="124"/>
      <c r="BF85" s="124"/>
      <c r="BG85" s="124"/>
      <c r="BH85" s="124"/>
      <c r="BI85" s="124"/>
      <c r="BJ85" s="124"/>
      <c r="BK85" s="124"/>
      <c r="BL85" s="124"/>
      <c r="BM85" s="124"/>
      <c r="BN85" s="124"/>
      <c r="BO85" s="124"/>
      <c r="BP85" s="124"/>
      <c r="BQ85" s="124"/>
      <c r="BR85" s="124"/>
      <c r="BS85" s="124"/>
      <c r="BT85" s="124"/>
      <c r="BU85" s="124"/>
      <c r="BV85" s="124"/>
      <c r="BW85" s="124"/>
      <c r="BX85" s="124"/>
      <c r="BY85" s="124"/>
      <c r="BZ85" s="124"/>
      <c r="CA85" s="124"/>
      <c r="CB85" s="124"/>
      <c r="CC85" s="124"/>
      <c r="CD85" s="124"/>
      <c r="CE85" s="124"/>
      <c r="CF85" s="300"/>
      <c r="CG85" s="300"/>
      <c r="CH85" s="300"/>
      <c r="CI85" s="124"/>
      <c r="CJ85" s="124"/>
      <c r="CK85" s="124"/>
      <c r="CL85" s="124"/>
      <c r="CM85" s="124"/>
      <c r="CN85" s="124"/>
      <c r="CO85" s="124"/>
      <c r="CP85" s="124"/>
      <c r="CQ85" s="124"/>
      <c r="CR85" s="124"/>
      <c r="CS85" s="124"/>
      <c r="CT85" s="124"/>
      <c r="CU85" s="124"/>
      <c r="CV85" s="124"/>
      <c r="CW85" s="124"/>
      <c r="CX85" s="124"/>
      <c r="CY85" s="124"/>
      <c r="CZ85" s="124"/>
      <c r="DA85" s="124"/>
      <c r="DB85" s="124"/>
      <c r="DC85" s="124"/>
      <c r="DD85" s="124"/>
      <c r="DE85" s="124"/>
      <c r="DF85" s="124"/>
      <c r="DG85" s="124"/>
      <c r="DH85" s="124"/>
      <c r="DI85" s="124"/>
      <c r="DJ85" s="124"/>
      <c r="DK85" s="2"/>
      <c r="DL85" s="2"/>
      <c r="DM85" s="2"/>
      <c r="DN85" s="2"/>
      <c r="DO85" s="2"/>
      <c r="DP85" s="2"/>
    </row>
    <row x14ac:dyDescent="0.25" r="86" customHeight="1" ht="13.5">
      <c r="A86" s="2"/>
      <c r="B86" s="3"/>
      <c r="C86" s="2"/>
      <c r="D86" s="241" t="s">
        <v>468</v>
      </c>
      <c r="E86" s="297"/>
      <c r="F86" s="297"/>
      <c r="G86" s="297"/>
      <c r="H86" s="297"/>
      <c r="I86" s="242" t="s">
        <v>470</v>
      </c>
      <c r="J86" s="297"/>
      <c r="K86" s="297"/>
      <c r="L86" s="297"/>
      <c r="M86" s="297"/>
      <c r="N86" s="297"/>
      <c r="O86" s="297"/>
      <c r="P86" s="297"/>
      <c r="Q86" s="297"/>
      <c r="R86" s="297"/>
      <c r="S86" s="297"/>
      <c r="T86" s="297"/>
      <c r="U86" s="297"/>
      <c r="V86" s="297"/>
      <c r="W86" s="297"/>
      <c r="X86" s="290"/>
      <c r="Y86" s="297"/>
      <c r="Z86" s="297"/>
      <c r="AA86" s="297"/>
      <c r="AB86" s="297"/>
      <c r="AC86" s="297"/>
      <c r="AD86" s="297"/>
      <c r="AE86" s="297"/>
      <c r="AF86" s="297"/>
      <c r="AG86" s="297"/>
      <c r="AH86" s="297"/>
      <c r="AI86" s="297"/>
      <c r="AJ86" s="297"/>
      <c r="AK86" s="297"/>
      <c r="AL86" s="297"/>
      <c r="AM86" s="297"/>
      <c r="AN86" s="297"/>
      <c r="AO86" s="297"/>
      <c r="AP86" s="297"/>
      <c r="AQ86" s="297"/>
      <c r="AR86" s="297"/>
      <c r="AS86" s="3"/>
      <c r="AT86" s="299"/>
      <c r="AU86" s="124"/>
      <c r="AV86" s="124"/>
      <c r="AW86" s="124"/>
      <c r="AX86" s="124"/>
      <c r="AY86" s="124"/>
      <c r="AZ86" s="124"/>
      <c r="BA86" s="63"/>
      <c r="BB86" s="63"/>
      <c r="BC86" s="63"/>
      <c r="BD86" s="124"/>
      <c r="BE86" s="124"/>
      <c r="BF86" s="124"/>
      <c r="BG86" s="124"/>
      <c r="BH86" s="124"/>
      <c r="BI86" s="124"/>
      <c r="BJ86" s="124"/>
      <c r="BK86" s="124"/>
      <c r="BL86" s="124"/>
      <c r="BM86" s="124"/>
      <c r="BN86" s="124"/>
      <c r="BO86" s="124"/>
      <c r="BP86" s="124"/>
      <c r="BQ86" s="124"/>
      <c r="BR86" s="124"/>
      <c r="BS86" s="124"/>
      <c r="BT86" s="124"/>
      <c r="BU86" s="124"/>
      <c r="BV86" s="124"/>
      <c r="BW86" s="124"/>
      <c r="BX86" s="124"/>
      <c r="BY86" s="124"/>
      <c r="BZ86" s="124"/>
      <c r="CA86" s="124"/>
      <c r="CB86" s="124"/>
      <c r="CC86" s="124"/>
      <c r="CD86" s="124"/>
      <c r="CE86" s="124"/>
      <c r="CF86" s="300"/>
      <c r="CG86" s="300"/>
      <c r="CH86" s="300"/>
      <c r="CI86" s="124"/>
      <c r="CJ86" s="124"/>
      <c r="CK86" s="124"/>
      <c r="CL86" s="124"/>
      <c r="CM86" s="124"/>
      <c r="CN86" s="124"/>
      <c r="CO86" s="124"/>
      <c r="CP86" s="124"/>
      <c r="CQ86" s="124"/>
      <c r="CR86" s="124"/>
      <c r="CS86" s="124"/>
      <c r="CT86" s="124"/>
      <c r="CU86" s="124"/>
      <c r="CV86" s="124"/>
      <c r="CW86" s="124"/>
      <c r="CX86" s="124"/>
      <c r="CY86" s="124"/>
      <c r="CZ86" s="124"/>
      <c r="DA86" s="124"/>
      <c r="DB86" s="124"/>
      <c r="DC86" s="124"/>
      <c r="DD86" s="124"/>
      <c r="DE86" s="124"/>
      <c r="DF86" s="124"/>
      <c r="DG86" s="124"/>
      <c r="DH86" s="124"/>
      <c r="DI86" s="124"/>
      <c r="DJ86" s="124"/>
      <c r="DK86" s="2"/>
      <c r="DL86" s="2"/>
      <c r="DM86" s="2"/>
      <c r="DN86" s="2"/>
      <c r="DO86" s="2"/>
      <c r="DP86" s="2"/>
    </row>
    <row x14ac:dyDescent="0.25" r="87" customHeight="1" ht="13.5">
      <c r="A87" s="2"/>
      <c r="B87" s="3"/>
      <c r="C87" s="2"/>
      <c r="D87" s="246" t="s">
        <v>445</v>
      </c>
      <c r="E87" s="257">
        <v>2023</v>
      </c>
      <c r="F87" s="257">
        <v>2024</v>
      </c>
      <c r="G87" s="257">
        <v>2025</v>
      </c>
      <c r="H87" s="297"/>
      <c r="I87" s="280" t="s">
        <v>445</v>
      </c>
      <c r="J87" s="257">
        <v>2023</v>
      </c>
      <c r="K87" s="257">
        <v>2024</v>
      </c>
      <c r="L87" s="257">
        <v>2025</v>
      </c>
      <c r="M87" s="297"/>
      <c r="N87" s="297"/>
      <c r="O87" s="297"/>
      <c r="P87" s="297"/>
      <c r="Q87" s="297"/>
      <c r="R87" s="297"/>
      <c r="S87" s="297"/>
      <c r="T87" s="297"/>
      <c r="U87" s="297"/>
      <c r="V87" s="297"/>
      <c r="W87" s="297"/>
      <c r="X87" s="290"/>
      <c r="Y87" s="297"/>
      <c r="Z87" s="297"/>
      <c r="AA87" s="297"/>
      <c r="AB87" s="297"/>
      <c r="AC87" s="297"/>
      <c r="AD87" s="297"/>
      <c r="AE87" s="297"/>
      <c r="AF87" s="297"/>
      <c r="AG87" s="297"/>
      <c r="AH87" s="297"/>
      <c r="AI87" s="297"/>
      <c r="AJ87" s="297"/>
      <c r="AK87" s="297"/>
      <c r="AL87" s="297"/>
      <c r="AM87" s="297"/>
      <c r="AN87" s="297"/>
      <c r="AO87" s="297"/>
      <c r="AP87" s="297"/>
      <c r="AQ87" s="297"/>
      <c r="AR87" s="297"/>
      <c r="AS87" s="3"/>
      <c r="AT87" s="299"/>
      <c r="AU87" s="124"/>
      <c r="AV87" s="124"/>
      <c r="AW87" s="124"/>
      <c r="AX87" s="124"/>
      <c r="AY87" s="124"/>
      <c r="AZ87" s="124"/>
      <c r="BA87" s="63"/>
      <c r="BB87" s="63"/>
      <c r="BC87" s="63"/>
      <c r="BD87" s="124"/>
      <c r="BE87" s="124"/>
      <c r="BF87" s="124"/>
      <c r="BG87" s="124"/>
      <c r="BH87" s="124"/>
      <c r="BI87" s="124"/>
      <c r="BJ87" s="124"/>
      <c r="BK87" s="124"/>
      <c r="BL87" s="124"/>
      <c r="BM87" s="124"/>
      <c r="BN87" s="124"/>
      <c r="BO87" s="124"/>
      <c r="BP87" s="124"/>
      <c r="BQ87" s="124"/>
      <c r="BR87" s="124"/>
      <c r="BS87" s="124"/>
      <c r="BT87" s="124"/>
      <c r="BU87" s="124"/>
      <c r="BV87" s="124"/>
      <c r="BW87" s="124"/>
      <c r="BX87" s="124"/>
      <c r="BY87" s="124"/>
      <c r="BZ87" s="124"/>
      <c r="CA87" s="124"/>
      <c r="CB87" s="124"/>
      <c r="CC87" s="124"/>
      <c r="CD87" s="124"/>
      <c r="CE87" s="124"/>
      <c r="CF87" s="300"/>
      <c r="CG87" s="300"/>
      <c r="CH87" s="300"/>
      <c r="CI87" s="124"/>
      <c r="CJ87" s="124"/>
      <c r="CK87" s="124"/>
      <c r="CL87" s="124"/>
      <c r="CM87" s="124"/>
      <c r="CN87" s="124"/>
      <c r="CO87" s="124"/>
      <c r="CP87" s="124"/>
      <c r="CQ87" s="124"/>
      <c r="CR87" s="124"/>
      <c r="CS87" s="124"/>
      <c r="CT87" s="124"/>
      <c r="CU87" s="124"/>
      <c r="CV87" s="124"/>
      <c r="CW87" s="124"/>
      <c r="CX87" s="124"/>
      <c r="CY87" s="124"/>
      <c r="CZ87" s="124"/>
      <c r="DA87" s="124"/>
      <c r="DB87" s="124"/>
      <c r="DC87" s="124"/>
      <c r="DD87" s="124"/>
      <c r="DE87" s="124"/>
      <c r="DF87" s="124"/>
      <c r="DG87" s="124"/>
      <c r="DH87" s="124"/>
      <c r="DI87" s="124"/>
      <c r="DJ87" s="124"/>
      <c r="DK87" s="2"/>
      <c r="DL87" s="2"/>
      <c r="DM87" s="2"/>
      <c r="DN87" s="2"/>
      <c r="DO87" s="2"/>
      <c r="DP87" s="2"/>
    </row>
    <row x14ac:dyDescent="0.25" r="88" customHeight="1" ht="13.5">
      <c r="A88" s="2"/>
      <c r="B88" s="3"/>
      <c r="C88" s="2"/>
      <c r="D88" s="118" t="s">
        <v>25</v>
      </c>
      <c r="E88" s="293">
        <f>N21</f>
      </c>
      <c r="F88" s="293">
        <f>O21</f>
      </c>
      <c r="G88" s="293">
        <f>P21</f>
      </c>
      <c r="H88" s="297"/>
      <c r="I88" s="212" t="s">
        <v>25</v>
      </c>
      <c r="J88" s="293">
        <f>E88/$E$12</f>
      </c>
      <c r="K88" s="293">
        <f>F88/$E$12</f>
      </c>
      <c r="L88" s="293">
        <f>G88/$E$12</f>
      </c>
      <c r="M88" s="297"/>
      <c r="N88" s="297"/>
      <c r="O88" s="297"/>
      <c r="P88" s="297"/>
      <c r="Q88" s="297"/>
      <c r="R88" s="297"/>
      <c r="S88" s="297"/>
      <c r="T88" s="297"/>
      <c r="U88" s="297"/>
      <c r="V88" s="297"/>
      <c r="W88" s="297"/>
      <c r="X88" s="290"/>
      <c r="Y88" s="297"/>
      <c r="Z88" s="297"/>
      <c r="AA88" s="297"/>
      <c r="AB88" s="297"/>
      <c r="AC88" s="297"/>
      <c r="AD88" s="297"/>
      <c r="AE88" s="297"/>
      <c r="AF88" s="297"/>
      <c r="AG88" s="297"/>
      <c r="AH88" s="297"/>
      <c r="AI88" s="297"/>
      <c r="AJ88" s="297"/>
      <c r="AK88" s="297"/>
      <c r="AL88" s="297"/>
      <c r="AM88" s="297"/>
      <c r="AN88" s="297"/>
      <c r="AO88" s="297"/>
      <c r="AP88" s="297"/>
      <c r="AQ88" s="297"/>
      <c r="AR88" s="297"/>
      <c r="AS88" s="3"/>
      <c r="AT88" s="299"/>
      <c r="AU88" s="124"/>
      <c r="AV88" s="124"/>
      <c r="AW88" s="124"/>
      <c r="AX88" s="124"/>
      <c r="AY88" s="124"/>
      <c r="AZ88" s="124"/>
      <c r="BA88" s="63"/>
      <c r="BB88" s="63"/>
      <c r="BC88" s="63"/>
      <c r="BD88" s="124"/>
      <c r="BE88" s="124"/>
      <c r="BF88" s="124"/>
      <c r="BG88" s="124"/>
      <c r="BH88" s="124"/>
      <c r="BI88" s="124"/>
      <c r="BJ88" s="124"/>
      <c r="BK88" s="124"/>
      <c r="BL88" s="124"/>
      <c r="BM88" s="124"/>
      <c r="BN88" s="124"/>
      <c r="BO88" s="124"/>
      <c r="BP88" s="124"/>
      <c r="BQ88" s="124"/>
      <c r="BR88" s="124"/>
      <c r="BS88" s="124"/>
      <c r="BT88" s="124"/>
      <c r="BU88" s="124"/>
      <c r="BV88" s="124"/>
      <c r="BW88" s="124"/>
      <c r="BX88" s="124"/>
      <c r="BY88" s="124"/>
      <c r="BZ88" s="124"/>
      <c r="CA88" s="124"/>
      <c r="CB88" s="124"/>
      <c r="CC88" s="124"/>
      <c r="CD88" s="124"/>
      <c r="CE88" s="124"/>
      <c r="CF88" s="300"/>
      <c r="CG88" s="300"/>
      <c r="CH88" s="300"/>
      <c r="CI88" s="124"/>
      <c r="CJ88" s="124"/>
      <c r="CK88" s="124"/>
      <c r="CL88" s="124"/>
      <c r="CM88" s="124"/>
      <c r="CN88" s="124"/>
      <c r="CO88" s="124"/>
      <c r="CP88" s="124"/>
      <c r="CQ88" s="124"/>
      <c r="CR88" s="124"/>
      <c r="CS88" s="124"/>
      <c r="CT88" s="124"/>
      <c r="CU88" s="124"/>
      <c r="CV88" s="124"/>
      <c r="CW88" s="124"/>
      <c r="CX88" s="124"/>
      <c r="CY88" s="124"/>
      <c r="CZ88" s="124"/>
      <c r="DA88" s="124"/>
      <c r="DB88" s="124"/>
      <c r="DC88" s="124"/>
      <c r="DD88" s="124"/>
      <c r="DE88" s="124"/>
      <c r="DF88" s="124"/>
      <c r="DG88" s="124"/>
      <c r="DH88" s="124"/>
      <c r="DI88" s="124"/>
      <c r="DJ88" s="124"/>
      <c r="DK88" s="2"/>
      <c r="DL88" s="2"/>
      <c r="DM88" s="2"/>
      <c r="DN88" s="2"/>
      <c r="DO88" s="2"/>
      <c r="DP88" s="2"/>
    </row>
    <row x14ac:dyDescent="0.25" r="89" customHeight="1" ht="13.5">
      <c r="A89" s="2"/>
      <c r="B89" s="3"/>
      <c r="C89" s="2"/>
      <c r="D89" s="118" t="s">
        <v>476</v>
      </c>
      <c r="E89" s="293">
        <f>H21</f>
      </c>
      <c r="F89" s="293">
        <f>I21</f>
      </c>
      <c r="G89" s="293">
        <f>J21</f>
      </c>
      <c r="H89" s="297"/>
      <c r="I89" s="212" t="s">
        <v>476</v>
      </c>
      <c r="J89" s="293">
        <f>E89/$E$10</f>
      </c>
      <c r="K89" s="293">
        <f>F89/$E$10</f>
      </c>
      <c r="L89" s="293">
        <f>G89/$E$10</f>
      </c>
      <c r="M89" s="297"/>
      <c r="N89" s="297"/>
      <c r="O89" s="297"/>
      <c r="P89" s="297"/>
      <c r="Q89" s="297"/>
      <c r="R89" s="297"/>
      <c r="S89" s="297"/>
      <c r="T89" s="297"/>
      <c r="U89" s="297"/>
      <c r="V89" s="297"/>
      <c r="W89" s="297"/>
      <c r="X89" s="290"/>
      <c r="Y89" s="297"/>
      <c r="Z89" s="297"/>
      <c r="AA89" s="297"/>
      <c r="AB89" s="297"/>
      <c r="AC89" s="297"/>
      <c r="AD89" s="297"/>
      <c r="AE89" s="297"/>
      <c r="AF89" s="297"/>
      <c r="AG89" s="297"/>
      <c r="AH89" s="297"/>
      <c r="AI89" s="297"/>
      <c r="AJ89" s="297"/>
      <c r="AK89" s="297"/>
      <c r="AL89" s="297"/>
      <c r="AM89" s="297"/>
      <c r="AN89" s="297"/>
      <c r="AO89" s="297"/>
      <c r="AP89" s="297"/>
      <c r="AQ89" s="297"/>
      <c r="AR89" s="297"/>
      <c r="AS89" s="3"/>
      <c r="AT89" s="299"/>
      <c r="AU89" s="124"/>
      <c r="AV89" s="124"/>
      <c r="AW89" s="124"/>
      <c r="AX89" s="124"/>
      <c r="AY89" s="124"/>
      <c r="AZ89" s="124"/>
      <c r="BA89" s="63"/>
      <c r="BB89" s="63"/>
      <c r="BC89" s="63"/>
      <c r="BD89" s="124"/>
      <c r="BE89" s="124"/>
      <c r="BF89" s="124"/>
      <c r="BG89" s="124"/>
      <c r="BH89" s="124"/>
      <c r="BI89" s="124"/>
      <c r="BJ89" s="124"/>
      <c r="BK89" s="124"/>
      <c r="BL89" s="124"/>
      <c r="BM89" s="124"/>
      <c r="BN89" s="124"/>
      <c r="BO89" s="124"/>
      <c r="BP89" s="124"/>
      <c r="BQ89" s="124"/>
      <c r="BR89" s="124"/>
      <c r="BS89" s="124"/>
      <c r="BT89" s="124"/>
      <c r="BU89" s="124"/>
      <c r="BV89" s="124"/>
      <c r="BW89" s="124"/>
      <c r="BX89" s="124"/>
      <c r="BY89" s="124"/>
      <c r="BZ89" s="124"/>
      <c r="CA89" s="124"/>
      <c r="CB89" s="124"/>
      <c r="CC89" s="124"/>
      <c r="CD89" s="124"/>
      <c r="CE89" s="124"/>
      <c r="CF89" s="300"/>
      <c r="CG89" s="300"/>
      <c r="CH89" s="300"/>
      <c r="CI89" s="124"/>
      <c r="CJ89" s="124"/>
      <c r="CK89" s="124"/>
      <c r="CL89" s="124"/>
      <c r="CM89" s="124"/>
      <c r="CN89" s="124"/>
      <c r="CO89" s="124"/>
      <c r="CP89" s="124"/>
      <c r="CQ89" s="124"/>
      <c r="CR89" s="124"/>
      <c r="CS89" s="124"/>
      <c r="CT89" s="124"/>
      <c r="CU89" s="124"/>
      <c r="CV89" s="124"/>
      <c r="CW89" s="124"/>
      <c r="CX89" s="124"/>
      <c r="CY89" s="124"/>
      <c r="CZ89" s="124"/>
      <c r="DA89" s="124"/>
      <c r="DB89" s="124"/>
      <c r="DC89" s="124"/>
      <c r="DD89" s="124"/>
      <c r="DE89" s="124"/>
      <c r="DF89" s="124"/>
      <c r="DG89" s="124"/>
      <c r="DH89" s="124"/>
      <c r="DI89" s="124"/>
      <c r="DJ89" s="124"/>
      <c r="DK89" s="2"/>
      <c r="DL89" s="2"/>
      <c r="DM89" s="2"/>
      <c r="DN89" s="2"/>
      <c r="DO89" s="2"/>
      <c r="DP89" s="2"/>
    </row>
    <row x14ac:dyDescent="0.25" r="90" customHeight="1" ht="13.5">
      <c r="A90" s="2"/>
      <c r="B90" s="3"/>
      <c r="C90" s="2"/>
      <c r="D90" s="118" t="s">
        <v>477</v>
      </c>
      <c r="E90" s="293">
        <f>K21</f>
      </c>
      <c r="F90" s="293">
        <f>L21</f>
      </c>
      <c r="G90" s="293">
        <f>M21</f>
      </c>
      <c r="H90" s="297"/>
      <c r="I90" s="212" t="s">
        <v>477</v>
      </c>
      <c r="J90" s="293">
        <f>E90/$E$11</f>
      </c>
      <c r="K90" s="293">
        <f>F90/$E$11</f>
      </c>
      <c r="L90" s="293">
        <f>G90/$E$11</f>
      </c>
      <c r="M90" s="297"/>
      <c r="N90" s="297"/>
      <c r="O90" s="297"/>
      <c r="P90" s="297"/>
      <c r="Q90" s="297"/>
      <c r="R90" s="297"/>
      <c r="S90" s="297"/>
      <c r="T90" s="297"/>
      <c r="U90" s="297"/>
      <c r="V90" s="297"/>
      <c r="W90" s="297"/>
      <c r="X90" s="290"/>
      <c r="Y90" s="297"/>
      <c r="Z90" s="297"/>
      <c r="AA90" s="297"/>
      <c r="AB90" s="297"/>
      <c r="AC90" s="297"/>
      <c r="AD90" s="297"/>
      <c r="AE90" s="297"/>
      <c r="AF90" s="297"/>
      <c r="AG90" s="297"/>
      <c r="AH90" s="297"/>
      <c r="AI90" s="297"/>
      <c r="AJ90" s="297"/>
      <c r="AK90" s="297"/>
      <c r="AL90" s="297"/>
      <c r="AM90" s="297"/>
      <c r="AN90" s="297"/>
      <c r="AO90" s="297"/>
      <c r="AP90" s="297"/>
      <c r="AQ90" s="297"/>
      <c r="AR90" s="297"/>
      <c r="AS90" s="3"/>
      <c r="AT90" s="299"/>
      <c r="AU90" s="124"/>
      <c r="AV90" s="124"/>
      <c r="AW90" s="124"/>
      <c r="AX90" s="124"/>
      <c r="AY90" s="124"/>
      <c r="AZ90" s="124"/>
      <c r="BA90" s="63"/>
      <c r="BB90" s="63"/>
      <c r="BC90" s="63"/>
      <c r="BD90" s="124"/>
      <c r="BE90" s="124"/>
      <c r="BF90" s="124"/>
      <c r="BG90" s="124"/>
      <c r="BH90" s="124"/>
      <c r="BI90" s="124"/>
      <c r="BJ90" s="124"/>
      <c r="BK90" s="124"/>
      <c r="BL90" s="124"/>
      <c r="BM90" s="124"/>
      <c r="BN90" s="124"/>
      <c r="BO90" s="124"/>
      <c r="BP90" s="124"/>
      <c r="BQ90" s="124"/>
      <c r="BR90" s="124"/>
      <c r="BS90" s="124"/>
      <c r="BT90" s="124"/>
      <c r="BU90" s="124"/>
      <c r="BV90" s="124"/>
      <c r="BW90" s="124"/>
      <c r="BX90" s="124"/>
      <c r="BY90" s="124"/>
      <c r="BZ90" s="124"/>
      <c r="CA90" s="124"/>
      <c r="CB90" s="124"/>
      <c r="CC90" s="124"/>
      <c r="CD90" s="124"/>
      <c r="CE90" s="124"/>
      <c r="CF90" s="300"/>
      <c r="CG90" s="300"/>
      <c r="CH90" s="300"/>
      <c r="CI90" s="124"/>
      <c r="CJ90" s="124"/>
      <c r="CK90" s="124"/>
      <c r="CL90" s="124"/>
      <c r="CM90" s="124"/>
      <c r="CN90" s="124"/>
      <c r="CO90" s="124"/>
      <c r="CP90" s="124"/>
      <c r="CQ90" s="124"/>
      <c r="CR90" s="124"/>
      <c r="CS90" s="124"/>
      <c r="CT90" s="124"/>
      <c r="CU90" s="124"/>
      <c r="CV90" s="124"/>
      <c r="CW90" s="124"/>
      <c r="CX90" s="124"/>
      <c r="CY90" s="124"/>
      <c r="CZ90" s="124"/>
      <c r="DA90" s="124"/>
      <c r="DB90" s="124"/>
      <c r="DC90" s="124"/>
      <c r="DD90" s="124"/>
      <c r="DE90" s="124"/>
      <c r="DF90" s="124"/>
      <c r="DG90" s="124"/>
      <c r="DH90" s="124"/>
      <c r="DI90" s="124"/>
      <c r="DJ90" s="124"/>
      <c r="DK90" s="2"/>
      <c r="DL90" s="2"/>
      <c r="DM90" s="2"/>
      <c r="DN90" s="2"/>
      <c r="DO90" s="2"/>
      <c r="DP90" s="2"/>
    </row>
    <row x14ac:dyDescent="0.25" r="91" customHeight="1" ht="13.5">
      <c r="A91" s="2"/>
      <c r="B91" s="3"/>
      <c r="C91" s="2"/>
      <c r="D91" s="118" t="s">
        <v>478</v>
      </c>
      <c r="E91" s="293">
        <f>Q21</f>
      </c>
      <c r="F91" s="293">
        <f>R21</f>
      </c>
      <c r="G91" s="293">
        <f>S21</f>
      </c>
      <c r="H91" s="297"/>
      <c r="I91" s="212" t="s">
        <v>478</v>
      </c>
      <c r="J91" s="293">
        <f>E91/$E$13</f>
      </c>
      <c r="K91" s="293">
        <f>F91/$E$13</f>
      </c>
      <c r="L91" s="293">
        <f>G91/$E$13</f>
      </c>
      <c r="M91" s="297"/>
      <c r="N91" s="297"/>
      <c r="O91" s="297"/>
      <c r="P91" s="297"/>
      <c r="Q91" s="297"/>
      <c r="R91" s="297"/>
      <c r="S91" s="297"/>
      <c r="T91" s="297"/>
      <c r="U91" s="297"/>
      <c r="V91" s="297"/>
      <c r="W91" s="297"/>
      <c r="X91" s="290"/>
      <c r="Y91" s="297"/>
      <c r="Z91" s="297"/>
      <c r="AA91" s="297"/>
      <c r="AB91" s="297"/>
      <c r="AC91" s="297"/>
      <c r="AD91" s="297"/>
      <c r="AE91" s="297"/>
      <c r="AF91" s="297"/>
      <c r="AG91" s="297"/>
      <c r="AH91" s="297"/>
      <c r="AI91" s="297"/>
      <c r="AJ91" s="297"/>
      <c r="AK91" s="297"/>
      <c r="AL91" s="297"/>
      <c r="AM91" s="297"/>
      <c r="AN91" s="297"/>
      <c r="AO91" s="297"/>
      <c r="AP91" s="297"/>
      <c r="AQ91" s="297"/>
      <c r="AR91" s="297"/>
      <c r="AS91" s="3"/>
      <c r="AT91" s="299"/>
      <c r="AU91" s="124"/>
      <c r="AV91" s="124"/>
      <c r="AW91" s="124"/>
      <c r="AX91" s="124"/>
      <c r="AY91" s="124"/>
      <c r="AZ91" s="124"/>
      <c r="BA91" s="63"/>
      <c r="BB91" s="63"/>
      <c r="BC91" s="63"/>
      <c r="BD91" s="124"/>
      <c r="BE91" s="124"/>
      <c r="BF91" s="124"/>
      <c r="BG91" s="124"/>
      <c r="BH91" s="124"/>
      <c r="BI91" s="124"/>
      <c r="BJ91" s="124"/>
      <c r="BK91" s="124"/>
      <c r="BL91" s="124"/>
      <c r="BM91" s="124"/>
      <c r="BN91" s="124"/>
      <c r="BO91" s="124"/>
      <c r="BP91" s="124"/>
      <c r="BQ91" s="124"/>
      <c r="BR91" s="124"/>
      <c r="BS91" s="124"/>
      <c r="BT91" s="124"/>
      <c r="BU91" s="124"/>
      <c r="BV91" s="124"/>
      <c r="BW91" s="124"/>
      <c r="BX91" s="124"/>
      <c r="BY91" s="124"/>
      <c r="BZ91" s="124"/>
      <c r="CA91" s="124"/>
      <c r="CB91" s="124"/>
      <c r="CC91" s="124"/>
      <c r="CD91" s="124"/>
      <c r="CE91" s="124"/>
      <c r="CF91" s="300"/>
      <c r="CG91" s="300"/>
      <c r="CH91" s="300"/>
      <c r="CI91" s="124"/>
      <c r="CJ91" s="124"/>
      <c r="CK91" s="124"/>
      <c r="CL91" s="124"/>
      <c r="CM91" s="124"/>
      <c r="CN91" s="124"/>
      <c r="CO91" s="124"/>
      <c r="CP91" s="124"/>
      <c r="CQ91" s="124"/>
      <c r="CR91" s="124"/>
      <c r="CS91" s="124"/>
      <c r="CT91" s="124"/>
      <c r="CU91" s="124"/>
      <c r="CV91" s="124"/>
      <c r="CW91" s="124"/>
      <c r="CX91" s="124"/>
      <c r="CY91" s="124"/>
      <c r="CZ91" s="124"/>
      <c r="DA91" s="124"/>
      <c r="DB91" s="124"/>
      <c r="DC91" s="124"/>
      <c r="DD91" s="124"/>
      <c r="DE91" s="124"/>
      <c r="DF91" s="124"/>
      <c r="DG91" s="124"/>
      <c r="DH91" s="124"/>
      <c r="DI91" s="124"/>
      <c r="DJ91" s="124"/>
      <c r="DK91" s="2"/>
      <c r="DL91" s="2"/>
      <c r="DM91" s="2"/>
      <c r="DN91" s="2"/>
      <c r="DO91" s="2"/>
      <c r="DP91" s="2"/>
    </row>
    <row x14ac:dyDescent="0.25" r="92" customHeight="1" ht="13.5">
      <c r="A92" s="2"/>
      <c r="B92" s="3"/>
      <c r="C92" s="2"/>
      <c r="D92" s="118" t="s">
        <v>29</v>
      </c>
      <c r="E92" s="293">
        <f>T21</f>
      </c>
      <c r="F92" s="293">
        <f>U21</f>
      </c>
      <c r="G92" s="293">
        <f>V21</f>
      </c>
      <c r="H92" s="297"/>
      <c r="I92" s="212" t="s">
        <v>29</v>
      </c>
      <c r="J92" s="293">
        <f>E92/$E$14</f>
      </c>
      <c r="K92" s="293">
        <f>F92/$E$14</f>
      </c>
      <c r="L92" s="293">
        <f>G92/$E$14</f>
      </c>
      <c r="M92" s="297"/>
      <c r="N92" s="297"/>
      <c r="O92" s="297"/>
      <c r="P92" s="297"/>
      <c r="Q92" s="297"/>
      <c r="R92" s="297"/>
      <c r="S92" s="297"/>
      <c r="T92" s="297"/>
      <c r="U92" s="297"/>
      <c r="V92" s="297"/>
      <c r="W92" s="297"/>
      <c r="X92" s="290"/>
      <c r="Y92" s="297"/>
      <c r="Z92" s="297"/>
      <c r="AA92" s="297"/>
      <c r="AB92" s="297"/>
      <c r="AC92" s="297"/>
      <c r="AD92" s="297"/>
      <c r="AE92" s="297"/>
      <c r="AF92" s="297"/>
      <c r="AG92" s="297"/>
      <c r="AH92" s="297"/>
      <c r="AI92" s="297"/>
      <c r="AJ92" s="297"/>
      <c r="AK92" s="297"/>
      <c r="AL92" s="297"/>
      <c r="AM92" s="297"/>
      <c r="AN92" s="297"/>
      <c r="AO92" s="297"/>
      <c r="AP92" s="297"/>
      <c r="AQ92" s="297"/>
      <c r="AR92" s="297"/>
      <c r="AS92" s="3"/>
      <c r="AT92" s="299"/>
      <c r="AU92" s="124"/>
      <c r="AV92" s="124"/>
      <c r="AW92" s="124"/>
      <c r="AX92" s="124"/>
      <c r="AY92" s="124"/>
      <c r="AZ92" s="124"/>
      <c r="BA92" s="63"/>
      <c r="BB92" s="63"/>
      <c r="BC92" s="63"/>
      <c r="BD92" s="124"/>
      <c r="BE92" s="124"/>
      <c r="BF92" s="124"/>
      <c r="BG92" s="124"/>
      <c r="BH92" s="124"/>
      <c r="BI92" s="124"/>
      <c r="BJ92" s="124"/>
      <c r="BK92" s="124"/>
      <c r="BL92" s="124"/>
      <c r="BM92" s="124"/>
      <c r="BN92" s="124"/>
      <c r="BO92" s="124"/>
      <c r="BP92" s="124"/>
      <c r="BQ92" s="124"/>
      <c r="BR92" s="124"/>
      <c r="BS92" s="124"/>
      <c r="BT92" s="124"/>
      <c r="BU92" s="124"/>
      <c r="BV92" s="124"/>
      <c r="BW92" s="124"/>
      <c r="BX92" s="124"/>
      <c r="BY92" s="124"/>
      <c r="BZ92" s="124"/>
      <c r="CA92" s="124"/>
      <c r="CB92" s="124"/>
      <c r="CC92" s="124"/>
      <c r="CD92" s="124"/>
      <c r="CE92" s="124"/>
      <c r="CF92" s="300"/>
      <c r="CG92" s="300"/>
      <c r="CH92" s="300"/>
      <c r="CI92" s="124"/>
      <c r="CJ92" s="124"/>
      <c r="CK92" s="124"/>
      <c r="CL92" s="124"/>
      <c r="CM92" s="124"/>
      <c r="CN92" s="124"/>
      <c r="CO92" s="124"/>
      <c r="CP92" s="124"/>
      <c r="CQ92" s="124"/>
      <c r="CR92" s="124"/>
      <c r="CS92" s="124"/>
      <c r="CT92" s="124"/>
      <c r="CU92" s="124"/>
      <c r="CV92" s="124"/>
      <c r="CW92" s="124"/>
      <c r="CX92" s="124"/>
      <c r="CY92" s="124"/>
      <c r="CZ92" s="124"/>
      <c r="DA92" s="124"/>
      <c r="DB92" s="124"/>
      <c r="DC92" s="124"/>
      <c r="DD92" s="124"/>
      <c r="DE92" s="124"/>
      <c r="DF92" s="124"/>
      <c r="DG92" s="124"/>
      <c r="DH92" s="124"/>
      <c r="DI92" s="124"/>
      <c r="DJ92" s="124"/>
      <c r="DK92" s="2"/>
      <c r="DL92" s="2"/>
      <c r="DM92" s="2"/>
      <c r="DN92" s="2"/>
      <c r="DO92" s="2"/>
      <c r="DP92" s="2"/>
    </row>
    <row x14ac:dyDescent="0.25" r="93" customHeight="1" ht="13.5">
      <c r="A93" s="2"/>
      <c r="B93" s="3"/>
      <c r="C93" s="2"/>
      <c r="D93" s="295" t="s">
        <v>336</v>
      </c>
      <c r="E93" s="296">
        <f>SUM(E88:E92)</f>
      </c>
      <c r="F93" s="296">
        <f>SUM(F88:F92)</f>
      </c>
      <c r="G93" s="296">
        <f>SUM(G88:G92)</f>
      </c>
      <c r="H93" s="297"/>
      <c r="I93" s="298" t="s">
        <v>336</v>
      </c>
      <c r="J93" s="296">
        <f>SUM(J88:J92)</f>
      </c>
      <c r="K93" s="296">
        <f>SUM(K88:K92)</f>
      </c>
      <c r="L93" s="296">
        <f>SUM(L88:L92)</f>
      </c>
      <c r="M93" s="297"/>
      <c r="N93" s="297"/>
      <c r="O93" s="297"/>
      <c r="P93" s="297"/>
      <c r="Q93" s="297"/>
      <c r="R93" s="297"/>
      <c r="S93" s="297"/>
      <c r="T93" s="297"/>
      <c r="U93" s="297"/>
      <c r="V93" s="297"/>
      <c r="W93" s="297"/>
      <c r="X93" s="290"/>
      <c r="Y93" s="297"/>
      <c r="Z93" s="297"/>
      <c r="AA93" s="297"/>
      <c r="AB93" s="297"/>
      <c r="AC93" s="297"/>
      <c r="AD93" s="297"/>
      <c r="AE93" s="297"/>
      <c r="AF93" s="297"/>
      <c r="AG93" s="297"/>
      <c r="AH93" s="297"/>
      <c r="AI93" s="297"/>
      <c r="AJ93" s="297"/>
      <c r="AK93" s="297"/>
      <c r="AL93" s="297"/>
      <c r="AM93" s="297"/>
      <c r="AN93" s="297"/>
      <c r="AO93" s="297"/>
      <c r="AP93" s="297"/>
      <c r="AQ93" s="297"/>
      <c r="AR93" s="297"/>
      <c r="AS93" s="3"/>
      <c r="AT93" s="299"/>
      <c r="AU93" s="124"/>
      <c r="AV93" s="124"/>
      <c r="AW93" s="124"/>
      <c r="AX93" s="124"/>
      <c r="AY93" s="124"/>
      <c r="AZ93" s="124"/>
      <c r="BA93" s="63"/>
      <c r="BB93" s="63"/>
      <c r="BC93" s="63"/>
      <c r="BD93" s="124"/>
      <c r="BE93" s="124"/>
      <c r="BF93" s="124"/>
      <c r="BG93" s="124"/>
      <c r="BH93" s="124"/>
      <c r="BI93" s="124"/>
      <c r="BJ93" s="124"/>
      <c r="BK93" s="124"/>
      <c r="BL93" s="124"/>
      <c r="BM93" s="124"/>
      <c r="BN93" s="124"/>
      <c r="BO93" s="124"/>
      <c r="BP93" s="124"/>
      <c r="BQ93" s="124"/>
      <c r="BR93" s="124"/>
      <c r="BS93" s="124"/>
      <c r="BT93" s="124"/>
      <c r="BU93" s="124"/>
      <c r="BV93" s="124"/>
      <c r="BW93" s="124"/>
      <c r="BX93" s="124"/>
      <c r="BY93" s="124"/>
      <c r="BZ93" s="124"/>
      <c r="CA93" s="124"/>
      <c r="CB93" s="124"/>
      <c r="CC93" s="124"/>
      <c r="CD93" s="124"/>
      <c r="CE93" s="124"/>
      <c r="CF93" s="300"/>
      <c r="CG93" s="300"/>
      <c r="CH93" s="300"/>
      <c r="CI93" s="124"/>
      <c r="CJ93" s="124"/>
      <c r="CK93" s="124"/>
      <c r="CL93" s="124"/>
      <c r="CM93" s="124"/>
      <c r="CN93" s="124"/>
      <c r="CO93" s="124"/>
      <c r="CP93" s="124"/>
      <c r="CQ93" s="124"/>
      <c r="CR93" s="124"/>
      <c r="CS93" s="124"/>
      <c r="CT93" s="124"/>
      <c r="CU93" s="124"/>
      <c r="CV93" s="124"/>
      <c r="CW93" s="124"/>
      <c r="CX93" s="124"/>
      <c r="CY93" s="124"/>
      <c r="CZ93" s="124"/>
      <c r="DA93" s="124"/>
      <c r="DB93" s="124"/>
      <c r="DC93" s="124"/>
      <c r="DD93" s="124"/>
      <c r="DE93" s="124"/>
      <c r="DF93" s="124"/>
      <c r="DG93" s="124"/>
      <c r="DH93" s="124"/>
      <c r="DI93" s="124"/>
      <c r="DJ93" s="124"/>
      <c r="DK93" s="2"/>
      <c r="DL93" s="2"/>
      <c r="DM93" s="2"/>
      <c r="DN93" s="2"/>
      <c r="DO93" s="2"/>
      <c r="DP93" s="2"/>
    </row>
    <row x14ac:dyDescent="0.25" r="94" customHeight="1" ht="13.5">
      <c r="A94" s="2"/>
      <c r="B94" s="3"/>
      <c r="C94" s="2"/>
      <c r="D94" s="118" t="s">
        <v>479</v>
      </c>
      <c r="E94" s="8">
        <f>E93-OCPMarketShares!K24</f>
      </c>
      <c r="F94" s="8">
        <f>F93-OCPMarketShares!L24</f>
      </c>
      <c r="G94" s="8">
        <f>G93-OCPMarketShares!M24</f>
      </c>
      <c r="H94" s="297"/>
      <c r="I94" s="290"/>
      <c r="J94" s="293">
        <f>J93-Y21</f>
      </c>
      <c r="K94" s="293">
        <f>K93-Z21</f>
      </c>
      <c r="L94" s="293">
        <f>L93-AA21</f>
      </c>
      <c r="M94" s="297"/>
      <c r="N94" s="297"/>
      <c r="O94" s="297"/>
      <c r="P94" s="297"/>
      <c r="Q94" s="297"/>
      <c r="R94" s="297"/>
      <c r="S94" s="297"/>
      <c r="T94" s="297"/>
      <c r="U94" s="297"/>
      <c r="V94" s="297"/>
      <c r="W94" s="297"/>
      <c r="X94" s="290"/>
      <c r="Y94" s="297"/>
      <c r="Z94" s="297"/>
      <c r="AA94" s="297"/>
      <c r="AB94" s="297"/>
      <c r="AC94" s="297"/>
      <c r="AD94" s="297"/>
      <c r="AE94" s="297"/>
      <c r="AF94" s="297"/>
      <c r="AG94" s="297"/>
      <c r="AH94" s="297"/>
      <c r="AI94" s="297"/>
      <c r="AJ94" s="297"/>
      <c r="AK94" s="297"/>
      <c r="AL94" s="297"/>
      <c r="AM94" s="297"/>
      <c r="AN94" s="297"/>
      <c r="AO94" s="297"/>
      <c r="AP94" s="297"/>
      <c r="AQ94" s="297"/>
      <c r="AR94" s="297"/>
      <c r="AS94" s="3"/>
      <c r="AT94" s="299"/>
      <c r="AU94" s="124"/>
      <c r="AV94" s="124"/>
      <c r="AW94" s="124"/>
      <c r="AX94" s="124"/>
      <c r="AY94" s="124"/>
      <c r="AZ94" s="124"/>
      <c r="BA94" s="63"/>
      <c r="BB94" s="63"/>
      <c r="BC94" s="63"/>
      <c r="BD94" s="124"/>
      <c r="BE94" s="124"/>
      <c r="BF94" s="124"/>
      <c r="BG94" s="124"/>
      <c r="BH94" s="124"/>
      <c r="BI94" s="124"/>
      <c r="BJ94" s="124"/>
      <c r="BK94" s="124"/>
      <c r="BL94" s="124"/>
      <c r="BM94" s="124"/>
      <c r="BN94" s="124"/>
      <c r="BO94" s="124"/>
      <c r="BP94" s="124"/>
      <c r="BQ94" s="124"/>
      <c r="BR94" s="124"/>
      <c r="BS94" s="124"/>
      <c r="BT94" s="124"/>
      <c r="BU94" s="124"/>
      <c r="BV94" s="124"/>
      <c r="BW94" s="124"/>
      <c r="BX94" s="124"/>
      <c r="BY94" s="124"/>
      <c r="BZ94" s="124"/>
      <c r="CA94" s="124"/>
      <c r="CB94" s="124"/>
      <c r="CC94" s="124"/>
      <c r="CD94" s="124"/>
      <c r="CE94" s="124"/>
      <c r="CF94" s="300"/>
      <c r="CG94" s="300"/>
      <c r="CH94" s="300"/>
      <c r="CI94" s="124"/>
      <c r="CJ94" s="124"/>
      <c r="CK94" s="124"/>
      <c r="CL94" s="124"/>
      <c r="CM94" s="124"/>
      <c r="CN94" s="124"/>
      <c r="CO94" s="124"/>
      <c r="CP94" s="124"/>
      <c r="CQ94" s="124"/>
      <c r="CR94" s="124"/>
      <c r="CS94" s="124"/>
      <c r="CT94" s="124"/>
      <c r="CU94" s="124"/>
      <c r="CV94" s="124"/>
      <c r="CW94" s="124"/>
      <c r="CX94" s="124"/>
      <c r="CY94" s="124"/>
      <c r="CZ94" s="124"/>
      <c r="DA94" s="124"/>
      <c r="DB94" s="124"/>
      <c r="DC94" s="124"/>
      <c r="DD94" s="124"/>
      <c r="DE94" s="124"/>
      <c r="DF94" s="124"/>
      <c r="DG94" s="124"/>
      <c r="DH94" s="124"/>
      <c r="DI94" s="124"/>
      <c r="DJ94" s="124"/>
      <c r="DK94" s="2"/>
      <c r="DL94" s="2"/>
      <c r="DM94" s="2"/>
      <c r="DN94" s="2"/>
      <c r="DO94" s="2"/>
      <c r="DP94" s="2"/>
    </row>
    <row x14ac:dyDescent="0.25" r="95" customHeight="1" ht="13.5">
      <c r="A95" s="2"/>
      <c r="B95" s="3"/>
      <c r="C95" s="2"/>
      <c r="D95" s="118" t="s">
        <v>473</v>
      </c>
      <c r="E95" s="124">
        <f>E93/ProjectedP205_Consumption!K34</f>
      </c>
      <c r="F95" s="124">
        <f>F93/ProjectedP205_Consumption!L34</f>
      </c>
      <c r="G95" s="124">
        <f>G93/ProjectedP205_Consumption!M34</f>
      </c>
      <c r="H95" s="297"/>
      <c r="I95" s="212" t="s">
        <v>473</v>
      </c>
      <c r="J95" s="297"/>
      <c r="K95" s="297"/>
      <c r="L95" s="297"/>
      <c r="M95" s="297"/>
      <c r="N95" s="297"/>
      <c r="O95" s="297"/>
      <c r="P95" s="297"/>
      <c r="Q95" s="297"/>
      <c r="R95" s="297"/>
      <c r="S95" s="297"/>
      <c r="T95" s="297"/>
      <c r="U95" s="297"/>
      <c r="V95" s="297"/>
      <c r="W95" s="297"/>
      <c r="X95" s="290"/>
      <c r="Y95" s="297"/>
      <c r="Z95" s="297"/>
      <c r="AA95" s="297"/>
      <c r="AB95" s="297"/>
      <c r="AC95" s="297"/>
      <c r="AD95" s="297"/>
      <c r="AE95" s="297"/>
      <c r="AF95" s="297"/>
      <c r="AG95" s="297"/>
      <c r="AH95" s="297"/>
      <c r="AI95" s="297"/>
      <c r="AJ95" s="297"/>
      <c r="AK95" s="297"/>
      <c r="AL95" s="297"/>
      <c r="AM95" s="297"/>
      <c r="AN95" s="297"/>
      <c r="AO95" s="297"/>
      <c r="AP95" s="297"/>
      <c r="AQ95" s="297"/>
      <c r="AR95" s="297"/>
      <c r="AS95" s="3"/>
      <c r="AT95" s="299"/>
      <c r="AU95" s="124"/>
      <c r="AV95" s="124"/>
      <c r="AW95" s="124"/>
      <c r="AX95" s="124"/>
      <c r="AY95" s="124"/>
      <c r="AZ95" s="124"/>
      <c r="BA95" s="63"/>
      <c r="BB95" s="63"/>
      <c r="BC95" s="63"/>
      <c r="BD95" s="124"/>
      <c r="BE95" s="124"/>
      <c r="BF95" s="124"/>
      <c r="BG95" s="124"/>
      <c r="BH95" s="124"/>
      <c r="BI95" s="124"/>
      <c r="BJ95" s="124"/>
      <c r="BK95" s="124"/>
      <c r="BL95" s="124"/>
      <c r="BM95" s="124"/>
      <c r="BN95" s="124"/>
      <c r="BO95" s="124"/>
      <c r="BP95" s="124"/>
      <c r="BQ95" s="124"/>
      <c r="BR95" s="124"/>
      <c r="BS95" s="124"/>
      <c r="BT95" s="124"/>
      <c r="BU95" s="124"/>
      <c r="BV95" s="124"/>
      <c r="BW95" s="124"/>
      <c r="BX95" s="124"/>
      <c r="BY95" s="124"/>
      <c r="BZ95" s="124"/>
      <c r="CA95" s="124"/>
      <c r="CB95" s="124"/>
      <c r="CC95" s="124"/>
      <c r="CD95" s="124"/>
      <c r="CE95" s="124"/>
      <c r="CF95" s="300"/>
      <c r="CG95" s="300"/>
      <c r="CH95" s="300"/>
      <c r="CI95" s="124"/>
      <c r="CJ95" s="124"/>
      <c r="CK95" s="124"/>
      <c r="CL95" s="124"/>
      <c r="CM95" s="124"/>
      <c r="CN95" s="124"/>
      <c r="CO95" s="124"/>
      <c r="CP95" s="124"/>
      <c r="CQ95" s="124"/>
      <c r="CR95" s="124"/>
      <c r="CS95" s="124"/>
      <c r="CT95" s="124"/>
      <c r="CU95" s="124"/>
      <c r="CV95" s="124"/>
      <c r="CW95" s="124"/>
      <c r="CX95" s="124"/>
      <c r="CY95" s="124"/>
      <c r="CZ95" s="124"/>
      <c r="DA95" s="124"/>
      <c r="DB95" s="124"/>
      <c r="DC95" s="124"/>
      <c r="DD95" s="124"/>
      <c r="DE95" s="124"/>
      <c r="DF95" s="124"/>
      <c r="DG95" s="124"/>
      <c r="DH95" s="124"/>
      <c r="DI95" s="124"/>
      <c r="DJ95" s="124"/>
      <c r="DK95" s="2"/>
      <c r="DL95" s="2"/>
      <c r="DM95" s="2"/>
      <c r="DN95" s="2"/>
      <c r="DO95" s="2"/>
      <c r="DP95" s="2"/>
    </row>
    <row x14ac:dyDescent="0.25" r="96" customHeight="1" ht="13.5">
      <c r="A96" s="2"/>
      <c r="B96" s="3"/>
      <c r="C96" s="2"/>
      <c r="D96" s="290"/>
      <c r="E96" s="297"/>
      <c r="F96" s="297"/>
      <c r="G96" s="297"/>
      <c r="H96" s="297"/>
      <c r="I96" s="290"/>
      <c r="J96" s="297"/>
      <c r="K96" s="297"/>
      <c r="L96" s="297"/>
      <c r="M96" s="297"/>
      <c r="N96" s="297"/>
      <c r="O96" s="297"/>
      <c r="P96" s="297"/>
      <c r="Q96" s="297"/>
      <c r="R96" s="297"/>
      <c r="S96" s="297"/>
      <c r="T96" s="297"/>
      <c r="U96" s="297"/>
      <c r="V96" s="297"/>
      <c r="W96" s="297"/>
      <c r="X96" s="290"/>
      <c r="Y96" s="297"/>
      <c r="Z96" s="297"/>
      <c r="AA96" s="297"/>
      <c r="AB96" s="297"/>
      <c r="AC96" s="297"/>
      <c r="AD96" s="297"/>
      <c r="AE96" s="297"/>
      <c r="AF96" s="297"/>
      <c r="AG96" s="297"/>
      <c r="AH96" s="297"/>
      <c r="AI96" s="297"/>
      <c r="AJ96" s="297"/>
      <c r="AK96" s="297"/>
      <c r="AL96" s="297"/>
      <c r="AM96" s="297"/>
      <c r="AN96" s="297"/>
      <c r="AO96" s="297"/>
      <c r="AP96" s="297"/>
      <c r="AQ96" s="297"/>
      <c r="AR96" s="297"/>
      <c r="AS96" s="3"/>
      <c r="AT96" s="299"/>
      <c r="AU96" s="124"/>
      <c r="AV96" s="124"/>
      <c r="AW96" s="124"/>
      <c r="AX96" s="124"/>
      <c r="AY96" s="124"/>
      <c r="AZ96" s="124"/>
      <c r="BA96" s="63"/>
      <c r="BB96" s="63"/>
      <c r="BC96" s="63"/>
      <c r="BD96" s="124"/>
      <c r="BE96" s="124"/>
      <c r="BF96" s="124"/>
      <c r="BG96" s="124"/>
      <c r="BH96" s="124"/>
      <c r="BI96" s="124"/>
      <c r="BJ96" s="124"/>
      <c r="BK96" s="124"/>
      <c r="BL96" s="124"/>
      <c r="BM96" s="124"/>
      <c r="BN96" s="124"/>
      <c r="BO96" s="124"/>
      <c r="BP96" s="124"/>
      <c r="BQ96" s="124"/>
      <c r="BR96" s="124"/>
      <c r="BS96" s="124"/>
      <c r="BT96" s="124"/>
      <c r="BU96" s="124"/>
      <c r="BV96" s="124"/>
      <c r="BW96" s="124"/>
      <c r="BX96" s="124"/>
      <c r="BY96" s="124"/>
      <c r="BZ96" s="124"/>
      <c r="CA96" s="124"/>
      <c r="CB96" s="124"/>
      <c r="CC96" s="124"/>
      <c r="CD96" s="124"/>
      <c r="CE96" s="124"/>
      <c r="CF96" s="300"/>
      <c r="CG96" s="300"/>
      <c r="CH96" s="300"/>
      <c r="CI96" s="124"/>
      <c r="CJ96" s="124"/>
      <c r="CK96" s="124"/>
      <c r="CL96" s="124"/>
      <c r="CM96" s="124"/>
      <c r="CN96" s="124"/>
      <c r="CO96" s="124"/>
      <c r="CP96" s="124"/>
      <c r="CQ96" s="124"/>
      <c r="CR96" s="124"/>
      <c r="CS96" s="124"/>
      <c r="CT96" s="124"/>
      <c r="CU96" s="124"/>
      <c r="CV96" s="124"/>
      <c r="CW96" s="124"/>
      <c r="CX96" s="124"/>
      <c r="CY96" s="124"/>
      <c r="CZ96" s="124"/>
      <c r="DA96" s="124"/>
      <c r="DB96" s="124"/>
      <c r="DC96" s="124"/>
      <c r="DD96" s="124"/>
      <c r="DE96" s="124"/>
      <c r="DF96" s="124"/>
      <c r="DG96" s="124"/>
      <c r="DH96" s="124"/>
      <c r="DI96" s="124"/>
      <c r="DJ96" s="124"/>
      <c r="DK96" s="2"/>
      <c r="DL96" s="2"/>
      <c r="DM96" s="2"/>
      <c r="DN96" s="2"/>
      <c r="DO96" s="2"/>
      <c r="DP96" s="2"/>
    </row>
    <row x14ac:dyDescent="0.25" r="97" customHeight="1" ht="13.5">
      <c r="A97" s="2"/>
      <c r="B97" s="3"/>
      <c r="C97" s="2"/>
      <c r="D97" s="240" t="s">
        <v>467</v>
      </c>
      <c r="E97" s="297"/>
      <c r="F97" s="297"/>
      <c r="G97" s="297"/>
      <c r="H97" s="297"/>
      <c r="I97" s="279" t="s">
        <v>467</v>
      </c>
      <c r="J97" s="297"/>
      <c r="K97" s="297"/>
      <c r="L97" s="297"/>
      <c r="M97" s="297"/>
      <c r="N97" s="297"/>
      <c r="O97" s="297"/>
      <c r="P97" s="297"/>
      <c r="Q97" s="297"/>
      <c r="R97" s="297"/>
      <c r="S97" s="297"/>
      <c r="T97" s="297"/>
      <c r="U97" s="297"/>
      <c r="V97" s="297"/>
      <c r="W97" s="297"/>
      <c r="X97" s="290"/>
      <c r="Y97" s="297"/>
      <c r="Z97" s="297"/>
      <c r="AA97" s="297"/>
      <c r="AB97" s="297"/>
      <c r="AC97" s="297"/>
      <c r="AD97" s="297"/>
      <c r="AE97" s="297"/>
      <c r="AF97" s="297"/>
      <c r="AG97" s="297"/>
      <c r="AH97" s="297"/>
      <c r="AI97" s="297"/>
      <c r="AJ97" s="297"/>
      <c r="AK97" s="297"/>
      <c r="AL97" s="297"/>
      <c r="AM97" s="297"/>
      <c r="AN97" s="297"/>
      <c r="AO97" s="297"/>
      <c r="AP97" s="297"/>
      <c r="AQ97" s="297"/>
      <c r="AR97" s="297"/>
      <c r="AS97" s="3"/>
      <c r="AT97" s="299"/>
      <c r="AU97" s="124"/>
      <c r="AV97" s="124"/>
      <c r="AW97" s="124"/>
      <c r="AX97" s="124"/>
      <c r="AY97" s="124"/>
      <c r="AZ97" s="124"/>
      <c r="BA97" s="63"/>
      <c r="BB97" s="63"/>
      <c r="BC97" s="63"/>
      <c r="BD97" s="124"/>
      <c r="BE97" s="124"/>
      <c r="BF97" s="124"/>
      <c r="BG97" s="124"/>
      <c r="BH97" s="124"/>
      <c r="BI97" s="124"/>
      <c r="BJ97" s="124"/>
      <c r="BK97" s="124"/>
      <c r="BL97" s="124"/>
      <c r="BM97" s="124"/>
      <c r="BN97" s="124"/>
      <c r="BO97" s="124"/>
      <c r="BP97" s="124"/>
      <c r="BQ97" s="124"/>
      <c r="BR97" s="124"/>
      <c r="BS97" s="124"/>
      <c r="BT97" s="124"/>
      <c r="BU97" s="124"/>
      <c r="BV97" s="124"/>
      <c r="BW97" s="124"/>
      <c r="BX97" s="124"/>
      <c r="BY97" s="124"/>
      <c r="BZ97" s="124"/>
      <c r="CA97" s="124"/>
      <c r="CB97" s="124"/>
      <c r="CC97" s="124"/>
      <c r="CD97" s="124"/>
      <c r="CE97" s="124"/>
      <c r="CF97" s="300"/>
      <c r="CG97" s="300"/>
      <c r="CH97" s="300"/>
      <c r="CI97" s="124"/>
      <c r="CJ97" s="124"/>
      <c r="CK97" s="124"/>
      <c r="CL97" s="124"/>
      <c r="CM97" s="124"/>
      <c r="CN97" s="124"/>
      <c r="CO97" s="124"/>
      <c r="CP97" s="124"/>
      <c r="CQ97" s="124"/>
      <c r="CR97" s="124"/>
      <c r="CS97" s="124"/>
      <c r="CT97" s="124"/>
      <c r="CU97" s="124"/>
      <c r="CV97" s="124"/>
      <c r="CW97" s="124"/>
      <c r="CX97" s="124"/>
      <c r="CY97" s="124"/>
      <c r="CZ97" s="124"/>
      <c r="DA97" s="124"/>
      <c r="DB97" s="124"/>
      <c r="DC97" s="124"/>
      <c r="DD97" s="124"/>
      <c r="DE97" s="124"/>
      <c r="DF97" s="124"/>
      <c r="DG97" s="124"/>
      <c r="DH97" s="124"/>
      <c r="DI97" s="124"/>
      <c r="DJ97" s="124"/>
      <c r="DK97" s="2"/>
      <c r="DL97" s="2"/>
      <c r="DM97" s="2"/>
      <c r="DN97" s="2"/>
      <c r="DO97" s="2"/>
      <c r="DP97" s="2"/>
    </row>
    <row x14ac:dyDescent="0.25" r="98" customHeight="1" ht="13.5">
      <c r="A98" s="2"/>
      <c r="B98" s="3"/>
      <c r="C98" s="2"/>
      <c r="D98" s="241" t="s">
        <v>468</v>
      </c>
      <c r="E98" s="297"/>
      <c r="F98" s="297"/>
      <c r="G98" s="297"/>
      <c r="H98" s="297"/>
      <c r="I98" s="242" t="s">
        <v>470</v>
      </c>
      <c r="J98" s="297"/>
      <c r="K98" s="297"/>
      <c r="L98" s="297"/>
      <c r="M98" s="297"/>
      <c r="N98" s="297"/>
      <c r="O98" s="297"/>
      <c r="P98" s="297"/>
      <c r="Q98" s="297"/>
      <c r="R98" s="297"/>
      <c r="S98" s="297"/>
      <c r="T98" s="297"/>
      <c r="U98" s="297"/>
      <c r="V98" s="297"/>
      <c r="W98" s="297"/>
      <c r="X98" s="290"/>
      <c r="Y98" s="297"/>
      <c r="Z98" s="297"/>
      <c r="AA98" s="297"/>
      <c r="AB98" s="297"/>
      <c r="AC98" s="297"/>
      <c r="AD98" s="297"/>
      <c r="AE98" s="297"/>
      <c r="AF98" s="297"/>
      <c r="AG98" s="297"/>
      <c r="AH98" s="297"/>
      <c r="AI98" s="297"/>
      <c r="AJ98" s="297"/>
      <c r="AK98" s="297"/>
      <c r="AL98" s="297"/>
      <c r="AM98" s="297"/>
      <c r="AN98" s="297"/>
      <c r="AO98" s="297"/>
      <c r="AP98" s="297"/>
      <c r="AQ98" s="297"/>
      <c r="AR98" s="297"/>
      <c r="AS98" s="3"/>
      <c r="AT98" s="299"/>
      <c r="AU98" s="124"/>
      <c r="AV98" s="124"/>
      <c r="AW98" s="124"/>
      <c r="AX98" s="124"/>
      <c r="AY98" s="124"/>
      <c r="AZ98" s="124"/>
      <c r="BA98" s="63"/>
      <c r="BB98" s="63"/>
      <c r="BC98" s="63"/>
      <c r="BD98" s="124"/>
      <c r="BE98" s="124"/>
      <c r="BF98" s="124"/>
      <c r="BG98" s="124"/>
      <c r="BH98" s="124"/>
      <c r="BI98" s="124"/>
      <c r="BJ98" s="124"/>
      <c r="BK98" s="124"/>
      <c r="BL98" s="124"/>
      <c r="BM98" s="124"/>
      <c r="BN98" s="124"/>
      <c r="BO98" s="124"/>
      <c r="BP98" s="124"/>
      <c r="BQ98" s="124"/>
      <c r="BR98" s="124"/>
      <c r="BS98" s="124"/>
      <c r="BT98" s="124"/>
      <c r="BU98" s="124"/>
      <c r="BV98" s="124"/>
      <c r="BW98" s="124"/>
      <c r="BX98" s="124"/>
      <c r="BY98" s="124"/>
      <c r="BZ98" s="124"/>
      <c r="CA98" s="124"/>
      <c r="CB98" s="124"/>
      <c r="CC98" s="124"/>
      <c r="CD98" s="124"/>
      <c r="CE98" s="124"/>
      <c r="CF98" s="300"/>
      <c r="CG98" s="300"/>
      <c r="CH98" s="300"/>
      <c r="CI98" s="124"/>
      <c r="CJ98" s="124"/>
      <c r="CK98" s="124"/>
      <c r="CL98" s="124"/>
      <c r="CM98" s="124"/>
      <c r="CN98" s="124"/>
      <c r="CO98" s="124"/>
      <c r="CP98" s="124"/>
      <c r="CQ98" s="124"/>
      <c r="CR98" s="124"/>
      <c r="CS98" s="124"/>
      <c r="CT98" s="124"/>
      <c r="CU98" s="124"/>
      <c r="CV98" s="124"/>
      <c r="CW98" s="124"/>
      <c r="CX98" s="124"/>
      <c r="CY98" s="124"/>
      <c r="CZ98" s="124"/>
      <c r="DA98" s="124"/>
      <c r="DB98" s="124"/>
      <c r="DC98" s="124"/>
      <c r="DD98" s="124"/>
      <c r="DE98" s="124"/>
      <c r="DF98" s="124"/>
      <c r="DG98" s="124"/>
      <c r="DH98" s="124"/>
      <c r="DI98" s="124"/>
      <c r="DJ98" s="124"/>
      <c r="DK98" s="2"/>
      <c r="DL98" s="2"/>
      <c r="DM98" s="2"/>
      <c r="DN98" s="2"/>
      <c r="DO98" s="2"/>
      <c r="DP98" s="2"/>
    </row>
    <row x14ac:dyDescent="0.25" r="99" customHeight="1" ht="13.5">
      <c r="A99" s="2"/>
      <c r="B99" s="3"/>
      <c r="C99" s="2"/>
      <c r="D99" s="246" t="s">
        <v>445</v>
      </c>
      <c r="E99" s="257">
        <v>2023</v>
      </c>
      <c r="F99" s="257">
        <v>2024</v>
      </c>
      <c r="G99" s="257">
        <v>2025</v>
      </c>
      <c r="H99" s="297"/>
      <c r="I99" s="280" t="s">
        <v>445</v>
      </c>
      <c r="J99" s="257">
        <v>2023</v>
      </c>
      <c r="K99" s="257">
        <v>2024</v>
      </c>
      <c r="L99" s="257">
        <v>2025</v>
      </c>
      <c r="M99" s="297"/>
      <c r="N99" s="297"/>
      <c r="O99" s="297"/>
      <c r="P99" s="297"/>
      <c r="Q99" s="297"/>
      <c r="R99" s="297"/>
      <c r="S99" s="297"/>
      <c r="T99" s="297"/>
      <c r="U99" s="297"/>
      <c r="V99" s="297"/>
      <c r="W99" s="297"/>
      <c r="X99" s="290"/>
      <c r="Y99" s="297"/>
      <c r="Z99" s="297"/>
      <c r="AA99" s="297"/>
      <c r="AB99" s="297"/>
      <c r="AC99" s="297"/>
      <c r="AD99" s="297"/>
      <c r="AE99" s="297"/>
      <c r="AF99" s="297"/>
      <c r="AG99" s="297"/>
      <c r="AH99" s="297"/>
      <c r="AI99" s="297"/>
      <c r="AJ99" s="297"/>
      <c r="AK99" s="297"/>
      <c r="AL99" s="297"/>
      <c r="AM99" s="297"/>
      <c r="AN99" s="297"/>
      <c r="AO99" s="297"/>
      <c r="AP99" s="297"/>
      <c r="AQ99" s="297"/>
      <c r="AR99" s="297"/>
      <c r="AS99" s="3"/>
      <c r="AT99" s="299"/>
      <c r="AU99" s="124"/>
      <c r="AV99" s="124"/>
      <c r="AW99" s="124"/>
      <c r="AX99" s="124"/>
      <c r="AY99" s="124"/>
      <c r="AZ99" s="124"/>
      <c r="BA99" s="63"/>
      <c r="BB99" s="63"/>
      <c r="BC99" s="63"/>
      <c r="BD99" s="124"/>
      <c r="BE99" s="124"/>
      <c r="BF99" s="124"/>
      <c r="BG99" s="124"/>
      <c r="BH99" s="124"/>
      <c r="BI99" s="124"/>
      <c r="BJ99" s="124"/>
      <c r="BK99" s="124"/>
      <c r="BL99" s="124"/>
      <c r="BM99" s="124"/>
      <c r="BN99" s="124"/>
      <c r="BO99" s="124"/>
      <c r="BP99" s="124"/>
      <c r="BQ99" s="124"/>
      <c r="BR99" s="124"/>
      <c r="BS99" s="124"/>
      <c r="BT99" s="124"/>
      <c r="BU99" s="124"/>
      <c r="BV99" s="124"/>
      <c r="BW99" s="124"/>
      <c r="BX99" s="124"/>
      <c r="BY99" s="124"/>
      <c r="BZ99" s="124"/>
      <c r="CA99" s="124"/>
      <c r="CB99" s="124"/>
      <c r="CC99" s="124"/>
      <c r="CD99" s="124"/>
      <c r="CE99" s="124"/>
      <c r="CF99" s="300"/>
      <c r="CG99" s="300"/>
      <c r="CH99" s="300"/>
      <c r="CI99" s="124"/>
      <c r="CJ99" s="124"/>
      <c r="CK99" s="124"/>
      <c r="CL99" s="124"/>
      <c r="CM99" s="124"/>
      <c r="CN99" s="124"/>
      <c r="CO99" s="124"/>
      <c r="CP99" s="124"/>
      <c r="CQ99" s="124"/>
      <c r="CR99" s="124"/>
      <c r="CS99" s="124"/>
      <c r="CT99" s="124"/>
      <c r="CU99" s="124"/>
      <c r="CV99" s="124"/>
      <c r="CW99" s="124"/>
      <c r="CX99" s="124"/>
      <c r="CY99" s="124"/>
      <c r="CZ99" s="124"/>
      <c r="DA99" s="124"/>
      <c r="DB99" s="124"/>
      <c r="DC99" s="124"/>
      <c r="DD99" s="124"/>
      <c r="DE99" s="124"/>
      <c r="DF99" s="124"/>
      <c r="DG99" s="124"/>
      <c r="DH99" s="124"/>
      <c r="DI99" s="124"/>
      <c r="DJ99" s="124"/>
      <c r="DK99" s="2"/>
      <c r="DL99" s="2"/>
      <c r="DM99" s="2"/>
      <c r="DN99" s="2"/>
      <c r="DO99" s="2"/>
      <c r="DP99" s="2"/>
    </row>
    <row x14ac:dyDescent="0.25" r="100" customHeight="1" ht="13.5">
      <c r="A100" s="2"/>
      <c r="B100" s="3"/>
      <c r="C100" s="2"/>
      <c r="D100" s="118" t="s">
        <v>25</v>
      </c>
      <c r="E100" s="293">
        <f>N29</f>
      </c>
      <c r="F100" s="293">
        <f>O29</f>
      </c>
      <c r="G100" s="293">
        <f>P29</f>
      </c>
      <c r="H100" s="297"/>
      <c r="I100" s="212" t="s">
        <v>25</v>
      </c>
      <c r="J100" s="293">
        <f>E100/$E$12</f>
      </c>
      <c r="K100" s="293">
        <f>F100/$E$12</f>
      </c>
      <c r="L100" s="293">
        <f>G100/$E$12</f>
      </c>
      <c r="M100" s="297"/>
      <c r="N100" s="297"/>
      <c r="O100" s="297"/>
      <c r="P100" s="297"/>
      <c r="Q100" s="297"/>
      <c r="R100" s="297"/>
      <c r="S100" s="297"/>
      <c r="T100" s="297"/>
      <c r="U100" s="297"/>
      <c r="V100" s="297"/>
      <c r="W100" s="297"/>
      <c r="X100" s="290"/>
      <c r="Y100" s="297"/>
      <c r="Z100" s="297"/>
      <c r="AA100" s="297"/>
      <c r="AB100" s="297"/>
      <c r="AC100" s="297"/>
      <c r="AD100" s="297"/>
      <c r="AE100" s="297"/>
      <c r="AF100" s="297"/>
      <c r="AG100" s="297"/>
      <c r="AH100" s="297"/>
      <c r="AI100" s="297"/>
      <c r="AJ100" s="297"/>
      <c r="AK100" s="297"/>
      <c r="AL100" s="297"/>
      <c r="AM100" s="297"/>
      <c r="AN100" s="297"/>
      <c r="AO100" s="297"/>
      <c r="AP100" s="297"/>
      <c r="AQ100" s="297"/>
      <c r="AR100" s="297"/>
      <c r="AS100" s="3"/>
      <c r="AT100" s="299"/>
      <c r="AU100" s="124"/>
      <c r="AV100" s="124"/>
      <c r="AW100" s="124"/>
      <c r="AX100" s="124"/>
      <c r="AY100" s="124"/>
      <c r="AZ100" s="124"/>
      <c r="BA100" s="63"/>
      <c r="BB100" s="63"/>
      <c r="BC100" s="63"/>
      <c r="BD100" s="124"/>
      <c r="BE100" s="124"/>
      <c r="BF100" s="124"/>
      <c r="BG100" s="124"/>
      <c r="BH100" s="124"/>
      <c r="BI100" s="124"/>
      <c r="BJ100" s="124"/>
      <c r="BK100" s="124"/>
      <c r="BL100" s="124"/>
      <c r="BM100" s="124"/>
      <c r="BN100" s="124"/>
      <c r="BO100" s="124"/>
      <c r="BP100" s="124"/>
      <c r="BQ100" s="124"/>
      <c r="BR100" s="124"/>
      <c r="BS100" s="124"/>
      <c r="BT100" s="124"/>
      <c r="BU100" s="124"/>
      <c r="BV100" s="124"/>
      <c r="BW100" s="124"/>
      <c r="BX100" s="124"/>
      <c r="BY100" s="124"/>
      <c r="BZ100" s="124"/>
      <c r="CA100" s="124"/>
      <c r="CB100" s="124"/>
      <c r="CC100" s="124"/>
      <c r="CD100" s="124"/>
      <c r="CE100" s="124"/>
      <c r="CF100" s="300"/>
      <c r="CG100" s="300"/>
      <c r="CH100" s="300"/>
      <c r="CI100" s="124"/>
      <c r="CJ100" s="124"/>
      <c r="CK100" s="124"/>
      <c r="CL100" s="124"/>
      <c r="CM100" s="124"/>
      <c r="CN100" s="124"/>
      <c r="CO100" s="124"/>
      <c r="CP100" s="124"/>
      <c r="CQ100" s="124"/>
      <c r="CR100" s="124"/>
      <c r="CS100" s="124"/>
      <c r="CT100" s="124"/>
      <c r="CU100" s="124"/>
      <c r="CV100" s="124"/>
      <c r="CW100" s="124"/>
      <c r="CX100" s="124"/>
      <c r="CY100" s="124"/>
      <c r="CZ100" s="124"/>
      <c r="DA100" s="124"/>
      <c r="DB100" s="124"/>
      <c r="DC100" s="124"/>
      <c r="DD100" s="124"/>
      <c r="DE100" s="124"/>
      <c r="DF100" s="124"/>
      <c r="DG100" s="124"/>
      <c r="DH100" s="124"/>
      <c r="DI100" s="124"/>
      <c r="DJ100" s="124"/>
      <c r="DK100" s="2"/>
      <c r="DL100" s="2"/>
      <c r="DM100" s="2"/>
      <c r="DN100" s="2"/>
      <c r="DO100" s="2"/>
      <c r="DP100" s="2"/>
    </row>
    <row x14ac:dyDescent="0.25" r="101" customHeight="1" ht="13.5">
      <c r="A101" s="2"/>
      <c r="B101" s="3"/>
      <c r="C101" s="2"/>
      <c r="D101" s="118" t="s">
        <v>476</v>
      </c>
      <c r="E101" s="293">
        <f>H29</f>
      </c>
      <c r="F101" s="293">
        <f>I29</f>
      </c>
      <c r="G101" s="293">
        <f>J29</f>
      </c>
      <c r="H101" s="297"/>
      <c r="I101" s="212" t="s">
        <v>476</v>
      </c>
      <c r="J101" s="293">
        <f>E101/$E$10</f>
      </c>
      <c r="K101" s="293">
        <f>F101/$E$10</f>
      </c>
      <c r="L101" s="293">
        <f>G101/$E$10</f>
      </c>
      <c r="M101" s="297"/>
      <c r="N101" s="297"/>
      <c r="O101" s="297"/>
      <c r="P101" s="297"/>
      <c r="Q101" s="297"/>
      <c r="R101" s="297"/>
      <c r="S101" s="297"/>
      <c r="T101" s="297"/>
      <c r="U101" s="297"/>
      <c r="V101" s="297"/>
      <c r="W101" s="297"/>
      <c r="X101" s="290"/>
      <c r="Y101" s="297"/>
      <c r="Z101" s="297"/>
      <c r="AA101" s="297"/>
      <c r="AB101" s="297"/>
      <c r="AC101" s="297"/>
      <c r="AD101" s="297"/>
      <c r="AE101" s="297"/>
      <c r="AF101" s="297"/>
      <c r="AG101" s="297"/>
      <c r="AH101" s="297"/>
      <c r="AI101" s="297"/>
      <c r="AJ101" s="297"/>
      <c r="AK101" s="297"/>
      <c r="AL101" s="297"/>
      <c r="AM101" s="297"/>
      <c r="AN101" s="297"/>
      <c r="AO101" s="297"/>
      <c r="AP101" s="297"/>
      <c r="AQ101" s="297"/>
      <c r="AR101" s="297"/>
      <c r="AS101" s="3"/>
      <c r="AT101" s="299"/>
      <c r="AU101" s="124"/>
      <c r="AV101" s="124"/>
      <c r="AW101" s="124"/>
      <c r="AX101" s="124"/>
      <c r="AY101" s="124"/>
      <c r="AZ101" s="124"/>
      <c r="BA101" s="63"/>
      <c r="BB101" s="63"/>
      <c r="BC101" s="63"/>
      <c r="BD101" s="124"/>
      <c r="BE101" s="124"/>
      <c r="BF101" s="124"/>
      <c r="BG101" s="124"/>
      <c r="BH101" s="124"/>
      <c r="BI101" s="124"/>
      <c r="BJ101" s="124"/>
      <c r="BK101" s="124"/>
      <c r="BL101" s="124"/>
      <c r="BM101" s="124"/>
      <c r="BN101" s="124"/>
      <c r="BO101" s="124"/>
      <c r="BP101" s="124"/>
      <c r="BQ101" s="124"/>
      <c r="BR101" s="124"/>
      <c r="BS101" s="124"/>
      <c r="BT101" s="124"/>
      <c r="BU101" s="124"/>
      <c r="BV101" s="124"/>
      <c r="BW101" s="124"/>
      <c r="BX101" s="124"/>
      <c r="BY101" s="124"/>
      <c r="BZ101" s="124"/>
      <c r="CA101" s="124"/>
      <c r="CB101" s="124"/>
      <c r="CC101" s="124"/>
      <c r="CD101" s="124"/>
      <c r="CE101" s="124"/>
      <c r="CF101" s="300"/>
      <c r="CG101" s="300"/>
      <c r="CH101" s="300"/>
      <c r="CI101" s="124"/>
      <c r="CJ101" s="124"/>
      <c r="CK101" s="124"/>
      <c r="CL101" s="124"/>
      <c r="CM101" s="124"/>
      <c r="CN101" s="124"/>
      <c r="CO101" s="124"/>
      <c r="CP101" s="124"/>
      <c r="CQ101" s="124"/>
      <c r="CR101" s="124"/>
      <c r="CS101" s="124"/>
      <c r="CT101" s="124"/>
      <c r="CU101" s="124"/>
      <c r="CV101" s="124"/>
      <c r="CW101" s="124"/>
      <c r="CX101" s="124"/>
      <c r="CY101" s="124"/>
      <c r="CZ101" s="124"/>
      <c r="DA101" s="124"/>
      <c r="DB101" s="124"/>
      <c r="DC101" s="124"/>
      <c r="DD101" s="124"/>
      <c r="DE101" s="124"/>
      <c r="DF101" s="124"/>
      <c r="DG101" s="124"/>
      <c r="DH101" s="124"/>
      <c r="DI101" s="124"/>
      <c r="DJ101" s="124"/>
      <c r="DK101" s="2"/>
      <c r="DL101" s="2"/>
      <c r="DM101" s="2"/>
      <c r="DN101" s="2"/>
      <c r="DO101" s="2"/>
      <c r="DP101" s="2"/>
    </row>
    <row x14ac:dyDescent="0.25" r="102" customHeight="1" ht="13.5">
      <c r="A102" s="2"/>
      <c r="B102" s="3"/>
      <c r="C102" s="2"/>
      <c r="D102" s="118" t="s">
        <v>477</v>
      </c>
      <c r="E102" s="293">
        <f>K29</f>
      </c>
      <c r="F102" s="293">
        <f>L29</f>
      </c>
      <c r="G102" s="293">
        <f>M29</f>
      </c>
      <c r="H102" s="297"/>
      <c r="I102" s="212" t="s">
        <v>477</v>
      </c>
      <c r="J102" s="293">
        <f>E102/$E$11</f>
      </c>
      <c r="K102" s="293">
        <f>F102/$E$11</f>
      </c>
      <c r="L102" s="293">
        <f>G102/$E$11</f>
      </c>
      <c r="M102" s="297"/>
      <c r="N102" s="297"/>
      <c r="O102" s="297"/>
      <c r="P102" s="297"/>
      <c r="Q102" s="297"/>
      <c r="R102" s="297"/>
      <c r="S102" s="297"/>
      <c r="T102" s="297"/>
      <c r="U102" s="297"/>
      <c r="V102" s="297"/>
      <c r="W102" s="297"/>
      <c r="X102" s="290"/>
      <c r="Y102" s="297"/>
      <c r="Z102" s="297"/>
      <c r="AA102" s="297"/>
      <c r="AB102" s="297"/>
      <c r="AC102" s="297"/>
      <c r="AD102" s="297"/>
      <c r="AE102" s="297"/>
      <c r="AF102" s="297"/>
      <c r="AG102" s="297"/>
      <c r="AH102" s="297"/>
      <c r="AI102" s="297"/>
      <c r="AJ102" s="297"/>
      <c r="AK102" s="297"/>
      <c r="AL102" s="297"/>
      <c r="AM102" s="297"/>
      <c r="AN102" s="297"/>
      <c r="AO102" s="297"/>
      <c r="AP102" s="297"/>
      <c r="AQ102" s="297"/>
      <c r="AR102" s="297"/>
      <c r="AS102" s="3"/>
      <c r="AT102" s="299"/>
      <c r="AU102" s="124"/>
      <c r="AV102" s="124"/>
      <c r="AW102" s="124"/>
      <c r="AX102" s="124"/>
      <c r="AY102" s="124"/>
      <c r="AZ102" s="124"/>
      <c r="BA102" s="63"/>
      <c r="BB102" s="63"/>
      <c r="BC102" s="63"/>
      <c r="BD102" s="124"/>
      <c r="BE102" s="124"/>
      <c r="BF102" s="124"/>
      <c r="BG102" s="124"/>
      <c r="BH102" s="124"/>
      <c r="BI102" s="124"/>
      <c r="BJ102" s="124"/>
      <c r="BK102" s="124"/>
      <c r="BL102" s="124"/>
      <c r="BM102" s="124"/>
      <c r="BN102" s="124"/>
      <c r="BO102" s="124"/>
      <c r="BP102" s="124"/>
      <c r="BQ102" s="124"/>
      <c r="BR102" s="124"/>
      <c r="BS102" s="124"/>
      <c r="BT102" s="124"/>
      <c r="BU102" s="124"/>
      <c r="BV102" s="124"/>
      <c r="BW102" s="124"/>
      <c r="BX102" s="124"/>
      <c r="BY102" s="124"/>
      <c r="BZ102" s="124"/>
      <c r="CA102" s="124"/>
      <c r="CB102" s="124"/>
      <c r="CC102" s="124"/>
      <c r="CD102" s="124"/>
      <c r="CE102" s="124"/>
      <c r="CF102" s="300"/>
      <c r="CG102" s="300"/>
      <c r="CH102" s="300"/>
      <c r="CI102" s="124"/>
      <c r="CJ102" s="124"/>
      <c r="CK102" s="124"/>
      <c r="CL102" s="124"/>
      <c r="CM102" s="124"/>
      <c r="CN102" s="124"/>
      <c r="CO102" s="124"/>
      <c r="CP102" s="124"/>
      <c r="CQ102" s="124"/>
      <c r="CR102" s="124"/>
      <c r="CS102" s="124"/>
      <c r="CT102" s="124"/>
      <c r="CU102" s="124"/>
      <c r="CV102" s="124"/>
      <c r="CW102" s="124"/>
      <c r="CX102" s="124"/>
      <c r="CY102" s="124"/>
      <c r="CZ102" s="124"/>
      <c r="DA102" s="124"/>
      <c r="DB102" s="124"/>
      <c r="DC102" s="124"/>
      <c r="DD102" s="124"/>
      <c r="DE102" s="124"/>
      <c r="DF102" s="124"/>
      <c r="DG102" s="124"/>
      <c r="DH102" s="124"/>
      <c r="DI102" s="124"/>
      <c r="DJ102" s="124"/>
      <c r="DK102" s="2"/>
      <c r="DL102" s="2"/>
      <c r="DM102" s="2"/>
      <c r="DN102" s="2"/>
      <c r="DO102" s="2"/>
      <c r="DP102" s="2"/>
    </row>
    <row x14ac:dyDescent="0.25" r="103" customHeight="1" ht="13.5">
      <c r="A103" s="2"/>
      <c r="B103" s="3"/>
      <c r="C103" s="2"/>
      <c r="D103" s="118" t="s">
        <v>478</v>
      </c>
      <c r="E103" s="293">
        <f>Q29</f>
      </c>
      <c r="F103" s="293">
        <f>R29</f>
      </c>
      <c r="G103" s="293">
        <f>S29</f>
      </c>
      <c r="H103" s="297"/>
      <c r="I103" s="212" t="s">
        <v>478</v>
      </c>
      <c r="J103" s="293">
        <f>E103/$E$13</f>
      </c>
      <c r="K103" s="293">
        <f>F103/$E$13</f>
      </c>
      <c r="L103" s="293">
        <f>G103/$E$13</f>
      </c>
      <c r="M103" s="297"/>
      <c r="N103" s="297"/>
      <c r="O103" s="297"/>
      <c r="P103" s="297"/>
      <c r="Q103" s="297"/>
      <c r="R103" s="297"/>
      <c r="S103" s="297"/>
      <c r="T103" s="297"/>
      <c r="U103" s="297"/>
      <c r="V103" s="297"/>
      <c r="W103" s="297"/>
      <c r="X103" s="290"/>
      <c r="Y103" s="297"/>
      <c r="Z103" s="297"/>
      <c r="AA103" s="297"/>
      <c r="AB103" s="297"/>
      <c r="AC103" s="297"/>
      <c r="AD103" s="297"/>
      <c r="AE103" s="297"/>
      <c r="AF103" s="297"/>
      <c r="AG103" s="297"/>
      <c r="AH103" s="297"/>
      <c r="AI103" s="297"/>
      <c r="AJ103" s="297"/>
      <c r="AK103" s="297"/>
      <c r="AL103" s="297"/>
      <c r="AM103" s="297"/>
      <c r="AN103" s="297"/>
      <c r="AO103" s="297"/>
      <c r="AP103" s="297"/>
      <c r="AQ103" s="297"/>
      <c r="AR103" s="297"/>
      <c r="AS103" s="3"/>
      <c r="AT103" s="299"/>
      <c r="AU103" s="124"/>
      <c r="AV103" s="124"/>
      <c r="AW103" s="124"/>
      <c r="AX103" s="124"/>
      <c r="AY103" s="124"/>
      <c r="AZ103" s="124"/>
      <c r="BA103" s="63"/>
      <c r="BB103" s="63"/>
      <c r="BC103" s="63"/>
      <c r="BD103" s="124"/>
      <c r="BE103" s="124"/>
      <c r="BF103" s="124"/>
      <c r="BG103" s="124"/>
      <c r="BH103" s="124"/>
      <c r="BI103" s="124"/>
      <c r="BJ103" s="124"/>
      <c r="BK103" s="124"/>
      <c r="BL103" s="124"/>
      <c r="BM103" s="124"/>
      <c r="BN103" s="124"/>
      <c r="BO103" s="124"/>
      <c r="BP103" s="124"/>
      <c r="BQ103" s="124"/>
      <c r="BR103" s="124"/>
      <c r="BS103" s="124"/>
      <c r="BT103" s="124"/>
      <c r="BU103" s="124"/>
      <c r="BV103" s="124"/>
      <c r="BW103" s="124"/>
      <c r="BX103" s="124"/>
      <c r="BY103" s="124"/>
      <c r="BZ103" s="124"/>
      <c r="CA103" s="124"/>
      <c r="CB103" s="124"/>
      <c r="CC103" s="124"/>
      <c r="CD103" s="124"/>
      <c r="CE103" s="124"/>
      <c r="CF103" s="300"/>
      <c r="CG103" s="300"/>
      <c r="CH103" s="300"/>
      <c r="CI103" s="124"/>
      <c r="CJ103" s="124"/>
      <c r="CK103" s="124"/>
      <c r="CL103" s="124"/>
      <c r="CM103" s="124"/>
      <c r="CN103" s="124"/>
      <c r="CO103" s="124"/>
      <c r="CP103" s="124"/>
      <c r="CQ103" s="124"/>
      <c r="CR103" s="124"/>
      <c r="CS103" s="124"/>
      <c r="CT103" s="124"/>
      <c r="CU103" s="124"/>
      <c r="CV103" s="124"/>
      <c r="CW103" s="124"/>
      <c r="CX103" s="124"/>
      <c r="CY103" s="124"/>
      <c r="CZ103" s="124"/>
      <c r="DA103" s="124"/>
      <c r="DB103" s="124"/>
      <c r="DC103" s="124"/>
      <c r="DD103" s="124"/>
      <c r="DE103" s="124"/>
      <c r="DF103" s="124"/>
      <c r="DG103" s="124"/>
      <c r="DH103" s="124"/>
      <c r="DI103" s="124"/>
      <c r="DJ103" s="124"/>
      <c r="DK103" s="2"/>
      <c r="DL103" s="2"/>
      <c r="DM103" s="2"/>
      <c r="DN103" s="2"/>
      <c r="DO103" s="2"/>
      <c r="DP103" s="2"/>
    </row>
    <row x14ac:dyDescent="0.25" r="104" customHeight="1" ht="13.5">
      <c r="A104" s="2"/>
      <c r="B104" s="3"/>
      <c r="C104" s="2"/>
      <c r="D104" s="118" t="s">
        <v>29</v>
      </c>
      <c r="E104" s="293">
        <f>T29</f>
      </c>
      <c r="F104" s="293">
        <f>U29</f>
      </c>
      <c r="G104" s="293">
        <f>V29</f>
      </c>
      <c r="H104" s="297"/>
      <c r="I104" s="212" t="s">
        <v>29</v>
      </c>
      <c r="J104" s="293">
        <f>E104/$E$14</f>
      </c>
      <c r="K104" s="293">
        <f>F104/$E$14</f>
      </c>
      <c r="L104" s="293">
        <f>G104/$E$14</f>
      </c>
      <c r="M104" s="297"/>
      <c r="N104" s="297"/>
      <c r="O104" s="297"/>
      <c r="P104" s="297"/>
      <c r="Q104" s="297"/>
      <c r="R104" s="297"/>
      <c r="S104" s="297"/>
      <c r="T104" s="297"/>
      <c r="U104" s="297"/>
      <c r="V104" s="297"/>
      <c r="W104" s="297"/>
      <c r="X104" s="290"/>
      <c r="Y104" s="297"/>
      <c r="Z104" s="297"/>
      <c r="AA104" s="297"/>
      <c r="AB104" s="297"/>
      <c r="AC104" s="297"/>
      <c r="AD104" s="297"/>
      <c r="AE104" s="297"/>
      <c r="AF104" s="297"/>
      <c r="AG104" s="297"/>
      <c r="AH104" s="297"/>
      <c r="AI104" s="297"/>
      <c r="AJ104" s="297"/>
      <c r="AK104" s="297"/>
      <c r="AL104" s="297"/>
      <c r="AM104" s="297"/>
      <c r="AN104" s="297"/>
      <c r="AO104" s="297"/>
      <c r="AP104" s="297"/>
      <c r="AQ104" s="297"/>
      <c r="AR104" s="297"/>
      <c r="AS104" s="3"/>
      <c r="AT104" s="299"/>
      <c r="AU104" s="124"/>
      <c r="AV104" s="124"/>
      <c r="AW104" s="124"/>
      <c r="AX104" s="124"/>
      <c r="AY104" s="124"/>
      <c r="AZ104" s="124"/>
      <c r="BA104" s="63"/>
      <c r="BB104" s="63"/>
      <c r="BC104" s="63"/>
      <c r="BD104" s="124"/>
      <c r="BE104" s="124"/>
      <c r="BF104" s="124"/>
      <c r="BG104" s="124"/>
      <c r="BH104" s="124"/>
      <c r="BI104" s="124"/>
      <c r="BJ104" s="124"/>
      <c r="BK104" s="124"/>
      <c r="BL104" s="124"/>
      <c r="BM104" s="124"/>
      <c r="BN104" s="124"/>
      <c r="BO104" s="124"/>
      <c r="BP104" s="124"/>
      <c r="BQ104" s="124"/>
      <c r="BR104" s="124"/>
      <c r="BS104" s="124"/>
      <c r="BT104" s="124"/>
      <c r="BU104" s="124"/>
      <c r="BV104" s="124"/>
      <c r="BW104" s="124"/>
      <c r="BX104" s="124"/>
      <c r="BY104" s="124"/>
      <c r="BZ104" s="124"/>
      <c r="CA104" s="124"/>
      <c r="CB104" s="124"/>
      <c r="CC104" s="124"/>
      <c r="CD104" s="124"/>
      <c r="CE104" s="124"/>
      <c r="CF104" s="300"/>
      <c r="CG104" s="300"/>
      <c r="CH104" s="300"/>
      <c r="CI104" s="124"/>
      <c r="CJ104" s="124"/>
      <c r="CK104" s="124"/>
      <c r="CL104" s="124"/>
      <c r="CM104" s="124"/>
      <c r="CN104" s="124"/>
      <c r="CO104" s="124"/>
      <c r="CP104" s="124"/>
      <c r="CQ104" s="124"/>
      <c r="CR104" s="124"/>
      <c r="CS104" s="124"/>
      <c r="CT104" s="124"/>
      <c r="CU104" s="124"/>
      <c r="CV104" s="124"/>
      <c r="CW104" s="124"/>
      <c r="CX104" s="124"/>
      <c r="CY104" s="124"/>
      <c r="CZ104" s="124"/>
      <c r="DA104" s="124"/>
      <c r="DB104" s="124"/>
      <c r="DC104" s="124"/>
      <c r="DD104" s="124"/>
      <c r="DE104" s="124"/>
      <c r="DF104" s="124"/>
      <c r="DG104" s="124"/>
      <c r="DH104" s="124"/>
      <c r="DI104" s="124"/>
      <c r="DJ104" s="124"/>
      <c r="DK104" s="2"/>
      <c r="DL104" s="2"/>
      <c r="DM104" s="2"/>
      <c r="DN104" s="2"/>
      <c r="DO104" s="2"/>
      <c r="DP104" s="2"/>
    </row>
    <row x14ac:dyDescent="0.25" r="105" customHeight="1" ht="13.5">
      <c r="A105" s="2"/>
      <c r="B105" s="3"/>
      <c r="C105" s="2"/>
      <c r="D105" s="295" t="s">
        <v>336</v>
      </c>
      <c r="E105" s="296">
        <f>SUM(E100:E104)</f>
      </c>
      <c r="F105" s="296">
        <f>SUM(F100:F104)</f>
      </c>
      <c r="G105" s="296">
        <f>SUM(G100:G104)</f>
      </c>
      <c r="H105" s="297"/>
      <c r="I105" s="298" t="s">
        <v>336</v>
      </c>
      <c r="J105" s="296">
        <f>SUM(J100:J104)</f>
      </c>
      <c r="K105" s="296">
        <f>SUM(K100:K104)</f>
      </c>
      <c r="L105" s="296">
        <f>SUM(L100:L104)</f>
      </c>
      <c r="M105" s="297"/>
      <c r="N105" s="297"/>
      <c r="O105" s="297"/>
      <c r="P105" s="297"/>
      <c r="Q105" s="297"/>
      <c r="R105" s="297"/>
      <c r="S105" s="297"/>
      <c r="T105" s="297"/>
      <c r="U105" s="297"/>
      <c r="V105" s="297"/>
      <c r="W105" s="297"/>
      <c r="X105" s="290"/>
      <c r="Y105" s="297"/>
      <c r="Z105" s="297"/>
      <c r="AA105" s="297"/>
      <c r="AB105" s="297"/>
      <c r="AC105" s="297"/>
      <c r="AD105" s="297"/>
      <c r="AE105" s="297"/>
      <c r="AF105" s="297"/>
      <c r="AG105" s="297"/>
      <c r="AH105" s="297"/>
      <c r="AI105" s="297"/>
      <c r="AJ105" s="297"/>
      <c r="AK105" s="297"/>
      <c r="AL105" s="297"/>
      <c r="AM105" s="297"/>
      <c r="AN105" s="297"/>
      <c r="AO105" s="297"/>
      <c r="AP105" s="297"/>
      <c r="AQ105" s="297"/>
      <c r="AR105" s="297"/>
      <c r="AS105" s="3"/>
      <c r="AT105" s="299"/>
      <c r="AU105" s="124"/>
      <c r="AV105" s="124"/>
      <c r="AW105" s="124"/>
      <c r="AX105" s="124"/>
      <c r="AY105" s="124"/>
      <c r="AZ105" s="124"/>
      <c r="BA105" s="63"/>
      <c r="BB105" s="63"/>
      <c r="BC105" s="63"/>
      <c r="BD105" s="124"/>
      <c r="BE105" s="124"/>
      <c r="BF105" s="124"/>
      <c r="BG105" s="124"/>
      <c r="BH105" s="124"/>
      <c r="BI105" s="124"/>
      <c r="BJ105" s="124"/>
      <c r="BK105" s="124"/>
      <c r="BL105" s="124"/>
      <c r="BM105" s="124"/>
      <c r="BN105" s="124"/>
      <c r="BO105" s="124"/>
      <c r="BP105" s="124"/>
      <c r="BQ105" s="124"/>
      <c r="BR105" s="124"/>
      <c r="BS105" s="124"/>
      <c r="BT105" s="124"/>
      <c r="BU105" s="124"/>
      <c r="BV105" s="124"/>
      <c r="BW105" s="124"/>
      <c r="BX105" s="124"/>
      <c r="BY105" s="124"/>
      <c r="BZ105" s="124"/>
      <c r="CA105" s="124"/>
      <c r="CB105" s="124"/>
      <c r="CC105" s="124"/>
      <c r="CD105" s="124"/>
      <c r="CE105" s="124"/>
      <c r="CF105" s="300"/>
      <c r="CG105" s="300"/>
      <c r="CH105" s="300"/>
      <c r="CI105" s="124"/>
      <c r="CJ105" s="124"/>
      <c r="CK105" s="124"/>
      <c r="CL105" s="124"/>
      <c r="CM105" s="124"/>
      <c r="CN105" s="124"/>
      <c r="CO105" s="124"/>
      <c r="CP105" s="124"/>
      <c r="CQ105" s="124"/>
      <c r="CR105" s="124"/>
      <c r="CS105" s="124"/>
      <c r="CT105" s="124"/>
      <c r="CU105" s="124"/>
      <c r="CV105" s="124"/>
      <c r="CW105" s="124"/>
      <c r="CX105" s="124"/>
      <c r="CY105" s="124"/>
      <c r="CZ105" s="124"/>
      <c r="DA105" s="124"/>
      <c r="DB105" s="124"/>
      <c r="DC105" s="124"/>
      <c r="DD105" s="124"/>
      <c r="DE105" s="124"/>
      <c r="DF105" s="124"/>
      <c r="DG105" s="124"/>
      <c r="DH105" s="124"/>
      <c r="DI105" s="124"/>
      <c r="DJ105" s="124"/>
      <c r="DK105" s="2"/>
      <c r="DL105" s="2"/>
      <c r="DM105" s="2"/>
      <c r="DN105" s="2"/>
      <c r="DO105" s="2"/>
      <c r="DP105" s="2"/>
    </row>
    <row x14ac:dyDescent="0.25" r="106" customHeight="1" ht="13.5">
      <c r="A106" s="2"/>
      <c r="B106" s="3"/>
      <c r="C106" s="2"/>
      <c r="D106" s="118" t="s">
        <v>479</v>
      </c>
      <c r="E106" s="8">
        <f>E105-OCPMarketShares!K36</f>
      </c>
      <c r="F106" s="8">
        <f>F105-OCPMarketShares!L36</f>
      </c>
      <c r="G106" s="8">
        <f>G105-OCPMarketShares!M36</f>
      </c>
      <c r="H106" s="297"/>
      <c r="I106" s="290"/>
      <c r="J106" s="293">
        <f>J105-Y29</f>
      </c>
      <c r="K106" s="293">
        <f>K105-Z29</f>
      </c>
      <c r="L106" s="293">
        <f>L105-AA29</f>
      </c>
      <c r="M106" s="297"/>
      <c r="N106" s="297"/>
      <c r="O106" s="297"/>
      <c r="P106" s="297"/>
      <c r="Q106" s="297"/>
      <c r="R106" s="297"/>
      <c r="S106" s="297"/>
      <c r="T106" s="297"/>
      <c r="U106" s="297"/>
      <c r="V106" s="297"/>
      <c r="W106" s="297"/>
      <c r="X106" s="290"/>
      <c r="Y106" s="297"/>
      <c r="Z106" s="297"/>
      <c r="AA106" s="297"/>
      <c r="AB106" s="297"/>
      <c r="AC106" s="297"/>
      <c r="AD106" s="297"/>
      <c r="AE106" s="297"/>
      <c r="AF106" s="297"/>
      <c r="AG106" s="297"/>
      <c r="AH106" s="297"/>
      <c r="AI106" s="297"/>
      <c r="AJ106" s="297"/>
      <c r="AK106" s="297"/>
      <c r="AL106" s="297"/>
      <c r="AM106" s="297"/>
      <c r="AN106" s="297"/>
      <c r="AO106" s="297"/>
      <c r="AP106" s="297"/>
      <c r="AQ106" s="297"/>
      <c r="AR106" s="297"/>
      <c r="AS106" s="3"/>
      <c r="AT106" s="299"/>
      <c r="AU106" s="124"/>
      <c r="AV106" s="124"/>
      <c r="AW106" s="124"/>
      <c r="AX106" s="124"/>
      <c r="AY106" s="124"/>
      <c r="AZ106" s="124"/>
      <c r="BA106" s="63"/>
      <c r="BB106" s="63"/>
      <c r="BC106" s="63"/>
      <c r="BD106" s="124"/>
      <c r="BE106" s="124"/>
      <c r="BF106" s="124"/>
      <c r="BG106" s="124"/>
      <c r="BH106" s="124"/>
      <c r="BI106" s="124"/>
      <c r="BJ106" s="124"/>
      <c r="BK106" s="124"/>
      <c r="BL106" s="124"/>
      <c r="BM106" s="124"/>
      <c r="BN106" s="124"/>
      <c r="BO106" s="124"/>
      <c r="BP106" s="124"/>
      <c r="BQ106" s="124"/>
      <c r="BR106" s="124"/>
      <c r="BS106" s="124"/>
      <c r="BT106" s="124"/>
      <c r="BU106" s="124"/>
      <c r="BV106" s="124"/>
      <c r="BW106" s="124"/>
      <c r="BX106" s="124"/>
      <c r="BY106" s="124"/>
      <c r="BZ106" s="124"/>
      <c r="CA106" s="124"/>
      <c r="CB106" s="124"/>
      <c r="CC106" s="124"/>
      <c r="CD106" s="124"/>
      <c r="CE106" s="124"/>
      <c r="CF106" s="300"/>
      <c r="CG106" s="300"/>
      <c r="CH106" s="300"/>
      <c r="CI106" s="124"/>
      <c r="CJ106" s="124"/>
      <c r="CK106" s="124"/>
      <c r="CL106" s="124"/>
      <c r="CM106" s="124"/>
      <c r="CN106" s="124"/>
      <c r="CO106" s="124"/>
      <c r="CP106" s="124"/>
      <c r="CQ106" s="124"/>
      <c r="CR106" s="124"/>
      <c r="CS106" s="124"/>
      <c r="CT106" s="124"/>
      <c r="CU106" s="124"/>
      <c r="CV106" s="124"/>
      <c r="CW106" s="124"/>
      <c r="CX106" s="124"/>
      <c r="CY106" s="124"/>
      <c r="CZ106" s="124"/>
      <c r="DA106" s="124"/>
      <c r="DB106" s="124"/>
      <c r="DC106" s="124"/>
      <c r="DD106" s="124"/>
      <c r="DE106" s="124"/>
      <c r="DF106" s="124"/>
      <c r="DG106" s="124"/>
      <c r="DH106" s="124"/>
      <c r="DI106" s="124"/>
      <c r="DJ106" s="124"/>
      <c r="DK106" s="2"/>
      <c r="DL106" s="2"/>
      <c r="DM106" s="2"/>
      <c r="DN106" s="2"/>
      <c r="DO106" s="2"/>
      <c r="DP106" s="2"/>
    </row>
    <row x14ac:dyDescent="0.25" r="107" customHeight="1" ht="13.5">
      <c r="A107" s="2"/>
      <c r="B107" s="3"/>
      <c r="C107" s="2"/>
      <c r="D107" s="123" t="s">
        <v>473</v>
      </c>
      <c r="E107" s="124">
        <f>E105/ProjectedP205_Consumption!K62</f>
      </c>
      <c r="F107" s="124">
        <f>F105/ProjectedP205_Consumption!L62</f>
      </c>
      <c r="G107" s="124">
        <f>G105/ProjectedP205_Consumption!M62</f>
      </c>
      <c r="H107" s="108"/>
      <c r="I107" s="108"/>
      <c r="J107" s="108"/>
      <c r="K107" s="108"/>
      <c r="L107" s="108"/>
      <c r="M107" s="108"/>
      <c r="N107" s="108"/>
      <c r="O107" s="108"/>
      <c r="P107" s="108"/>
      <c r="Q107" s="108"/>
      <c r="R107" s="108"/>
      <c r="S107" s="108"/>
      <c r="T107" s="108"/>
      <c r="U107" s="108"/>
      <c r="V107" s="108"/>
      <c r="W107" s="108"/>
      <c r="X107" s="3"/>
      <c r="Y107" s="3"/>
      <c r="Z107" s="108"/>
      <c r="AA107" s="108"/>
      <c r="AB107" s="108"/>
      <c r="AC107" s="142"/>
      <c r="AD107" s="142"/>
      <c r="AE107" s="142"/>
      <c r="AF107" s="142"/>
      <c r="AG107" s="142"/>
      <c r="AH107" s="142"/>
      <c r="AI107" s="142"/>
      <c r="AJ107" s="142"/>
      <c r="AK107" s="142"/>
      <c r="AL107" s="142"/>
      <c r="AM107" s="142"/>
      <c r="AN107" s="124"/>
      <c r="AO107" s="142"/>
      <c r="AP107" s="142"/>
      <c r="AQ107" s="142"/>
      <c r="AR107" s="134"/>
      <c r="AS107" s="3"/>
      <c r="AT107" s="3"/>
      <c r="AU107" s="3"/>
      <c r="AV107" s="3"/>
      <c r="AW107" s="3"/>
      <c r="AX107" s="3"/>
      <c r="AY107" s="3"/>
      <c r="AZ107" s="3"/>
      <c r="BA107" s="3"/>
      <c r="BB107" s="3"/>
      <c r="BC107" s="3"/>
      <c r="BD107" s="3"/>
      <c r="BE107" s="3"/>
      <c r="BF107" s="3"/>
      <c r="BG107" s="3"/>
      <c r="BH107" s="2"/>
      <c r="BI107" s="2"/>
      <c r="BJ107" s="3"/>
      <c r="BK107" s="3"/>
      <c r="BL107" s="3"/>
      <c r="BM107" s="3"/>
      <c r="BN107" s="3"/>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row>
    <row x14ac:dyDescent="0.25" r="108" customHeight="1" ht="13.5">
      <c r="A108" s="2"/>
      <c r="B108" s="198">
        <v>4</v>
      </c>
      <c r="C108" s="2"/>
      <c r="D108" s="275" t="s">
        <v>480</v>
      </c>
      <c r="E108" s="142"/>
      <c r="F108" s="108"/>
      <c r="G108" s="108"/>
      <c r="H108" s="108"/>
      <c r="I108" s="108"/>
      <c r="J108" s="108"/>
      <c r="K108" s="108"/>
      <c r="L108" s="108"/>
      <c r="M108" s="108"/>
      <c r="N108" s="108"/>
      <c r="O108" s="108"/>
      <c r="P108" s="108"/>
      <c r="Q108" s="108"/>
      <c r="R108" s="108"/>
      <c r="S108" s="108"/>
      <c r="T108" s="108"/>
      <c r="U108" s="108"/>
      <c r="V108" s="108"/>
      <c r="W108" s="108"/>
      <c r="X108" s="3"/>
      <c r="Y108" s="3"/>
      <c r="Z108" s="108"/>
      <c r="AA108" s="108"/>
      <c r="AB108" s="108"/>
      <c r="AC108" s="142"/>
      <c r="AD108" s="142"/>
      <c r="AE108" s="142"/>
      <c r="AF108" s="142"/>
      <c r="AG108" s="142"/>
      <c r="AH108" s="142"/>
      <c r="AI108" s="142"/>
      <c r="AJ108" s="142"/>
      <c r="AK108" s="142"/>
      <c r="AL108" s="142"/>
      <c r="AM108" s="142"/>
      <c r="AN108" s="124"/>
      <c r="AO108" s="142"/>
      <c r="AP108" s="142"/>
      <c r="AQ108" s="142"/>
      <c r="AR108" s="134"/>
      <c r="AS108" s="3"/>
      <c r="AT108" s="3"/>
      <c r="AU108" s="3"/>
      <c r="AV108" s="3"/>
      <c r="AW108" s="3"/>
      <c r="AX108" s="3"/>
      <c r="AY108" s="3"/>
      <c r="AZ108" s="3"/>
      <c r="BA108" s="3"/>
      <c r="BB108" s="3"/>
      <c r="BC108" s="3"/>
      <c r="BD108" s="3"/>
      <c r="BE108" s="3"/>
      <c r="BF108" s="3"/>
      <c r="BG108" s="3"/>
      <c r="BH108" s="2"/>
      <c r="BI108" s="2"/>
      <c r="BJ108" s="3"/>
      <c r="BK108" s="3"/>
      <c r="BL108" s="3"/>
      <c r="BM108" s="3"/>
      <c r="BN108" s="3"/>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row>
    <row x14ac:dyDescent="0.25" r="109" customHeight="1" ht="13.5">
      <c r="A109" s="2"/>
      <c r="B109" s="200"/>
      <c r="C109" s="2"/>
      <c r="D109" s="276"/>
      <c r="E109" s="142"/>
      <c r="F109" s="108"/>
      <c r="G109" s="108"/>
      <c r="H109" s="108"/>
      <c r="I109" s="108"/>
      <c r="J109" s="108"/>
      <c r="K109" s="108"/>
      <c r="L109" s="108"/>
      <c r="M109" s="108"/>
      <c r="N109" s="108"/>
      <c r="O109" s="108"/>
      <c r="P109" s="108"/>
      <c r="Q109" s="108"/>
      <c r="R109" s="108"/>
      <c r="S109" s="108"/>
      <c r="T109" s="108"/>
      <c r="U109" s="108"/>
      <c r="V109" s="108"/>
      <c r="W109" s="108"/>
      <c r="X109" s="3"/>
      <c r="Y109" s="3"/>
      <c r="Z109" s="108"/>
      <c r="AA109" s="108"/>
      <c r="AB109" s="108"/>
      <c r="AC109" s="142"/>
      <c r="AD109" s="142"/>
      <c r="AE109" s="142"/>
      <c r="AF109" s="142"/>
      <c r="AG109" s="142"/>
      <c r="AH109" s="142"/>
      <c r="AI109" s="142"/>
      <c r="AJ109" s="142"/>
      <c r="AK109" s="142"/>
      <c r="AL109" s="142"/>
      <c r="AM109" s="142"/>
      <c r="AN109" s="142"/>
      <c r="AO109" s="142"/>
      <c r="AP109" s="142"/>
      <c r="AQ109" s="142"/>
      <c r="AR109" s="134"/>
      <c r="AS109" s="3"/>
      <c r="AT109" s="3"/>
      <c r="AU109" s="3"/>
      <c r="AV109" s="3"/>
      <c r="AW109" s="3"/>
      <c r="AX109" s="3"/>
      <c r="AY109" s="3"/>
      <c r="AZ109" s="3"/>
      <c r="BA109" s="3"/>
      <c r="BB109" s="3"/>
      <c r="BC109" s="3"/>
      <c r="BD109" s="3"/>
      <c r="BE109" s="3"/>
      <c r="BF109" s="3"/>
      <c r="BG109" s="3"/>
      <c r="BH109" s="2"/>
      <c r="BI109" s="2"/>
      <c r="BJ109" s="3"/>
      <c r="BK109" s="3"/>
      <c r="BL109" s="3"/>
      <c r="BM109" s="3"/>
      <c r="BN109" s="3"/>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row>
    <row x14ac:dyDescent="0.25" r="110" customHeight="1" ht="13.5">
      <c r="A110" s="2"/>
      <c r="B110" s="200"/>
      <c r="C110" s="2"/>
      <c r="D110" s="240" t="s">
        <v>481</v>
      </c>
      <c r="E110" s="142"/>
      <c r="F110" s="108"/>
      <c r="G110" s="108"/>
      <c r="H110" s="108"/>
      <c r="I110" s="108"/>
      <c r="J110" s="108"/>
      <c r="K110" s="108"/>
      <c r="L110" s="108"/>
      <c r="M110" s="108"/>
      <c r="N110" s="108"/>
      <c r="O110" s="108"/>
      <c r="P110" s="108"/>
      <c r="Q110" s="108"/>
      <c r="R110" s="108"/>
      <c r="S110" s="108"/>
      <c r="T110" s="108"/>
      <c r="U110" s="108"/>
      <c r="V110" s="108"/>
      <c r="W110" s="108"/>
      <c r="X110" s="3"/>
      <c r="Y110" s="3"/>
      <c r="Z110" s="108"/>
      <c r="AA110" s="108"/>
      <c r="AB110" s="108"/>
      <c r="AC110" s="142"/>
      <c r="AD110" s="142"/>
      <c r="AE110" s="142"/>
      <c r="AF110" s="142"/>
      <c r="AG110" s="142"/>
      <c r="AH110" s="142"/>
      <c r="AI110" s="142"/>
      <c r="AJ110" s="142"/>
      <c r="AK110" s="142"/>
      <c r="AL110" s="142"/>
      <c r="AM110" s="142"/>
      <c r="AN110" s="142"/>
      <c r="AO110" s="142"/>
      <c r="AP110" s="142"/>
      <c r="AQ110" s="142"/>
      <c r="AR110" s="134"/>
      <c r="AS110" s="3"/>
      <c r="AT110" s="3"/>
      <c r="AU110" s="3"/>
      <c r="AV110" s="3"/>
      <c r="AW110" s="3"/>
      <c r="AX110" s="3"/>
      <c r="AY110" s="3"/>
      <c r="AZ110" s="3"/>
      <c r="BA110" s="3"/>
      <c r="BB110" s="3"/>
      <c r="BC110" s="3"/>
      <c r="BD110" s="3"/>
      <c r="BE110" s="3"/>
      <c r="BF110" s="3"/>
      <c r="BG110" s="3"/>
      <c r="BH110" s="2"/>
      <c r="BI110" s="2"/>
      <c r="BJ110" s="3"/>
      <c r="BK110" s="3"/>
      <c r="BL110" s="3"/>
      <c r="BM110" s="3"/>
      <c r="BN110" s="3"/>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row>
    <row x14ac:dyDescent="0.25" r="111" customHeight="1" ht="13.5">
      <c r="A111" s="2"/>
      <c r="B111" s="200"/>
      <c r="C111" s="2"/>
      <c r="D111" s="301"/>
      <c r="E111" s="212" t="s">
        <v>482</v>
      </c>
      <c r="F111" s="108"/>
      <c r="G111" s="108"/>
      <c r="H111" s="212" t="s">
        <v>469</v>
      </c>
      <c r="I111" s="108"/>
      <c r="J111" s="108"/>
      <c r="K111" s="212" t="s">
        <v>443</v>
      </c>
      <c r="L111" s="108"/>
      <c r="M111" s="108"/>
      <c r="N111" s="212" t="s">
        <v>25</v>
      </c>
      <c r="O111" s="108"/>
      <c r="P111" s="108"/>
      <c r="Q111" s="212" t="s">
        <v>444</v>
      </c>
      <c r="R111" s="108"/>
      <c r="S111" s="108"/>
      <c r="T111" s="140" t="s">
        <v>29</v>
      </c>
      <c r="U111" s="108"/>
      <c r="V111" s="108"/>
      <c r="W111" s="290"/>
      <c r="X111" s="3"/>
      <c r="Y111" s="3"/>
      <c r="Z111" s="108"/>
      <c r="AA111" s="108"/>
      <c r="AB111" s="108"/>
      <c r="AC111" s="142"/>
      <c r="AD111" s="142"/>
      <c r="AE111" s="142"/>
      <c r="AF111" s="142"/>
      <c r="AG111" s="142"/>
      <c r="AH111" s="142"/>
      <c r="AI111" s="142"/>
      <c r="AJ111" s="142"/>
      <c r="AK111" s="142"/>
      <c r="AL111" s="142"/>
      <c r="AM111" s="142"/>
      <c r="AN111" s="142"/>
      <c r="AO111" s="142"/>
      <c r="AP111" s="142"/>
      <c r="AQ111" s="142"/>
      <c r="AR111" s="134"/>
      <c r="AS111" s="3"/>
      <c r="AT111" s="3"/>
      <c r="AU111" s="3"/>
      <c r="AV111" s="3"/>
      <c r="AW111" s="3"/>
      <c r="AX111" s="3"/>
      <c r="AY111" s="3"/>
      <c r="AZ111" s="3"/>
      <c r="BA111" s="3"/>
      <c r="BB111" s="3"/>
      <c r="BC111" s="3"/>
      <c r="BD111" s="3"/>
      <c r="BE111" s="3"/>
      <c r="BF111" s="3"/>
      <c r="BG111" s="3"/>
      <c r="BH111" s="2"/>
      <c r="BI111" s="2"/>
      <c r="BJ111" s="3"/>
      <c r="BK111" s="3"/>
      <c r="BL111" s="3"/>
      <c r="BM111" s="3"/>
      <c r="BN111" s="3"/>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row>
    <row x14ac:dyDescent="0.25" r="112" customHeight="1" ht="13.5">
      <c r="A112" s="2"/>
      <c r="B112" s="200"/>
      <c r="C112" s="2"/>
      <c r="D112" s="256"/>
      <c r="E112" s="257">
        <v>2023</v>
      </c>
      <c r="F112" s="257">
        <v>2024</v>
      </c>
      <c r="G112" s="302">
        <v>2025</v>
      </c>
      <c r="H112" s="257">
        <v>2023</v>
      </c>
      <c r="I112" s="257">
        <v>2024</v>
      </c>
      <c r="J112" s="302">
        <v>2025</v>
      </c>
      <c r="K112" s="257">
        <v>2023</v>
      </c>
      <c r="L112" s="257">
        <v>2024</v>
      </c>
      <c r="M112" s="302">
        <v>2025</v>
      </c>
      <c r="N112" s="257">
        <v>2023</v>
      </c>
      <c r="O112" s="257">
        <v>2024</v>
      </c>
      <c r="P112" s="302">
        <v>2025</v>
      </c>
      <c r="Q112" s="257">
        <v>2023</v>
      </c>
      <c r="R112" s="257">
        <v>2024</v>
      </c>
      <c r="S112" s="302">
        <v>2025</v>
      </c>
      <c r="T112" s="257">
        <v>2023</v>
      </c>
      <c r="U112" s="257">
        <v>2024</v>
      </c>
      <c r="V112" s="257">
        <v>2025</v>
      </c>
      <c r="W112" s="303"/>
      <c r="X112" s="257">
        <v>2023</v>
      </c>
      <c r="Y112" s="257">
        <v>2024</v>
      </c>
      <c r="Z112" s="257">
        <v>2025</v>
      </c>
      <c r="AA112" s="108"/>
      <c r="AB112" s="108"/>
      <c r="AC112" s="142"/>
      <c r="AD112" s="142"/>
      <c r="AE112" s="142"/>
      <c r="AF112" s="142"/>
      <c r="AG112" s="142"/>
      <c r="AH112" s="142"/>
      <c r="AI112" s="142"/>
      <c r="AJ112" s="142"/>
      <c r="AK112" s="142"/>
      <c r="AL112" s="142"/>
      <c r="AM112" s="142"/>
      <c r="AN112" s="142"/>
      <c r="AO112" s="142"/>
      <c r="AP112" s="142"/>
      <c r="AQ112" s="142"/>
      <c r="AR112" s="134"/>
      <c r="AS112" s="3"/>
      <c r="AT112" s="3"/>
      <c r="AU112" s="3"/>
      <c r="AV112" s="3"/>
      <c r="AW112" s="3"/>
      <c r="AX112" s="3"/>
      <c r="AY112" s="3"/>
      <c r="AZ112" s="3"/>
      <c r="BA112" s="3"/>
      <c r="BB112" s="3"/>
      <c r="BC112" s="3"/>
      <c r="BD112" s="3"/>
      <c r="BE112" s="3"/>
      <c r="BF112" s="3"/>
      <c r="BG112" s="3"/>
      <c r="BH112" s="2"/>
      <c r="BI112" s="2"/>
      <c r="BJ112" s="3"/>
      <c r="BK112" s="3"/>
      <c r="BL112" s="3"/>
      <c r="BM112" s="3"/>
      <c r="BN112" s="3"/>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row>
    <row x14ac:dyDescent="0.25" r="113" customHeight="1" ht="13.5">
      <c r="A113" s="2"/>
      <c r="B113" s="200"/>
      <c r="C113" s="2"/>
      <c r="D113" s="123" t="s">
        <v>179</v>
      </c>
      <c r="E113" s="304" t="s">
        <v>483</v>
      </c>
      <c r="F113" s="304" t="s">
        <v>484</v>
      </c>
      <c r="G113" s="305" t="s">
        <v>484</v>
      </c>
      <c r="H113" s="303">
        <f>IF(E113="Straight TSP",20%,0)</f>
      </c>
      <c r="I113" s="303">
        <f>IF(F113="Straight TSP",60%,0)</f>
      </c>
      <c r="J113" s="306">
        <f>IF(G113="Straight TSP",100%,0)</f>
      </c>
      <c r="K113" s="303">
        <f>IF(E113="TSP blendable",0%,0)</f>
      </c>
      <c r="L113" s="303">
        <v>0.25</v>
      </c>
      <c r="M113" s="306">
        <v>0.5</v>
      </c>
      <c r="N113" s="303">
        <v>0.5</v>
      </c>
      <c r="O113" s="303">
        <v>0.25</v>
      </c>
      <c r="P113" s="306">
        <v>0.25</v>
      </c>
      <c r="Q113" s="303">
        <v>0.5</v>
      </c>
      <c r="R113" s="303">
        <v>0.5</v>
      </c>
      <c r="S113" s="306">
        <v>0.25</v>
      </c>
      <c r="T113" s="303">
        <v>0</v>
      </c>
      <c r="U113" s="303">
        <v>0</v>
      </c>
      <c r="V113" s="303">
        <v>0</v>
      </c>
      <c r="W113" s="303"/>
      <c r="X113" s="303">
        <f>H113+K113+N113+Q113+T113</f>
      </c>
      <c r="Y113" s="303">
        <f>I113+L113+O113+R113+U113</f>
      </c>
      <c r="Z113" s="303">
        <f>J113+M113+P113+S113+V113</f>
      </c>
      <c r="AA113" s="108"/>
      <c r="AB113" s="108"/>
      <c r="AC113" s="142"/>
      <c r="AD113" s="142"/>
      <c r="AE113" s="142"/>
      <c r="AF113" s="142"/>
      <c r="AG113" s="142"/>
      <c r="AH113" s="142"/>
      <c r="AI113" s="142"/>
      <c r="AJ113" s="142"/>
      <c r="AK113" s="142"/>
      <c r="AL113" s="142"/>
      <c r="AM113" s="142"/>
      <c r="AN113" s="142"/>
      <c r="AO113" s="142"/>
      <c r="AP113" s="142"/>
      <c r="AQ113" s="142"/>
      <c r="AR113" s="134"/>
      <c r="AS113" s="3"/>
      <c r="AT113" s="3"/>
      <c r="AU113" s="3"/>
      <c r="AV113" s="3"/>
      <c r="AW113" s="3"/>
      <c r="AX113" s="3"/>
      <c r="AY113" s="3"/>
      <c r="AZ113" s="3"/>
      <c r="BA113" s="3"/>
      <c r="BB113" s="3"/>
      <c r="BC113" s="3"/>
      <c r="BD113" s="3"/>
      <c r="BE113" s="3"/>
      <c r="BF113" s="3"/>
      <c r="BG113" s="3"/>
      <c r="BH113" s="2"/>
      <c r="BI113" s="2"/>
      <c r="BJ113" s="3"/>
      <c r="BK113" s="3"/>
      <c r="BL113" s="3"/>
      <c r="BM113" s="3"/>
      <c r="BN113" s="3"/>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row>
    <row x14ac:dyDescent="0.25" r="114" customHeight="1" ht="13.5">
      <c r="A114" s="2"/>
      <c r="B114" s="200"/>
      <c r="C114" s="2"/>
      <c r="D114" s="123" t="s">
        <v>231</v>
      </c>
      <c r="E114" s="304" t="s">
        <v>485</v>
      </c>
      <c r="F114" s="304" t="s">
        <v>486</v>
      </c>
      <c r="G114" s="305" t="s">
        <v>485</v>
      </c>
      <c r="H114" s="303">
        <v>0.3</v>
      </c>
      <c r="I114" s="303">
        <v>0.5</v>
      </c>
      <c r="J114" s="306">
        <v>0.8</v>
      </c>
      <c r="K114" s="303">
        <f>IF(E114="TSP blendable",0%,0)</f>
      </c>
      <c r="L114" s="303">
        <f>IF(F114="TSP blendable",50%,0)</f>
      </c>
      <c r="M114" s="306">
        <f>IF(G114="TSP blendable",80%,0)</f>
      </c>
      <c r="N114" s="303">
        <v>0.7</v>
      </c>
      <c r="O114" s="303">
        <v>0.5</v>
      </c>
      <c r="P114" s="306">
        <v>0.2</v>
      </c>
      <c r="Q114" s="303">
        <v>0</v>
      </c>
      <c r="R114" s="303">
        <v>0</v>
      </c>
      <c r="S114" s="306">
        <v>0</v>
      </c>
      <c r="T114" s="303">
        <v>0</v>
      </c>
      <c r="U114" s="303">
        <v>0</v>
      </c>
      <c r="V114" s="303">
        <v>0</v>
      </c>
      <c r="W114" s="303"/>
      <c r="X114" s="303">
        <f>H114+K114+N114+Q114+T114</f>
      </c>
      <c r="Y114" s="303">
        <f>I114+L114+O114+R114+U114</f>
      </c>
      <c r="Z114" s="303">
        <f>J114+M114+P114+S114+V114</f>
      </c>
      <c r="AA114" s="108"/>
      <c r="AB114" s="108"/>
      <c r="AC114" s="142"/>
      <c r="AD114" s="142"/>
      <c r="AE114" s="142"/>
      <c r="AF114" s="142"/>
      <c r="AG114" s="142"/>
      <c r="AH114" s="142"/>
      <c r="AI114" s="142"/>
      <c r="AJ114" s="142"/>
      <c r="AK114" s="142"/>
      <c r="AL114" s="142"/>
      <c r="AM114" s="142"/>
      <c r="AN114" s="142"/>
      <c r="AO114" s="142"/>
      <c r="AP114" s="142"/>
      <c r="AQ114" s="142"/>
      <c r="AR114" s="134"/>
      <c r="AS114" s="3"/>
      <c r="AT114" s="3"/>
      <c r="AU114" s="3"/>
      <c r="AV114" s="3"/>
      <c r="AW114" s="3"/>
      <c r="AX114" s="3"/>
      <c r="AY114" s="3"/>
      <c r="AZ114" s="3"/>
      <c r="BA114" s="3"/>
      <c r="BB114" s="3"/>
      <c r="BC114" s="3"/>
      <c r="BD114" s="3"/>
      <c r="BE114" s="3"/>
      <c r="BF114" s="3"/>
      <c r="BG114" s="3"/>
      <c r="BH114" s="2"/>
      <c r="BI114" s="2"/>
      <c r="BJ114" s="3"/>
      <c r="BK114" s="3"/>
      <c r="BL114" s="3"/>
      <c r="BM114" s="3"/>
      <c r="BN114" s="3"/>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row>
    <row x14ac:dyDescent="0.25" r="115" customHeight="1" ht="13.5">
      <c r="A115" s="2"/>
      <c r="B115" s="200"/>
      <c r="C115" s="2"/>
      <c r="D115" s="123" t="s">
        <v>141</v>
      </c>
      <c r="E115" s="304" t="s">
        <v>25</v>
      </c>
      <c r="F115" s="304" t="s">
        <v>487</v>
      </c>
      <c r="G115" s="305" t="s">
        <v>487</v>
      </c>
      <c r="H115" s="303">
        <f>IF(E115="Straight TSP",20%,0)</f>
      </c>
      <c r="I115" s="303">
        <f>IF(F115="Straight TSP",60%,0)</f>
      </c>
      <c r="J115" s="306">
        <f>IF(G115="Straight TSP",100%,0)</f>
      </c>
      <c r="K115" s="303">
        <f>IF(E115="TSP blendable",0%,0)</f>
      </c>
      <c r="L115" s="303">
        <v>0.5</v>
      </c>
      <c r="M115" s="306">
        <v>0.75</v>
      </c>
      <c r="N115" s="303">
        <v>1</v>
      </c>
      <c r="O115" s="303">
        <v>0.5</v>
      </c>
      <c r="P115" s="306">
        <v>0.25</v>
      </c>
      <c r="Q115" s="303">
        <v>0</v>
      </c>
      <c r="R115" s="303">
        <v>0</v>
      </c>
      <c r="S115" s="306">
        <v>0</v>
      </c>
      <c r="T115" s="303">
        <v>0</v>
      </c>
      <c r="U115" s="303">
        <v>0</v>
      </c>
      <c r="V115" s="303">
        <v>0</v>
      </c>
      <c r="W115" s="303"/>
      <c r="X115" s="303">
        <f>H115+K115+N115+Q115+T115</f>
      </c>
      <c r="Y115" s="303">
        <f>I115+L115+O115+R115+U115</f>
      </c>
      <c r="Z115" s="303">
        <f>J115+M115+P115+S115+V115</f>
      </c>
      <c r="AA115" s="108"/>
      <c r="AB115" s="108"/>
      <c r="AC115" s="142"/>
      <c r="AD115" s="142"/>
      <c r="AE115" s="142"/>
      <c r="AF115" s="142"/>
      <c r="AG115" s="142"/>
      <c r="AH115" s="142"/>
      <c r="AI115" s="142"/>
      <c r="AJ115" s="142"/>
      <c r="AK115" s="142"/>
      <c r="AL115" s="142"/>
      <c r="AM115" s="142"/>
      <c r="AN115" s="142"/>
      <c r="AO115" s="142"/>
      <c r="AP115" s="142"/>
      <c r="AQ115" s="142"/>
      <c r="AR115" s="134"/>
      <c r="AS115" s="3"/>
      <c r="AT115" s="3"/>
      <c r="AU115" s="3"/>
      <c r="AV115" s="3"/>
      <c r="AW115" s="3"/>
      <c r="AX115" s="3"/>
      <c r="AY115" s="3"/>
      <c r="AZ115" s="3"/>
      <c r="BA115" s="3"/>
      <c r="BB115" s="3"/>
      <c r="BC115" s="3"/>
      <c r="BD115" s="3"/>
      <c r="BE115" s="3"/>
      <c r="BF115" s="3"/>
      <c r="BG115" s="3"/>
      <c r="BH115" s="2"/>
      <c r="BI115" s="2"/>
      <c r="BJ115" s="3"/>
      <c r="BK115" s="3"/>
      <c r="BL115" s="3"/>
      <c r="BM115" s="3"/>
      <c r="BN115" s="3"/>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row>
    <row x14ac:dyDescent="0.25" r="116" customHeight="1" ht="13.5">
      <c r="A116" s="2"/>
      <c r="B116" s="200"/>
      <c r="C116" s="2"/>
      <c r="D116" s="123" t="s">
        <v>247</v>
      </c>
      <c r="E116" s="304" t="s">
        <v>483</v>
      </c>
      <c r="F116" s="304" t="s">
        <v>484</v>
      </c>
      <c r="G116" s="305" t="s">
        <v>484</v>
      </c>
      <c r="H116" s="303">
        <f>IF(E116="Straight TSP",20%,0)</f>
      </c>
      <c r="I116" s="303">
        <f>IF(F116="Straight TSP",60%,0)</f>
      </c>
      <c r="J116" s="306">
        <f>IF(G116="Straight TSP",100%,0)</f>
      </c>
      <c r="K116" s="303">
        <f>IF(E116="TSP blendable",0%,0)</f>
      </c>
      <c r="L116" s="303">
        <v>0.25</v>
      </c>
      <c r="M116" s="306">
        <v>0.5</v>
      </c>
      <c r="N116" s="303">
        <v>0.5</v>
      </c>
      <c r="O116" s="303">
        <v>0.25</v>
      </c>
      <c r="P116" s="306">
        <v>0.25</v>
      </c>
      <c r="Q116" s="303">
        <v>0.5</v>
      </c>
      <c r="R116" s="303">
        <v>0.5</v>
      </c>
      <c r="S116" s="306">
        <v>0.25</v>
      </c>
      <c r="T116" s="303">
        <v>0</v>
      </c>
      <c r="U116" s="303">
        <v>0</v>
      </c>
      <c r="V116" s="303">
        <v>0</v>
      </c>
      <c r="W116" s="303"/>
      <c r="X116" s="303">
        <f>H116+K116+N116+Q116+T116</f>
      </c>
      <c r="Y116" s="303">
        <f>I116+L116+O116+R116+U116</f>
      </c>
      <c r="Z116" s="303">
        <f>J116+M116+P116+S116+V116</f>
      </c>
      <c r="AA116" s="108"/>
      <c r="AB116" s="108"/>
      <c r="AC116" s="142"/>
      <c r="AD116" s="142"/>
      <c r="AE116" s="142"/>
      <c r="AF116" s="142"/>
      <c r="AG116" s="142"/>
      <c r="AH116" s="142"/>
      <c r="AI116" s="142"/>
      <c r="AJ116" s="142"/>
      <c r="AK116" s="142"/>
      <c r="AL116" s="142"/>
      <c r="AM116" s="142"/>
      <c r="AN116" s="142"/>
      <c r="AO116" s="142"/>
      <c r="AP116" s="142"/>
      <c r="AQ116" s="142"/>
      <c r="AR116" s="134"/>
      <c r="AS116" s="3"/>
      <c r="AT116" s="3"/>
      <c r="AU116" s="3"/>
      <c r="AV116" s="3"/>
      <c r="AW116" s="3"/>
      <c r="AX116" s="3"/>
      <c r="AY116" s="3"/>
      <c r="AZ116" s="3"/>
      <c r="BA116" s="3"/>
      <c r="BB116" s="3"/>
      <c r="BC116" s="3"/>
      <c r="BD116" s="3"/>
      <c r="BE116" s="3"/>
      <c r="BF116" s="3"/>
      <c r="BG116" s="3"/>
      <c r="BH116" s="2"/>
      <c r="BI116" s="2"/>
      <c r="BJ116" s="3"/>
      <c r="BK116" s="3"/>
      <c r="BL116" s="3"/>
      <c r="BM116" s="3"/>
      <c r="BN116" s="3"/>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row>
    <row x14ac:dyDescent="0.25" r="117" customHeight="1" ht="13.5">
      <c r="A117" s="2"/>
      <c r="B117" s="200"/>
      <c r="C117" s="2"/>
      <c r="D117" s="123" t="s">
        <v>175</v>
      </c>
      <c r="E117" s="304" t="s">
        <v>485</v>
      </c>
      <c r="F117" s="304" t="s">
        <v>486</v>
      </c>
      <c r="G117" s="305" t="s">
        <v>485</v>
      </c>
      <c r="H117" s="303">
        <v>0.3</v>
      </c>
      <c r="I117" s="303">
        <v>0.5</v>
      </c>
      <c r="J117" s="306">
        <v>0.8</v>
      </c>
      <c r="K117" s="303">
        <f>IF(E117="TSP blendable",0%,0)</f>
      </c>
      <c r="L117" s="303">
        <f>IF(F117="TSP blendable",50%,0)</f>
      </c>
      <c r="M117" s="306">
        <f>IF(G117="TSP blendable",80%,0)</f>
      </c>
      <c r="N117" s="303">
        <v>0.7</v>
      </c>
      <c r="O117" s="303">
        <v>0.5</v>
      </c>
      <c r="P117" s="306">
        <v>0.2</v>
      </c>
      <c r="Q117" s="303">
        <v>0</v>
      </c>
      <c r="R117" s="303">
        <v>0</v>
      </c>
      <c r="S117" s="306">
        <v>0</v>
      </c>
      <c r="T117" s="303">
        <v>0</v>
      </c>
      <c r="U117" s="303">
        <v>0</v>
      </c>
      <c r="V117" s="303">
        <v>0</v>
      </c>
      <c r="W117" s="303"/>
      <c r="X117" s="303">
        <f>H117+K117+N117+Q117+T117</f>
      </c>
      <c r="Y117" s="303">
        <f>I117+L117+O117+R117+U117</f>
      </c>
      <c r="Z117" s="303">
        <f>J117+M117+P117+S117+V117</f>
      </c>
      <c r="AA117" s="108"/>
      <c r="AB117" s="108"/>
      <c r="AC117" s="142"/>
      <c r="AD117" s="142"/>
      <c r="AE117" s="142"/>
      <c r="AF117" s="142"/>
      <c r="AG117" s="142"/>
      <c r="AH117" s="142"/>
      <c r="AI117" s="142"/>
      <c r="AJ117" s="142"/>
      <c r="AK117" s="142"/>
      <c r="AL117" s="142"/>
      <c r="AM117" s="142"/>
      <c r="AN117" s="142"/>
      <c r="AO117" s="142"/>
      <c r="AP117" s="142"/>
      <c r="AQ117" s="142"/>
      <c r="AR117" s="134"/>
      <c r="AS117" s="3"/>
      <c r="AT117" s="3"/>
      <c r="AU117" s="3"/>
      <c r="AV117" s="3"/>
      <c r="AW117" s="3"/>
      <c r="AX117" s="3"/>
      <c r="AY117" s="3"/>
      <c r="AZ117" s="3"/>
      <c r="BA117" s="3"/>
      <c r="BB117" s="3"/>
      <c r="BC117" s="3"/>
      <c r="BD117" s="3"/>
      <c r="BE117" s="3"/>
      <c r="BF117" s="3"/>
      <c r="BG117" s="3"/>
      <c r="BH117" s="2"/>
      <c r="BI117" s="2"/>
      <c r="BJ117" s="3"/>
      <c r="BK117" s="3"/>
      <c r="BL117" s="3"/>
      <c r="BM117" s="3"/>
      <c r="BN117" s="3"/>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row>
    <row x14ac:dyDescent="0.25" r="118" customHeight="1" ht="13.5">
      <c r="A118" s="2"/>
      <c r="B118" s="200"/>
      <c r="C118" s="2"/>
      <c r="D118" s="123" t="s">
        <v>131</v>
      </c>
      <c r="E118" s="304" t="s">
        <v>485</v>
      </c>
      <c r="F118" s="304" t="s">
        <v>486</v>
      </c>
      <c r="G118" s="305" t="s">
        <v>485</v>
      </c>
      <c r="H118" s="303">
        <v>0.3</v>
      </c>
      <c r="I118" s="303">
        <v>0.5</v>
      </c>
      <c r="J118" s="306">
        <v>0.8</v>
      </c>
      <c r="K118" s="303">
        <f>IF(E118="TSP blendable",0%,0)</f>
      </c>
      <c r="L118" s="303">
        <f>IF(F118="TSP blendable",50%,0)</f>
      </c>
      <c r="M118" s="306">
        <f>IF(G118="TSP blendable",80%,0)</f>
      </c>
      <c r="N118" s="303">
        <v>0.7</v>
      </c>
      <c r="O118" s="303">
        <v>0.5</v>
      </c>
      <c r="P118" s="306">
        <v>0.2</v>
      </c>
      <c r="Q118" s="303">
        <v>0</v>
      </c>
      <c r="R118" s="303">
        <v>0</v>
      </c>
      <c r="S118" s="306">
        <v>0</v>
      </c>
      <c r="T118" s="303">
        <v>0</v>
      </c>
      <c r="U118" s="303">
        <v>0</v>
      </c>
      <c r="V118" s="303">
        <v>0</v>
      </c>
      <c r="W118" s="303"/>
      <c r="X118" s="303">
        <f>H118+K118+N118+Q118+T118</f>
      </c>
      <c r="Y118" s="303">
        <f>I118+L118+O118+R118+U118</f>
      </c>
      <c r="Z118" s="303">
        <f>J118+M118+P118+S118+V118</f>
      </c>
      <c r="AA118" s="108"/>
      <c r="AB118" s="108"/>
      <c r="AC118" s="142"/>
      <c r="AD118" s="142"/>
      <c r="AE118" s="142"/>
      <c r="AF118" s="142"/>
      <c r="AG118" s="142"/>
      <c r="AH118" s="142"/>
      <c r="AI118" s="142"/>
      <c r="AJ118" s="142"/>
      <c r="AK118" s="142"/>
      <c r="AL118" s="142"/>
      <c r="AM118" s="142"/>
      <c r="AN118" s="142"/>
      <c r="AO118" s="142"/>
      <c r="AP118" s="142"/>
      <c r="AQ118" s="142"/>
      <c r="AR118" s="134"/>
      <c r="AS118" s="3"/>
      <c r="AT118" s="3"/>
      <c r="AU118" s="3"/>
      <c r="AV118" s="3"/>
      <c r="AW118" s="3"/>
      <c r="AX118" s="3"/>
      <c r="AY118" s="3"/>
      <c r="AZ118" s="3"/>
      <c r="BA118" s="3"/>
      <c r="BB118" s="3"/>
      <c r="BC118" s="3"/>
      <c r="BD118" s="3"/>
      <c r="BE118" s="3"/>
      <c r="BF118" s="3"/>
      <c r="BG118" s="3"/>
      <c r="BH118" s="2"/>
      <c r="BI118" s="2"/>
      <c r="BJ118" s="3"/>
      <c r="BK118" s="3"/>
      <c r="BL118" s="3"/>
      <c r="BM118" s="3"/>
      <c r="BN118" s="3"/>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row>
    <row x14ac:dyDescent="0.25" r="119" customHeight="1" ht="13.5">
      <c r="A119" s="2"/>
      <c r="B119" s="200"/>
      <c r="C119" s="2"/>
      <c r="D119" s="123" t="s">
        <v>237</v>
      </c>
      <c r="E119" s="304" t="s">
        <v>485</v>
      </c>
      <c r="F119" s="304" t="s">
        <v>486</v>
      </c>
      <c r="G119" s="305" t="s">
        <v>485</v>
      </c>
      <c r="H119" s="303">
        <v>0.3</v>
      </c>
      <c r="I119" s="303">
        <v>0.5</v>
      </c>
      <c r="J119" s="306">
        <v>0.8</v>
      </c>
      <c r="K119" s="303">
        <f>IF(E119="TSP blendable",0%,0)</f>
      </c>
      <c r="L119" s="303">
        <f>IF(F119="TSP blendable",50%,0)</f>
      </c>
      <c r="M119" s="306">
        <f>IF(G119="TSP blendable",80%,0)</f>
      </c>
      <c r="N119" s="303">
        <v>0.7</v>
      </c>
      <c r="O119" s="303">
        <v>0.5</v>
      </c>
      <c r="P119" s="306">
        <v>0.2</v>
      </c>
      <c r="Q119" s="303">
        <v>0</v>
      </c>
      <c r="R119" s="303">
        <v>0</v>
      </c>
      <c r="S119" s="306">
        <v>0</v>
      </c>
      <c r="T119" s="303">
        <v>0</v>
      </c>
      <c r="U119" s="303">
        <v>0</v>
      </c>
      <c r="V119" s="303">
        <v>0</v>
      </c>
      <c r="W119" s="303"/>
      <c r="X119" s="303">
        <f>H119+K119+N119+Q119+T119</f>
      </c>
      <c r="Y119" s="303">
        <f>I119+L119+O119+R119+U119</f>
      </c>
      <c r="Z119" s="303">
        <f>J119+M119+P119+S119+V119</f>
      </c>
      <c r="AA119" s="108"/>
      <c r="AB119" s="108"/>
      <c r="AC119" s="142"/>
      <c r="AD119" s="142"/>
      <c r="AE119" s="142"/>
      <c r="AF119" s="142"/>
      <c r="AG119" s="142"/>
      <c r="AH119" s="142"/>
      <c r="AI119" s="142"/>
      <c r="AJ119" s="142"/>
      <c r="AK119" s="142"/>
      <c r="AL119" s="142"/>
      <c r="AM119" s="142"/>
      <c r="AN119" s="142"/>
      <c r="AO119" s="142"/>
      <c r="AP119" s="142"/>
      <c r="AQ119" s="142"/>
      <c r="AR119" s="134"/>
      <c r="AS119" s="3"/>
      <c r="AT119" s="3"/>
      <c r="AU119" s="3"/>
      <c r="AV119" s="3"/>
      <c r="AW119" s="3"/>
      <c r="AX119" s="3"/>
      <c r="AY119" s="3"/>
      <c r="AZ119" s="3"/>
      <c r="BA119" s="3"/>
      <c r="BB119" s="3"/>
      <c r="BC119" s="3"/>
      <c r="BD119" s="3"/>
      <c r="BE119" s="3"/>
      <c r="BF119" s="3"/>
      <c r="BG119" s="3"/>
      <c r="BH119" s="2"/>
      <c r="BI119" s="2"/>
      <c r="BJ119" s="3"/>
      <c r="BK119" s="3"/>
      <c r="BL119" s="3"/>
      <c r="BM119" s="3"/>
      <c r="BN119" s="3"/>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row>
    <row x14ac:dyDescent="0.25" r="120" customHeight="1" ht="13.5">
      <c r="A120" s="2"/>
      <c r="B120" s="200"/>
      <c r="C120" s="2"/>
      <c r="D120" s="123" t="s">
        <v>139</v>
      </c>
      <c r="E120" s="304" t="s">
        <v>485</v>
      </c>
      <c r="F120" s="304" t="s">
        <v>486</v>
      </c>
      <c r="G120" s="305" t="s">
        <v>485</v>
      </c>
      <c r="H120" s="303">
        <v>0.3</v>
      </c>
      <c r="I120" s="303">
        <v>0.5</v>
      </c>
      <c r="J120" s="306">
        <v>0.8</v>
      </c>
      <c r="K120" s="303">
        <f>IF(E120="TSP blendable",0%,0)</f>
      </c>
      <c r="L120" s="303">
        <f>IF(F120="TSP blendable",50%,0)</f>
      </c>
      <c r="M120" s="306">
        <f>IF(G120="TSP blendable",80%,0)</f>
      </c>
      <c r="N120" s="303">
        <v>0.7</v>
      </c>
      <c r="O120" s="303">
        <v>0.5</v>
      </c>
      <c r="P120" s="306">
        <v>0.2</v>
      </c>
      <c r="Q120" s="303">
        <v>0</v>
      </c>
      <c r="R120" s="303">
        <v>0</v>
      </c>
      <c r="S120" s="306">
        <v>0</v>
      </c>
      <c r="T120" s="303">
        <v>0</v>
      </c>
      <c r="U120" s="303">
        <v>0</v>
      </c>
      <c r="V120" s="303">
        <v>0</v>
      </c>
      <c r="W120" s="303"/>
      <c r="X120" s="303">
        <f>H120+K120+N120+Q120+T120</f>
      </c>
      <c r="Y120" s="303">
        <f>I120+L120+O120+R120+U120</f>
      </c>
      <c r="Z120" s="303">
        <f>J120+M120+P120+S120+V120</f>
      </c>
      <c r="AA120" s="108"/>
      <c r="AB120" s="108"/>
      <c r="AC120" s="142"/>
      <c r="AD120" s="142"/>
      <c r="AE120" s="142"/>
      <c r="AF120" s="142"/>
      <c r="AG120" s="142"/>
      <c r="AH120" s="142"/>
      <c r="AI120" s="142"/>
      <c r="AJ120" s="142"/>
      <c r="AK120" s="142"/>
      <c r="AL120" s="142"/>
      <c r="AM120" s="142"/>
      <c r="AN120" s="142"/>
      <c r="AO120" s="142"/>
      <c r="AP120" s="142"/>
      <c r="AQ120" s="142"/>
      <c r="AR120" s="134"/>
      <c r="AS120" s="3"/>
      <c r="AT120" s="3"/>
      <c r="AU120" s="3"/>
      <c r="AV120" s="3"/>
      <c r="AW120" s="3"/>
      <c r="AX120" s="3"/>
      <c r="AY120" s="3"/>
      <c r="AZ120" s="3"/>
      <c r="BA120" s="3"/>
      <c r="BB120" s="3"/>
      <c r="BC120" s="3"/>
      <c r="BD120" s="3"/>
      <c r="BE120" s="3"/>
      <c r="BF120" s="3"/>
      <c r="BG120" s="3"/>
      <c r="BH120" s="2"/>
      <c r="BI120" s="2"/>
      <c r="BJ120" s="3"/>
      <c r="BK120" s="3"/>
      <c r="BL120" s="3"/>
      <c r="BM120" s="3"/>
      <c r="BN120" s="3"/>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row>
    <row x14ac:dyDescent="0.25" r="121" customHeight="1" ht="13.5">
      <c r="A121" s="2"/>
      <c r="B121" s="200"/>
      <c r="C121" s="2"/>
      <c r="D121" s="123" t="s">
        <v>241</v>
      </c>
      <c r="E121" s="304" t="s">
        <v>483</v>
      </c>
      <c r="F121" s="304" t="s">
        <v>484</v>
      </c>
      <c r="G121" s="305" t="s">
        <v>484</v>
      </c>
      <c r="H121" s="303">
        <f>IF(E121="Straight TSP",20%,0)</f>
      </c>
      <c r="I121" s="303">
        <f>IF(F121="Straight TSP",60%,0)</f>
      </c>
      <c r="J121" s="306">
        <f>IF(G121="Straight TSP",100%,0)</f>
      </c>
      <c r="K121" s="303">
        <f>IF(E121="TSP blendable",0%,0)</f>
      </c>
      <c r="L121" s="303">
        <v>0.25</v>
      </c>
      <c r="M121" s="306">
        <v>0.5</v>
      </c>
      <c r="N121" s="303">
        <v>0.5</v>
      </c>
      <c r="O121" s="303">
        <v>0.25</v>
      </c>
      <c r="P121" s="306">
        <v>0.25</v>
      </c>
      <c r="Q121" s="303">
        <v>0.5</v>
      </c>
      <c r="R121" s="303">
        <v>0.5</v>
      </c>
      <c r="S121" s="306">
        <v>0.25</v>
      </c>
      <c r="T121" s="303">
        <v>0</v>
      </c>
      <c r="U121" s="303">
        <v>0</v>
      </c>
      <c r="V121" s="303">
        <v>0</v>
      </c>
      <c r="W121" s="303"/>
      <c r="X121" s="303">
        <f>H121+K121+N121+Q121+T121</f>
      </c>
      <c r="Y121" s="303">
        <f>I121+L121+O121+R121+U121</f>
      </c>
      <c r="Z121" s="303">
        <f>J121+M121+P121+S121+V121</f>
      </c>
      <c r="AA121" s="108"/>
      <c r="AB121" s="108"/>
      <c r="AC121" s="142"/>
      <c r="AD121" s="142"/>
      <c r="AE121" s="142"/>
      <c r="AF121" s="142"/>
      <c r="AG121" s="142"/>
      <c r="AH121" s="142"/>
      <c r="AI121" s="142"/>
      <c r="AJ121" s="142"/>
      <c r="AK121" s="142"/>
      <c r="AL121" s="142"/>
      <c r="AM121" s="142"/>
      <c r="AN121" s="142"/>
      <c r="AO121" s="142"/>
      <c r="AP121" s="142"/>
      <c r="AQ121" s="142"/>
      <c r="AR121" s="134"/>
      <c r="AS121" s="3"/>
      <c r="AT121" s="3"/>
      <c r="AU121" s="3"/>
      <c r="AV121" s="3"/>
      <c r="AW121" s="3"/>
      <c r="AX121" s="3"/>
      <c r="AY121" s="3"/>
      <c r="AZ121" s="3"/>
      <c r="BA121" s="3"/>
      <c r="BB121" s="3"/>
      <c r="BC121" s="3"/>
      <c r="BD121" s="3"/>
      <c r="BE121" s="3"/>
      <c r="BF121" s="3"/>
      <c r="BG121" s="3"/>
      <c r="BH121" s="2"/>
      <c r="BI121" s="2"/>
      <c r="BJ121" s="3"/>
      <c r="BK121" s="3"/>
      <c r="BL121" s="3"/>
      <c r="BM121" s="3"/>
      <c r="BN121" s="3"/>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row>
    <row x14ac:dyDescent="0.25" r="122" customHeight="1" ht="13.5">
      <c r="A122" s="2"/>
      <c r="B122" s="200"/>
      <c r="C122" s="2"/>
      <c r="D122" s="123" t="s">
        <v>249</v>
      </c>
      <c r="E122" s="304" t="s">
        <v>25</v>
      </c>
      <c r="F122" s="304" t="s">
        <v>487</v>
      </c>
      <c r="G122" s="305" t="s">
        <v>487</v>
      </c>
      <c r="H122" s="303">
        <f>IF(E122="Straight TSP",20%,0)</f>
      </c>
      <c r="I122" s="303">
        <f>IF(F122="Straight TSP",60%,0)</f>
      </c>
      <c r="J122" s="306">
        <f>IF(G122="Straight TSP",100%,0)</f>
      </c>
      <c r="K122" s="303">
        <f>IF(E122="TSP blendable",0%,0)</f>
      </c>
      <c r="L122" s="303">
        <v>0.5</v>
      </c>
      <c r="M122" s="306">
        <v>0.75</v>
      </c>
      <c r="N122" s="303">
        <v>1</v>
      </c>
      <c r="O122" s="303">
        <v>0.5</v>
      </c>
      <c r="P122" s="306">
        <v>0.25</v>
      </c>
      <c r="Q122" s="303">
        <v>0</v>
      </c>
      <c r="R122" s="303">
        <v>0</v>
      </c>
      <c r="S122" s="306">
        <v>0</v>
      </c>
      <c r="T122" s="303">
        <v>0</v>
      </c>
      <c r="U122" s="303">
        <v>0</v>
      </c>
      <c r="V122" s="303">
        <v>0</v>
      </c>
      <c r="W122" s="303"/>
      <c r="X122" s="303">
        <f>H122+K122+N122+Q122+T122</f>
      </c>
      <c r="Y122" s="303">
        <f>I122+L122+O122+R122+U122</f>
      </c>
      <c r="Z122" s="303">
        <f>J122+M122+P122+S122+V122</f>
      </c>
      <c r="AA122" s="108"/>
      <c r="AB122" s="108"/>
      <c r="AC122" s="142"/>
      <c r="AD122" s="142"/>
      <c r="AE122" s="142"/>
      <c r="AF122" s="142"/>
      <c r="AG122" s="142"/>
      <c r="AH122" s="142"/>
      <c r="AI122" s="142"/>
      <c r="AJ122" s="142"/>
      <c r="AK122" s="142"/>
      <c r="AL122" s="142"/>
      <c r="AM122" s="142"/>
      <c r="AN122" s="142"/>
      <c r="AO122" s="142"/>
      <c r="AP122" s="142"/>
      <c r="AQ122" s="142"/>
      <c r="AR122" s="134"/>
      <c r="AS122" s="3"/>
      <c r="AT122" s="3"/>
      <c r="AU122" s="3"/>
      <c r="AV122" s="3"/>
      <c r="AW122" s="3"/>
      <c r="AX122" s="3"/>
      <c r="AY122" s="3"/>
      <c r="AZ122" s="3"/>
      <c r="BA122" s="3"/>
      <c r="BB122" s="3"/>
      <c r="BC122" s="3"/>
      <c r="BD122" s="3"/>
      <c r="BE122" s="3"/>
      <c r="BF122" s="3"/>
      <c r="BG122" s="3"/>
      <c r="BH122" s="2"/>
      <c r="BI122" s="2"/>
      <c r="BJ122" s="3"/>
      <c r="BK122" s="3"/>
      <c r="BL122" s="3"/>
      <c r="BM122" s="3"/>
      <c r="BN122" s="3"/>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row>
    <row x14ac:dyDescent="0.25" r="123" customHeight="1" ht="13.5">
      <c r="A123" s="2"/>
      <c r="B123" s="200"/>
      <c r="C123" s="2"/>
      <c r="D123" s="123" t="s">
        <v>235</v>
      </c>
      <c r="E123" s="304" t="s">
        <v>488</v>
      </c>
      <c r="F123" s="304" t="s">
        <v>488</v>
      </c>
      <c r="G123" s="305" t="s">
        <v>488</v>
      </c>
      <c r="H123" s="303">
        <f>IF(E123="Straight TSP",20%,0)</f>
      </c>
      <c r="I123" s="303">
        <f>IF(F123="Straight TSP",60%,0)</f>
      </c>
      <c r="J123" s="306">
        <f>IF(G123="Straight TSP",100%,0)</f>
      </c>
      <c r="K123" s="303">
        <f>IF(E123="TSP blendable",0%,0)</f>
      </c>
      <c r="L123" s="303">
        <f>IF(F123="TSP blendable",50%,0)</f>
      </c>
      <c r="M123" s="306">
        <f>IF(G123="TSP blendable",80%,0)</f>
      </c>
      <c r="N123" s="303">
        <v>0.75</v>
      </c>
      <c r="O123" s="303">
        <v>0.5</v>
      </c>
      <c r="P123" s="306">
        <v>0.5</v>
      </c>
      <c r="Q123" s="303">
        <v>0</v>
      </c>
      <c r="R123" s="303">
        <v>0</v>
      </c>
      <c r="S123" s="306">
        <v>0</v>
      </c>
      <c r="T123" s="303">
        <v>0.25</v>
      </c>
      <c r="U123" s="303">
        <v>0.5</v>
      </c>
      <c r="V123" s="303">
        <v>0.5</v>
      </c>
      <c r="W123" s="303"/>
      <c r="X123" s="303">
        <f>H123+K123+N123+Q123+T123</f>
      </c>
      <c r="Y123" s="303">
        <f>I123+L123+O123+R123+U123</f>
      </c>
      <c r="Z123" s="303">
        <f>J123+M123+P123+S123+V123</f>
      </c>
      <c r="AA123" s="108"/>
      <c r="AB123" s="108"/>
      <c r="AC123" s="142"/>
      <c r="AD123" s="142"/>
      <c r="AE123" s="142"/>
      <c r="AF123" s="142"/>
      <c r="AG123" s="142"/>
      <c r="AH123" s="142"/>
      <c r="AI123" s="142"/>
      <c r="AJ123" s="142"/>
      <c r="AK123" s="142"/>
      <c r="AL123" s="142"/>
      <c r="AM123" s="142"/>
      <c r="AN123" s="142"/>
      <c r="AO123" s="142"/>
      <c r="AP123" s="142"/>
      <c r="AQ123" s="142"/>
      <c r="AR123" s="134"/>
      <c r="AS123" s="3"/>
      <c r="AT123" s="3"/>
      <c r="AU123" s="3"/>
      <c r="AV123" s="3"/>
      <c r="AW123" s="3"/>
      <c r="AX123" s="3"/>
      <c r="AY123" s="3"/>
      <c r="AZ123" s="3"/>
      <c r="BA123" s="3"/>
      <c r="BB123" s="3"/>
      <c r="BC123" s="3"/>
      <c r="BD123" s="3"/>
      <c r="BE123" s="3"/>
      <c r="BF123" s="3"/>
      <c r="BG123" s="3"/>
      <c r="BH123" s="2"/>
      <c r="BI123" s="2"/>
      <c r="BJ123" s="3"/>
      <c r="BK123" s="3"/>
      <c r="BL123" s="3"/>
      <c r="BM123" s="3"/>
      <c r="BN123" s="3"/>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row>
    <row x14ac:dyDescent="0.25" r="124" customHeight="1" ht="13.5">
      <c r="A124" s="2"/>
      <c r="B124" s="200"/>
      <c r="C124" s="2"/>
      <c r="D124" s="123" t="s">
        <v>125</v>
      </c>
      <c r="E124" s="304" t="s">
        <v>488</v>
      </c>
      <c r="F124" s="304" t="s">
        <v>488</v>
      </c>
      <c r="G124" s="305" t="s">
        <v>488</v>
      </c>
      <c r="H124" s="303">
        <f>IF(E124="Straight TSP",20%,0)</f>
      </c>
      <c r="I124" s="303">
        <f>IF(F124="Straight TSP",60%,0)</f>
      </c>
      <c r="J124" s="306">
        <f>IF(G124="Straight TSP",100%,0)</f>
      </c>
      <c r="K124" s="303">
        <f>IF(E124="TSP blendable",0%,0)</f>
      </c>
      <c r="L124" s="303">
        <f>IF(F124="TSP blendable",50%,0)</f>
      </c>
      <c r="M124" s="306">
        <f>IF(G124="TSP blendable",80%,0)</f>
      </c>
      <c r="N124" s="303">
        <v>0.75</v>
      </c>
      <c r="O124" s="303">
        <v>0.5</v>
      </c>
      <c r="P124" s="306">
        <v>0.5</v>
      </c>
      <c r="Q124" s="303">
        <v>0</v>
      </c>
      <c r="R124" s="303">
        <v>0</v>
      </c>
      <c r="S124" s="306">
        <v>0</v>
      </c>
      <c r="T124" s="303">
        <v>0.25</v>
      </c>
      <c r="U124" s="303">
        <v>0.5</v>
      </c>
      <c r="V124" s="303">
        <v>0.5</v>
      </c>
      <c r="W124" s="303"/>
      <c r="X124" s="303">
        <f>H124+K124+N124+Q124+T124</f>
      </c>
      <c r="Y124" s="303">
        <f>I124+L124+O124+R124+U124</f>
      </c>
      <c r="Z124" s="303">
        <f>J124+M124+P124+S124+V124</f>
      </c>
      <c r="AA124" s="108"/>
      <c r="AB124" s="108"/>
      <c r="AC124" s="142"/>
      <c r="AD124" s="142"/>
      <c r="AE124" s="142"/>
      <c r="AF124" s="142"/>
      <c r="AG124" s="142"/>
      <c r="AH124" s="142"/>
      <c r="AI124" s="142"/>
      <c r="AJ124" s="142"/>
      <c r="AK124" s="142"/>
      <c r="AL124" s="142"/>
      <c r="AM124" s="142"/>
      <c r="AN124" s="142"/>
      <c r="AO124" s="142"/>
      <c r="AP124" s="142"/>
      <c r="AQ124" s="142"/>
      <c r="AR124" s="134"/>
      <c r="AS124" s="3"/>
      <c r="AT124" s="3"/>
      <c r="AU124" s="3"/>
      <c r="AV124" s="3"/>
      <c r="AW124" s="3"/>
      <c r="AX124" s="3"/>
      <c r="AY124" s="3"/>
      <c r="AZ124" s="3"/>
      <c r="BA124" s="3"/>
      <c r="BB124" s="3"/>
      <c r="BC124" s="3"/>
      <c r="BD124" s="3"/>
      <c r="BE124" s="3"/>
      <c r="BF124" s="3"/>
      <c r="BG124" s="3"/>
      <c r="BH124" s="2"/>
      <c r="BI124" s="2"/>
      <c r="BJ124" s="3"/>
      <c r="BK124" s="3"/>
      <c r="BL124" s="3"/>
      <c r="BM124" s="3"/>
      <c r="BN124" s="3"/>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row>
    <row x14ac:dyDescent="0.25" r="125" customHeight="1" ht="13.5">
      <c r="A125" s="2"/>
      <c r="B125" s="200"/>
      <c r="C125" s="2"/>
      <c r="D125" s="123" t="s">
        <v>209</v>
      </c>
      <c r="E125" s="304" t="s">
        <v>488</v>
      </c>
      <c r="F125" s="304" t="s">
        <v>489</v>
      </c>
      <c r="G125" s="305" t="s">
        <v>490</v>
      </c>
      <c r="H125" s="303">
        <f>IF(E125="Straight TSP",20%,0)</f>
      </c>
      <c r="I125" s="303">
        <f>IF(F125="Straight TSP",60%,0)</f>
      </c>
      <c r="J125" s="306">
        <f>IF(G125="Straight TSP",100%,0)</f>
      </c>
      <c r="K125" s="303">
        <f>IF(E125="TSP blendable",0%,0)</f>
      </c>
      <c r="L125" s="303">
        <v>0.5</v>
      </c>
      <c r="M125" s="306">
        <v>0.5</v>
      </c>
      <c r="N125" s="303">
        <v>0.5</v>
      </c>
      <c r="O125" s="303">
        <v>0.25</v>
      </c>
      <c r="P125" s="306">
        <v>0.25</v>
      </c>
      <c r="Q125" s="303">
        <v>0</v>
      </c>
      <c r="R125" s="303">
        <v>0</v>
      </c>
      <c r="S125" s="306">
        <v>0</v>
      </c>
      <c r="T125" s="303">
        <v>0.5</v>
      </c>
      <c r="U125" s="303">
        <v>0.25</v>
      </c>
      <c r="V125" s="303">
        <v>0.25</v>
      </c>
      <c r="W125" s="303"/>
      <c r="X125" s="303">
        <f>H125+K125+N125+Q125+T125</f>
      </c>
      <c r="Y125" s="303">
        <f>I125+L125+O125+R125+U125</f>
      </c>
      <c r="Z125" s="303">
        <f>J125+M125+P125+S125+V125</f>
      </c>
      <c r="AA125" s="108"/>
      <c r="AB125" s="108"/>
      <c r="AC125" s="142"/>
      <c r="AD125" s="142"/>
      <c r="AE125" s="142"/>
      <c r="AF125" s="142"/>
      <c r="AG125" s="142"/>
      <c r="AH125" s="142"/>
      <c r="AI125" s="142"/>
      <c r="AJ125" s="142"/>
      <c r="AK125" s="142"/>
      <c r="AL125" s="142"/>
      <c r="AM125" s="142"/>
      <c r="AN125" s="142"/>
      <c r="AO125" s="142"/>
      <c r="AP125" s="142"/>
      <c r="AQ125" s="142"/>
      <c r="AR125" s="134"/>
      <c r="AS125" s="3"/>
      <c r="AT125" s="3"/>
      <c r="AU125" s="3"/>
      <c r="AV125" s="3"/>
      <c r="AW125" s="3"/>
      <c r="AX125" s="3"/>
      <c r="AY125" s="3"/>
      <c r="AZ125" s="3"/>
      <c r="BA125" s="3"/>
      <c r="BB125" s="3"/>
      <c r="BC125" s="3"/>
      <c r="BD125" s="3"/>
      <c r="BE125" s="3"/>
      <c r="BF125" s="3"/>
      <c r="BG125" s="3"/>
      <c r="BH125" s="2"/>
      <c r="BI125" s="2"/>
      <c r="BJ125" s="3"/>
      <c r="BK125" s="3"/>
      <c r="BL125" s="3"/>
      <c r="BM125" s="3"/>
      <c r="BN125" s="3"/>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row>
    <row x14ac:dyDescent="0.25" r="126" customHeight="1" ht="13.5">
      <c r="A126" s="2"/>
      <c r="B126" s="200"/>
      <c r="C126" s="2"/>
      <c r="D126" s="123" t="s">
        <v>223</v>
      </c>
      <c r="E126" s="304" t="s">
        <v>488</v>
      </c>
      <c r="F126" s="304" t="s">
        <v>488</v>
      </c>
      <c r="G126" s="305" t="s">
        <v>488</v>
      </c>
      <c r="H126" s="303">
        <f>IF(E126="Straight TSP",20%,0)</f>
      </c>
      <c r="I126" s="303">
        <f>IF(F126="Straight TSP",60%,0)</f>
      </c>
      <c r="J126" s="306">
        <f>IF(G126="Straight TSP",100%,0)</f>
      </c>
      <c r="K126" s="303">
        <f>IF(E126="TSP blendable",0%,0)</f>
      </c>
      <c r="L126" s="303">
        <f>IF(F126="TSP blendable",50%,0)</f>
      </c>
      <c r="M126" s="306">
        <f>IF(G126="TSP blendable",80%,0)</f>
      </c>
      <c r="N126" s="303">
        <v>0.75</v>
      </c>
      <c r="O126" s="303">
        <v>0.5</v>
      </c>
      <c r="P126" s="306">
        <v>0.5</v>
      </c>
      <c r="Q126" s="303">
        <v>0</v>
      </c>
      <c r="R126" s="303">
        <v>0</v>
      </c>
      <c r="S126" s="306">
        <v>0</v>
      </c>
      <c r="T126" s="303">
        <v>0.25</v>
      </c>
      <c r="U126" s="303">
        <v>0.5</v>
      </c>
      <c r="V126" s="303">
        <v>0.5</v>
      </c>
      <c r="W126" s="303"/>
      <c r="X126" s="303">
        <f>H126+K126+N126+Q126+T126</f>
      </c>
      <c r="Y126" s="303">
        <f>I126+L126+O126+R126+U126</f>
      </c>
      <c r="Z126" s="303">
        <f>J126+M126+P126+S126+V126</f>
      </c>
      <c r="AA126" s="108"/>
      <c r="AB126" s="108"/>
      <c r="AC126" s="142"/>
      <c r="AD126" s="142"/>
      <c r="AE126" s="142"/>
      <c r="AF126" s="142"/>
      <c r="AG126" s="142"/>
      <c r="AH126" s="142"/>
      <c r="AI126" s="142"/>
      <c r="AJ126" s="142"/>
      <c r="AK126" s="142"/>
      <c r="AL126" s="142"/>
      <c r="AM126" s="142"/>
      <c r="AN126" s="142"/>
      <c r="AO126" s="142"/>
      <c r="AP126" s="142"/>
      <c r="AQ126" s="142"/>
      <c r="AR126" s="134"/>
      <c r="AS126" s="3"/>
      <c r="AT126" s="3"/>
      <c r="AU126" s="3"/>
      <c r="AV126" s="3"/>
      <c r="AW126" s="3"/>
      <c r="AX126" s="3"/>
      <c r="AY126" s="3"/>
      <c r="AZ126" s="3"/>
      <c r="BA126" s="3"/>
      <c r="BB126" s="3"/>
      <c r="BC126" s="3"/>
      <c r="BD126" s="3"/>
      <c r="BE126" s="3"/>
      <c r="BF126" s="3"/>
      <c r="BG126" s="3"/>
      <c r="BH126" s="2"/>
      <c r="BI126" s="2"/>
      <c r="BJ126" s="3"/>
      <c r="BK126" s="3"/>
      <c r="BL126" s="3"/>
      <c r="BM126" s="3"/>
      <c r="BN126" s="3"/>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row>
    <row x14ac:dyDescent="0.25" r="127" customHeight="1" ht="13.5">
      <c r="A127" s="2"/>
      <c r="B127" s="200"/>
      <c r="C127" s="2"/>
      <c r="D127" s="123" t="s">
        <v>183</v>
      </c>
      <c r="E127" s="304" t="s">
        <v>483</v>
      </c>
      <c r="F127" s="304" t="s">
        <v>484</v>
      </c>
      <c r="G127" s="305" t="s">
        <v>484</v>
      </c>
      <c r="H127" s="303">
        <f>IF(E127="Straight TSP",20%,0)</f>
      </c>
      <c r="I127" s="303">
        <f>IF(F127="Straight TSP",60%,0)</f>
      </c>
      <c r="J127" s="306">
        <f>IF(G127="Straight TSP",100%,0)</f>
      </c>
      <c r="K127" s="303">
        <f>IF(E127="TSP blendable",0%,0)</f>
      </c>
      <c r="L127" s="303">
        <v>0.25</v>
      </c>
      <c r="M127" s="306">
        <v>0.5</v>
      </c>
      <c r="N127" s="303">
        <v>0.5</v>
      </c>
      <c r="O127" s="303">
        <v>0.25</v>
      </c>
      <c r="P127" s="306">
        <v>0.25</v>
      </c>
      <c r="Q127" s="303">
        <v>0.5</v>
      </c>
      <c r="R127" s="303">
        <v>0.5</v>
      </c>
      <c r="S127" s="306">
        <v>0.25</v>
      </c>
      <c r="T127" s="303">
        <v>0</v>
      </c>
      <c r="U127" s="303">
        <v>0</v>
      </c>
      <c r="V127" s="303">
        <v>0</v>
      </c>
      <c r="W127" s="303"/>
      <c r="X127" s="303">
        <f>H127+K127+N127+Q127+T127</f>
      </c>
      <c r="Y127" s="303">
        <f>I127+L127+O127+R127+U127</f>
      </c>
      <c r="Z127" s="303">
        <f>J127+M127+P127+S127+V127</f>
      </c>
      <c r="AA127" s="108"/>
      <c r="AB127" s="108"/>
      <c r="AC127" s="142"/>
      <c r="AD127" s="142"/>
      <c r="AE127" s="142"/>
      <c r="AF127" s="142"/>
      <c r="AG127" s="142"/>
      <c r="AH127" s="142"/>
      <c r="AI127" s="142"/>
      <c r="AJ127" s="142"/>
      <c r="AK127" s="142"/>
      <c r="AL127" s="142"/>
      <c r="AM127" s="142"/>
      <c r="AN127" s="142"/>
      <c r="AO127" s="142"/>
      <c r="AP127" s="142"/>
      <c r="AQ127" s="142"/>
      <c r="AR127" s="134"/>
      <c r="AS127" s="3"/>
      <c r="AT127" s="3"/>
      <c r="AU127" s="3"/>
      <c r="AV127" s="3"/>
      <c r="AW127" s="3"/>
      <c r="AX127" s="3"/>
      <c r="AY127" s="3"/>
      <c r="AZ127" s="3"/>
      <c r="BA127" s="3"/>
      <c r="BB127" s="3"/>
      <c r="BC127" s="3"/>
      <c r="BD127" s="3"/>
      <c r="BE127" s="3"/>
      <c r="BF127" s="3"/>
      <c r="BG127" s="3"/>
      <c r="BH127" s="2"/>
      <c r="BI127" s="2"/>
      <c r="BJ127" s="3"/>
      <c r="BK127" s="3"/>
      <c r="BL127" s="3"/>
      <c r="BM127" s="3"/>
      <c r="BN127" s="3"/>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row>
    <row x14ac:dyDescent="0.25" r="128" customHeight="1" ht="13.5">
      <c r="A128" s="2"/>
      <c r="B128" s="200"/>
      <c r="C128" s="2"/>
      <c r="D128" s="123" t="s">
        <v>161</v>
      </c>
      <c r="E128" s="304" t="s">
        <v>488</v>
      </c>
      <c r="F128" s="304" t="s">
        <v>491</v>
      </c>
      <c r="G128" s="305" t="s">
        <v>443</v>
      </c>
      <c r="H128" s="303">
        <f>IF(E128="Straight TSP",20%,0)</f>
      </c>
      <c r="I128" s="303">
        <f>IF(F128="Straight TSP",60%,0)</f>
      </c>
      <c r="J128" s="306">
        <f>IF(G128="Straight TSP",100%,0)</f>
      </c>
      <c r="K128" s="303">
        <f>IF(E128="TSP blendable",0%,0)</f>
      </c>
      <c r="L128" s="303">
        <v>0.5</v>
      </c>
      <c r="M128" s="306">
        <f>IF(G128="TSP blendable",80%,0)</f>
      </c>
      <c r="N128" s="303">
        <v>0.25</v>
      </c>
      <c r="O128" s="303">
        <v>0.25</v>
      </c>
      <c r="P128" s="306">
        <v>0</v>
      </c>
      <c r="Q128" s="303">
        <v>0</v>
      </c>
      <c r="R128" s="303">
        <v>0</v>
      </c>
      <c r="S128" s="306">
        <v>0</v>
      </c>
      <c r="T128" s="303">
        <v>0.75</v>
      </c>
      <c r="U128" s="303">
        <v>0.25</v>
      </c>
      <c r="V128" s="306">
        <v>0.2</v>
      </c>
      <c r="W128" s="303"/>
      <c r="X128" s="303">
        <f>H128+K128+N128+Q128+T128</f>
      </c>
      <c r="Y128" s="303">
        <f>I128+L128+O128+R128+U128</f>
      </c>
      <c r="Z128" s="303">
        <f>J128+M128+P128+S128+V128</f>
      </c>
      <c r="AA128" s="108"/>
      <c r="AB128" s="108"/>
      <c r="AC128" s="142"/>
      <c r="AD128" s="142"/>
      <c r="AE128" s="142"/>
      <c r="AF128" s="142"/>
      <c r="AG128" s="142"/>
      <c r="AH128" s="142"/>
      <c r="AI128" s="142"/>
      <c r="AJ128" s="142"/>
      <c r="AK128" s="142"/>
      <c r="AL128" s="142"/>
      <c r="AM128" s="142"/>
      <c r="AN128" s="142"/>
      <c r="AO128" s="142"/>
      <c r="AP128" s="142"/>
      <c r="AQ128" s="142"/>
      <c r="AR128" s="134"/>
      <c r="AS128" s="3"/>
      <c r="AT128" s="3"/>
      <c r="AU128" s="3"/>
      <c r="AV128" s="3"/>
      <c r="AW128" s="3"/>
      <c r="AX128" s="3"/>
      <c r="AY128" s="3"/>
      <c r="AZ128" s="3"/>
      <c r="BA128" s="3"/>
      <c r="BB128" s="3"/>
      <c r="BC128" s="3"/>
      <c r="BD128" s="3"/>
      <c r="BE128" s="3"/>
      <c r="BF128" s="3"/>
      <c r="BG128" s="3"/>
      <c r="BH128" s="2"/>
      <c r="BI128" s="2"/>
      <c r="BJ128" s="3"/>
      <c r="BK128" s="3"/>
      <c r="BL128" s="3"/>
      <c r="BM128" s="3"/>
      <c r="BN128" s="3"/>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row>
    <row x14ac:dyDescent="0.25" r="129" customHeight="1" ht="13.5">
      <c r="A129" s="2"/>
      <c r="B129" s="200"/>
      <c r="C129" s="2"/>
      <c r="D129" s="123" t="s">
        <v>219</v>
      </c>
      <c r="E129" s="304" t="s">
        <v>485</v>
      </c>
      <c r="F129" s="304" t="s">
        <v>486</v>
      </c>
      <c r="G129" s="305" t="s">
        <v>485</v>
      </c>
      <c r="H129" s="303">
        <v>0.3</v>
      </c>
      <c r="I129" s="303">
        <v>0.5</v>
      </c>
      <c r="J129" s="306">
        <v>0.8</v>
      </c>
      <c r="K129" s="303">
        <f>IF(E129="TSP blendable",0%,0)</f>
      </c>
      <c r="L129" s="303">
        <f>IF(F129="TSP blendable",50%,0)</f>
      </c>
      <c r="M129" s="306">
        <f>IF(G129="TSP blendable",80%,0)</f>
      </c>
      <c r="N129" s="303">
        <v>0.7</v>
      </c>
      <c r="O129" s="303">
        <v>0.5</v>
      </c>
      <c r="P129" s="306">
        <v>0.2</v>
      </c>
      <c r="Q129" s="303">
        <v>0</v>
      </c>
      <c r="R129" s="303">
        <v>0</v>
      </c>
      <c r="S129" s="306">
        <v>0</v>
      </c>
      <c r="T129" s="303">
        <v>0</v>
      </c>
      <c r="U129" s="303">
        <v>0</v>
      </c>
      <c r="V129" s="303">
        <v>0</v>
      </c>
      <c r="W129" s="303"/>
      <c r="X129" s="303">
        <f>H129+K129+N129+Q129+T129</f>
      </c>
      <c r="Y129" s="303">
        <f>I129+L129+O129+R129+U129</f>
      </c>
      <c r="Z129" s="303">
        <f>J129+M129+P129+S129+V129</f>
      </c>
      <c r="AA129" s="108"/>
      <c r="AB129" s="108"/>
      <c r="AC129" s="142"/>
      <c r="AD129" s="142"/>
      <c r="AE129" s="142"/>
      <c r="AF129" s="142"/>
      <c r="AG129" s="142"/>
      <c r="AH129" s="142"/>
      <c r="AI129" s="142"/>
      <c r="AJ129" s="142"/>
      <c r="AK129" s="142"/>
      <c r="AL129" s="142"/>
      <c r="AM129" s="142"/>
      <c r="AN129" s="142"/>
      <c r="AO129" s="142"/>
      <c r="AP129" s="142"/>
      <c r="AQ129" s="142"/>
      <c r="AR129" s="134"/>
      <c r="AS129" s="3"/>
      <c r="AT129" s="3"/>
      <c r="AU129" s="3"/>
      <c r="AV129" s="3"/>
      <c r="AW129" s="3"/>
      <c r="AX129" s="3"/>
      <c r="AY129" s="3"/>
      <c r="AZ129" s="3"/>
      <c r="BA129" s="3"/>
      <c r="BB129" s="3"/>
      <c r="BC129" s="3"/>
      <c r="BD129" s="3"/>
      <c r="BE129" s="3"/>
      <c r="BF129" s="3"/>
      <c r="BG129" s="3"/>
      <c r="BH129" s="2"/>
      <c r="BI129" s="2"/>
      <c r="BJ129" s="3"/>
      <c r="BK129" s="3"/>
      <c r="BL129" s="3"/>
      <c r="BM129" s="3"/>
      <c r="BN129" s="3"/>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row>
    <row x14ac:dyDescent="0.25" r="130" customHeight="1" ht="13.5">
      <c r="A130" s="2"/>
      <c r="B130" s="200"/>
      <c r="C130" s="2"/>
      <c r="D130" s="123" t="s">
        <v>159</v>
      </c>
      <c r="E130" s="304" t="s">
        <v>25</v>
      </c>
      <c r="F130" s="304" t="s">
        <v>25</v>
      </c>
      <c r="G130" s="305" t="s">
        <v>25</v>
      </c>
      <c r="H130" s="303">
        <f>IF(E130="Straight TSP",20%,0)</f>
      </c>
      <c r="I130" s="303">
        <f>IF(F130="Straight TSP",60%,0)</f>
      </c>
      <c r="J130" s="306">
        <f>IF(G130="Straight TSP",100%,0)</f>
      </c>
      <c r="K130" s="303">
        <f>IF(E130="TSP blendable",0%,0)</f>
      </c>
      <c r="L130" s="303">
        <f>IF(F130="TSP blendable",50%,0)</f>
      </c>
      <c r="M130" s="306">
        <f>IF(G130="TSP blendable",80%,0)</f>
      </c>
      <c r="N130" s="303">
        <v>1</v>
      </c>
      <c r="O130" s="303">
        <v>1</v>
      </c>
      <c r="P130" s="306">
        <v>1</v>
      </c>
      <c r="Q130" s="303">
        <v>0</v>
      </c>
      <c r="R130" s="303">
        <v>0</v>
      </c>
      <c r="S130" s="306">
        <v>0</v>
      </c>
      <c r="T130" s="303">
        <v>0</v>
      </c>
      <c r="U130" s="303">
        <v>0</v>
      </c>
      <c r="V130" s="303">
        <v>0</v>
      </c>
      <c r="W130" s="303"/>
      <c r="X130" s="303">
        <f>H130+K130+N130+Q130+T130</f>
      </c>
      <c r="Y130" s="303">
        <f>I130+L130+O130+R130+U130</f>
      </c>
      <c r="Z130" s="303">
        <f>J130+M130+P130+S130+V130</f>
      </c>
      <c r="AA130" s="108"/>
      <c r="AB130" s="108"/>
      <c r="AC130" s="142"/>
      <c r="AD130" s="142"/>
      <c r="AE130" s="142"/>
      <c r="AF130" s="142"/>
      <c r="AG130" s="142"/>
      <c r="AH130" s="142"/>
      <c r="AI130" s="142"/>
      <c r="AJ130" s="142"/>
      <c r="AK130" s="142"/>
      <c r="AL130" s="142"/>
      <c r="AM130" s="142"/>
      <c r="AN130" s="142"/>
      <c r="AO130" s="142"/>
      <c r="AP130" s="142"/>
      <c r="AQ130" s="142"/>
      <c r="AR130" s="134"/>
      <c r="AS130" s="3"/>
      <c r="AT130" s="3"/>
      <c r="AU130" s="3"/>
      <c r="AV130" s="3"/>
      <c r="AW130" s="3"/>
      <c r="AX130" s="3"/>
      <c r="AY130" s="3"/>
      <c r="AZ130" s="3"/>
      <c r="BA130" s="3"/>
      <c r="BB130" s="3"/>
      <c r="BC130" s="3"/>
      <c r="BD130" s="3"/>
      <c r="BE130" s="3"/>
      <c r="BF130" s="3"/>
      <c r="BG130" s="3"/>
      <c r="BH130" s="2"/>
      <c r="BI130" s="2"/>
      <c r="BJ130" s="3"/>
      <c r="BK130" s="3"/>
      <c r="BL130" s="3"/>
      <c r="BM130" s="3"/>
      <c r="BN130" s="3"/>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row>
    <row x14ac:dyDescent="0.25" r="131" customHeight="1" ht="13.5">
      <c r="A131" s="2"/>
      <c r="B131" s="200"/>
      <c r="C131" s="2"/>
      <c r="D131" s="123" t="s">
        <v>163</v>
      </c>
      <c r="E131" s="304" t="s">
        <v>485</v>
      </c>
      <c r="F131" s="304" t="s">
        <v>486</v>
      </c>
      <c r="G131" s="305" t="s">
        <v>485</v>
      </c>
      <c r="H131" s="303">
        <v>0.3</v>
      </c>
      <c r="I131" s="303">
        <v>0.5</v>
      </c>
      <c r="J131" s="306">
        <v>0.8</v>
      </c>
      <c r="K131" s="303">
        <f>IF(E131="TSP blendable",0%,0)</f>
      </c>
      <c r="L131" s="303">
        <f>IF(F131="TSP blendable",50%,0)</f>
      </c>
      <c r="M131" s="306">
        <f>IF(G131="TSP blendable",80%,0)</f>
      </c>
      <c r="N131" s="303">
        <v>0.7</v>
      </c>
      <c r="O131" s="303">
        <v>0.5</v>
      </c>
      <c r="P131" s="306">
        <v>0.2</v>
      </c>
      <c r="Q131" s="303">
        <v>0</v>
      </c>
      <c r="R131" s="303">
        <v>0</v>
      </c>
      <c r="S131" s="306">
        <v>0</v>
      </c>
      <c r="T131" s="303">
        <v>0</v>
      </c>
      <c r="U131" s="303">
        <v>0</v>
      </c>
      <c r="V131" s="303">
        <v>0</v>
      </c>
      <c r="W131" s="303"/>
      <c r="X131" s="303">
        <f>H131+K131+N131+Q131+T131</f>
      </c>
      <c r="Y131" s="303">
        <f>I131+L131+O131+R131+U131</f>
      </c>
      <c r="Z131" s="303">
        <f>J131+M131+P131+S131+V131</f>
      </c>
      <c r="AA131" s="108"/>
      <c r="AB131" s="108"/>
      <c r="AC131" s="142"/>
      <c r="AD131" s="142"/>
      <c r="AE131" s="142"/>
      <c r="AF131" s="142"/>
      <c r="AG131" s="142"/>
      <c r="AH131" s="142"/>
      <c r="AI131" s="142"/>
      <c r="AJ131" s="142"/>
      <c r="AK131" s="142"/>
      <c r="AL131" s="142"/>
      <c r="AM131" s="142"/>
      <c r="AN131" s="142"/>
      <c r="AO131" s="142"/>
      <c r="AP131" s="142"/>
      <c r="AQ131" s="142"/>
      <c r="AR131" s="134"/>
      <c r="AS131" s="3"/>
      <c r="AT131" s="3"/>
      <c r="AU131" s="3"/>
      <c r="AV131" s="3"/>
      <c r="AW131" s="3"/>
      <c r="AX131" s="3"/>
      <c r="AY131" s="3"/>
      <c r="AZ131" s="3"/>
      <c r="BA131" s="3"/>
      <c r="BB131" s="3"/>
      <c r="BC131" s="3"/>
      <c r="BD131" s="3"/>
      <c r="BE131" s="3"/>
      <c r="BF131" s="3"/>
      <c r="BG131" s="3"/>
      <c r="BH131" s="2"/>
      <c r="BI131" s="2"/>
      <c r="BJ131" s="3"/>
      <c r="BK131" s="3"/>
      <c r="BL131" s="3"/>
      <c r="BM131" s="3"/>
      <c r="BN131" s="3"/>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row>
    <row x14ac:dyDescent="0.25" r="132" customHeight="1" ht="13.5">
      <c r="A132" s="2"/>
      <c r="B132" s="200"/>
      <c r="C132" s="2"/>
      <c r="D132" s="123" t="s">
        <v>227</v>
      </c>
      <c r="E132" s="304" t="s">
        <v>25</v>
      </c>
      <c r="F132" s="304" t="s">
        <v>487</v>
      </c>
      <c r="G132" s="305" t="s">
        <v>487</v>
      </c>
      <c r="H132" s="303">
        <f>IF(E132="Straight TSP",20%,0)</f>
      </c>
      <c r="I132" s="303">
        <f>IF(F132="Straight TSP",60%,0)</f>
      </c>
      <c r="J132" s="306">
        <f>IF(G132="Straight TSP",100%,0)</f>
      </c>
      <c r="K132" s="303">
        <f>IF(E132="TSP blendable",0%,0)</f>
      </c>
      <c r="L132" s="303">
        <v>0.5</v>
      </c>
      <c r="M132" s="306">
        <v>0.75</v>
      </c>
      <c r="N132" s="303">
        <v>1</v>
      </c>
      <c r="O132" s="303">
        <v>0.5</v>
      </c>
      <c r="P132" s="306">
        <v>0.25</v>
      </c>
      <c r="Q132" s="303">
        <v>0</v>
      </c>
      <c r="R132" s="303">
        <v>0</v>
      </c>
      <c r="S132" s="306">
        <v>0</v>
      </c>
      <c r="T132" s="303">
        <v>0</v>
      </c>
      <c r="U132" s="303">
        <v>0</v>
      </c>
      <c r="V132" s="303">
        <v>0</v>
      </c>
      <c r="W132" s="303"/>
      <c r="X132" s="303">
        <f>H132+K132+N132+Q132+T132</f>
      </c>
      <c r="Y132" s="303">
        <f>I132+L132+O132+R132+U132</f>
      </c>
      <c r="Z132" s="303">
        <f>J132+M132+P132+S132+V132</f>
      </c>
      <c r="AA132" s="108"/>
      <c r="AB132" s="108"/>
      <c r="AC132" s="142"/>
      <c r="AD132" s="142"/>
      <c r="AE132" s="142"/>
      <c r="AF132" s="142"/>
      <c r="AG132" s="142"/>
      <c r="AH132" s="142"/>
      <c r="AI132" s="142"/>
      <c r="AJ132" s="142"/>
      <c r="AK132" s="142"/>
      <c r="AL132" s="142"/>
      <c r="AM132" s="142"/>
      <c r="AN132" s="142"/>
      <c r="AO132" s="142"/>
      <c r="AP132" s="142"/>
      <c r="AQ132" s="142"/>
      <c r="AR132" s="134"/>
      <c r="AS132" s="3"/>
      <c r="AT132" s="3"/>
      <c r="AU132" s="3"/>
      <c r="AV132" s="3"/>
      <c r="AW132" s="3"/>
      <c r="AX132" s="3"/>
      <c r="AY132" s="3"/>
      <c r="AZ132" s="3"/>
      <c r="BA132" s="3"/>
      <c r="BB132" s="3"/>
      <c r="BC132" s="3"/>
      <c r="BD132" s="3"/>
      <c r="BE132" s="3"/>
      <c r="BF132" s="3"/>
      <c r="BG132" s="3"/>
      <c r="BH132" s="124"/>
      <c r="BI132" s="124"/>
      <c r="BJ132" s="124"/>
      <c r="BK132" s="124"/>
      <c r="BL132" s="124"/>
      <c r="BM132" s="124"/>
      <c r="BN132" s="124"/>
      <c r="BO132" s="124"/>
      <c r="BP132" s="124"/>
      <c r="BQ132" s="124"/>
      <c r="BR132" s="124"/>
      <c r="BS132" s="124"/>
      <c r="BT132" s="124"/>
      <c r="BU132" s="124"/>
      <c r="BV132" s="124"/>
      <c r="BW132" s="124"/>
      <c r="BX132" s="124"/>
      <c r="BY132" s="124"/>
      <c r="BZ132" s="124"/>
      <c r="CA132" s="124"/>
      <c r="CB132" s="124"/>
      <c r="CC132" s="124"/>
      <c r="CD132" s="124"/>
      <c r="CE132" s="124"/>
      <c r="CF132" s="124"/>
      <c r="CG132" s="124"/>
      <c r="CH132" s="124"/>
      <c r="CI132" s="124"/>
      <c r="CJ132" s="124"/>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row>
    <row x14ac:dyDescent="0.25" r="133" customHeight="1" ht="13.5">
      <c r="A133" s="2"/>
      <c r="B133" s="200"/>
      <c r="C133" s="2"/>
      <c r="D133" s="123" t="s">
        <v>255</v>
      </c>
      <c r="E133" s="304" t="s">
        <v>488</v>
      </c>
      <c r="F133" s="304" t="s">
        <v>443</v>
      </c>
      <c r="G133" s="305" t="s">
        <v>443</v>
      </c>
      <c r="H133" s="303">
        <f>IF(E133="Straight TSP",20%,0)</f>
      </c>
      <c r="I133" s="303">
        <f>IF(F133="Straight TSP",60%,0)</f>
      </c>
      <c r="J133" s="306">
        <f>IF(G133="Straight TSP",100%,0)</f>
      </c>
      <c r="K133" s="303">
        <v>0</v>
      </c>
      <c r="L133" s="303">
        <v>1</v>
      </c>
      <c r="M133" s="306">
        <v>1</v>
      </c>
      <c r="N133" s="303">
        <v>0</v>
      </c>
      <c r="O133" s="303">
        <v>0</v>
      </c>
      <c r="P133" s="306">
        <v>0</v>
      </c>
      <c r="Q133" s="303">
        <v>0</v>
      </c>
      <c r="R133" s="303">
        <v>0</v>
      </c>
      <c r="S133" s="303">
        <v>0</v>
      </c>
      <c r="T133" s="303">
        <v>0</v>
      </c>
      <c r="U133" s="303">
        <v>0</v>
      </c>
      <c r="V133" s="303">
        <v>0</v>
      </c>
      <c r="W133" s="303"/>
      <c r="X133" s="303">
        <f>H133+K133+N133+Q133+T133</f>
      </c>
      <c r="Y133" s="303">
        <f>I133+L133+O133+R133+U133</f>
      </c>
      <c r="Z133" s="303">
        <f>J133+M133+P133+S133+V133</f>
      </c>
      <c r="AA133" s="108"/>
      <c r="AB133" s="108"/>
      <c r="AC133" s="142"/>
      <c r="AD133" s="142"/>
      <c r="AE133" s="142"/>
      <c r="AF133" s="142"/>
      <c r="AG133" s="142"/>
      <c r="AH133" s="142"/>
      <c r="AI133" s="142"/>
      <c r="AJ133" s="142"/>
      <c r="AK133" s="142"/>
      <c r="AL133" s="142"/>
      <c r="AM133" s="142"/>
      <c r="AN133" s="142"/>
      <c r="AO133" s="142"/>
      <c r="AP133" s="142"/>
      <c r="AQ133" s="142"/>
      <c r="AR133" s="134"/>
      <c r="AS133" s="3"/>
      <c r="AT133" s="3"/>
      <c r="AU133" s="3"/>
      <c r="AV133" s="3"/>
      <c r="AW133" s="3"/>
      <c r="AX133" s="3"/>
      <c r="AY133" s="3"/>
      <c r="AZ133" s="3"/>
      <c r="BA133" s="3"/>
      <c r="BB133" s="3"/>
      <c r="BC133" s="3"/>
      <c r="BD133" s="3"/>
      <c r="BE133" s="3"/>
      <c r="BF133" s="3"/>
      <c r="BG133" s="3"/>
      <c r="BH133" s="124"/>
      <c r="BI133" s="124"/>
      <c r="BJ133" s="124"/>
      <c r="BK133" s="124"/>
      <c r="BL133" s="124"/>
      <c r="BM133" s="124"/>
      <c r="BN133" s="124"/>
      <c r="BO133" s="124"/>
      <c r="BP133" s="124"/>
      <c r="BQ133" s="124"/>
      <c r="BR133" s="124"/>
      <c r="BS133" s="124"/>
      <c r="BT133" s="124"/>
      <c r="BU133" s="124"/>
      <c r="BV133" s="124"/>
      <c r="BW133" s="124"/>
      <c r="BX133" s="124"/>
      <c r="BY133" s="124"/>
      <c r="BZ133" s="124"/>
      <c r="CA133" s="124"/>
      <c r="CB133" s="124"/>
      <c r="CC133" s="124"/>
      <c r="CD133" s="124"/>
      <c r="CE133" s="124"/>
      <c r="CF133" s="124"/>
      <c r="CG133" s="124"/>
      <c r="CH133" s="124"/>
      <c r="CI133" s="124"/>
      <c r="CJ133" s="124"/>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row>
    <row x14ac:dyDescent="0.25" r="134" customHeight="1" ht="13.5">
      <c r="A134" s="2"/>
      <c r="B134" s="3"/>
      <c r="C134" s="2"/>
      <c r="D134" s="134"/>
      <c r="E134" s="142"/>
      <c r="F134" s="108"/>
      <c r="G134" s="108"/>
      <c r="H134" s="108"/>
      <c r="I134" s="108"/>
      <c r="J134" s="108"/>
      <c r="K134" s="108"/>
      <c r="L134" s="108"/>
      <c r="M134" s="108"/>
      <c r="N134" s="108"/>
      <c r="O134" s="108"/>
      <c r="P134" s="108"/>
      <c r="Q134" s="108"/>
      <c r="R134" s="108"/>
      <c r="S134" s="108"/>
      <c r="T134" s="108"/>
      <c r="U134" s="108"/>
      <c r="V134" s="108"/>
      <c r="W134" s="108"/>
      <c r="X134" s="3"/>
      <c r="Y134" s="3"/>
      <c r="Z134" s="108"/>
      <c r="AA134" s="108"/>
      <c r="AB134" s="108"/>
      <c r="AC134" s="142"/>
      <c r="AD134" s="142"/>
      <c r="AE134" s="142"/>
      <c r="AF134" s="142"/>
      <c r="AG134" s="142"/>
      <c r="AH134" s="142"/>
      <c r="AI134" s="142"/>
      <c r="AJ134" s="142"/>
      <c r="AK134" s="142"/>
      <c r="AL134" s="142"/>
      <c r="AM134" s="142"/>
      <c r="AN134" s="142"/>
      <c r="AO134" s="142"/>
      <c r="AP134" s="142"/>
      <c r="AQ134" s="142"/>
      <c r="AR134" s="134"/>
      <c r="AS134" s="3"/>
      <c r="AT134" s="3"/>
      <c r="AU134" s="3"/>
      <c r="AV134" s="3"/>
      <c r="AW134" s="3"/>
      <c r="AX134" s="3"/>
      <c r="AY134" s="3"/>
      <c r="AZ134" s="3"/>
      <c r="BA134" s="3"/>
      <c r="BB134" s="3"/>
      <c r="BC134" s="3"/>
      <c r="BD134" s="3"/>
      <c r="BE134" s="3"/>
      <c r="BF134" s="3"/>
      <c r="BG134" s="3"/>
      <c r="BH134" s="124"/>
      <c r="BI134" s="124"/>
      <c r="BJ134" s="124"/>
      <c r="BK134" s="124"/>
      <c r="BL134" s="124"/>
      <c r="BM134" s="124"/>
      <c r="BN134" s="124"/>
      <c r="BO134" s="124"/>
      <c r="BP134" s="124"/>
      <c r="BQ134" s="124"/>
      <c r="BR134" s="124"/>
      <c r="BS134" s="124"/>
      <c r="BT134" s="124"/>
      <c r="BU134" s="124"/>
      <c r="BV134" s="124"/>
      <c r="BW134" s="124"/>
      <c r="BX134" s="124"/>
      <c r="BY134" s="124"/>
      <c r="BZ134" s="124"/>
      <c r="CA134" s="124"/>
      <c r="CB134" s="124"/>
      <c r="CC134" s="124"/>
      <c r="CD134" s="124"/>
      <c r="CE134" s="124"/>
      <c r="CF134" s="124"/>
      <c r="CG134" s="124"/>
      <c r="CH134" s="124"/>
      <c r="CI134" s="124"/>
      <c r="CJ134" s="124"/>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row>
    <row x14ac:dyDescent="0.25" r="135" customHeight="1" ht="13.5">
      <c r="A135" s="2"/>
      <c r="B135" s="3"/>
      <c r="C135" s="2"/>
      <c r="D135" s="134"/>
      <c r="E135" s="142"/>
      <c r="F135" s="108"/>
      <c r="G135" s="108"/>
      <c r="H135" s="108"/>
      <c r="I135" s="108"/>
      <c r="J135" s="108"/>
      <c r="K135" s="108"/>
      <c r="L135" s="108"/>
      <c r="M135" s="108"/>
      <c r="N135" s="108"/>
      <c r="O135" s="108"/>
      <c r="P135" s="108"/>
      <c r="Q135" s="108"/>
      <c r="R135" s="108"/>
      <c r="S135" s="108"/>
      <c r="T135" s="108"/>
      <c r="U135" s="108"/>
      <c r="V135" s="108"/>
      <c r="W135" s="108"/>
      <c r="X135" s="3"/>
      <c r="Y135" s="3"/>
      <c r="Z135" s="108"/>
      <c r="AA135" s="108"/>
      <c r="AB135" s="108"/>
      <c r="AC135" s="142"/>
      <c r="AD135" s="142"/>
      <c r="AE135" s="142"/>
      <c r="AF135" s="142"/>
      <c r="AG135" s="142"/>
      <c r="AH135" s="142"/>
      <c r="AI135" s="142"/>
      <c r="AJ135" s="142"/>
      <c r="AK135" s="307"/>
      <c r="AL135" s="307"/>
      <c r="AM135" s="307"/>
      <c r="AN135" s="142"/>
      <c r="AO135" s="142"/>
      <c r="AP135" s="124"/>
      <c r="AQ135" s="124"/>
      <c r="AR135" s="124"/>
      <c r="AS135" s="124"/>
      <c r="AT135" s="124"/>
      <c r="AU135" s="124"/>
      <c r="AV135" s="124"/>
      <c r="AW135" s="124"/>
      <c r="AX135" s="124"/>
      <c r="AY135" s="124"/>
      <c r="AZ135" s="124"/>
      <c r="BA135" s="124"/>
      <c r="BB135" s="124"/>
      <c r="BC135" s="124"/>
      <c r="BD135" s="124"/>
      <c r="BE135" s="124"/>
      <c r="BF135" s="124"/>
      <c r="BG135" s="124"/>
      <c r="BH135" s="124"/>
      <c r="BI135" s="124"/>
      <c r="BJ135" s="124"/>
      <c r="BK135" s="124"/>
      <c r="BL135" s="124"/>
      <c r="BM135" s="124"/>
      <c r="BN135" s="124"/>
      <c r="BO135" s="124"/>
      <c r="BP135" s="124"/>
      <c r="BQ135" s="124"/>
      <c r="BR135" s="124"/>
      <c r="BS135" s="124"/>
      <c r="BT135" s="124"/>
      <c r="BU135" s="124"/>
      <c r="BV135" s="124"/>
      <c r="BW135" s="124"/>
      <c r="BX135" s="124"/>
      <c r="BY135" s="124"/>
      <c r="BZ135" s="124"/>
      <c r="CA135" s="124"/>
      <c r="CB135" s="124"/>
      <c r="CC135" s="124"/>
      <c r="CD135" s="124"/>
      <c r="CE135" s="124"/>
      <c r="CF135" s="124"/>
      <c r="CG135" s="124"/>
      <c r="CH135" s="124"/>
      <c r="CI135" s="124"/>
      <c r="CJ135" s="124"/>
      <c r="CK135" s="124"/>
      <c r="CL135" s="124"/>
      <c r="CM135" s="124"/>
      <c r="CN135" s="124"/>
      <c r="CO135" s="124"/>
      <c r="CP135" s="124"/>
      <c r="CQ135" s="124"/>
      <c r="CR135" s="124"/>
      <c r="CS135" s="124"/>
      <c r="CT135" s="124"/>
      <c r="CU135" s="124"/>
      <c r="CV135" s="124"/>
      <c r="CW135" s="124"/>
      <c r="CX135" s="124"/>
      <c r="CY135" s="124"/>
      <c r="CZ135" s="124"/>
      <c r="DA135" s="124"/>
      <c r="DB135" s="124"/>
      <c r="DC135" s="124"/>
      <c r="DD135" s="124"/>
      <c r="DE135" s="124"/>
      <c r="DF135" s="124"/>
      <c r="DG135" s="124"/>
      <c r="DH135" s="124"/>
      <c r="DI135" s="124"/>
      <c r="DJ135" s="124"/>
      <c r="DK135" s="2"/>
      <c r="DL135" s="2"/>
      <c r="DM135" s="2"/>
      <c r="DN135" s="2"/>
      <c r="DO135" s="2"/>
      <c r="DP135" s="2"/>
    </row>
    <row x14ac:dyDescent="0.25" r="136" customHeight="1" ht="13.5">
      <c r="A136" s="2"/>
      <c r="B136" s="3"/>
      <c r="C136" s="2"/>
      <c r="D136" s="240" t="s">
        <v>467</v>
      </c>
      <c r="E136" s="142"/>
      <c r="F136" s="108"/>
      <c r="G136" s="108"/>
      <c r="H136" s="108"/>
      <c r="I136" s="108"/>
      <c r="J136" s="108"/>
      <c r="K136" s="108"/>
      <c r="L136" s="108"/>
      <c r="M136" s="108"/>
      <c r="N136" s="108"/>
      <c r="O136" s="108"/>
      <c r="P136" s="108"/>
      <c r="Q136" s="108"/>
      <c r="R136" s="108"/>
      <c r="S136" s="108"/>
      <c r="T136" s="108"/>
      <c r="U136" s="108"/>
      <c r="V136" s="108"/>
      <c r="W136" s="124"/>
      <c r="X136" s="3"/>
      <c r="Y136" s="279" t="s">
        <v>467</v>
      </c>
      <c r="Z136" s="108"/>
      <c r="AA136" s="108"/>
      <c r="AB136" s="108"/>
      <c r="AC136" s="142"/>
      <c r="AD136" s="142"/>
      <c r="AE136" s="142"/>
      <c r="AF136" s="142"/>
      <c r="AG136" s="142"/>
      <c r="AH136" s="142"/>
      <c r="AI136" s="142"/>
      <c r="AJ136" s="142"/>
      <c r="AK136" s="142"/>
      <c r="AL136" s="142"/>
      <c r="AM136" s="142"/>
      <c r="AN136" s="142"/>
      <c r="AO136" s="142"/>
      <c r="AP136" s="124"/>
      <c r="AQ136" s="124"/>
      <c r="AR136" s="124"/>
      <c r="AS136" s="124"/>
      <c r="AT136" s="308"/>
      <c r="AU136" s="124"/>
      <c r="AV136" s="124"/>
      <c r="AW136" s="124"/>
      <c r="AX136" s="308"/>
      <c r="AY136" s="124"/>
      <c r="AZ136" s="124"/>
      <c r="BA136" s="308"/>
      <c r="BB136" s="124"/>
      <c r="BC136" s="124"/>
      <c r="BD136" s="308"/>
      <c r="BE136" s="124"/>
      <c r="BF136" s="124"/>
      <c r="BG136" s="124"/>
      <c r="BH136" s="308"/>
      <c r="BI136" s="124"/>
      <c r="BJ136" s="124"/>
      <c r="BK136" s="308"/>
      <c r="BL136" s="307"/>
      <c r="BM136" s="307"/>
      <c r="BN136" s="308"/>
      <c r="BO136" s="307"/>
      <c r="BP136" s="307"/>
      <c r="BQ136" s="308"/>
      <c r="BR136" s="307"/>
      <c r="BS136" s="307"/>
      <c r="BT136" s="308"/>
      <c r="BU136" s="307"/>
      <c r="BV136" s="307"/>
      <c r="BW136" s="308"/>
      <c r="BX136" s="307"/>
      <c r="BY136" s="307"/>
      <c r="BZ136" s="308"/>
      <c r="CA136" s="307"/>
      <c r="CB136" s="307"/>
      <c r="CC136" s="308"/>
      <c r="CD136" s="307"/>
      <c r="CE136" s="307"/>
      <c r="CF136" s="308"/>
      <c r="CG136" s="307"/>
      <c r="CH136" s="307"/>
      <c r="CI136" s="308"/>
      <c r="CJ136" s="124"/>
      <c r="CK136" s="124"/>
      <c r="CL136" s="124"/>
      <c r="CM136" s="124"/>
      <c r="CN136" s="124"/>
      <c r="CO136" s="124"/>
      <c r="CP136" s="124"/>
      <c r="CQ136" s="124"/>
      <c r="CR136" s="124"/>
      <c r="CS136" s="124"/>
      <c r="CT136" s="124"/>
      <c r="CU136" s="124"/>
      <c r="CV136" s="124"/>
      <c r="CW136" s="124"/>
      <c r="CX136" s="124"/>
      <c r="CY136" s="124"/>
      <c r="CZ136" s="124"/>
      <c r="DA136" s="124"/>
      <c r="DB136" s="124"/>
      <c r="DC136" s="124"/>
      <c r="DD136" s="124"/>
      <c r="DE136" s="124"/>
      <c r="DF136" s="124"/>
      <c r="DG136" s="124"/>
      <c r="DH136" s="124"/>
      <c r="DI136" s="124"/>
      <c r="DJ136" s="124"/>
      <c r="DK136" s="2"/>
      <c r="DL136" s="2"/>
      <c r="DM136" s="2"/>
      <c r="DN136" s="2"/>
      <c r="DO136" s="2"/>
      <c r="DP136" s="2"/>
    </row>
    <row x14ac:dyDescent="0.25" r="137" customHeight="1" ht="13.5">
      <c r="A137" s="2"/>
      <c r="B137" s="3"/>
      <c r="C137" s="2"/>
      <c r="D137" s="241" t="s">
        <v>468</v>
      </c>
      <c r="E137" s="140" t="s">
        <v>492</v>
      </c>
      <c r="F137" s="108"/>
      <c r="G137" s="108"/>
      <c r="H137" s="140" t="s">
        <v>469</v>
      </c>
      <c r="I137" s="108"/>
      <c r="J137" s="108"/>
      <c r="K137" s="140" t="s">
        <v>477</v>
      </c>
      <c r="L137" s="108"/>
      <c r="M137" s="108"/>
      <c r="N137" s="140" t="s">
        <v>25</v>
      </c>
      <c r="O137" s="124"/>
      <c r="P137" s="124"/>
      <c r="Q137" s="140" t="s">
        <v>444</v>
      </c>
      <c r="R137" s="124"/>
      <c r="S137" s="309"/>
      <c r="T137" s="140" t="s">
        <v>29</v>
      </c>
      <c r="U137" s="108"/>
      <c r="V137" s="108"/>
      <c r="W137" s="124"/>
      <c r="X137" s="124"/>
      <c r="Y137" s="242" t="s">
        <v>470</v>
      </c>
      <c r="Z137" s="140" t="s">
        <v>492</v>
      </c>
      <c r="AA137" s="108"/>
      <c r="AB137" s="108"/>
      <c r="AC137" s="212" t="s">
        <v>469</v>
      </c>
      <c r="AD137" s="142"/>
      <c r="AE137" s="142"/>
      <c r="AF137" s="212" t="s">
        <v>443</v>
      </c>
      <c r="AG137" s="290"/>
      <c r="AH137" s="290"/>
      <c r="AI137" s="212" t="s">
        <v>25</v>
      </c>
      <c r="AJ137" s="290"/>
      <c r="AK137" s="290"/>
      <c r="AL137" s="212" t="s">
        <v>444</v>
      </c>
      <c r="AM137" s="290"/>
      <c r="AN137" s="124"/>
      <c r="AO137" s="310" t="s">
        <v>29</v>
      </c>
      <c r="AP137" s="124"/>
      <c r="AQ137" s="124"/>
      <c r="AR137" s="124"/>
      <c r="AS137" s="124"/>
      <c r="AT137" s="124"/>
      <c r="AU137" s="124"/>
      <c r="AV137" s="124"/>
      <c r="AW137" s="124"/>
      <c r="AX137" s="124"/>
      <c r="AY137" s="124"/>
      <c r="AZ137" s="124"/>
      <c r="BA137" s="124"/>
      <c r="BB137" s="124"/>
      <c r="BC137" s="124"/>
      <c r="BD137" s="124"/>
      <c r="BE137" s="124"/>
      <c r="BF137" s="124"/>
      <c r="BG137" s="124"/>
      <c r="BH137" s="124"/>
      <c r="BI137" s="63"/>
      <c r="BJ137" s="124"/>
      <c r="BK137" s="307"/>
      <c r="BL137" s="307"/>
      <c r="BM137" s="307"/>
      <c r="BN137" s="307"/>
      <c r="BO137" s="307"/>
      <c r="BP137" s="307"/>
      <c r="BQ137" s="307"/>
      <c r="BR137" s="307"/>
      <c r="BS137" s="307"/>
      <c r="BT137" s="307"/>
      <c r="BU137" s="307"/>
      <c r="BV137" s="307"/>
      <c r="BW137" s="307"/>
      <c r="BX137" s="307"/>
      <c r="BY137" s="307"/>
      <c r="BZ137" s="124"/>
      <c r="CA137" s="307"/>
      <c r="CB137" s="307"/>
      <c r="CC137" s="124"/>
      <c r="CD137" s="307"/>
      <c r="CE137" s="307"/>
      <c r="CF137" s="124"/>
      <c r="CG137" s="307"/>
      <c r="CH137" s="307"/>
      <c r="CI137" s="124"/>
      <c r="CJ137" s="124"/>
      <c r="CK137" s="124"/>
      <c r="CL137" s="124"/>
      <c r="CM137" s="63"/>
      <c r="CN137" s="124"/>
      <c r="CO137" s="124"/>
      <c r="CP137" s="124"/>
      <c r="CQ137" s="63"/>
      <c r="CR137" s="124"/>
      <c r="CS137" s="124"/>
      <c r="CT137" s="124"/>
      <c r="CU137" s="63"/>
      <c r="CV137" s="63"/>
      <c r="CW137" s="124"/>
      <c r="CX137" s="124"/>
      <c r="CY137" s="63"/>
      <c r="CZ137" s="63"/>
      <c r="DA137" s="124"/>
      <c r="DB137" s="124"/>
      <c r="DC137" s="63"/>
      <c r="DD137" s="63"/>
      <c r="DE137" s="124"/>
      <c r="DF137" s="124"/>
      <c r="DG137" s="124"/>
      <c r="DH137" s="124"/>
      <c r="DI137" s="124"/>
      <c r="DJ137" s="124"/>
      <c r="DK137" s="2"/>
      <c r="DL137" s="2"/>
      <c r="DM137" s="2"/>
      <c r="DN137" s="2"/>
      <c r="DO137" s="2"/>
      <c r="DP137" s="2"/>
    </row>
    <row x14ac:dyDescent="0.25" r="138" customHeight="1" ht="13.5">
      <c r="A138" s="2"/>
      <c r="B138" s="3"/>
      <c r="C138" s="2"/>
      <c r="D138" s="246" t="s">
        <v>445</v>
      </c>
      <c r="E138" s="257">
        <v>2023</v>
      </c>
      <c r="F138" s="257">
        <v>2024</v>
      </c>
      <c r="G138" s="257">
        <v>2025</v>
      </c>
      <c r="H138" s="257">
        <v>2023</v>
      </c>
      <c r="I138" s="257">
        <v>2024</v>
      </c>
      <c r="J138" s="257">
        <v>2025</v>
      </c>
      <c r="K138" s="257">
        <v>2023</v>
      </c>
      <c r="L138" s="257">
        <v>2024</v>
      </c>
      <c r="M138" s="257">
        <v>2025</v>
      </c>
      <c r="N138" s="257">
        <v>2023</v>
      </c>
      <c r="O138" s="257">
        <v>2024</v>
      </c>
      <c r="P138" s="257">
        <v>2025</v>
      </c>
      <c r="Q138" s="257">
        <v>2023</v>
      </c>
      <c r="R138" s="257">
        <v>2024</v>
      </c>
      <c r="S138" s="302">
        <v>2025</v>
      </c>
      <c r="T138" s="257">
        <v>2023</v>
      </c>
      <c r="U138" s="257">
        <v>2024</v>
      </c>
      <c r="V138" s="257">
        <v>2025</v>
      </c>
      <c r="W138" s="311"/>
      <c r="X138" s="312"/>
      <c r="Y138" s="280" t="s">
        <v>445</v>
      </c>
      <c r="Z138" s="257">
        <v>2023</v>
      </c>
      <c r="AA138" s="257">
        <v>2024</v>
      </c>
      <c r="AB138" s="257">
        <v>2025</v>
      </c>
      <c r="AC138" s="313">
        <v>2023</v>
      </c>
      <c r="AD138" s="314">
        <v>2024</v>
      </c>
      <c r="AE138" s="315">
        <v>2025</v>
      </c>
      <c r="AF138" s="313">
        <v>2023</v>
      </c>
      <c r="AG138" s="314">
        <v>2024</v>
      </c>
      <c r="AH138" s="315">
        <v>2025</v>
      </c>
      <c r="AI138" s="257">
        <v>2023</v>
      </c>
      <c r="AJ138" s="257">
        <v>2024</v>
      </c>
      <c r="AK138" s="257">
        <v>2025</v>
      </c>
      <c r="AL138" s="316">
        <v>2023</v>
      </c>
      <c r="AM138" s="257">
        <v>2024</v>
      </c>
      <c r="AN138" s="302">
        <v>2025</v>
      </c>
      <c r="AO138" s="316">
        <v>2023</v>
      </c>
      <c r="AP138" s="257">
        <v>2024</v>
      </c>
      <c r="AQ138" s="302">
        <v>2025</v>
      </c>
      <c r="AR138" s="297"/>
      <c r="AS138" s="124"/>
      <c r="AT138" s="312"/>
      <c r="AU138" s="312"/>
      <c r="AV138" s="312"/>
      <c r="AW138" s="312"/>
      <c r="AX138" s="312"/>
      <c r="AY138" s="312"/>
      <c r="AZ138" s="312"/>
      <c r="BA138" s="312"/>
      <c r="BB138" s="312"/>
      <c r="BC138" s="312"/>
      <c r="BD138" s="312"/>
      <c r="BE138" s="312"/>
      <c r="BF138" s="312"/>
      <c r="BG138" s="312"/>
      <c r="BH138" s="317"/>
      <c r="BI138" s="317"/>
      <c r="BJ138" s="312"/>
      <c r="BK138" s="312"/>
      <c r="BL138" s="312"/>
      <c r="BM138" s="312"/>
      <c r="BN138" s="312"/>
      <c r="BO138" s="317"/>
      <c r="BP138" s="317"/>
      <c r="BQ138" s="317"/>
      <c r="BR138" s="317"/>
      <c r="BS138" s="317"/>
      <c r="BT138" s="317"/>
      <c r="BU138" s="317"/>
      <c r="BV138" s="317"/>
      <c r="BW138" s="317"/>
      <c r="BX138" s="317"/>
      <c r="BY138" s="317"/>
      <c r="BZ138" s="317"/>
      <c r="CA138" s="317"/>
      <c r="CB138" s="317"/>
      <c r="CC138" s="317"/>
      <c r="CD138" s="317"/>
      <c r="CE138" s="317"/>
      <c r="CF138" s="317"/>
      <c r="CG138" s="317"/>
      <c r="CH138" s="317"/>
      <c r="CI138" s="317"/>
      <c r="CJ138" s="124"/>
      <c r="CK138" s="124"/>
      <c r="CL138" s="124"/>
      <c r="CM138" s="124"/>
      <c r="CN138" s="124"/>
      <c r="CO138" s="124"/>
      <c r="CP138" s="124"/>
      <c r="CQ138" s="124"/>
      <c r="CR138" s="124"/>
      <c r="CS138" s="124"/>
      <c r="CT138" s="124"/>
      <c r="CU138" s="124"/>
      <c r="CV138" s="124"/>
      <c r="CW138" s="124"/>
      <c r="CX138" s="124"/>
      <c r="CY138" s="124"/>
      <c r="CZ138" s="124"/>
      <c r="DA138" s="124"/>
      <c r="DB138" s="124"/>
      <c r="DC138" s="124"/>
      <c r="DD138" s="124"/>
      <c r="DE138" s="124"/>
      <c r="DF138" s="124"/>
      <c r="DG138" s="124"/>
      <c r="DH138" s="124"/>
      <c r="DI138" s="124"/>
      <c r="DJ138" s="124"/>
      <c r="DK138" s="2"/>
      <c r="DL138" s="2"/>
      <c r="DM138" s="2"/>
      <c r="DN138" s="2"/>
      <c r="DO138" s="2"/>
      <c r="DP138" s="2"/>
    </row>
    <row x14ac:dyDescent="0.25" r="139" customHeight="1" ht="13.5">
      <c r="A139" s="2"/>
      <c r="B139" s="3"/>
      <c r="C139" s="2"/>
      <c r="D139" s="123" t="s">
        <v>179</v>
      </c>
      <c r="E139" s="318">
        <f>OCPMarketShares!K91</f>
      </c>
      <c r="F139" s="318">
        <f>OCPMarketShares!L91</f>
      </c>
      <c r="G139" s="318">
        <f>OCPMarketShares!M91</f>
      </c>
      <c r="H139" s="293">
        <f>E139*H113</f>
      </c>
      <c r="I139" s="293">
        <f>F139*I113</f>
      </c>
      <c r="J139" s="293">
        <f>G139*J113</f>
      </c>
      <c r="K139" s="293">
        <f>E139*K113</f>
      </c>
      <c r="L139" s="293">
        <f>F139*L113</f>
      </c>
      <c r="M139" s="293">
        <f>G139*M113</f>
      </c>
      <c r="N139" s="293">
        <f>E139*N113</f>
      </c>
      <c r="O139" s="293">
        <f>F139*O113</f>
      </c>
      <c r="P139" s="293">
        <f>G139*P113</f>
      </c>
      <c r="Q139" s="293">
        <f>E139*Q113</f>
      </c>
      <c r="R139" s="293">
        <f>F139*R113</f>
      </c>
      <c r="S139" s="319">
        <f>G139*S113</f>
      </c>
      <c r="T139" s="293">
        <f>E139*T113</f>
      </c>
      <c r="U139" s="293">
        <f>F139*U113</f>
      </c>
      <c r="V139" s="293">
        <f>G139*V113</f>
      </c>
      <c r="W139" s="293">
        <f>J139+M139+P139+S139+V139-G139</f>
      </c>
      <c r="X139" s="297"/>
      <c r="Y139" s="140">
        <f>D139</f>
      </c>
      <c r="Z139" s="293">
        <f>AC139+AF139+AI139+AL139+AO139</f>
      </c>
      <c r="AA139" s="293">
        <f>AD139+AG139+AJ139+AM139+AP139</f>
      </c>
      <c r="AB139" s="293">
        <f>AE139+AH139+AK139+AN139+AQ139</f>
      </c>
      <c r="AC139" s="320">
        <f>H139/$E$10</f>
      </c>
      <c r="AD139" s="293">
        <f>I139/$E$10</f>
      </c>
      <c r="AE139" s="319">
        <f>J139/$E$10</f>
      </c>
      <c r="AF139" s="320">
        <f>K139/$E$11</f>
      </c>
      <c r="AG139" s="293">
        <f>L139/$E$11</f>
      </c>
      <c r="AH139" s="319">
        <f>M139/$E$11</f>
      </c>
      <c r="AI139" s="321">
        <f>N139/$E$12</f>
      </c>
      <c r="AJ139" s="322">
        <f>O139/$E$12</f>
      </c>
      <c r="AK139" s="322">
        <f>P139/$E$12</f>
      </c>
      <c r="AL139" s="320">
        <f>Q139/$E$13</f>
      </c>
      <c r="AM139" s="293">
        <f>R139/$E$13</f>
      </c>
      <c r="AN139" s="319">
        <f>S139/$E$13</f>
      </c>
      <c r="AO139" s="293">
        <f>T139/$E$14</f>
      </c>
      <c r="AP139" s="293">
        <f>U139/$E$14</f>
      </c>
      <c r="AQ139" s="319">
        <f>V139/$E$14</f>
      </c>
      <c r="AR139" s="297"/>
      <c r="AS139" s="124"/>
      <c r="AT139" s="303"/>
      <c r="AU139" s="307"/>
      <c r="AV139" s="307"/>
      <c r="AW139" s="297"/>
      <c r="AX139" s="307"/>
      <c r="AY139" s="307"/>
      <c r="AZ139" s="307"/>
      <c r="BA139" s="63"/>
      <c r="BB139" s="63"/>
      <c r="BC139" s="63"/>
      <c r="BD139" s="303"/>
      <c r="BE139" s="303"/>
      <c r="BF139" s="303"/>
      <c r="BG139" s="303"/>
      <c r="BH139" s="297"/>
      <c r="BI139" s="297"/>
      <c r="BJ139" s="297"/>
      <c r="BK139" s="297"/>
      <c r="BL139" s="297"/>
      <c r="BM139" s="297"/>
      <c r="BN139" s="297"/>
      <c r="BO139" s="297"/>
      <c r="BP139" s="297"/>
      <c r="BQ139" s="160"/>
      <c r="BR139" s="160"/>
      <c r="BS139" s="160"/>
      <c r="BT139" s="297"/>
      <c r="BU139" s="297"/>
      <c r="BV139" s="297"/>
      <c r="BW139" s="290"/>
      <c r="BX139" s="290"/>
      <c r="BY139" s="290"/>
      <c r="BZ139" s="297"/>
      <c r="CA139" s="297"/>
      <c r="CB139" s="297"/>
      <c r="CC139" s="297"/>
      <c r="CD139" s="297"/>
      <c r="CE139" s="297"/>
      <c r="CF139" s="124"/>
      <c r="CG139" s="124"/>
      <c r="CH139" s="124"/>
      <c r="CI139" s="63"/>
      <c r="CJ139" s="63"/>
      <c r="CK139" s="63"/>
      <c r="CL139" s="63"/>
      <c r="CM139" s="63"/>
      <c r="CN139" s="63"/>
      <c r="CO139" s="63"/>
      <c r="CP139" s="63"/>
      <c r="CQ139" s="63"/>
      <c r="CR139" s="63"/>
      <c r="CS139" s="63"/>
      <c r="CT139" s="63"/>
      <c r="CU139" s="124"/>
      <c r="CV139" s="124"/>
      <c r="CW139" s="124"/>
      <c r="CX139" s="124"/>
      <c r="CY139" s="124"/>
      <c r="CZ139" s="124"/>
      <c r="DA139" s="124"/>
      <c r="DB139" s="124"/>
      <c r="DC139" s="124"/>
      <c r="DD139" s="124"/>
      <c r="DE139" s="124"/>
      <c r="DF139" s="124"/>
      <c r="DG139" s="124"/>
      <c r="DH139" s="124"/>
      <c r="DI139" s="124"/>
      <c r="DJ139" s="124"/>
      <c r="DK139" s="2"/>
      <c r="DL139" s="2"/>
      <c r="DM139" s="2"/>
      <c r="DN139" s="2"/>
      <c r="DO139" s="2"/>
      <c r="DP139" s="2"/>
    </row>
    <row x14ac:dyDescent="0.25" r="140" customHeight="1" ht="13.5">
      <c r="A140" s="2"/>
      <c r="B140" s="3"/>
      <c r="C140" s="2"/>
      <c r="D140" s="123" t="s">
        <v>231</v>
      </c>
      <c r="E140" s="318">
        <f>OCPMarketShares!K92</f>
      </c>
      <c r="F140" s="318">
        <f>OCPMarketShares!L92</f>
      </c>
      <c r="G140" s="318">
        <f>OCPMarketShares!M92</f>
      </c>
      <c r="H140" s="293">
        <f>E140*H114</f>
      </c>
      <c r="I140" s="293">
        <f>F140*I114</f>
      </c>
      <c r="J140" s="293">
        <f>G140*J114</f>
      </c>
      <c r="K140" s="293">
        <f>E140*K114</f>
      </c>
      <c r="L140" s="293">
        <f>F140*L114</f>
      </c>
      <c r="M140" s="293">
        <f>G140*M114</f>
      </c>
      <c r="N140" s="293">
        <f>E140*N114</f>
      </c>
      <c r="O140" s="293">
        <f>F140*O114</f>
      </c>
      <c r="P140" s="293">
        <f>G140*P114</f>
      </c>
      <c r="Q140" s="293">
        <f>E140*Q114</f>
      </c>
      <c r="R140" s="293">
        <f>F140*R114</f>
      </c>
      <c r="S140" s="319">
        <f>G140*S114</f>
      </c>
      <c r="T140" s="293">
        <f>E140*T114</f>
      </c>
      <c r="U140" s="293">
        <f>F140*U114</f>
      </c>
      <c r="V140" s="293">
        <f>G140*V114</f>
      </c>
      <c r="W140" s="293">
        <f>J140+M140+P140+S140+V140-G140</f>
      </c>
      <c r="X140" s="297"/>
      <c r="Y140" s="140">
        <f>D140</f>
      </c>
      <c r="Z140" s="293">
        <f>AC140+AF140+AI140+AL140+AO140</f>
      </c>
      <c r="AA140" s="293">
        <f>AD140+AG140+AJ140+AM140+AP140</f>
      </c>
      <c r="AB140" s="293">
        <f>AE140+AH140+AK140+AN140+AQ140</f>
      </c>
      <c r="AC140" s="320">
        <f>H140/$E$10</f>
      </c>
      <c r="AD140" s="293">
        <f>I140/$E$10</f>
      </c>
      <c r="AE140" s="319">
        <f>J140/$E$10</f>
      </c>
      <c r="AF140" s="320">
        <f>K140/$E$11</f>
      </c>
      <c r="AG140" s="293">
        <f>L140/$E$11</f>
      </c>
      <c r="AH140" s="319">
        <f>M140/$E$11</f>
      </c>
      <c r="AI140" s="320">
        <f>N140/$E$12</f>
      </c>
      <c r="AJ140" s="293">
        <f>O140/$E$12</f>
      </c>
      <c r="AK140" s="293">
        <f>P140/$E$12</f>
      </c>
      <c r="AL140" s="320">
        <f>Q140/$E$13</f>
      </c>
      <c r="AM140" s="293">
        <f>R140/$E$13</f>
      </c>
      <c r="AN140" s="319">
        <f>S140/$E$13</f>
      </c>
      <c r="AO140" s="293">
        <f>T140/$E$14</f>
      </c>
      <c r="AP140" s="293">
        <f>U140/$E$14</f>
      </c>
      <c r="AQ140" s="319">
        <f>V140/$E$14</f>
      </c>
      <c r="AR140" s="297"/>
      <c r="AS140" s="124"/>
      <c r="AT140" s="303"/>
      <c r="AU140" s="307"/>
      <c r="AV140" s="307"/>
      <c r="AW140" s="297"/>
      <c r="AX140" s="307"/>
      <c r="AY140" s="307"/>
      <c r="AZ140" s="307"/>
      <c r="BA140" s="63"/>
      <c r="BB140" s="63"/>
      <c r="BC140" s="63"/>
      <c r="BD140" s="303"/>
      <c r="BE140" s="303"/>
      <c r="BF140" s="303"/>
      <c r="BG140" s="303"/>
      <c r="BH140" s="297"/>
      <c r="BI140" s="297"/>
      <c r="BJ140" s="297"/>
      <c r="BK140" s="297"/>
      <c r="BL140" s="297"/>
      <c r="BM140" s="297"/>
      <c r="BN140" s="297"/>
      <c r="BO140" s="297"/>
      <c r="BP140" s="297"/>
      <c r="BQ140" s="160"/>
      <c r="BR140" s="160"/>
      <c r="BS140" s="160"/>
      <c r="BT140" s="297"/>
      <c r="BU140" s="297"/>
      <c r="BV140" s="297"/>
      <c r="BW140" s="290"/>
      <c r="BX140" s="290"/>
      <c r="BY140" s="290"/>
      <c r="BZ140" s="297"/>
      <c r="CA140" s="297"/>
      <c r="CB140" s="297"/>
      <c r="CC140" s="297"/>
      <c r="CD140" s="297"/>
      <c r="CE140" s="297"/>
      <c r="CF140" s="124"/>
      <c r="CG140" s="124"/>
      <c r="CH140" s="124"/>
      <c r="CI140" s="63"/>
      <c r="CJ140" s="63"/>
      <c r="CK140" s="63"/>
      <c r="CL140" s="63"/>
      <c r="CM140" s="63"/>
      <c r="CN140" s="63"/>
      <c r="CO140" s="63"/>
      <c r="CP140" s="63"/>
      <c r="CQ140" s="63"/>
      <c r="CR140" s="63"/>
      <c r="CS140" s="63"/>
      <c r="CT140" s="63"/>
      <c r="CU140" s="124"/>
      <c r="CV140" s="124"/>
      <c r="CW140" s="124"/>
      <c r="CX140" s="124"/>
      <c r="CY140" s="124"/>
      <c r="CZ140" s="124"/>
      <c r="DA140" s="124"/>
      <c r="DB140" s="124"/>
      <c r="DC140" s="124"/>
      <c r="DD140" s="124"/>
      <c r="DE140" s="124"/>
      <c r="DF140" s="124"/>
      <c r="DG140" s="124"/>
      <c r="DH140" s="124"/>
      <c r="DI140" s="124"/>
      <c r="DJ140" s="124"/>
      <c r="DK140" s="2"/>
      <c r="DL140" s="2"/>
      <c r="DM140" s="2"/>
      <c r="DN140" s="2"/>
      <c r="DO140" s="2"/>
      <c r="DP140" s="2"/>
    </row>
    <row x14ac:dyDescent="0.25" r="141" customHeight="1" ht="13.5">
      <c r="A141" s="2"/>
      <c r="B141" s="3"/>
      <c r="C141" s="2"/>
      <c r="D141" s="123" t="s">
        <v>141</v>
      </c>
      <c r="E141" s="318">
        <f>OCPMarketShares!K93</f>
      </c>
      <c r="F141" s="318">
        <f>OCPMarketShares!L93</f>
      </c>
      <c r="G141" s="318">
        <f>OCPMarketShares!M93</f>
      </c>
      <c r="H141" s="293">
        <f>E141*H115</f>
      </c>
      <c r="I141" s="293">
        <f>F141*I115</f>
      </c>
      <c r="J141" s="293">
        <f>G141*J115</f>
      </c>
      <c r="K141" s="293">
        <f>E141*K115</f>
      </c>
      <c r="L141" s="293">
        <f>F141*L115</f>
      </c>
      <c r="M141" s="293">
        <f>G141*M115</f>
      </c>
      <c r="N141" s="293">
        <f>E141*N115</f>
      </c>
      <c r="O141" s="293">
        <f>F141*O115</f>
      </c>
      <c r="P141" s="293">
        <f>G141*P115</f>
      </c>
      <c r="Q141" s="293">
        <f>E141*Q115</f>
      </c>
      <c r="R141" s="293">
        <f>F141*R115</f>
      </c>
      <c r="S141" s="319">
        <f>G141*S115</f>
      </c>
      <c r="T141" s="293">
        <f>E141*T115</f>
      </c>
      <c r="U141" s="293">
        <f>F141*U115</f>
      </c>
      <c r="V141" s="293">
        <f>G141*V115</f>
      </c>
      <c r="W141" s="293">
        <f>J141+M141+P141+S141+V141-G141</f>
      </c>
      <c r="X141" s="297"/>
      <c r="Y141" s="140">
        <f>D141</f>
      </c>
      <c r="Z141" s="293">
        <f>AC141+AF141+AI141+AL141+AO141</f>
      </c>
      <c r="AA141" s="293">
        <f>AD141+AG141+AJ141+AM141+AP141</f>
      </c>
      <c r="AB141" s="293">
        <f>AE141+AH141+AK141+AN141+AQ141</f>
      </c>
      <c r="AC141" s="320">
        <f>H141/$E$10</f>
      </c>
      <c r="AD141" s="293">
        <f>I141/$E$10</f>
      </c>
      <c r="AE141" s="319">
        <f>J141/$E$10</f>
      </c>
      <c r="AF141" s="320">
        <f>K141/$E$11</f>
      </c>
      <c r="AG141" s="293">
        <f>L141/$E$11</f>
      </c>
      <c r="AH141" s="319">
        <f>M141/$E$11</f>
      </c>
      <c r="AI141" s="320">
        <f>N141/$E$12</f>
      </c>
      <c r="AJ141" s="293">
        <f>O141/$E$12</f>
      </c>
      <c r="AK141" s="293">
        <f>P141/$E$12</f>
      </c>
      <c r="AL141" s="320">
        <f>Q141/$E$13</f>
      </c>
      <c r="AM141" s="293">
        <f>R141/$E$13</f>
      </c>
      <c r="AN141" s="319">
        <f>S141/$E$13</f>
      </c>
      <c r="AO141" s="293">
        <f>T141/$E$14</f>
      </c>
      <c r="AP141" s="293">
        <f>U141/$E$14</f>
      </c>
      <c r="AQ141" s="319">
        <f>V141/$E$14</f>
      </c>
      <c r="AR141" s="297"/>
      <c r="AS141" s="124"/>
      <c r="AT141" s="303"/>
      <c r="AU141" s="307"/>
      <c r="AV141" s="307"/>
      <c r="AW141" s="297"/>
      <c r="AX141" s="307"/>
      <c r="AY141" s="307"/>
      <c r="AZ141" s="307"/>
      <c r="BA141" s="63"/>
      <c r="BB141" s="63"/>
      <c r="BC141" s="63"/>
      <c r="BD141" s="303"/>
      <c r="BE141" s="303"/>
      <c r="BF141" s="303"/>
      <c r="BG141" s="303"/>
      <c r="BH141" s="297"/>
      <c r="BI141" s="297"/>
      <c r="BJ141" s="297"/>
      <c r="BK141" s="297"/>
      <c r="BL141" s="297"/>
      <c r="BM141" s="297"/>
      <c r="BN141" s="297"/>
      <c r="BO141" s="297"/>
      <c r="BP141" s="297"/>
      <c r="BQ141" s="160"/>
      <c r="BR141" s="160"/>
      <c r="BS141" s="160"/>
      <c r="BT141" s="297"/>
      <c r="BU141" s="297"/>
      <c r="BV141" s="297"/>
      <c r="BW141" s="290"/>
      <c r="BX141" s="290"/>
      <c r="BY141" s="290"/>
      <c r="BZ141" s="297"/>
      <c r="CA141" s="297"/>
      <c r="CB141" s="297"/>
      <c r="CC141" s="297"/>
      <c r="CD141" s="297"/>
      <c r="CE141" s="297"/>
      <c r="CF141" s="124"/>
      <c r="CG141" s="124"/>
      <c r="CH141" s="124"/>
      <c r="CI141" s="63"/>
      <c r="CJ141" s="63"/>
      <c r="CK141" s="63"/>
      <c r="CL141" s="63"/>
      <c r="CM141" s="63"/>
      <c r="CN141" s="63"/>
      <c r="CO141" s="63"/>
      <c r="CP141" s="63"/>
      <c r="CQ141" s="63"/>
      <c r="CR141" s="63"/>
      <c r="CS141" s="63"/>
      <c r="CT141" s="63"/>
      <c r="CU141" s="124"/>
      <c r="CV141" s="124"/>
      <c r="CW141" s="124"/>
      <c r="CX141" s="124"/>
      <c r="CY141" s="124"/>
      <c r="CZ141" s="124"/>
      <c r="DA141" s="124"/>
      <c r="DB141" s="124"/>
      <c r="DC141" s="124"/>
      <c r="DD141" s="124"/>
      <c r="DE141" s="124"/>
      <c r="DF141" s="124"/>
      <c r="DG141" s="124"/>
      <c r="DH141" s="124"/>
      <c r="DI141" s="124"/>
      <c r="DJ141" s="124"/>
      <c r="DK141" s="2"/>
      <c r="DL141" s="2"/>
      <c r="DM141" s="2"/>
      <c r="DN141" s="2"/>
      <c r="DO141" s="2"/>
      <c r="DP141" s="2"/>
    </row>
    <row x14ac:dyDescent="0.25" r="142" customHeight="1" ht="13.5">
      <c r="A142" s="2"/>
      <c r="B142" s="3"/>
      <c r="C142" s="2"/>
      <c r="D142" s="123" t="s">
        <v>247</v>
      </c>
      <c r="E142" s="318">
        <f>OCPMarketShares!K94</f>
      </c>
      <c r="F142" s="318">
        <f>OCPMarketShares!L94</f>
      </c>
      <c r="G142" s="318">
        <f>OCPMarketShares!M94</f>
      </c>
      <c r="H142" s="293">
        <f>E142*H116</f>
      </c>
      <c r="I142" s="293">
        <f>F142*I116</f>
      </c>
      <c r="J142" s="293">
        <f>G142*J116</f>
      </c>
      <c r="K142" s="293">
        <f>E142*K116</f>
      </c>
      <c r="L142" s="293">
        <f>F142*L116</f>
      </c>
      <c r="M142" s="293">
        <f>G142*M116</f>
      </c>
      <c r="N142" s="293">
        <f>E142*N116</f>
      </c>
      <c r="O142" s="293">
        <f>F142*O116</f>
      </c>
      <c r="P142" s="293">
        <f>G142*P116</f>
      </c>
      <c r="Q142" s="293">
        <f>E142*Q116</f>
      </c>
      <c r="R142" s="293">
        <f>F142*R116</f>
      </c>
      <c r="S142" s="319">
        <f>G142*S116</f>
      </c>
      <c r="T142" s="293">
        <f>E142*T116</f>
      </c>
      <c r="U142" s="293">
        <f>F142*U116</f>
      </c>
      <c r="V142" s="293">
        <f>G142*V116</f>
      </c>
      <c r="W142" s="293">
        <f>J142+M142+P142+S142+V142-G142</f>
      </c>
      <c r="X142" s="297"/>
      <c r="Y142" s="140">
        <f>D142</f>
      </c>
      <c r="Z142" s="293">
        <f>AC142+AF142+AI142+AL142+AO142</f>
      </c>
      <c r="AA142" s="293">
        <f>AD142+AG142+AJ142+AM142+AP142</f>
      </c>
      <c r="AB142" s="293">
        <f>AE142+AH142+AK142+AN142+AQ142</f>
      </c>
      <c r="AC142" s="320">
        <f>H142/$E$10</f>
      </c>
      <c r="AD142" s="293">
        <f>I142/$E$10</f>
      </c>
      <c r="AE142" s="319">
        <f>J142/$E$10</f>
      </c>
      <c r="AF142" s="320">
        <f>K142/$E$11</f>
      </c>
      <c r="AG142" s="293">
        <f>L142/$E$11</f>
      </c>
      <c r="AH142" s="319">
        <f>M142/$E$11</f>
      </c>
      <c r="AI142" s="320">
        <f>N142/$E$12</f>
      </c>
      <c r="AJ142" s="293">
        <f>O142/$E$12</f>
      </c>
      <c r="AK142" s="293">
        <f>P142/$E$12</f>
      </c>
      <c r="AL142" s="320">
        <f>Q142/$E$13</f>
      </c>
      <c r="AM142" s="293">
        <f>R142/$E$13</f>
      </c>
      <c r="AN142" s="319">
        <f>S142/$E$13</f>
      </c>
      <c r="AO142" s="293">
        <f>T142/$E$14</f>
      </c>
      <c r="AP142" s="293">
        <f>U142/$E$14</f>
      </c>
      <c r="AQ142" s="319">
        <f>V142/$E$14</f>
      </c>
      <c r="AR142" s="297"/>
      <c r="AS142" s="124"/>
      <c r="AT142" s="303"/>
      <c r="AU142" s="307"/>
      <c r="AV142" s="307"/>
      <c r="AW142" s="297"/>
      <c r="AX142" s="307"/>
      <c r="AY142" s="307"/>
      <c r="AZ142" s="307"/>
      <c r="BA142" s="63"/>
      <c r="BB142" s="63"/>
      <c r="BC142" s="63"/>
      <c r="BD142" s="303"/>
      <c r="BE142" s="303"/>
      <c r="BF142" s="303"/>
      <c r="BG142" s="303"/>
      <c r="BH142" s="297"/>
      <c r="BI142" s="297"/>
      <c r="BJ142" s="297"/>
      <c r="BK142" s="297"/>
      <c r="BL142" s="297"/>
      <c r="BM142" s="297"/>
      <c r="BN142" s="297"/>
      <c r="BO142" s="297"/>
      <c r="BP142" s="297"/>
      <c r="BQ142" s="160"/>
      <c r="BR142" s="160"/>
      <c r="BS142" s="160"/>
      <c r="BT142" s="297"/>
      <c r="BU142" s="297"/>
      <c r="BV142" s="297"/>
      <c r="BW142" s="290"/>
      <c r="BX142" s="290"/>
      <c r="BY142" s="290"/>
      <c r="BZ142" s="297"/>
      <c r="CA142" s="297"/>
      <c r="CB142" s="297"/>
      <c r="CC142" s="297"/>
      <c r="CD142" s="297"/>
      <c r="CE142" s="297"/>
      <c r="CF142" s="124"/>
      <c r="CG142" s="124"/>
      <c r="CH142" s="124"/>
      <c r="CI142" s="63"/>
      <c r="CJ142" s="63"/>
      <c r="CK142" s="63"/>
      <c r="CL142" s="63"/>
      <c r="CM142" s="63"/>
      <c r="CN142" s="63"/>
      <c r="CO142" s="63"/>
      <c r="CP142" s="63"/>
      <c r="CQ142" s="63"/>
      <c r="CR142" s="63"/>
      <c r="CS142" s="63"/>
      <c r="CT142" s="63"/>
      <c r="CU142" s="124"/>
      <c r="CV142" s="124"/>
      <c r="CW142" s="124"/>
      <c r="CX142" s="124"/>
      <c r="CY142" s="124"/>
      <c r="CZ142" s="124"/>
      <c r="DA142" s="124"/>
      <c r="DB142" s="124"/>
      <c r="DC142" s="124"/>
      <c r="DD142" s="124"/>
      <c r="DE142" s="124"/>
      <c r="DF142" s="124"/>
      <c r="DG142" s="124"/>
      <c r="DH142" s="124"/>
      <c r="DI142" s="124"/>
      <c r="DJ142" s="124"/>
      <c r="DK142" s="2"/>
      <c r="DL142" s="2"/>
      <c r="DM142" s="2"/>
      <c r="DN142" s="2"/>
      <c r="DO142" s="2"/>
      <c r="DP142" s="2"/>
    </row>
    <row x14ac:dyDescent="0.25" r="143" customHeight="1" ht="13.5">
      <c r="A143" s="2"/>
      <c r="B143" s="3"/>
      <c r="C143" s="2"/>
      <c r="D143" s="123" t="s">
        <v>175</v>
      </c>
      <c r="E143" s="318">
        <f>OCPMarketShares!K95</f>
      </c>
      <c r="F143" s="318">
        <f>OCPMarketShares!L95</f>
      </c>
      <c r="G143" s="318">
        <f>OCPMarketShares!M95</f>
      </c>
      <c r="H143" s="293">
        <f>E143*H117</f>
      </c>
      <c r="I143" s="293">
        <f>F143*I117</f>
      </c>
      <c r="J143" s="293">
        <f>G143*J117</f>
      </c>
      <c r="K143" s="293">
        <f>E143*K117</f>
      </c>
      <c r="L143" s="293">
        <f>F143*L117</f>
      </c>
      <c r="M143" s="293">
        <f>G143*M117</f>
      </c>
      <c r="N143" s="293">
        <f>E143*N117</f>
      </c>
      <c r="O143" s="293">
        <f>F143*O117</f>
      </c>
      <c r="P143" s="293">
        <f>G143*P117</f>
      </c>
      <c r="Q143" s="293">
        <f>E143*Q117</f>
      </c>
      <c r="R143" s="293">
        <f>F143*R117</f>
      </c>
      <c r="S143" s="319">
        <f>G143*S117</f>
      </c>
      <c r="T143" s="293">
        <f>E143*T117</f>
      </c>
      <c r="U143" s="293">
        <f>F143*U117</f>
      </c>
      <c r="V143" s="293">
        <f>G143*V117</f>
      </c>
      <c r="W143" s="293">
        <f>J143+M143+P143+S143+V143-G143</f>
      </c>
      <c r="X143" s="297"/>
      <c r="Y143" s="140">
        <f>D143</f>
      </c>
      <c r="Z143" s="293">
        <f>AC143+AF143+AI143+AL143+AO143</f>
      </c>
      <c r="AA143" s="293">
        <f>AD143+AG143+AJ143+AM143+AP143</f>
      </c>
      <c r="AB143" s="293">
        <f>AE143+AH143+AK143+AN143+AQ143</f>
      </c>
      <c r="AC143" s="320">
        <f>H143/$E$10</f>
      </c>
      <c r="AD143" s="293">
        <f>I143/$E$10</f>
      </c>
      <c r="AE143" s="319">
        <f>J143/$E$10</f>
      </c>
      <c r="AF143" s="320">
        <f>K143/$E$11</f>
      </c>
      <c r="AG143" s="293">
        <f>L143/$E$11</f>
      </c>
      <c r="AH143" s="319">
        <f>M143/$E$11</f>
      </c>
      <c r="AI143" s="320">
        <f>N143/$E$12</f>
      </c>
      <c r="AJ143" s="293">
        <f>O143/$E$12</f>
      </c>
      <c r="AK143" s="293">
        <f>P143/$E$12</f>
      </c>
      <c r="AL143" s="320">
        <f>Q143/$E$13</f>
      </c>
      <c r="AM143" s="293">
        <f>R143/$E$13</f>
      </c>
      <c r="AN143" s="319">
        <f>S143/$E$13</f>
      </c>
      <c r="AO143" s="293">
        <f>T143/$E$14</f>
      </c>
      <c r="AP143" s="293">
        <f>U143/$E$14</f>
      </c>
      <c r="AQ143" s="319">
        <f>V143/$E$14</f>
      </c>
      <c r="AR143" s="297"/>
      <c r="AS143" s="124"/>
      <c r="AT143" s="303"/>
      <c r="AU143" s="307"/>
      <c r="AV143" s="307"/>
      <c r="AW143" s="297"/>
      <c r="AX143" s="307"/>
      <c r="AY143" s="307"/>
      <c r="AZ143" s="307"/>
      <c r="BA143" s="63"/>
      <c r="BB143" s="63"/>
      <c r="BC143" s="63"/>
      <c r="BD143" s="303"/>
      <c r="BE143" s="303"/>
      <c r="BF143" s="303"/>
      <c r="BG143" s="303"/>
      <c r="BH143" s="297"/>
      <c r="BI143" s="297"/>
      <c r="BJ143" s="297"/>
      <c r="BK143" s="297"/>
      <c r="BL143" s="297"/>
      <c r="BM143" s="297"/>
      <c r="BN143" s="297"/>
      <c r="BO143" s="297"/>
      <c r="BP143" s="297"/>
      <c r="BQ143" s="160"/>
      <c r="BR143" s="160"/>
      <c r="BS143" s="160"/>
      <c r="BT143" s="297"/>
      <c r="BU143" s="297"/>
      <c r="BV143" s="297"/>
      <c r="BW143" s="290"/>
      <c r="BX143" s="290"/>
      <c r="BY143" s="290"/>
      <c r="BZ143" s="297"/>
      <c r="CA143" s="297"/>
      <c r="CB143" s="297"/>
      <c r="CC143" s="297"/>
      <c r="CD143" s="297"/>
      <c r="CE143" s="297"/>
      <c r="CF143" s="124"/>
      <c r="CG143" s="124"/>
      <c r="CH143" s="124"/>
      <c r="CI143" s="63"/>
      <c r="CJ143" s="63"/>
      <c r="CK143" s="63"/>
      <c r="CL143" s="63"/>
      <c r="CM143" s="63"/>
      <c r="CN143" s="63"/>
      <c r="CO143" s="63"/>
      <c r="CP143" s="63"/>
      <c r="CQ143" s="63"/>
      <c r="CR143" s="63"/>
      <c r="CS143" s="63"/>
      <c r="CT143" s="63"/>
      <c r="CU143" s="124"/>
      <c r="CV143" s="124"/>
      <c r="CW143" s="124"/>
      <c r="CX143" s="124"/>
      <c r="CY143" s="124"/>
      <c r="CZ143" s="124"/>
      <c r="DA143" s="124"/>
      <c r="DB143" s="124"/>
      <c r="DC143" s="124"/>
      <c r="DD143" s="124"/>
      <c r="DE143" s="124"/>
      <c r="DF143" s="124"/>
      <c r="DG143" s="124"/>
      <c r="DH143" s="124"/>
      <c r="DI143" s="124"/>
      <c r="DJ143" s="124"/>
      <c r="DK143" s="2"/>
      <c r="DL143" s="2"/>
      <c r="DM143" s="2"/>
      <c r="DN143" s="2"/>
      <c r="DO143" s="2"/>
      <c r="DP143" s="2"/>
    </row>
    <row x14ac:dyDescent="0.25" r="144" customHeight="1" ht="13.5">
      <c r="A144" s="2"/>
      <c r="B144" s="3"/>
      <c r="C144" s="2"/>
      <c r="D144" s="123" t="s">
        <v>131</v>
      </c>
      <c r="E144" s="318">
        <f>OCPMarketShares!K96</f>
      </c>
      <c r="F144" s="318">
        <f>OCPMarketShares!L96</f>
      </c>
      <c r="G144" s="318">
        <f>OCPMarketShares!M96</f>
      </c>
      <c r="H144" s="293">
        <f>E144*H118</f>
      </c>
      <c r="I144" s="293">
        <f>F144*I118</f>
      </c>
      <c r="J144" s="293">
        <f>G144*J118</f>
      </c>
      <c r="K144" s="293">
        <f>E144*K118</f>
      </c>
      <c r="L144" s="293">
        <f>F144*L118</f>
      </c>
      <c r="M144" s="293">
        <f>G144*M118</f>
      </c>
      <c r="N144" s="293">
        <f>E144*N118</f>
      </c>
      <c r="O144" s="293">
        <f>F144*O118</f>
      </c>
      <c r="P144" s="293">
        <f>G144*P118</f>
      </c>
      <c r="Q144" s="293">
        <f>E144*Q118</f>
      </c>
      <c r="R144" s="293">
        <f>F144*R118</f>
      </c>
      <c r="S144" s="319">
        <f>G144*S118</f>
      </c>
      <c r="T144" s="293">
        <f>E144*T118</f>
      </c>
      <c r="U144" s="293">
        <f>F144*U118</f>
      </c>
      <c r="V144" s="293">
        <f>G144*V118</f>
      </c>
      <c r="W144" s="293">
        <f>J144+M144+P144+S144+V144-G144</f>
      </c>
      <c r="X144" s="297"/>
      <c r="Y144" s="140">
        <f>D144</f>
      </c>
      <c r="Z144" s="293">
        <f>AC144+AF144+AI144+AL144+AO144</f>
      </c>
      <c r="AA144" s="293">
        <f>AD144+AG144+AJ144+AM144+AP144</f>
      </c>
      <c r="AB144" s="293">
        <f>AE144+AH144+AK144+AN144+AQ144</f>
      </c>
      <c r="AC144" s="320">
        <f>H144/$E$10</f>
      </c>
      <c r="AD144" s="293">
        <f>I144/$E$10</f>
      </c>
      <c r="AE144" s="319">
        <f>J144/$E$10</f>
      </c>
      <c r="AF144" s="320">
        <f>K144/$E$11</f>
      </c>
      <c r="AG144" s="293">
        <f>L144/$E$11</f>
      </c>
      <c r="AH144" s="319">
        <f>M144/$E$11</f>
      </c>
      <c r="AI144" s="320">
        <f>N144/$E$12</f>
      </c>
      <c r="AJ144" s="293">
        <f>O144/$E$12</f>
      </c>
      <c r="AK144" s="293">
        <f>P144/$E$12</f>
      </c>
      <c r="AL144" s="320">
        <f>Q144/$E$13</f>
      </c>
      <c r="AM144" s="293">
        <f>R144/$E$13</f>
      </c>
      <c r="AN144" s="319">
        <f>S144/$E$13</f>
      </c>
      <c r="AO144" s="293">
        <f>T144/$E$14</f>
      </c>
      <c r="AP144" s="293">
        <f>U144/$E$14</f>
      </c>
      <c r="AQ144" s="319">
        <f>V144/$E$14</f>
      </c>
      <c r="AR144" s="297"/>
      <c r="AS144" s="124"/>
      <c r="AT144" s="303"/>
      <c r="AU144" s="307"/>
      <c r="AV144" s="307"/>
      <c r="AW144" s="297"/>
      <c r="AX144" s="307"/>
      <c r="AY144" s="307"/>
      <c r="AZ144" s="307"/>
      <c r="BA144" s="63"/>
      <c r="BB144" s="63"/>
      <c r="BC144" s="63"/>
      <c r="BD144" s="303"/>
      <c r="BE144" s="303"/>
      <c r="BF144" s="303"/>
      <c r="BG144" s="303"/>
      <c r="BH144" s="297"/>
      <c r="BI144" s="297"/>
      <c r="BJ144" s="297"/>
      <c r="BK144" s="297"/>
      <c r="BL144" s="297"/>
      <c r="BM144" s="297"/>
      <c r="BN144" s="297"/>
      <c r="BO144" s="297"/>
      <c r="BP144" s="297"/>
      <c r="BQ144" s="160"/>
      <c r="BR144" s="160"/>
      <c r="BS144" s="160"/>
      <c r="BT144" s="297"/>
      <c r="BU144" s="297"/>
      <c r="BV144" s="297"/>
      <c r="BW144" s="290"/>
      <c r="BX144" s="290"/>
      <c r="BY144" s="290"/>
      <c r="BZ144" s="297"/>
      <c r="CA144" s="297"/>
      <c r="CB144" s="297"/>
      <c r="CC144" s="297"/>
      <c r="CD144" s="297"/>
      <c r="CE144" s="297"/>
      <c r="CF144" s="124"/>
      <c r="CG144" s="124"/>
      <c r="CH144" s="124"/>
      <c r="CI144" s="63"/>
      <c r="CJ144" s="63"/>
      <c r="CK144" s="63"/>
      <c r="CL144" s="63"/>
      <c r="CM144" s="63"/>
      <c r="CN144" s="63"/>
      <c r="CO144" s="63"/>
      <c r="CP144" s="63"/>
      <c r="CQ144" s="63"/>
      <c r="CR144" s="63"/>
      <c r="CS144" s="63"/>
      <c r="CT144" s="63"/>
      <c r="CU144" s="124"/>
      <c r="CV144" s="124"/>
      <c r="CW144" s="124"/>
      <c r="CX144" s="124"/>
      <c r="CY144" s="124"/>
      <c r="CZ144" s="124"/>
      <c r="DA144" s="124"/>
      <c r="DB144" s="124"/>
      <c r="DC144" s="124"/>
      <c r="DD144" s="124"/>
      <c r="DE144" s="124"/>
      <c r="DF144" s="124"/>
      <c r="DG144" s="124"/>
      <c r="DH144" s="124"/>
      <c r="DI144" s="124"/>
      <c r="DJ144" s="124"/>
      <c r="DK144" s="2"/>
      <c r="DL144" s="2"/>
      <c r="DM144" s="2"/>
      <c r="DN144" s="2"/>
      <c r="DO144" s="2"/>
      <c r="DP144" s="2"/>
    </row>
    <row x14ac:dyDescent="0.25" r="145" customHeight="1" ht="13.5">
      <c r="A145" s="2"/>
      <c r="B145" s="3"/>
      <c r="C145" s="2"/>
      <c r="D145" s="123" t="s">
        <v>237</v>
      </c>
      <c r="E145" s="318">
        <f>OCPMarketShares!K97</f>
      </c>
      <c r="F145" s="318">
        <f>OCPMarketShares!L97</f>
      </c>
      <c r="G145" s="318">
        <f>OCPMarketShares!M97</f>
      </c>
      <c r="H145" s="293">
        <f>E145*H119</f>
      </c>
      <c r="I145" s="293">
        <f>F145*I119</f>
      </c>
      <c r="J145" s="293">
        <f>G145*J119</f>
      </c>
      <c r="K145" s="293">
        <f>E145*K119</f>
      </c>
      <c r="L145" s="293">
        <f>F145*L119</f>
      </c>
      <c r="M145" s="293">
        <f>G145*M119</f>
      </c>
      <c r="N145" s="293">
        <f>E145*N119</f>
      </c>
      <c r="O145" s="293">
        <f>F145*O119</f>
      </c>
      <c r="P145" s="293">
        <f>G145*P119</f>
      </c>
      <c r="Q145" s="293">
        <f>E145*Q119</f>
      </c>
      <c r="R145" s="293">
        <f>F145*R119</f>
      </c>
      <c r="S145" s="319">
        <f>G145*S119</f>
      </c>
      <c r="T145" s="293">
        <f>E145*T119</f>
      </c>
      <c r="U145" s="293">
        <f>F145*U119</f>
      </c>
      <c r="V145" s="293">
        <f>G145*V119</f>
      </c>
      <c r="W145" s="293">
        <f>J145+M145+P145+S145+V145-G145</f>
      </c>
      <c r="X145" s="297"/>
      <c r="Y145" s="140">
        <f>D145</f>
      </c>
      <c r="Z145" s="293">
        <f>AC145+AF145+AI145+AL145+AO145</f>
      </c>
      <c r="AA145" s="293">
        <f>AD145+AG145+AJ145+AM145+AP145</f>
      </c>
      <c r="AB145" s="293">
        <f>AE145+AH145+AK145+AN145+AQ145</f>
      </c>
      <c r="AC145" s="320">
        <f>H145/$E$10</f>
      </c>
      <c r="AD145" s="293">
        <f>I145/$E$10</f>
      </c>
      <c r="AE145" s="319">
        <f>J145/$E$10</f>
      </c>
      <c r="AF145" s="320">
        <f>K145/$E$11</f>
      </c>
      <c r="AG145" s="293">
        <f>L145/$E$11</f>
      </c>
      <c r="AH145" s="319">
        <f>M145/$E$11</f>
      </c>
      <c r="AI145" s="320">
        <f>N145/$E$12</f>
      </c>
      <c r="AJ145" s="293">
        <f>O145/$E$12</f>
      </c>
      <c r="AK145" s="293">
        <f>P145/$E$12</f>
      </c>
      <c r="AL145" s="320">
        <f>Q145/$E$13</f>
      </c>
      <c r="AM145" s="293">
        <f>R145/$E$13</f>
      </c>
      <c r="AN145" s="319">
        <f>S145/$E$13</f>
      </c>
      <c r="AO145" s="293">
        <f>T145/$E$14</f>
      </c>
      <c r="AP145" s="293">
        <f>U145/$E$14</f>
      </c>
      <c r="AQ145" s="319">
        <f>V145/$E$14</f>
      </c>
      <c r="AR145" s="297"/>
      <c r="AS145" s="124"/>
      <c r="AT145" s="303"/>
      <c r="AU145" s="307"/>
      <c r="AV145" s="307"/>
      <c r="AW145" s="297"/>
      <c r="AX145" s="307"/>
      <c r="AY145" s="307"/>
      <c r="AZ145" s="307"/>
      <c r="BA145" s="63"/>
      <c r="BB145" s="63"/>
      <c r="BC145" s="63"/>
      <c r="BD145" s="303"/>
      <c r="BE145" s="303"/>
      <c r="BF145" s="303"/>
      <c r="BG145" s="303"/>
      <c r="BH145" s="297"/>
      <c r="BI145" s="297"/>
      <c r="BJ145" s="297"/>
      <c r="BK145" s="297"/>
      <c r="BL145" s="297"/>
      <c r="BM145" s="297"/>
      <c r="BN145" s="297"/>
      <c r="BO145" s="297"/>
      <c r="BP145" s="297"/>
      <c r="BQ145" s="160"/>
      <c r="BR145" s="160"/>
      <c r="BS145" s="160"/>
      <c r="BT145" s="297"/>
      <c r="BU145" s="297"/>
      <c r="BV145" s="297"/>
      <c r="BW145" s="290"/>
      <c r="BX145" s="290"/>
      <c r="BY145" s="290"/>
      <c r="BZ145" s="297"/>
      <c r="CA145" s="297"/>
      <c r="CB145" s="297"/>
      <c r="CC145" s="297"/>
      <c r="CD145" s="297"/>
      <c r="CE145" s="297"/>
      <c r="CF145" s="124"/>
      <c r="CG145" s="124"/>
      <c r="CH145" s="124"/>
      <c r="CI145" s="63"/>
      <c r="CJ145" s="63"/>
      <c r="CK145" s="63"/>
      <c r="CL145" s="63"/>
      <c r="CM145" s="63"/>
      <c r="CN145" s="63"/>
      <c r="CO145" s="63"/>
      <c r="CP145" s="63"/>
      <c r="CQ145" s="63"/>
      <c r="CR145" s="63"/>
      <c r="CS145" s="63"/>
      <c r="CT145" s="63"/>
      <c r="CU145" s="124"/>
      <c r="CV145" s="124"/>
      <c r="CW145" s="124"/>
      <c r="CX145" s="124"/>
      <c r="CY145" s="124"/>
      <c r="CZ145" s="124"/>
      <c r="DA145" s="124"/>
      <c r="DB145" s="124"/>
      <c r="DC145" s="124"/>
      <c r="DD145" s="124"/>
      <c r="DE145" s="124"/>
      <c r="DF145" s="124"/>
      <c r="DG145" s="124"/>
      <c r="DH145" s="124"/>
      <c r="DI145" s="124"/>
      <c r="DJ145" s="124"/>
      <c r="DK145" s="2"/>
      <c r="DL145" s="2"/>
      <c r="DM145" s="2"/>
      <c r="DN145" s="2"/>
      <c r="DO145" s="2"/>
      <c r="DP145" s="2"/>
    </row>
    <row x14ac:dyDescent="0.25" r="146" customHeight="1" ht="13.5">
      <c r="A146" s="2"/>
      <c r="B146" s="3"/>
      <c r="C146" s="2"/>
      <c r="D146" s="123" t="s">
        <v>139</v>
      </c>
      <c r="E146" s="318">
        <f>OCPMarketShares!K98</f>
      </c>
      <c r="F146" s="318">
        <f>OCPMarketShares!L98</f>
      </c>
      <c r="G146" s="318">
        <f>OCPMarketShares!M98</f>
      </c>
      <c r="H146" s="293">
        <f>E146*H120</f>
      </c>
      <c r="I146" s="293">
        <f>F146*I120</f>
      </c>
      <c r="J146" s="293">
        <f>G146*J120</f>
      </c>
      <c r="K146" s="293">
        <f>E146*K120</f>
      </c>
      <c r="L146" s="293">
        <f>F146*L120</f>
      </c>
      <c r="M146" s="293">
        <f>G146*M120</f>
      </c>
      <c r="N146" s="293">
        <f>E146*N120</f>
      </c>
      <c r="O146" s="293">
        <f>F146*O120</f>
      </c>
      <c r="P146" s="293">
        <f>G146*P120</f>
      </c>
      <c r="Q146" s="293">
        <f>E146*Q120</f>
      </c>
      <c r="R146" s="293">
        <f>F146*R120</f>
      </c>
      <c r="S146" s="319">
        <f>G146*S120</f>
      </c>
      <c r="T146" s="293">
        <f>E146*T120</f>
      </c>
      <c r="U146" s="293">
        <f>F146*U120</f>
      </c>
      <c r="V146" s="293">
        <f>G146*V120</f>
      </c>
      <c r="W146" s="293">
        <f>J146+M146+P146+S146+V146-G146</f>
      </c>
      <c r="X146" s="297"/>
      <c r="Y146" s="140">
        <f>D146</f>
      </c>
      <c r="Z146" s="293">
        <f>AC146+AF146+AI146+AL146+AO146</f>
      </c>
      <c r="AA146" s="293">
        <f>AD146+AG146+AJ146+AM146+AP146</f>
      </c>
      <c r="AB146" s="293">
        <f>AE146+AH146+AK146+AN146+AQ146</f>
      </c>
      <c r="AC146" s="320">
        <f>H146/$E$10</f>
      </c>
      <c r="AD146" s="293">
        <f>I146/$E$10</f>
      </c>
      <c r="AE146" s="319">
        <f>J146/$E$10</f>
      </c>
      <c r="AF146" s="320">
        <f>K146/$E$11</f>
      </c>
      <c r="AG146" s="293">
        <f>L146/$E$11</f>
      </c>
      <c r="AH146" s="319">
        <f>M146/$E$11</f>
      </c>
      <c r="AI146" s="320">
        <f>N146/$E$12</f>
      </c>
      <c r="AJ146" s="293">
        <f>O146/$E$12</f>
      </c>
      <c r="AK146" s="293">
        <f>P146/$E$12</f>
      </c>
      <c r="AL146" s="320">
        <f>Q146/$E$13</f>
      </c>
      <c r="AM146" s="293">
        <f>R146/$E$13</f>
      </c>
      <c r="AN146" s="319">
        <f>S146/$E$13</f>
      </c>
      <c r="AO146" s="293">
        <f>T146/$E$14</f>
      </c>
      <c r="AP146" s="293">
        <f>U146/$E$14</f>
      </c>
      <c r="AQ146" s="319">
        <f>V146/$E$14</f>
      </c>
      <c r="AR146" s="297"/>
      <c r="AS146" s="124"/>
      <c r="AT146" s="303"/>
      <c r="AU146" s="307"/>
      <c r="AV146" s="307"/>
      <c r="AW146" s="297"/>
      <c r="AX146" s="307"/>
      <c r="AY146" s="307"/>
      <c r="AZ146" s="307"/>
      <c r="BA146" s="63"/>
      <c r="BB146" s="63"/>
      <c r="BC146" s="63"/>
      <c r="BD146" s="303"/>
      <c r="BE146" s="303"/>
      <c r="BF146" s="303"/>
      <c r="BG146" s="303"/>
      <c r="BH146" s="297"/>
      <c r="BI146" s="297"/>
      <c r="BJ146" s="297"/>
      <c r="BK146" s="297"/>
      <c r="BL146" s="297"/>
      <c r="BM146" s="297"/>
      <c r="BN146" s="297"/>
      <c r="BO146" s="297"/>
      <c r="BP146" s="297"/>
      <c r="BQ146" s="160"/>
      <c r="BR146" s="160"/>
      <c r="BS146" s="160"/>
      <c r="BT146" s="297"/>
      <c r="BU146" s="297"/>
      <c r="BV146" s="297"/>
      <c r="BW146" s="290"/>
      <c r="BX146" s="290"/>
      <c r="BY146" s="290"/>
      <c r="BZ146" s="297"/>
      <c r="CA146" s="297"/>
      <c r="CB146" s="297"/>
      <c r="CC146" s="297"/>
      <c r="CD146" s="297"/>
      <c r="CE146" s="297"/>
      <c r="CF146" s="124"/>
      <c r="CG146" s="124"/>
      <c r="CH146" s="124"/>
      <c r="CI146" s="63"/>
      <c r="CJ146" s="63"/>
      <c r="CK146" s="63"/>
      <c r="CL146" s="63"/>
      <c r="CM146" s="63"/>
      <c r="CN146" s="63"/>
      <c r="CO146" s="63"/>
      <c r="CP146" s="63"/>
      <c r="CQ146" s="63"/>
      <c r="CR146" s="63"/>
      <c r="CS146" s="63"/>
      <c r="CT146" s="63"/>
      <c r="CU146" s="124"/>
      <c r="CV146" s="124"/>
      <c r="CW146" s="124"/>
      <c r="CX146" s="124"/>
      <c r="CY146" s="124"/>
      <c r="CZ146" s="124"/>
      <c r="DA146" s="124"/>
      <c r="DB146" s="124"/>
      <c r="DC146" s="124"/>
      <c r="DD146" s="124"/>
      <c r="DE146" s="124"/>
      <c r="DF146" s="124"/>
      <c r="DG146" s="124"/>
      <c r="DH146" s="124"/>
      <c r="DI146" s="124"/>
      <c r="DJ146" s="124"/>
      <c r="DK146" s="2"/>
      <c r="DL146" s="2"/>
      <c r="DM146" s="2"/>
      <c r="DN146" s="2"/>
      <c r="DO146" s="2"/>
      <c r="DP146" s="2"/>
    </row>
    <row x14ac:dyDescent="0.25" r="147" customHeight="1" ht="13.5">
      <c r="A147" s="2"/>
      <c r="B147" s="3"/>
      <c r="C147" s="2"/>
      <c r="D147" s="123" t="s">
        <v>241</v>
      </c>
      <c r="E147" s="318">
        <f>OCPMarketShares!K99</f>
      </c>
      <c r="F147" s="318">
        <f>OCPMarketShares!L99</f>
      </c>
      <c r="G147" s="318">
        <f>OCPMarketShares!M99</f>
      </c>
      <c r="H147" s="293">
        <f>E147*H121</f>
      </c>
      <c r="I147" s="293">
        <f>F147*I121</f>
      </c>
      <c r="J147" s="293">
        <f>G147*J121</f>
      </c>
      <c r="K147" s="293">
        <f>E147*K121</f>
      </c>
      <c r="L147" s="293">
        <f>F147*L121</f>
      </c>
      <c r="M147" s="293">
        <f>G147*M121</f>
      </c>
      <c r="N147" s="293">
        <f>E147*N121</f>
      </c>
      <c r="O147" s="293">
        <f>F147*O121</f>
      </c>
      <c r="P147" s="293">
        <f>G147*P121</f>
      </c>
      <c r="Q147" s="293">
        <f>E147*Q121</f>
      </c>
      <c r="R147" s="293">
        <f>F147*R121</f>
      </c>
      <c r="S147" s="319">
        <f>G147*S121</f>
      </c>
      <c r="T147" s="293">
        <f>E147*T121</f>
      </c>
      <c r="U147" s="293">
        <f>F147*U121</f>
      </c>
      <c r="V147" s="293">
        <f>G147*V121</f>
      </c>
      <c r="W147" s="293">
        <f>J147+M147+P147+S147+V147-G147</f>
      </c>
      <c r="X147" s="297"/>
      <c r="Y147" s="140">
        <f>D147</f>
      </c>
      <c r="Z147" s="293">
        <f>AC147+AF147+AI147+AL147+AO147</f>
      </c>
      <c r="AA147" s="293">
        <f>AD147+AG147+AJ147+AM147+AP147</f>
      </c>
      <c r="AB147" s="293">
        <f>AE147+AH147+AK147+AN147+AQ147</f>
      </c>
      <c r="AC147" s="320">
        <f>H147/$E$10</f>
      </c>
      <c r="AD147" s="293">
        <f>I147/$E$10</f>
      </c>
      <c r="AE147" s="319">
        <f>J147/$E$10</f>
      </c>
      <c r="AF147" s="320">
        <f>K147/$E$11</f>
      </c>
      <c r="AG147" s="293">
        <f>L147/$E$11</f>
      </c>
      <c r="AH147" s="319">
        <f>M147/$E$11</f>
      </c>
      <c r="AI147" s="320">
        <f>N147/$E$12</f>
      </c>
      <c r="AJ147" s="293">
        <f>O147/$E$12</f>
      </c>
      <c r="AK147" s="293">
        <f>P147/$E$12</f>
      </c>
      <c r="AL147" s="320">
        <f>Q147/$E$13</f>
      </c>
      <c r="AM147" s="293">
        <f>R147/$E$13</f>
      </c>
      <c r="AN147" s="319">
        <f>S147/$E$13</f>
      </c>
      <c r="AO147" s="293">
        <f>T147/$E$14</f>
      </c>
      <c r="AP147" s="293">
        <f>U147/$E$14</f>
      </c>
      <c r="AQ147" s="319">
        <f>V147/$E$14</f>
      </c>
      <c r="AR147" s="297"/>
      <c r="AS147" s="124"/>
      <c r="AT147" s="303"/>
      <c r="AU147" s="307"/>
      <c r="AV147" s="307"/>
      <c r="AW147" s="297"/>
      <c r="AX147" s="307"/>
      <c r="AY147" s="307"/>
      <c r="AZ147" s="307"/>
      <c r="BA147" s="63"/>
      <c r="BB147" s="63"/>
      <c r="BC147" s="63"/>
      <c r="BD147" s="303"/>
      <c r="BE147" s="303"/>
      <c r="BF147" s="303"/>
      <c r="BG147" s="303"/>
      <c r="BH147" s="297"/>
      <c r="BI147" s="297"/>
      <c r="BJ147" s="297"/>
      <c r="BK147" s="297"/>
      <c r="BL147" s="297"/>
      <c r="BM147" s="297"/>
      <c r="BN147" s="297"/>
      <c r="BO147" s="297"/>
      <c r="BP147" s="297"/>
      <c r="BQ147" s="160"/>
      <c r="BR147" s="160"/>
      <c r="BS147" s="160"/>
      <c r="BT147" s="297"/>
      <c r="BU147" s="297"/>
      <c r="BV147" s="297"/>
      <c r="BW147" s="290"/>
      <c r="BX147" s="290"/>
      <c r="BY147" s="290"/>
      <c r="BZ147" s="297"/>
      <c r="CA147" s="297"/>
      <c r="CB147" s="297"/>
      <c r="CC147" s="297"/>
      <c r="CD147" s="297"/>
      <c r="CE147" s="297"/>
      <c r="CF147" s="124"/>
      <c r="CG147" s="124"/>
      <c r="CH147" s="124"/>
      <c r="CI147" s="63"/>
      <c r="CJ147" s="63"/>
      <c r="CK147" s="63"/>
      <c r="CL147" s="63"/>
      <c r="CM147" s="63"/>
      <c r="CN147" s="63"/>
      <c r="CO147" s="63"/>
      <c r="CP147" s="63"/>
      <c r="CQ147" s="63"/>
      <c r="CR147" s="63"/>
      <c r="CS147" s="63"/>
      <c r="CT147" s="63"/>
      <c r="CU147" s="124"/>
      <c r="CV147" s="124"/>
      <c r="CW147" s="124"/>
      <c r="CX147" s="124"/>
      <c r="CY147" s="124"/>
      <c r="CZ147" s="124"/>
      <c r="DA147" s="124"/>
      <c r="DB147" s="124"/>
      <c r="DC147" s="124"/>
      <c r="DD147" s="124"/>
      <c r="DE147" s="124"/>
      <c r="DF147" s="124"/>
      <c r="DG147" s="124"/>
      <c r="DH147" s="124"/>
      <c r="DI147" s="124"/>
      <c r="DJ147" s="124"/>
      <c r="DK147" s="2"/>
      <c r="DL147" s="2"/>
      <c r="DM147" s="2"/>
      <c r="DN147" s="2"/>
      <c r="DO147" s="2"/>
      <c r="DP147" s="2"/>
    </row>
    <row x14ac:dyDescent="0.25" r="148" customHeight="1" ht="13.5">
      <c r="A148" s="2"/>
      <c r="B148" s="3"/>
      <c r="C148" s="2"/>
      <c r="D148" s="123" t="s">
        <v>249</v>
      </c>
      <c r="E148" s="318">
        <f>OCPMarketShares!K100</f>
      </c>
      <c r="F148" s="318">
        <f>OCPMarketShares!L100</f>
      </c>
      <c r="G148" s="318">
        <f>OCPMarketShares!M100</f>
      </c>
      <c r="H148" s="293">
        <f>E148*H122</f>
      </c>
      <c r="I148" s="293">
        <f>F148*I122</f>
      </c>
      <c r="J148" s="293">
        <f>G148*J122</f>
      </c>
      <c r="K148" s="293">
        <f>E148*K122</f>
      </c>
      <c r="L148" s="293">
        <f>F148*L122</f>
      </c>
      <c r="M148" s="293">
        <f>G148*M122</f>
      </c>
      <c r="N148" s="293">
        <f>E148*N122</f>
      </c>
      <c r="O148" s="293">
        <f>F148*O122</f>
      </c>
      <c r="P148" s="293">
        <f>G148*P122</f>
      </c>
      <c r="Q148" s="293">
        <f>E148*Q122</f>
      </c>
      <c r="R148" s="293">
        <f>F148*R122</f>
      </c>
      <c r="S148" s="319">
        <f>G148*S122</f>
      </c>
      <c r="T148" s="293">
        <f>E148*T122</f>
      </c>
      <c r="U148" s="293">
        <f>F148*U122</f>
      </c>
      <c r="V148" s="293">
        <f>G148*V122</f>
      </c>
      <c r="W148" s="293">
        <f>J148+M148+P148+S148+V148-G148</f>
      </c>
      <c r="X148" s="297"/>
      <c r="Y148" s="140">
        <f>D148</f>
      </c>
      <c r="Z148" s="293">
        <f>AC148+AF148+AI148+AL148+AO148</f>
      </c>
      <c r="AA148" s="293">
        <f>AD148+AG148+AJ148+AM148+AP148</f>
      </c>
      <c r="AB148" s="293">
        <f>AE148+AH148+AK148+AN148+AQ148</f>
      </c>
      <c r="AC148" s="320">
        <f>H148/$E$10</f>
      </c>
      <c r="AD148" s="293">
        <f>I148/$E$10</f>
      </c>
      <c r="AE148" s="319">
        <f>J148/$E$10</f>
      </c>
      <c r="AF148" s="320">
        <f>K148/$E$11</f>
      </c>
      <c r="AG148" s="293">
        <f>L148/$E$11</f>
      </c>
      <c r="AH148" s="319">
        <f>M148/$E$11</f>
      </c>
      <c r="AI148" s="320">
        <f>N148/$E$12</f>
      </c>
      <c r="AJ148" s="293">
        <f>O148/$E$12</f>
      </c>
      <c r="AK148" s="293">
        <f>P148/$E$12</f>
      </c>
      <c r="AL148" s="320">
        <f>Q148/$E$13</f>
      </c>
      <c r="AM148" s="293">
        <f>R148/$E$13</f>
      </c>
      <c r="AN148" s="319">
        <f>S148/$E$13</f>
      </c>
      <c r="AO148" s="293">
        <f>T148/$E$14</f>
      </c>
      <c r="AP148" s="293">
        <f>U148/$E$14</f>
      </c>
      <c r="AQ148" s="319">
        <f>V148/$E$14</f>
      </c>
      <c r="AR148" s="297"/>
      <c r="AS148" s="124"/>
      <c r="AT148" s="303"/>
      <c r="AU148" s="307"/>
      <c r="AV148" s="307"/>
      <c r="AW148" s="297"/>
      <c r="AX148" s="307"/>
      <c r="AY148" s="307"/>
      <c r="AZ148" s="307"/>
      <c r="BA148" s="63"/>
      <c r="BB148" s="63"/>
      <c r="BC148" s="63"/>
      <c r="BD148" s="303"/>
      <c r="BE148" s="303"/>
      <c r="BF148" s="303"/>
      <c r="BG148" s="303"/>
      <c r="BH148" s="297"/>
      <c r="BI148" s="297"/>
      <c r="BJ148" s="297"/>
      <c r="BK148" s="297"/>
      <c r="BL148" s="297"/>
      <c r="BM148" s="297"/>
      <c r="BN148" s="297"/>
      <c r="BO148" s="297"/>
      <c r="BP148" s="297"/>
      <c r="BQ148" s="160"/>
      <c r="BR148" s="160"/>
      <c r="BS148" s="160"/>
      <c r="BT148" s="297"/>
      <c r="BU148" s="297"/>
      <c r="BV148" s="297"/>
      <c r="BW148" s="290"/>
      <c r="BX148" s="290"/>
      <c r="BY148" s="290"/>
      <c r="BZ148" s="297"/>
      <c r="CA148" s="297"/>
      <c r="CB148" s="297"/>
      <c r="CC148" s="297"/>
      <c r="CD148" s="297"/>
      <c r="CE148" s="297"/>
      <c r="CF148" s="124"/>
      <c r="CG148" s="124"/>
      <c r="CH148" s="124"/>
      <c r="CI148" s="63"/>
      <c r="CJ148" s="63"/>
      <c r="CK148" s="63"/>
      <c r="CL148" s="63"/>
      <c r="CM148" s="63"/>
      <c r="CN148" s="63"/>
      <c r="CO148" s="63"/>
      <c r="CP148" s="63"/>
      <c r="CQ148" s="63"/>
      <c r="CR148" s="63"/>
      <c r="CS148" s="63"/>
      <c r="CT148" s="63"/>
      <c r="CU148" s="124"/>
      <c r="CV148" s="124"/>
      <c r="CW148" s="124"/>
      <c r="CX148" s="124"/>
      <c r="CY148" s="124"/>
      <c r="CZ148" s="124"/>
      <c r="DA148" s="124"/>
      <c r="DB148" s="124"/>
      <c r="DC148" s="124"/>
      <c r="DD148" s="124"/>
      <c r="DE148" s="124"/>
      <c r="DF148" s="124"/>
      <c r="DG148" s="124"/>
      <c r="DH148" s="124"/>
      <c r="DI148" s="124"/>
      <c r="DJ148" s="124"/>
      <c r="DK148" s="2"/>
      <c r="DL148" s="2"/>
      <c r="DM148" s="2"/>
      <c r="DN148" s="2"/>
      <c r="DO148" s="2"/>
      <c r="DP148" s="2"/>
    </row>
    <row x14ac:dyDescent="0.25" r="149" customHeight="1" ht="13.5">
      <c r="A149" s="2"/>
      <c r="B149" s="3"/>
      <c r="C149" s="2"/>
      <c r="D149" s="123" t="s">
        <v>235</v>
      </c>
      <c r="E149" s="318">
        <f>OCPMarketShares!K101</f>
      </c>
      <c r="F149" s="318">
        <f>OCPMarketShares!L101</f>
      </c>
      <c r="G149" s="318">
        <f>OCPMarketShares!M101</f>
      </c>
      <c r="H149" s="293">
        <f>E149*H123</f>
      </c>
      <c r="I149" s="293">
        <f>F149*I123</f>
      </c>
      <c r="J149" s="293">
        <f>G149*J123</f>
      </c>
      <c r="K149" s="293">
        <f>E149*K123</f>
      </c>
      <c r="L149" s="293">
        <f>F149*L123</f>
      </c>
      <c r="M149" s="293">
        <f>G149*M123</f>
      </c>
      <c r="N149" s="293">
        <f>E149*N123</f>
      </c>
      <c r="O149" s="293">
        <f>F149*O123</f>
      </c>
      <c r="P149" s="293">
        <f>G149*P123</f>
      </c>
      <c r="Q149" s="293">
        <f>E149*Q123</f>
      </c>
      <c r="R149" s="293">
        <f>F149*R123</f>
      </c>
      <c r="S149" s="319">
        <f>G149*S123</f>
      </c>
      <c r="T149" s="293">
        <f>E149*T123</f>
      </c>
      <c r="U149" s="293">
        <f>F149*U123</f>
      </c>
      <c r="V149" s="293">
        <f>G149*V123</f>
      </c>
      <c r="W149" s="293">
        <f>J149+M149+P149+S149+V149-G149</f>
      </c>
      <c r="X149" s="297"/>
      <c r="Y149" s="140">
        <f>D149</f>
      </c>
      <c r="Z149" s="293">
        <f>AC149+AF149+AI149+AL149+AO149</f>
      </c>
      <c r="AA149" s="293">
        <f>AD149+AG149+AJ149+AM149+AP149</f>
      </c>
      <c r="AB149" s="293">
        <f>AE149+AH149+AK149+AN149+AQ149</f>
      </c>
      <c r="AC149" s="320">
        <f>H149/$E$10</f>
      </c>
      <c r="AD149" s="293">
        <f>I149/$E$10</f>
      </c>
      <c r="AE149" s="319">
        <f>J149/$E$10</f>
      </c>
      <c r="AF149" s="320">
        <f>K149/$E$11</f>
      </c>
      <c r="AG149" s="293">
        <f>L149/$E$11</f>
      </c>
      <c r="AH149" s="319">
        <f>M149/$E$11</f>
      </c>
      <c r="AI149" s="320">
        <f>N149/$E$12</f>
      </c>
      <c r="AJ149" s="293">
        <f>O149/$E$12</f>
      </c>
      <c r="AK149" s="293">
        <f>P149/$E$12</f>
      </c>
      <c r="AL149" s="320">
        <f>Q149/$E$13</f>
      </c>
      <c r="AM149" s="293">
        <f>R149/$E$13</f>
      </c>
      <c r="AN149" s="319">
        <f>S149/$E$13</f>
      </c>
      <c r="AO149" s="293">
        <f>T149/$E$14</f>
      </c>
      <c r="AP149" s="293">
        <f>U149/$E$14</f>
      </c>
      <c r="AQ149" s="319">
        <f>V149/$E$14</f>
      </c>
      <c r="AR149" s="297"/>
      <c r="AS149" s="124"/>
      <c r="AT149" s="303"/>
      <c r="AU149" s="307"/>
      <c r="AV149" s="307"/>
      <c r="AW149" s="297"/>
      <c r="AX149" s="307"/>
      <c r="AY149" s="307"/>
      <c r="AZ149" s="307"/>
      <c r="BA149" s="63"/>
      <c r="BB149" s="63"/>
      <c r="BC149" s="63"/>
      <c r="BD149" s="303"/>
      <c r="BE149" s="303"/>
      <c r="BF149" s="303"/>
      <c r="BG149" s="303"/>
      <c r="BH149" s="297"/>
      <c r="BI149" s="297"/>
      <c r="BJ149" s="297"/>
      <c r="BK149" s="297"/>
      <c r="BL149" s="297"/>
      <c r="BM149" s="297"/>
      <c r="BN149" s="297"/>
      <c r="BO149" s="297"/>
      <c r="BP149" s="297"/>
      <c r="BQ149" s="160"/>
      <c r="BR149" s="160"/>
      <c r="BS149" s="160"/>
      <c r="BT149" s="297"/>
      <c r="BU149" s="297"/>
      <c r="BV149" s="297"/>
      <c r="BW149" s="290"/>
      <c r="BX149" s="290"/>
      <c r="BY149" s="290"/>
      <c r="BZ149" s="297"/>
      <c r="CA149" s="297"/>
      <c r="CB149" s="297"/>
      <c r="CC149" s="297"/>
      <c r="CD149" s="297"/>
      <c r="CE149" s="297"/>
      <c r="CF149" s="124"/>
      <c r="CG149" s="124"/>
      <c r="CH149" s="124"/>
      <c r="CI149" s="63"/>
      <c r="CJ149" s="63"/>
      <c r="CK149" s="63"/>
      <c r="CL149" s="63"/>
      <c r="CM149" s="63"/>
      <c r="CN149" s="63"/>
      <c r="CO149" s="63"/>
      <c r="CP149" s="63"/>
      <c r="CQ149" s="63"/>
      <c r="CR149" s="63"/>
      <c r="CS149" s="63"/>
      <c r="CT149" s="63"/>
      <c r="CU149" s="124"/>
      <c r="CV149" s="124"/>
      <c r="CW149" s="124"/>
      <c r="CX149" s="124"/>
      <c r="CY149" s="124"/>
      <c r="CZ149" s="124"/>
      <c r="DA149" s="124"/>
      <c r="DB149" s="124"/>
      <c r="DC149" s="124"/>
      <c r="DD149" s="124"/>
      <c r="DE149" s="124"/>
      <c r="DF149" s="124"/>
      <c r="DG149" s="124"/>
      <c r="DH149" s="124"/>
      <c r="DI149" s="124"/>
      <c r="DJ149" s="124"/>
      <c r="DK149" s="2"/>
      <c r="DL149" s="2"/>
      <c r="DM149" s="2"/>
      <c r="DN149" s="2"/>
      <c r="DO149" s="2"/>
      <c r="DP149" s="2"/>
    </row>
    <row x14ac:dyDescent="0.25" r="150" customHeight="1" ht="13.5">
      <c r="A150" s="2"/>
      <c r="B150" s="3"/>
      <c r="C150" s="2"/>
      <c r="D150" s="123" t="s">
        <v>125</v>
      </c>
      <c r="E150" s="318">
        <f>OCPMarketShares!K102</f>
      </c>
      <c r="F150" s="318">
        <f>OCPMarketShares!L102</f>
      </c>
      <c r="G150" s="318">
        <f>OCPMarketShares!M102</f>
      </c>
      <c r="H150" s="293">
        <f>E150*H124</f>
      </c>
      <c r="I150" s="293">
        <f>F150*I124</f>
      </c>
      <c r="J150" s="293">
        <f>G150*J124</f>
      </c>
      <c r="K150" s="293">
        <f>E150*K124</f>
      </c>
      <c r="L150" s="293">
        <f>F150*L124</f>
      </c>
      <c r="M150" s="293">
        <f>G150*M124</f>
      </c>
      <c r="N150" s="293">
        <f>E150*N124</f>
      </c>
      <c r="O150" s="293">
        <f>F150*O124</f>
      </c>
      <c r="P150" s="293">
        <f>G150*P124</f>
      </c>
      <c r="Q150" s="293">
        <f>E150*Q124</f>
      </c>
      <c r="R150" s="293">
        <f>F150*R124</f>
      </c>
      <c r="S150" s="319">
        <f>G150*S124</f>
      </c>
      <c r="T150" s="293">
        <f>E150*T124</f>
      </c>
      <c r="U150" s="293">
        <f>F150*U124</f>
      </c>
      <c r="V150" s="293">
        <f>G150*V124</f>
      </c>
      <c r="W150" s="293">
        <f>J150+M150+P150+S150+V150-G150</f>
      </c>
      <c r="X150" s="297"/>
      <c r="Y150" s="140">
        <f>D150</f>
      </c>
      <c r="Z150" s="293">
        <f>AC150+AF150+AI150+AL150+AO150</f>
      </c>
      <c r="AA150" s="293">
        <f>AD150+AG150+AJ150+AM150+AP150</f>
      </c>
      <c r="AB150" s="293">
        <f>AE150+AH150+AK150+AN150+AQ150</f>
      </c>
      <c r="AC150" s="320">
        <f>H150/$E$10</f>
      </c>
      <c r="AD150" s="293">
        <f>I150/$E$10</f>
      </c>
      <c r="AE150" s="319">
        <f>J150/$E$10</f>
      </c>
      <c r="AF150" s="320">
        <f>K150/$E$11</f>
      </c>
      <c r="AG150" s="293">
        <f>L150/$E$11</f>
      </c>
      <c r="AH150" s="319">
        <f>M150/$E$11</f>
      </c>
      <c r="AI150" s="320">
        <f>N150/$E$12</f>
      </c>
      <c r="AJ150" s="293">
        <f>O150/$E$12</f>
      </c>
      <c r="AK150" s="293">
        <f>P150/$E$12</f>
      </c>
      <c r="AL150" s="320">
        <f>Q150/$E$13</f>
      </c>
      <c r="AM150" s="293">
        <f>R150/$E$13</f>
      </c>
      <c r="AN150" s="319">
        <f>S150/$E$13</f>
      </c>
      <c r="AO150" s="293">
        <f>T150/$E$14</f>
      </c>
      <c r="AP150" s="293">
        <f>U150/$E$14</f>
      </c>
      <c r="AQ150" s="319">
        <f>V150/$E$14</f>
      </c>
      <c r="AR150" s="297"/>
      <c r="AS150" s="124"/>
      <c r="AT150" s="303"/>
      <c r="AU150" s="307"/>
      <c r="AV150" s="307"/>
      <c r="AW150" s="297"/>
      <c r="AX150" s="307"/>
      <c r="AY150" s="307"/>
      <c r="AZ150" s="307"/>
      <c r="BA150" s="63"/>
      <c r="BB150" s="63"/>
      <c r="BC150" s="63"/>
      <c r="BD150" s="303"/>
      <c r="BE150" s="303"/>
      <c r="BF150" s="303"/>
      <c r="BG150" s="303"/>
      <c r="BH150" s="297"/>
      <c r="BI150" s="297"/>
      <c r="BJ150" s="297"/>
      <c r="BK150" s="297"/>
      <c r="BL150" s="297"/>
      <c r="BM150" s="297"/>
      <c r="BN150" s="297"/>
      <c r="BO150" s="297"/>
      <c r="BP150" s="297"/>
      <c r="BQ150" s="160"/>
      <c r="BR150" s="160"/>
      <c r="BS150" s="160"/>
      <c r="BT150" s="297"/>
      <c r="BU150" s="297"/>
      <c r="BV150" s="297"/>
      <c r="BW150" s="290"/>
      <c r="BX150" s="290"/>
      <c r="BY150" s="290"/>
      <c r="BZ150" s="297"/>
      <c r="CA150" s="297"/>
      <c r="CB150" s="297"/>
      <c r="CC150" s="297"/>
      <c r="CD150" s="297"/>
      <c r="CE150" s="297"/>
      <c r="CF150" s="124"/>
      <c r="CG150" s="124"/>
      <c r="CH150" s="124"/>
      <c r="CI150" s="63"/>
      <c r="CJ150" s="63"/>
      <c r="CK150" s="63"/>
      <c r="CL150" s="63"/>
      <c r="CM150" s="63"/>
      <c r="CN150" s="63"/>
      <c r="CO150" s="63"/>
      <c r="CP150" s="63"/>
      <c r="CQ150" s="63"/>
      <c r="CR150" s="63"/>
      <c r="CS150" s="63"/>
      <c r="CT150" s="63"/>
      <c r="CU150" s="124"/>
      <c r="CV150" s="124"/>
      <c r="CW150" s="124"/>
      <c r="CX150" s="124"/>
      <c r="CY150" s="124"/>
      <c r="CZ150" s="124"/>
      <c r="DA150" s="124"/>
      <c r="DB150" s="124"/>
      <c r="DC150" s="124"/>
      <c r="DD150" s="124"/>
      <c r="DE150" s="124"/>
      <c r="DF150" s="124"/>
      <c r="DG150" s="124"/>
      <c r="DH150" s="124"/>
      <c r="DI150" s="124"/>
      <c r="DJ150" s="124"/>
      <c r="DK150" s="2"/>
      <c r="DL150" s="2"/>
      <c r="DM150" s="2"/>
      <c r="DN150" s="2"/>
      <c r="DO150" s="2"/>
      <c r="DP150" s="2"/>
    </row>
    <row x14ac:dyDescent="0.25" r="151" customHeight="1" ht="13.5">
      <c r="A151" s="2"/>
      <c r="B151" s="3"/>
      <c r="C151" s="2"/>
      <c r="D151" s="123" t="s">
        <v>209</v>
      </c>
      <c r="E151" s="318">
        <f>OCPMarketShares!K103</f>
      </c>
      <c r="F151" s="318">
        <f>OCPMarketShares!L103</f>
      </c>
      <c r="G151" s="318">
        <f>OCPMarketShares!M103</f>
      </c>
      <c r="H151" s="293">
        <f>E151*H125</f>
      </c>
      <c r="I151" s="293">
        <f>F151*I125</f>
      </c>
      <c r="J151" s="293">
        <f>G151*J125</f>
      </c>
      <c r="K151" s="293">
        <f>E151*K125</f>
      </c>
      <c r="L151" s="293">
        <f>F151*L125</f>
      </c>
      <c r="M151" s="293">
        <f>G151*M125</f>
      </c>
      <c r="N151" s="293">
        <f>E151*N125</f>
      </c>
      <c r="O151" s="293">
        <f>F151*O125</f>
      </c>
      <c r="P151" s="293">
        <f>G151*P125</f>
      </c>
      <c r="Q151" s="293">
        <f>E151*Q125</f>
      </c>
      <c r="R151" s="293">
        <f>F151*R125</f>
      </c>
      <c r="S151" s="319">
        <f>G151*S125</f>
      </c>
      <c r="T151" s="293">
        <f>E151*T125</f>
      </c>
      <c r="U151" s="293">
        <f>F151*U125</f>
      </c>
      <c r="V151" s="293">
        <f>G151*V125</f>
      </c>
      <c r="W151" s="293">
        <f>J151+M151+P151+S151+V151-G151</f>
      </c>
      <c r="X151" s="297"/>
      <c r="Y151" s="140">
        <f>D151</f>
      </c>
      <c r="Z151" s="293">
        <f>AC151+AF151+AI151+AL151+AO151</f>
      </c>
      <c r="AA151" s="293">
        <f>AD151+AG151+AJ151+AM151+AP151</f>
      </c>
      <c r="AB151" s="293">
        <f>AE151+AH151+AK151+AN151+AQ151</f>
      </c>
      <c r="AC151" s="320">
        <f>H151/$E$10</f>
      </c>
      <c r="AD151" s="293">
        <f>I151/$E$10</f>
      </c>
      <c r="AE151" s="319">
        <f>J151/$E$10</f>
      </c>
      <c r="AF151" s="320">
        <f>K151/$E$11</f>
      </c>
      <c r="AG151" s="293">
        <f>L151/$E$11</f>
      </c>
      <c r="AH151" s="319">
        <f>M151/$E$11</f>
      </c>
      <c r="AI151" s="320">
        <f>N151/$E$12</f>
      </c>
      <c r="AJ151" s="293">
        <f>O151/$E$12</f>
      </c>
      <c r="AK151" s="293">
        <f>P151/$E$12</f>
      </c>
      <c r="AL151" s="320">
        <f>Q151/$E$13</f>
      </c>
      <c r="AM151" s="293">
        <f>R151/$E$13</f>
      </c>
      <c r="AN151" s="319">
        <f>S151/$E$13</f>
      </c>
      <c r="AO151" s="293">
        <f>T151/$E$14</f>
      </c>
      <c r="AP151" s="293">
        <f>U151/$E$14</f>
      </c>
      <c r="AQ151" s="319">
        <f>V151/$E$14</f>
      </c>
      <c r="AR151" s="297"/>
      <c r="AS151" s="124"/>
      <c r="AT151" s="303"/>
      <c r="AU151" s="307"/>
      <c r="AV151" s="307"/>
      <c r="AW151" s="297"/>
      <c r="AX151" s="307"/>
      <c r="AY151" s="307"/>
      <c r="AZ151" s="307"/>
      <c r="BA151" s="63"/>
      <c r="BB151" s="63"/>
      <c r="BC151" s="63"/>
      <c r="BD151" s="303"/>
      <c r="BE151" s="303"/>
      <c r="BF151" s="303"/>
      <c r="BG151" s="303"/>
      <c r="BH151" s="297"/>
      <c r="BI151" s="297"/>
      <c r="BJ151" s="297"/>
      <c r="BK151" s="297"/>
      <c r="BL151" s="297"/>
      <c r="BM151" s="297"/>
      <c r="BN151" s="297"/>
      <c r="BO151" s="297"/>
      <c r="BP151" s="297"/>
      <c r="BQ151" s="160"/>
      <c r="BR151" s="160"/>
      <c r="BS151" s="160"/>
      <c r="BT151" s="297"/>
      <c r="BU151" s="297"/>
      <c r="BV151" s="297"/>
      <c r="BW151" s="290"/>
      <c r="BX151" s="290"/>
      <c r="BY151" s="290"/>
      <c r="BZ151" s="297"/>
      <c r="CA151" s="297"/>
      <c r="CB151" s="297"/>
      <c r="CC151" s="297"/>
      <c r="CD151" s="297"/>
      <c r="CE151" s="297"/>
      <c r="CF151" s="124"/>
      <c r="CG151" s="124"/>
      <c r="CH151" s="124"/>
      <c r="CI151" s="63"/>
      <c r="CJ151" s="63"/>
      <c r="CK151" s="63"/>
      <c r="CL151" s="63"/>
      <c r="CM151" s="63"/>
      <c r="CN151" s="63"/>
      <c r="CO151" s="63"/>
      <c r="CP151" s="63"/>
      <c r="CQ151" s="63"/>
      <c r="CR151" s="63"/>
      <c r="CS151" s="63"/>
      <c r="CT151" s="63"/>
      <c r="CU151" s="124"/>
      <c r="CV151" s="124"/>
      <c r="CW151" s="124"/>
      <c r="CX151" s="124"/>
      <c r="CY151" s="124"/>
      <c r="CZ151" s="124"/>
      <c r="DA151" s="124"/>
      <c r="DB151" s="124"/>
      <c r="DC151" s="124"/>
      <c r="DD151" s="124"/>
      <c r="DE151" s="124"/>
      <c r="DF151" s="124"/>
      <c r="DG151" s="124"/>
      <c r="DH151" s="124"/>
      <c r="DI151" s="124"/>
      <c r="DJ151" s="124"/>
      <c r="DK151" s="2"/>
      <c r="DL151" s="2"/>
      <c r="DM151" s="2"/>
      <c r="DN151" s="2"/>
      <c r="DO151" s="2"/>
      <c r="DP151" s="2"/>
    </row>
    <row x14ac:dyDescent="0.25" r="152" customHeight="1" ht="13.5">
      <c r="A152" s="2"/>
      <c r="B152" s="3"/>
      <c r="C152" s="2"/>
      <c r="D152" s="123" t="s">
        <v>223</v>
      </c>
      <c r="E152" s="318">
        <f>OCPMarketShares!K104</f>
      </c>
      <c r="F152" s="318">
        <f>OCPMarketShares!L104</f>
      </c>
      <c r="G152" s="318">
        <f>OCPMarketShares!M104</f>
      </c>
      <c r="H152" s="293">
        <f>E152*H126</f>
      </c>
      <c r="I152" s="293">
        <f>F152*I126</f>
      </c>
      <c r="J152" s="293">
        <f>G152*J126</f>
      </c>
      <c r="K152" s="293">
        <f>E152*K126</f>
      </c>
      <c r="L152" s="293">
        <f>F152*L126</f>
      </c>
      <c r="M152" s="293">
        <f>G152*M126</f>
      </c>
      <c r="N152" s="293">
        <f>E152*N126</f>
      </c>
      <c r="O152" s="293">
        <f>F152*O126</f>
      </c>
      <c r="P152" s="293">
        <f>G152*P126</f>
      </c>
      <c r="Q152" s="293">
        <f>E152*Q126</f>
      </c>
      <c r="R152" s="293">
        <f>F152*R126</f>
      </c>
      <c r="S152" s="319">
        <f>G152*S126</f>
      </c>
      <c r="T152" s="293">
        <f>E152*T126</f>
      </c>
      <c r="U152" s="293">
        <f>F152*U126</f>
      </c>
      <c r="V152" s="293">
        <f>G152*V126</f>
      </c>
      <c r="W152" s="293">
        <f>J152+M152+P152+S152+V152-G152</f>
      </c>
      <c r="X152" s="297"/>
      <c r="Y152" s="140">
        <f>D152</f>
      </c>
      <c r="Z152" s="293">
        <f>AC152+AF152+AI152+AL152+AO152</f>
      </c>
      <c r="AA152" s="293">
        <f>AD152+AG152+AJ152+AM152+AP152</f>
      </c>
      <c r="AB152" s="293">
        <f>AE152+AH152+AK152+AN152+AQ152</f>
      </c>
      <c r="AC152" s="320">
        <f>H152/$E$10</f>
      </c>
      <c r="AD152" s="293">
        <f>I152/$E$10</f>
      </c>
      <c r="AE152" s="319">
        <f>J152/$E$10</f>
      </c>
      <c r="AF152" s="320">
        <f>K152/$E$11</f>
      </c>
      <c r="AG152" s="293">
        <f>L152/$E$11</f>
      </c>
      <c r="AH152" s="319">
        <f>M152/$E$11</f>
      </c>
      <c r="AI152" s="320">
        <f>N152/$E$12</f>
      </c>
      <c r="AJ152" s="293">
        <f>O152/$E$12</f>
      </c>
      <c r="AK152" s="293">
        <f>P152/$E$12</f>
      </c>
      <c r="AL152" s="320">
        <f>Q152/$E$13</f>
      </c>
      <c r="AM152" s="293">
        <f>R152/$E$13</f>
      </c>
      <c r="AN152" s="319">
        <f>S152/$E$13</f>
      </c>
      <c r="AO152" s="293">
        <f>T152/$E$14</f>
      </c>
      <c r="AP152" s="293">
        <f>U152/$E$14</f>
      </c>
      <c r="AQ152" s="319">
        <f>V152/$E$14</f>
      </c>
      <c r="AR152" s="297"/>
      <c r="AS152" s="124"/>
      <c r="AT152" s="303"/>
      <c r="AU152" s="307"/>
      <c r="AV152" s="307"/>
      <c r="AW152" s="297"/>
      <c r="AX152" s="307"/>
      <c r="AY152" s="307"/>
      <c r="AZ152" s="307"/>
      <c r="BA152" s="63"/>
      <c r="BB152" s="63"/>
      <c r="BC152" s="63"/>
      <c r="BD152" s="303"/>
      <c r="BE152" s="303"/>
      <c r="BF152" s="303"/>
      <c r="BG152" s="303"/>
      <c r="BH152" s="297"/>
      <c r="BI152" s="297"/>
      <c r="BJ152" s="297"/>
      <c r="BK152" s="297"/>
      <c r="BL152" s="297"/>
      <c r="BM152" s="297"/>
      <c r="BN152" s="297"/>
      <c r="BO152" s="297"/>
      <c r="BP152" s="297"/>
      <c r="BQ152" s="160"/>
      <c r="BR152" s="160"/>
      <c r="BS152" s="160"/>
      <c r="BT152" s="297"/>
      <c r="BU152" s="297"/>
      <c r="BV152" s="297"/>
      <c r="BW152" s="290"/>
      <c r="BX152" s="290"/>
      <c r="BY152" s="290"/>
      <c r="BZ152" s="297"/>
      <c r="CA152" s="297"/>
      <c r="CB152" s="297"/>
      <c r="CC152" s="297"/>
      <c r="CD152" s="297"/>
      <c r="CE152" s="297"/>
      <c r="CF152" s="124"/>
      <c r="CG152" s="124"/>
      <c r="CH152" s="124"/>
      <c r="CI152" s="63"/>
      <c r="CJ152" s="63"/>
      <c r="CK152" s="63"/>
      <c r="CL152" s="63"/>
      <c r="CM152" s="63"/>
      <c r="CN152" s="63"/>
      <c r="CO152" s="63"/>
      <c r="CP152" s="63"/>
      <c r="CQ152" s="63"/>
      <c r="CR152" s="63"/>
      <c r="CS152" s="63"/>
      <c r="CT152" s="63"/>
      <c r="CU152" s="124"/>
      <c r="CV152" s="124"/>
      <c r="CW152" s="124"/>
      <c r="CX152" s="124"/>
      <c r="CY152" s="124"/>
      <c r="CZ152" s="124"/>
      <c r="DA152" s="124"/>
      <c r="DB152" s="124"/>
      <c r="DC152" s="124"/>
      <c r="DD152" s="124"/>
      <c r="DE152" s="124"/>
      <c r="DF152" s="124"/>
      <c r="DG152" s="124"/>
      <c r="DH152" s="124"/>
      <c r="DI152" s="124"/>
      <c r="DJ152" s="124"/>
      <c r="DK152" s="2"/>
      <c r="DL152" s="2"/>
      <c r="DM152" s="2"/>
      <c r="DN152" s="2"/>
      <c r="DO152" s="2"/>
      <c r="DP152" s="2"/>
    </row>
    <row x14ac:dyDescent="0.25" r="153" customHeight="1" ht="13.5">
      <c r="A153" s="2"/>
      <c r="B153" s="3"/>
      <c r="C153" s="2"/>
      <c r="D153" s="123" t="s">
        <v>183</v>
      </c>
      <c r="E153" s="318">
        <f>OCPMarketShares!K105</f>
      </c>
      <c r="F153" s="318">
        <f>OCPMarketShares!L105</f>
      </c>
      <c r="G153" s="318">
        <f>OCPMarketShares!M105</f>
      </c>
      <c r="H153" s="293">
        <f>E153*H127</f>
      </c>
      <c r="I153" s="293">
        <f>F153*I127</f>
      </c>
      <c r="J153" s="293">
        <f>G153*J127</f>
      </c>
      <c r="K153" s="293">
        <f>E153*K127</f>
      </c>
      <c r="L153" s="293">
        <f>F153*L127</f>
      </c>
      <c r="M153" s="293">
        <f>G153*M127</f>
      </c>
      <c r="N153" s="293">
        <f>E153*N127</f>
      </c>
      <c r="O153" s="293">
        <f>F153*O127</f>
      </c>
      <c r="P153" s="293">
        <f>G153*P127</f>
      </c>
      <c r="Q153" s="293">
        <f>E153*Q127</f>
      </c>
      <c r="R153" s="293">
        <f>F153*R127</f>
      </c>
      <c r="S153" s="319">
        <f>G153*S127</f>
      </c>
      <c r="T153" s="293">
        <f>E153*T127</f>
      </c>
      <c r="U153" s="293">
        <f>F153*U127</f>
      </c>
      <c r="V153" s="293">
        <f>G153*V127</f>
      </c>
      <c r="W153" s="293">
        <f>J153+M153+P153+S153+V153-G153</f>
      </c>
      <c r="X153" s="297"/>
      <c r="Y153" s="140">
        <f>D153</f>
      </c>
      <c r="Z153" s="293">
        <f>AC153+AF153+AI153+AL153+AO153</f>
      </c>
      <c r="AA153" s="293">
        <f>AD153+AG153+AJ153+AM153+AP153</f>
      </c>
      <c r="AB153" s="293">
        <f>AE153+AH153+AK153+AN153+AQ153</f>
      </c>
      <c r="AC153" s="320">
        <f>H153/$E$10</f>
      </c>
      <c r="AD153" s="293">
        <f>I153/$E$10</f>
      </c>
      <c r="AE153" s="319">
        <f>J153/$E$10</f>
      </c>
      <c r="AF153" s="320">
        <f>K153/$E$11</f>
      </c>
      <c r="AG153" s="293">
        <f>L153/$E$11</f>
      </c>
      <c r="AH153" s="319">
        <f>M153/$E$11</f>
      </c>
      <c r="AI153" s="320">
        <f>N153/$E$12</f>
      </c>
      <c r="AJ153" s="293">
        <f>O153/$E$12</f>
      </c>
      <c r="AK153" s="293">
        <f>P153/$E$12</f>
      </c>
      <c r="AL153" s="320">
        <f>Q153/$E$13</f>
      </c>
      <c r="AM153" s="293">
        <f>R153/$E$13</f>
      </c>
      <c r="AN153" s="319">
        <f>S153/$E$13</f>
      </c>
      <c r="AO153" s="293">
        <f>T153/$E$14</f>
      </c>
      <c r="AP153" s="293">
        <f>U153/$E$14</f>
      </c>
      <c r="AQ153" s="319">
        <f>V153/$E$14</f>
      </c>
      <c r="AR153" s="297"/>
      <c r="AS153" s="124"/>
      <c r="AT153" s="303"/>
      <c r="AU153" s="307"/>
      <c r="AV153" s="307"/>
      <c r="AW153" s="297"/>
      <c r="AX153" s="307"/>
      <c r="AY153" s="307"/>
      <c r="AZ153" s="307"/>
      <c r="BA153" s="63"/>
      <c r="BB153" s="63"/>
      <c r="BC153" s="63"/>
      <c r="BD153" s="303"/>
      <c r="BE153" s="303"/>
      <c r="BF153" s="303"/>
      <c r="BG153" s="303"/>
      <c r="BH153" s="297"/>
      <c r="BI153" s="297"/>
      <c r="BJ153" s="297"/>
      <c r="BK153" s="297"/>
      <c r="BL153" s="297"/>
      <c r="BM153" s="297"/>
      <c r="BN153" s="297"/>
      <c r="BO153" s="297"/>
      <c r="BP153" s="297"/>
      <c r="BQ153" s="160"/>
      <c r="BR153" s="160"/>
      <c r="BS153" s="160"/>
      <c r="BT153" s="297"/>
      <c r="BU153" s="297"/>
      <c r="BV153" s="297"/>
      <c r="BW153" s="124"/>
      <c r="BX153" s="124"/>
      <c r="BY153" s="124"/>
      <c r="BZ153" s="297"/>
      <c r="CA153" s="297"/>
      <c r="CB153" s="297"/>
      <c r="CC153" s="297"/>
      <c r="CD153" s="297"/>
      <c r="CE153" s="297"/>
      <c r="CF153" s="124"/>
      <c r="CG153" s="124"/>
      <c r="CH153" s="124"/>
      <c r="CI153" s="63"/>
      <c r="CJ153" s="63"/>
      <c r="CK153" s="63"/>
      <c r="CL153" s="63"/>
      <c r="CM153" s="63"/>
      <c r="CN153" s="63"/>
      <c r="CO153" s="63"/>
      <c r="CP153" s="63"/>
      <c r="CQ153" s="63"/>
      <c r="CR153" s="63"/>
      <c r="CS153" s="63"/>
      <c r="CT153" s="63"/>
      <c r="CU153" s="124"/>
      <c r="CV153" s="124"/>
      <c r="CW153" s="124"/>
      <c r="CX153" s="124"/>
      <c r="CY153" s="124"/>
      <c r="CZ153" s="124"/>
      <c r="DA153" s="124"/>
      <c r="DB153" s="124"/>
      <c r="DC153" s="124"/>
      <c r="DD153" s="124"/>
      <c r="DE153" s="124"/>
      <c r="DF153" s="124"/>
      <c r="DG153" s="124"/>
      <c r="DH153" s="124"/>
      <c r="DI153" s="124"/>
      <c r="DJ153" s="124"/>
      <c r="DK153" s="2"/>
      <c r="DL153" s="2"/>
      <c r="DM153" s="2"/>
      <c r="DN153" s="2"/>
      <c r="DO153" s="2"/>
      <c r="DP153" s="2"/>
    </row>
    <row x14ac:dyDescent="0.25" r="154" customHeight="1" ht="13.5">
      <c r="A154" s="2"/>
      <c r="B154" s="3"/>
      <c r="C154" s="2"/>
      <c r="D154" s="123" t="s">
        <v>161</v>
      </c>
      <c r="E154" s="318">
        <f>OCPMarketShares!K106</f>
      </c>
      <c r="F154" s="318">
        <f>OCPMarketShares!L106</f>
      </c>
      <c r="G154" s="318">
        <f>OCPMarketShares!M106</f>
      </c>
      <c r="H154" s="293">
        <f>E154*H128</f>
      </c>
      <c r="I154" s="293">
        <f>F154*I128</f>
      </c>
      <c r="J154" s="293">
        <f>G154*J128</f>
      </c>
      <c r="K154" s="293">
        <f>E154*K128</f>
      </c>
      <c r="L154" s="293">
        <f>F154*L128</f>
      </c>
      <c r="M154" s="293">
        <f>G154*M128</f>
      </c>
      <c r="N154" s="293">
        <f>E154*N128</f>
      </c>
      <c r="O154" s="293">
        <f>F154*O128</f>
      </c>
      <c r="P154" s="293">
        <f>G154*P128</f>
      </c>
      <c r="Q154" s="293">
        <f>E154*Q128</f>
      </c>
      <c r="R154" s="293">
        <f>F154*R128</f>
      </c>
      <c r="S154" s="319">
        <f>G154*S128</f>
      </c>
      <c r="T154" s="293">
        <f>E154*T128</f>
      </c>
      <c r="U154" s="293">
        <f>F154*U128</f>
      </c>
      <c r="V154" s="293">
        <f>G154*V128</f>
      </c>
      <c r="W154" s="293">
        <f>J154+M154+P154+S154+V154-G154</f>
      </c>
      <c r="X154" s="297"/>
      <c r="Y154" s="140">
        <f>D154</f>
      </c>
      <c r="Z154" s="293">
        <f>AC154+AF154+AI154+AL154+AO154</f>
      </c>
      <c r="AA154" s="293">
        <f>AD154+AG154+AJ154+AM154+AP154</f>
      </c>
      <c r="AB154" s="293">
        <f>AE154+AH154+AK154+AN154+AQ154</f>
      </c>
      <c r="AC154" s="320">
        <f>H154/$E$10</f>
      </c>
      <c r="AD154" s="293">
        <f>I154/$E$10</f>
      </c>
      <c r="AE154" s="319">
        <f>J154/$E$10</f>
      </c>
      <c r="AF154" s="320">
        <f>K154/$E$11</f>
      </c>
      <c r="AG154" s="293">
        <f>L154/$E$11</f>
      </c>
      <c r="AH154" s="319">
        <f>M154/$E$11</f>
      </c>
      <c r="AI154" s="320">
        <f>N154/$E$12</f>
      </c>
      <c r="AJ154" s="293">
        <f>O154/$E$12</f>
      </c>
      <c r="AK154" s="293">
        <f>P154/$E$12</f>
      </c>
      <c r="AL154" s="320">
        <f>Q154/$E$13</f>
      </c>
      <c r="AM154" s="293">
        <f>R154/$E$13</f>
      </c>
      <c r="AN154" s="319">
        <f>S154/$E$13</f>
      </c>
      <c r="AO154" s="293">
        <f>T154/$E$14</f>
      </c>
      <c r="AP154" s="293">
        <f>U154/$E$14</f>
      </c>
      <c r="AQ154" s="319">
        <f>V154/$E$14</f>
      </c>
      <c r="AR154" s="297"/>
      <c r="AS154" s="124"/>
      <c r="AT154" s="303"/>
      <c r="AU154" s="307"/>
      <c r="AV154" s="307"/>
      <c r="AW154" s="297"/>
      <c r="AX154" s="307"/>
      <c r="AY154" s="307"/>
      <c r="AZ154" s="307"/>
      <c r="BA154" s="63"/>
      <c r="BB154" s="63"/>
      <c r="BC154" s="63"/>
      <c r="BD154" s="303"/>
      <c r="BE154" s="303"/>
      <c r="BF154" s="303"/>
      <c r="BG154" s="303"/>
      <c r="BH154" s="297"/>
      <c r="BI154" s="297"/>
      <c r="BJ154" s="297"/>
      <c r="BK154" s="297"/>
      <c r="BL154" s="297"/>
      <c r="BM154" s="297"/>
      <c r="BN154" s="297"/>
      <c r="BO154" s="297"/>
      <c r="BP154" s="297"/>
      <c r="BQ154" s="160"/>
      <c r="BR154" s="160"/>
      <c r="BS154" s="160"/>
      <c r="BT154" s="297"/>
      <c r="BU154" s="297"/>
      <c r="BV154" s="297"/>
      <c r="BW154" s="290"/>
      <c r="BX154" s="290"/>
      <c r="BY154" s="290"/>
      <c r="BZ154" s="297"/>
      <c r="CA154" s="297"/>
      <c r="CB154" s="297"/>
      <c r="CC154" s="297"/>
      <c r="CD154" s="297"/>
      <c r="CE154" s="297"/>
      <c r="CF154" s="124"/>
      <c r="CG154" s="124"/>
      <c r="CH154" s="124"/>
      <c r="CI154" s="63"/>
      <c r="CJ154" s="63"/>
      <c r="CK154" s="63"/>
      <c r="CL154" s="63"/>
      <c r="CM154" s="63"/>
      <c r="CN154" s="63"/>
      <c r="CO154" s="63"/>
      <c r="CP154" s="63"/>
      <c r="CQ154" s="63"/>
      <c r="CR154" s="63"/>
      <c r="CS154" s="63"/>
      <c r="CT154" s="63"/>
      <c r="CU154" s="124"/>
      <c r="CV154" s="124"/>
      <c r="CW154" s="124"/>
      <c r="CX154" s="124"/>
      <c r="CY154" s="124"/>
      <c r="CZ154" s="124"/>
      <c r="DA154" s="124"/>
      <c r="DB154" s="124"/>
      <c r="DC154" s="124"/>
      <c r="DD154" s="124"/>
      <c r="DE154" s="124"/>
      <c r="DF154" s="124"/>
      <c r="DG154" s="124"/>
      <c r="DH154" s="124"/>
      <c r="DI154" s="124"/>
      <c r="DJ154" s="124"/>
      <c r="DK154" s="2"/>
      <c r="DL154" s="2"/>
      <c r="DM154" s="2"/>
      <c r="DN154" s="2"/>
      <c r="DO154" s="2"/>
      <c r="DP154" s="2"/>
    </row>
    <row x14ac:dyDescent="0.25" r="155" customHeight="1" ht="13.5">
      <c r="A155" s="2"/>
      <c r="B155" s="3"/>
      <c r="C155" s="2"/>
      <c r="D155" s="123" t="s">
        <v>219</v>
      </c>
      <c r="E155" s="318">
        <f>OCPMarketShares!K107</f>
      </c>
      <c r="F155" s="318">
        <f>OCPMarketShares!L107</f>
      </c>
      <c r="G155" s="318">
        <f>OCPMarketShares!M107</f>
      </c>
      <c r="H155" s="293">
        <f>E155*H129</f>
      </c>
      <c r="I155" s="293">
        <f>F155*I129</f>
      </c>
      <c r="J155" s="293">
        <f>G155*J129</f>
      </c>
      <c r="K155" s="293">
        <f>E155*K129</f>
      </c>
      <c r="L155" s="293">
        <f>F155*L129</f>
      </c>
      <c r="M155" s="293">
        <f>G155*M129</f>
      </c>
      <c r="N155" s="293">
        <f>E155*N129</f>
      </c>
      <c r="O155" s="293">
        <f>F155*O129</f>
      </c>
      <c r="P155" s="293">
        <f>G155*P129</f>
      </c>
      <c r="Q155" s="293">
        <f>E155*Q129</f>
      </c>
      <c r="R155" s="293">
        <f>F155*R129</f>
      </c>
      <c r="S155" s="319">
        <f>G155*S129</f>
      </c>
      <c r="T155" s="293">
        <f>E155*T129</f>
      </c>
      <c r="U155" s="293">
        <f>F155*U129</f>
      </c>
      <c r="V155" s="293">
        <f>G155*V129</f>
      </c>
      <c r="W155" s="293">
        <f>J155+M155+P155+S155+V155-G155</f>
      </c>
      <c r="X155" s="297"/>
      <c r="Y155" s="140">
        <f>D155</f>
      </c>
      <c r="Z155" s="293">
        <f>AC155+AF155+AI155+AL155+AO155</f>
      </c>
      <c r="AA155" s="293">
        <f>AD155+AG155+AJ155+AM155+AP155</f>
      </c>
      <c r="AB155" s="293">
        <f>AE155+AH155+AK155+AN155+AQ155</f>
      </c>
      <c r="AC155" s="320">
        <f>H155/$E$10</f>
      </c>
      <c r="AD155" s="293">
        <f>I155/$E$10</f>
      </c>
      <c r="AE155" s="319">
        <f>J155/$E$10</f>
      </c>
      <c r="AF155" s="320">
        <f>K155/$E$11</f>
      </c>
      <c r="AG155" s="293">
        <f>L155/$E$11</f>
      </c>
      <c r="AH155" s="319">
        <f>M155/$E$11</f>
      </c>
      <c r="AI155" s="320">
        <f>N155/$E$12</f>
      </c>
      <c r="AJ155" s="293">
        <f>O155/$E$12</f>
      </c>
      <c r="AK155" s="293">
        <f>P155/$E$12</f>
      </c>
      <c r="AL155" s="320">
        <f>Q155/$E$13</f>
      </c>
      <c r="AM155" s="293">
        <f>R155/$E$13</f>
      </c>
      <c r="AN155" s="319">
        <f>S155/$E$13</f>
      </c>
      <c r="AO155" s="293">
        <f>T155/$E$14</f>
      </c>
      <c r="AP155" s="293">
        <f>U155/$E$14</f>
      </c>
      <c r="AQ155" s="319">
        <f>V155/$E$14</f>
      </c>
      <c r="AR155" s="297"/>
      <c r="AS155" s="124"/>
      <c r="AT155" s="303"/>
      <c r="AU155" s="307"/>
      <c r="AV155" s="307"/>
      <c r="AW155" s="297"/>
      <c r="AX155" s="307"/>
      <c r="AY155" s="307"/>
      <c r="AZ155" s="307"/>
      <c r="BA155" s="63"/>
      <c r="BB155" s="63"/>
      <c r="BC155" s="63"/>
      <c r="BD155" s="303"/>
      <c r="BE155" s="303"/>
      <c r="BF155" s="303"/>
      <c r="BG155" s="303"/>
      <c r="BH155" s="297"/>
      <c r="BI155" s="297"/>
      <c r="BJ155" s="297"/>
      <c r="BK155" s="297"/>
      <c r="BL155" s="297"/>
      <c r="BM155" s="297"/>
      <c r="BN155" s="297"/>
      <c r="BO155" s="297"/>
      <c r="BP155" s="297"/>
      <c r="BQ155" s="160"/>
      <c r="BR155" s="160"/>
      <c r="BS155" s="160"/>
      <c r="BT155" s="297"/>
      <c r="BU155" s="297"/>
      <c r="BV155" s="297"/>
      <c r="BW155" s="290"/>
      <c r="BX155" s="290"/>
      <c r="BY155" s="290"/>
      <c r="BZ155" s="297"/>
      <c r="CA155" s="297"/>
      <c r="CB155" s="297"/>
      <c r="CC155" s="297"/>
      <c r="CD155" s="297"/>
      <c r="CE155" s="297"/>
      <c r="CF155" s="124"/>
      <c r="CG155" s="124"/>
      <c r="CH155" s="124"/>
      <c r="CI155" s="63"/>
      <c r="CJ155" s="63"/>
      <c r="CK155" s="63"/>
      <c r="CL155" s="63"/>
      <c r="CM155" s="63"/>
      <c r="CN155" s="63"/>
      <c r="CO155" s="63"/>
      <c r="CP155" s="63"/>
      <c r="CQ155" s="63"/>
      <c r="CR155" s="63"/>
      <c r="CS155" s="63"/>
      <c r="CT155" s="63"/>
      <c r="CU155" s="124"/>
      <c r="CV155" s="124"/>
      <c r="CW155" s="124"/>
      <c r="CX155" s="124"/>
      <c r="CY155" s="124"/>
      <c r="CZ155" s="124"/>
      <c r="DA155" s="124"/>
      <c r="DB155" s="124"/>
      <c r="DC155" s="124"/>
      <c r="DD155" s="124"/>
      <c r="DE155" s="124"/>
      <c r="DF155" s="124"/>
      <c r="DG155" s="124"/>
      <c r="DH155" s="124"/>
      <c r="DI155" s="124"/>
      <c r="DJ155" s="124"/>
      <c r="DK155" s="2"/>
      <c r="DL155" s="2"/>
      <c r="DM155" s="2"/>
      <c r="DN155" s="2"/>
      <c r="DO155" s="2"/>
      <c r="DP155" s="2"/>
    </row>
    <row x14ac:dyDescent="0.25" r="156" customHeight="1" ht="13.5">
      <c r="A156" s="2"/>
      <c r="B156" s="3"/>
      <c r="C156" s="2"/>
      <c r="D156" s="123" t="s">
        <v>159</v>
      </c>
      <c r="E156" s="318">
        <f>OCPMarketShares!K108</f>
      </c>
      <c r="F156" s="318">
        <f>OCPMarketShares!L108</f>
      </c>
      <c r="G156" s="318">
        <f>OCPMarketShares!M108</f>
      </c>
      <c r="H156" s="293">
        <f>E156*H130</f>
      </c>
      <c r="I156" s="293">
        <f>F156*I130</f>
      </c>
      <c r="J156" s="293">
        <f>G156*J130</f>
      </c>
      <c r="K156" s="293">
        <f>E156*K130</f>
      </c>
      <c r="L156" s="293">
        <f>F156*L130</f>
      </c>
      <c r="M156" s="293">
        <f>G156*M130</f>
      </c>
      <c r="N156" s="293">
        <f>E156*N130</f>
      </c>
      <c r="O156" s="293">
        <f>F156*O130</f>
      </c>
      <c r="P156" s="293">
        <f>G156*P130</f>
      </c>
      <c r="Q156" s="293">
        <f>E156*Q130</f>
      </c>
      <c r="R156" s="293">
        <f>F156*R130</f>
      </c>
      <c r="S156" s="319">
        <f>G156*S130</f>
      </c>
      <c r="T156" s="293">
        <f>E156*T130</f>
      </c>
      <c r="U156" s="293">
        <f>F156*U130</f>
      </c>
      <c r="V156" s="293">
        <f>G156*V130</f>
      </c>
      <c r="W156" s="293">
        <f>J156+M156+P156+S156+V156-G156</f>
      </c>
      <c r="X156" s="297"/>
      <c r="Y156" s="140">
        <f>D156</f>
      </c>
      <c r="Z156" s="293">
        <f>AC156+AF156+AI156+AL156+AO156</f>
      </c>
      <c r="AA156" s="293">
        <f>AD156+AG156+AJ156+AM156+AP156</f>
      </c>
      <c r="AB156" s="293">
        <f>AE156+AH156+AK156+AN156+AQ156</f>
      </c>
      <c r="AC156" s="320">
        <f>H156/$E$10</f>
      </c>
      <c r="AD156" s="293">
        <f>I156/$E$10</f>
      </c>
      <c r="AE156" s="319">
        <f>J156/$E$10</f>
      </c>
      <c r="AF156" s="320">
        <f>K156/$E$11</f>
      </c>
      <c r="AG156" s="293">
        <f>L156/$E$11</f>
      </c>
      <c r="AH156" s="319">
        <f>M156/$E$11</f>
      </c>
      <c r="AI156" s="320">
        <f>N156/$E$12</f>
      </c>
      <c r="AJ156" s="293">
        <f>O156/$E$12</f>
      </c>
      <c r="AK156" s="293">
        <f>P156/$E$12</f>
      </c>
      <c r="AL156" s="320">
        <f>Q156/$E$13</f>
      </c>
      <c r="AM156" s="293">
        <f>R156/$E$13</f>
      </c>
      <c r="AN156" s="319">
        <f>S156/$E$13</f>
      </c>
      <c r="AO156" s="293">
        <f>T156/$E$14</f>
      </c>
      <c r="AP156" s="293">
        <f>U156/$E$14</f>
      </c>
      <c r="AQ156" s="319">
        <f>V156/$E$14</f>
      </c>
      <c r="AR156" s="297"/>
      <c r="AS156" s="124"/>
      <c r="AT156" s="303"/>
      <c r="AU156" s="307"/>
      <c r="AV156" s="307"/>
      <c r="AW156" s="297"/>
      <c r="AX156" s="307"/>
      <c r="AY156" s="307"/>
      <c r="AZ156" s="307"/>
      <c r="BA156" s="63"/>
      <c r="BB156" s="63"/>
      <c r="BC156" s="63"/>
      <c r="BD156" s="303"/>
      <c r="BE156" s="303"/>
      <c r="BF156" s="303"/>
      <c r="BG156" s="303"/>
      <c r="BH156" s="297"/>
      <c r="BI156" s="297"/>
      <c r="BJ156" s="297"/>
      <c r="BK156" s="297"/>
      <c r="BL156" s="297"/>
      <c r="BM156" s="297"/>
      <c r="BN156" s="297"/>
      <c r="BO156" s="297"/>
      <c r="BP156" s="297"/>
      <c r="BQ156" s="160"/>
      <c r="BR156" s="160"/>
      <c r="BS156" s="160"/>
      <c r="BT156" s="297"/>
      <c r="BU156" s="297"/>
      <c r="BV156" s="297"/>
      <c r="BW156" s="290"/>
      <c r="BX156" s="290"/>
      <c r="BY156" s="290"/>
      <c r="BZ156" s="297"/>
      <c r="CA156" s="297"/>
      <c r="CB156" s="297"/>
      <c r="CC156" s="297"/>
      <c r="CD156" s="297"/>
      <c r="CE156" s="297"/>
      <c r="CF156" s="124"/>
      <c r="CG156" s="124"/>
      <c r="CH156" s="124"/>
      <c r="CI156" s="63"/>
      <c r="CJ156" s="63"/>
      <c r="CK156" s="63"/>
      <c r="CL156" s="63"/>
      <c r="CM156" s="63"/>
      <c r="CN156" s="63"/>
      <c r="CO156" s="63"/>
      <c r="CP156" s="63"/>
      <c r="CQ156" s="63"/>
      <c r="CR156" s="63"/>
      <c r="CS156" s="63"/>
      <c r="CT156" s="63"/>
      <c r="CU156" s="124"/>
      <c r="CV156" s="124"/>
      <c r="CW156" s="124"/>
      <c r="CX156" s="124"/>
      <c r="CY156" s="124"/>
      <c r="CZ156" s="124"/>
      <c r="DA156" s="124"/>
      <c r="DB156" s="124"/>
      <c r="DC156" s="124"/>
      <c r="DD156" s="124"/>
      <c r="DE156" s="124"/>
      <c r="DF156" s="124"/>
      <c r="DG156" s="124"/>
      <c r="DH156" s="124"/>
      <c r="DI156" s="124"/>
      <c r="DJ156" s="124"/>
      <c r="DK156" s="2"/>
      <c r="DL156" s="2"/>
      <c r="DM156" s="2"/>
      <c r="DN156" s="2"/>
      <c r="DO156" s="2"/>
      <c r="DP156" s="2"/>
    </row>
    <row x14ac:dyDescent="0.25" r="157" customHeight="1" ht="13.5">
      <c r="A157" s="2"/>
      <c r="B157" s="3"/>
      <c r="C157" s="2"/>
      <c r="D157" s="123" t="s">
        <v>163</v>
      </c>
      <c r="E157" s="318">
        <f>OCPMarketShares!K109</f>
      </c>
      <c r="F157" s="318">
        <f>OCPMarketShares!L109</f>
      </c>
      <c r="G157" s="318">
        <f>OCPMarketShares!M109</f>
      </c>
      <c r="H157" s="293">
        <f>E157*H131</f>
      </c>
      <c r="I157" s="293">
        <f>F157*I131</f>
      </c>
      <c r="J157" s="293">
        <f>G157*J131</f>
      </c>
      <c r="K157" s="293">
        <f>E157*K131</f>
      </c>
      <c r="L157" s="293">
        <f>F157*L131</f>
      </c>
      <c r="M157" s="293">
        <f>G157*M131</f>
      </c>
      <c r="N157" s="293">
        <f>E157*N131</f>
      </c>
      <c r="O157" s="293">
        <f>F157*O131</f>
      </c>
      <c r="P157" s="293">
        <f>G157*P131</f>
      </c>
      <c r="Q157" s="293">
        <f>E157*Q131</f>
      </c>
      <c r="R157" s="293">
        <f>F157*R131</f>
      </c>
      <c r="S157" s="319">
        <f>G157*S131</f>
      </c>
      <c r="T157" s="293">
        <f>E157*T131</f>
      </c>
      <c r="U157" s="293">
        <f>F157*U131</f>
      </c>
      <c r="V157" s="293">
        <f>G157*V131</f>
      </c>
      <c r="W157" s="293">
        <f>J157+M157+P157+S157+V157-G157</f>
      </c>
      <c r="X157" s="297"/>
      <c r="Y157" s="140">
        <f>D157</f>
      </c>
      <c r="Z157" s="293">
        <f>AC157+AF157+AI157+AL157+AO157</f>
      </c>
      <c r="AA157" s="293">
        <f>AD157+AG157+AJ157+AM157+AP157</f>
      </c>
      <c r="AB157" s="293">
        <f>AE157+AH157+AK157+AN157+AQ157</f>
      </c>
      <c r="AC157" s="320">
        <f>H157/$E$10</f>
      </c>
      <c r="AD157" s="293">
        <f>I157/$E$10</f>
      </c>
      <c r="AE157" s="319">
        <f>J157/$E$10</f>
      </c>
      <c r="AF157" s="320">
        <f>K157/$E$11</f>
      </c>
      <c r="AG157" s="293">
        <f>L157/$E$11</f>
      </c>
      <c r="AH157" s="319">
        <f>M157/$E$11</f>
      </c>
      <c r="AI157" s="320">
        <f>N157/$E$12</f>
      </c>
      <c r="AJ157" s="293">
        <f>O157/$E$12</f>
      </c>
      <c r="AK157" s="293">
        <f>P157/$E$12</f>
      </c>
      <c r="AL157" s="320">
        <f>Q157/$E$13</f>
      </c>
      <c r="AM157" s="293">
        <f>R157/$E$13</f>
      </c>
      <c r="AN157" s="319">
        <f>S157/$E$13</f>
      </c>
      <c r="AO157" s="293">
        <f>T157/$E$14</f>
      </c>
      <c r="AP157" s="293">
        <f>U157/$E$14</f>
      </c>
      <c r="AQ157" s="319">
        <f>V157/$E$14</f>
      </c>
      <c r="AR157" s="297"/>
      <c r="AS157" s="124"/>
      <c r="AT157" s="303"/>
      <c r="AU157" s="307"/>
      <c r="AV157" s="307"/>
      <c r="AW157" s="297"/>
      <c r="AX157" s="307"/>
      <c r="AY157" s="307"/>
      <c r="AZ157" s="307"/>
      <c r="BA157" s="63"/>
      <c r="BB157" s="63"/>
      <c r="BC157" s="63"/>
      <c r="BD157" s="303"/>
      <c r="BE157" s="303"/>
      <c r="BF157" s="303"/>
      <c r="BG157" s="303"/>
      <c r="BH157" s="297"/>
      <c r="BI157" s="297"/>
      <c r="BJ157" s="297"/>
      <c r="BK157" s="297"/>
      <c r="BL157" s="297"/>
      <c r="BM157" s="297"/>
      <c r="BN157" s="297"/>
      <c r="BO157" s="297"/>
      <c r="BP157" s="297"/>
      <c r="BQ157" s="160"/>
      <c r="BR157" s="160"/>
      <c r="BS157" s="160"/>
      <c r="BT157" s="297"/>
      <c r="BU157" s="297"/>
      <c r="BV157" s="297"/>
      <c r="BW157" s="290"/>
      <c r="BX157" s="290"/>
      <c r="BY157" s="290"/>
      <c r="BZ157" s="297"/>
      <c r="CA157" s="297"/>
      <c r="CB157" s="297"/>
      <c r="CC157" s="297"/>
      <c r="CD157" s="297"/>
      <c r="CE157" s="297"/>
      <c r="CF157" s="124"/>
      <c r="CG157" s="124"/>
      <c r="CH157" s="124"/>
      <c r="CI157" s="63"/>
      <c r="CJ157" s="63"/>
      <c r="CK157" s="63"/>
      <c r="CL157" s="63"/>
      <c r="CM157" s="63"/>
      <c r="CN157" s="63"/>
      <c r="CO157" s="63"/>
      <c r="CP157" s="63"/>
      <c r="CQ157" s="63"/>
      <c r="CR157" s="63"/>
      <c r="CS157" s="63"/>
      <c r="CT157" s="63"/>
      <c r="CU157" s="124"/>
      <c r="CV157" s="124"/>
      <c r="CW157" s="124"/>
      <c r="CX157" s="124"/>
      <c r="CY157" s="124"/>
      <c r="CZ157" s="124"/>
      <c r="DA157" s="124"/>
      <c r="DB157" s="124"/>
      <c r="DC157" s="124"/>
      <c r="DD157" s="124"/>
      <c r="DE157" s="124"/>
      <c r="DF157" s="124"/>
      <c r="DG157" s="124"/>
      <c r="DH157" s="124"/>
      <c r="DI157" s="124"/>
      <c r="DJ157" s="124"/>
      <c r="DK157" s="2"/>
      <c r="DL157" s="2"/>
      <c r="DM157" s="2"/>
      <c r="DN157" s="2"/>
      <c r="DO157" s="2"/>
      <c r="DP157" s="2"/>
    </row>
    <row x14ac:dyDescent="0.25" r="158" customHeight="1" ht="13.5">
      <c r="A158" s="2"/>
      <c r="B158" s="3"/>
      <c r="C158" s="2"/>
      <c r="D158" s="123" t="s">
        <v>227</v>
      </c>
      <c r="E158" s="318">
        <f>OCPMarketShares!K110</f>
      </c>
      <c r="F158" s="318">
        <f>OCPMarketShares!L110</f>
      </c>
      <c r="G158" s="318">
        <f>OCPMarketShares!M110</f>
      </c>
      <c r="H158" s="293">
        <f>E158*H132</f>
      </c>
      <c r="I158" s="293">
        <f>F158*I132</f>
      </c>
      <c r="J158" s="293">
        <f>G158*J132</f>
      </c>
      <c r="K158" s="293">
        <f>E158*K132</f>
      </c>
      <c r="L158" s="293">
        <f>F158*L132</f>
      </c>
      <c r="M158" s="293">
        <f>G158*M132</f>
      </c>
      <c r="N158" s="293">
        <f>E158*N132</f>
      </c>
      <c r="O158" s="293">
        <f>F158*O132</f>
      </c>
      <c r="P158" s="293">
        <f>G158*P132</f>
      </c>
      <c r="Q158" s="293">
        <f>E158*Q132</f>
      </c>
      <c r="R158" s="293">
        <f>F158*R132</f>
      </c>
      <c r="S158" s="319">
        <f>G158*S132</f>
      </c>
      <c r="T158" s="293">
        <f>E158*T132</f>
      </c>
      <c r="U158" s="293">
        <f>F158*U132</f>
      </c>
      <c r="V158" s="293">
        <f>G158*V132</f>
      </c>
      <c r="W158" s="293">
        <f>J158+M158+P158+S158+V158-G158</f>
      </c>
      <c r="X158" s="297"/>
      <c r="Y158" s="140">
        <f>D158</f>
      </c>
      <c r="Z158" s="293">
        <f>AC158+AF158+AI158+AL158+AO158</f>
      </c>
      <c r="AA158" s="293">
        <f>AD158+AG158+AJ158+AM158+AP158</f>
      </c>
      <c r="AB158" s="293">
        <f>AE158+AH158+AK158+AN158+AQ158</f>
      </c>
      <c r="AC158" s="320">
        <f>H158/$E$10</f>
      </c>
      <c r="AD158" s="293">
        <f>I158/$E$10</f>
      </c>
      <c r="AE158" s="319">
        <f>J158/$E$10</f>
      </c>
      <c r="AF158" s="320">
        <f>K158/$E$11</f>
      </c>
      <c r="AG158" s="293">
        <f>L158/$E$11</f>
      </c>
      <c r="AH158" s="319">
        <f>M158/$E$11</f>
      </c>
      <c r="AI158" s="320">
        <f>N158/$E$12</f>
      </c>
      <c r="AJ158" s="293">
        <f>O158/$E$12</f>
      </c>
      <c r="AK158" s="293">
        <f>P158/$E$12</f>
      </c>
      <c r="AL158" s="320">
        <f>Q158/$E$13</f>
      </c>
      <c r="AM158" s="293">
        <f>R158/$E$13</f>
      </c>
      <c r="AN158" s="319">
        <f>S158/$E$13</f>
      </c>
      <c r="AO158" s="293">
        <f>T158/$E$14</f>
      </c>
      <c r="AP158" s="293">
        <f>U158/$E$14</f>
      </c>
      <c r="AQ158" s="319">
        <f>V158/$E$14</f>
      </c>
      <c r="AR158" s="297"/>
      <c r="AS158" s="124"/>
      <c r="AT158" s="303"/>
      <c r="AU158" s="307"/>
      <c r="AV158" s="307"/>
      <c r="AW158" s="297"/>
      <c r="AX158" s="307"/>
      <c r="AY158" s="307"/>
      <c r="AZ158" s="307"/>
      <c r="BA158" s="63"/>
      <c r="BB158" s="63"/>
      <c r="BC158" s="63"/>
      <c r="BD158" s="303"/>
      <c r="BE158" s="303"/>
      <c r="BF158" s="303"/>
      <c r="BG158" s="303"/>
      <c r="BH158" s="297"/>
      <c r="BI158" s="297"/>
      <c r="BJ158" s="297"/>
      <c r="BK158" s="297"/>
      <c r="BL158" s="297"/>
      <c r="BM158" s="297"/>
      <c r="BN158" s="297"/>
      <c r="BO158" s="297"/>
      <c r="BP158" s="297"/>
      <c r="BQ158" s="160"/>
      <c r="BR158" s="160"/>
      <c r="BS158" s="160"/>
      <c r="BT158" s="297"/>
      <c r="BU158" s="297"/>
      <c r="BV158" s="297"/>
      <c r="BW158" s="290"/>
      <c r="BX158" s="290"/>
      <c r="BY158" s="290"/>
      <c r="BZ158" s="297"/>
      <c r="CA158" s="297"/>
      <c r="CB158" s="297"/>
      <c r="CC158" s="297"/>
      <c r="CD158" s="297"/>
      <c r="CE158" s="297"/>
      <c r="CF158" s="124"/>
      <c r="CG158" s="124"/>
      <c r="CH158" s="124"/>
      <c r="CI158" s="63"/>
      <c r="CJ158" s="63"/>
      <c r="CK158" s="63"/>
      <c r="CL158" s="63"/>
      <c r="CM158" s="63"/>
      <c r="CN158" s="63"/>
      <c r="CO158" s="63"/>
      <c r="CP158" s="63"/>
      <c r="CQ158" s="63"/>
      <c r="CR158" s="63"/>
      <c r="CS158" s="63"/>
      <c r="CT158" s="63"/>
      <c r="CU158" s="124"/>
      <c r="CV158" s="124"/>
      <c r="CW158" s="124"/>
      <c r="CX158" s="124"/>
      <c r="CY158" s="124"/>
      <c r="CZ158" s="124"/>
      <c r="DA158" s="124"/>
      <c r="DB158" s="124"/>
      <c r="DC158" s="124"/>
      <c r="DD158" s="124"/>
      <c r="DE158" s="124"/>
      <c r="DF158" s="124"/>
      <c r="DG158" s="124"/>
      <c r="DH158" s="124"/>
      <c r="DI158" s="124"/>
      <c r="DJ158" s="124"/>
      <c r="DK158" s="2"/>
      <c r="DL158" s="2"/>
      <c r="DM158" s="2"/>
      <c r="DN158" s="2"/>
      <c r="DO158" s="2"/>
      <c r="DP158" s="2"/>
    </row>
    <row x14ac:dyDescent="0.25" r="159" customHeight="1" ht="13.5">
      <c r="A159" s="2"/>
      <c r="B159" s="3"/>
      <c r="C159" s="2"/>
      <c r="D159" s="123" t="s">
        <v>255</v>
      </c>
      <c r="E159" s="318">
        <f>OCPMarketShares!K111</f>
      </c>
      <c r="F159" s="318">
        <f>OCPMarketShares!L111</f>
      </c>
      <c r="G159" s="318">
        <f>OCPMarketShares!M111</f>
      </c>
      <c r="H159" s="294">
        <f>E159*H133</f>
      </c>
      <c r="I159" s="294">
        <f>F159*I133</f>
      </c>
      <c r="J159" s="294">
        <f>G159*J133</f>
      </c>
      <c r="K159" s="294">
        <f>E159*K133</f>
      </c>
      <c r="L159" s="294">
        <f>F159*L133</f>
      </c>
      <c r="M159" s="294">
        <f>G159*M133</f>
      </c>
      <c r="N159" s="294">
        <f>E159*N133</f>
      </c>
      <c r="O159" s="294">
        <f>F159*O133</f>
      </c>
      <c r="P159" s="294">
        <f>G159*P133</f>
      </c>
      <c r="Q159" s="294">
        <f>E159*Q133</f>
      </c>
      <c r="R159" s="294">
        <f>F159*R133</f>
      </c>
      <c r="S159" s="323">
        <f>G159*S133</f>
      </c>
      <c r="T159" s="324">
        <f>E159*T133</f>
      </c>
      <c r="U159" s="294">
        <f>F159*U133</f>
      </c>
      <c r="V159" s="294">
        <f>G159*V133</f>
      </c>
      <c r="W159" s="293">
        <f>J159+M159+P159+S159+V159-G159</f>
      </c>
      <c r="X159" s="297"/>
      <c r="Y159" s="325">
        <f>D159</f>
      </c>
      <c r="Z159" s="294">
        <f>AC159+AF159+AI159+AL159+AO159</f>
      </c>
      <c r="AA159" s="294">
        <f>AD159+AG159+AJ159+AM159+AP159</f>
      </c>
      <c r="AB159" s="294">
        <f>AE159+AH159+AK159+AN159+AQ159</f>
      </c>
      <c r="AC159" s="324">
        <f>H159/$E$10</f>
      </c>
      <c r="AD159" s="294">
        <f>I159/$E$10</f>
      </c>
      <c r="AE159" s="323">
        <f>J159/$E$10</f>
      </c>
      <c r="AF159" s="324">
        <f>K159/$E$11</f>
      </c>
      <c r="AG159" s="294">
        <f>L159/$E$11</f>
      </c>
      <c r="AH159" s="323">
        <f>M159/$E$11</f>
      </c>
      <c r="AI159" s="324">
        <f>N159/$E$12</f>
      </c>
      <c r="AJ159" s="294">
        <f>O159/$E$12</f>
      </c>
      <c r="AK159" s="294">
        <f>P159/$E$12</f>
      </c>
      <c r="AL159" s="324">
        <f>Q159/$E$13</f>
      </c>
      <c r="AM159" s="294">
        <f>R159/$E$13</f>
      </c>
      <c r="AN159" s="323">
        <f>S159/$E$13</f>
      </c>
      <c r="AO159" s="324">
        <f>T159/$E$14</f>
      </c>
      <c r="AP159" s="294">
        <f>U159/$E$14</f>
      </c>
      <c r="AQ159" s="323">
        <f>V159/$E$14</f>
      </c>
      <c r="AR159" s="297"/>
      <c r="AS159" s="124"/>
      <c r="AT159" s="303"/>
      <c r="AU159" s="307"/>
      <c r="AV159" s="307"/>
      <c r="AW159" s="297"/>
      <c r="AX159" s="307"/>
      <c r="AY159" s="307"/>
      <c r="AZ159" s="307"/>
      <c r="BA159" s="63"/>
      <c r="BB159" s="63"/>
      <c r="BC159" s="63"/>
      <c r="BD159" s="303"/>
      <c r="BE159" s="303"/>
      <c r="BF159" s="303"/>
      <c r="BG159" s="303"/>
      <c r="BH159" s="297"/>
      <c r="BI159" s="297"/>
      <c r="BJ159" s="297"/>
      <c r="BK159" s="297"/>
      <c r="BL159" s="297"/>
      <c r="BM159" s="297"/>
      <c r="BN159" s="297"/>
      <c r="BO159" s="297"/>
      <c r="BP159" s="297"/>
      <c r="BQ159" s="160"/>
      <c r="BR159" s="160"/>
      <c r="BS159" s="160"/>
      <c r="BT159" s="255"/>
      <c r="BU159" s="297"/>
      <c r="BV159" s="297"/>
      <c r="BW159" s="124"/>
      <c r="BX159" s="124"/>
      <c r="BY159" s="124"/>
      <c r="BZ159" s="255"/>
      <c r="CA159" s="297"/>
      <c r="CB159" s="297"/>
      <c r="CC159" s="255"/>
      <c r="CD159" s="297"/>
      <c r="CE159" s="297"/>
      <c r="CF159" s="124"/>
      <c r="CG159" s="124"/>
      <c r="CH159" s="124"/>
      <c r="CI159" s="63"/>
      <c r="CJ159" s="63"/>
      <c r="CK159" s="63"/>
      <c r="CL159" s="63"/>
      <c r="CM159" s="63"/>
      <c r="CN159" s="63"/>
      <c r="CO159" s="63"/>
      <c r="CP159" s="63"/>
      <c r="CQ159" s="63"/>
      <c r="CR159" s="63"/>
      <c r="CS159" s="63"/>
      <c r="CT159" s="63"/>
      <c r="CU159" s="124"/>
      <c r="CV159" s="124"/>
      <c r="CW159" s="124"/>
      <c r="CX159" s="124"/>
      <c r="CY159" s="124"/>
      <c r="CZ159" s="124"/>
      <c r="DA159" s="124"/>
      <c r="DB159" s="124"/>
      <c r="DC159" s="124"/>
      <c r="DD159" s="124"/>
      <c r="DE159" s="124"/>
      <c r="DF159" s="124"/>
      <c r="DG159" s="124"/>
      <c r="DH159" s="124"/>
      <c r="DI159" s="124"/>
      <c r="DJ159" s="124"/>
      <c r="DK159" s="2"/>
      <c r="DL159" s="2"/>
      <c r="DM159" s="2"/>
      <c r="DN159" s="2"/>
      <c r="DO159" s="2"/>
      <c r="DP159" s="2"/>
    </row>
    <row x14ac:dyDescent="0.25" r="160" customHeight="1" ht="13.5">
      <c r="A160" s="2"/>
      <c r="B160" s="3"/>
      <c r="C160" s="2"/>
      <c r="D160" s="326" t="s">
        <v>336</v>
      </c>
      <c r="E160" s="327">
        <f>SUM(E139:E159)</f>
      </c>
      <c r="F160" s="327">
        <f>SUM(F139:F159)</f>
      </c>
      <c r="G160" s="327">
        <f>SUM(G139:G159)</f>
      </c>
      <c r="H160" s="294">
        <f>SUM(H139:H159)</f>
      </c>
      <c r="I160" s="294">
        <f>SUM(I139:I159)</f>
      </c>
      <c r="J160" s="294">
        <f>SUM(J139:J159)</f>
      </c>
      <c r="K160" s="294">
        <f>SUM(K139:K159)</f>
      </c>
      <c r="L160" s="294">
        <f>SUM(L139:L159)</f>
      </c>
      <c r="M160" s="294">
        <f>SUM(M139:M159)</f>
      </c>
      <c r="N160" s="294">
        <f>SUM(N139:N159)</f>
      </c>
      <c r="O160" s="294">
        <f>SUM(O139:O159)</f>
      </c>
      <c r="P160" s="294">
        <f>SUM(P139:P159)</f>
      </c>
      <c r="Q160" s="294">
        <f>SUM(Q139:Q159)</f>
      </c>
      <c r="R160" s="294">
        <f>SUM(R139:R159)</f>
      </c>
      <c r="S160" s="323">
        <f>SUM(S139:S159)</f>
      </c>
      <c r="T160" s="323">
        <f>SUM(T139:T159)</f>
      </c>
      <c r="U160" s="323">
        <f>SUM(U139:U159)</f>
      </c>
      <c r="V160" s="323">
        <f>SUM(V139:V159)</f>
      </c>
      <c r="W160" s="297"/>
      <c r="X160" s="297"/>
      <c r="Y160" s="328" t="s">
        <v>336</v>
      </c>
      <c r="Z160" s="294">
        <f>SUM(Z139:Z159)</f>
      </c>
      <c r="AA160" s="294">
        <f>SUM(AA139:AA159)</f>
      </c>
      <c r="AB160" s="294">
        <f>SUM(AB139:AB159)</f>
      </c>
      <c r="AC160" s="329">
        <f>SUM(AC139:AC159)</f>
      </c>
      <c r="AD160" s="330">
        <f>SUM(AD139:AD159)</f>
      </c>
      <c r="AE160" s="331">
        <f>SUM(AE139:AE159)</f>
      </c>
      <c r="AF160" s="329">
        <f>SUM(AF139:AF159)</f>
      </c>
      <c r="AG160" s="330">
        <f>SUM(AG139:AG159)</f>
      </c>
      <c r="AH160" s="331">
        <f>SUM(AH139:AH159)</f>
      </c>
      <c r="AI160" s="329">
        <f>SUM(AI139:AI159)</f>
      </c>
      <c r="AJ160" s="330">
        <f>SUM(AJ139:AJ159)</f>
      </c>
      <c r="AK160" s="330">
        <f>SUM(AK139:AK159)</f>
      </c>
      <c r="AL160" s="329">
        <f>SUM(AL139:AL159)</f>
      </c>
      <c r="AM160" s="330">
        <f>SUM(AM139:AM159)</f>
      </c>
      <c r="AN160" s="331">
        <f>SUM(AN139:AN159)</f>
      </c>
      <c r="AO160" s="332">
        <f>SUM(AO139:AO159)</f>
      </c>
      <c r="AP160" s="333">
        <f>SUM(AP139:AP159)</f>
      </c>
      <c r="AQ160" s="334">
        <f>SUM(AQ139:AQ159)</f>
      </c>
      <c r="AR160" s="297"/>
      <c r="AS160" s="124"/>
      <c r="AT160" s="299"/>
      <c r="AU160" s="124"/>
      <c r="AV160" s="124"/>
      <c r="AW160" s="124"/>
      <c r="AX160" s="124"/>
      <c r="AY160" s="124"/>
      <c r="AZ160" s="124"/>
      <c r="BA160" s="63"/>
      <c r="BB160" s="63"/>
      <c r="BC160" s="63"/>
      <c r="BD160" s="124"/>
      <c r="BE160" s="124"/>
      <c r="BF160" s="124"/>
      <c r="BG160" s="124"/>
      <c r="BH160" s="124"/>
      <c r="BI160" s="124"/>
      <c r="BJ160" s="124"/>
      <c r="BK160" s="124"/>
      <c r="BL160" s="124"/>
      <c r="BM160" s="124"/>
      <c r="BN160" s="124"/>
      <c r="BO160" s="124"/>
      <c r="BP160" s="124"/>
      <c r="BQ160" s="124"/>
      <c r="BR160" s="124"/>
      <c r="BS160" s="124"/>
      <c r="BT160" s="124"/>
      <c r="BU160" s="124"/>
      <c r="BV160" s="124"/>
      <c r="BW160" s="124"/>
      <c r="BX160" s="124"/>
      <c r="BY160" s="124"/>
      <c r="BZ160" s="124"/>
      <c r="CA160" s="124"/>
      <c r="CB160" s="124"/>
      <c r="CC160" s="124"/>
      <c r="CD160" s="124"/>
      <c r="CE160" s="124"/>
      <c r="CF160" s="300"/>
      <c r="CG160" s="300"/>
      <c r="CH160" s="300"/>
      <c r="CI160" s="124"/>
      <c r="CJ160" s="124"/>
      <c r="CK160" s="124"/>
      <c r="CL160" s="124"/>
      <c r="CM160" s="124"/>
      <c r="CN160" s="124"/>
      <c r="CO160" s="124"/>
      <c r="CP160" s="124"/>
      <c r="CQ160" s="124"/>
      <c r="CR160" s="124"/>
      <c r="CS160" s="124"/>
      <c r="CT160" s="124"/>
      <c r="CU160" s="124"/>
      <c r="CV160" s="124"/>
      <c r="CW160" s="124"/>
      <c r="CX160" s="124"/>
      <c r="CY160" s="124"/>
      <c r="CZ160" s="124"/>
      <c r="DA160" s="124"/>
      <c r="DB160" s="124"/>
      <c r="DC160" s="124"/>
      <c r="DD160" s="124"/>
      <c r="DE160" s="124"/>
      <c r="DF160" s="124"/>
      <c r="DG160" s="124"/>
      <c r="DH160" s="124"/>
      <c r="DI160" s="124"/>
      <c r="DJ160" s="124"/>
      <c r="DK160" s="2"/>
      <c r="DL160" s="2"/>
      <c r="DM160" s="2"/>
      <c r="DN160" s="2"/>
      <c r="DO160" s="2"/>
      <c r="DP160" s="2"/>
    </row>
    <row x14ac:dyDescent="0.25" r="161" customHeight="1" ht="13.5">
      <c r="A161" s="2"/>
      <c r="B161" s="3"/>
      <c r="C161" s="124"/>
      <c r="D161" s="124"/>
      <c r="E161" s="124"/>
      <c r="F161" s="124"/>
      <c r="G161" s="124"/>
      <c r="H161" s="124"/>
      <c r="I161" s="124"/>
      <c r="J161" s="124"/>
      <c r="K161" s="124"/>
      <c r="L161" s="124"/>
      <c r="M161" s="124"/>
      <c r="N161" s="108"/>
      <c r="O161" s="299"/>
      <c r="P161" s="124"/>
      <c r="Q161" s="124"/>
      <c r="R161" s="124"/>
      <c r="S161" s="124"/>
      <c r="T161" s="124"/>
      <c r="U161" s="124"/>
      <c r="V161" s="124"/>
      <c r="W161" s="124"/>
      <c r="X161" s="124"/>
      <c r="Y161" s="124"/>
      <c r="Z161" s="63"/>
      <c r="AA161" s="63"/>
      <c r="AB161" s="63"/>
      <c r="AC161" s="124"/>
      <c r="AD161" s="124"/>
      <c r="AE161" s="124"/>
      <c r="AF161" s="124"/>
      <c r="AG161" s="124"/>
      <c r="AH161" s="124"/>
      <c r="AI161" s="124"/>
      <c r="AJ161" s="124"/>
      <c r="AK161" s="124"/>
      <c r="AL161" s="124"/>
      <c r="AM161" s="124"/>
      <c r="AN161" s="124"/>
      <c r="AO161" s="124"/>
      <c r="AP161" s="124"/>
      <c r="AQ161" s="124"/>
      <c r="AR161" s="124"/>
      <c r="AS161" s="124"/>
      <c r="AT161" s="124"/>
      <c r="AU161" s="124"/>
      <c r="AV161" s="124"/>
      <c r="AW161" s="124"/>
      <c r="AX161" s="124"/>
      <c r="AY161" s="124"/>
      <c r="AZ161" s="124"/>
      <c r="BA161" s="124"/>
      <c r="BB161" s="124"/>
      <c r="BC161" s="124"/>
      <c r="BD161" s="124"/>
      <c r="BE161" s="300"/>
      <c r="BF161" s="300"/>
      <c r="BG161" s="300"/>
      <c r="BH161" s="124"/>
      <c r="BI161" s="124"/>
      <c r="BJ161" s="124"/>
      <c r="BK161" s="124"/>
      <c r="BL161" s="124"/>
      <c r="BM161" s="124"/>
      <c r="BN161" s="124"/>
      <c r="BO161" s="124"/>
      <c r="BP161" s="124"/>
      <c r="BQ161" s="124"/>
      <c r="BR161" s="124"/>
      <c r="BS161" s="124"/>
      <c r="BT161" s="124"/>
      <c r="BU161" s="124"/>
      <c r="BV161" s="124"/>
      <c r="BW161" s="124"/>
      <c r="BX161" s="124"/>
      <c r="BY161" s="124"/>
      <c r="BZ161" s="124"/>
      <c r="CA161" s="124"/>
      <c r="CB161" s="124"/>
      <c r="CC161" s="124"/>
      <c r="CD161" s="124"/>
      <c r="CE161" s="124"/>
      <c r="CF161" s="124"/>
      <c r="CG161" s="124"/>
      <c r="CH161" s="124"/>
      <c r="CI161" s="124"/>
      <c r="CJ161" s="124"/>
      <c r="CK161" s="124"/>
      <c r="CL161" s="124"/>
      <c r="CM161" s="124"/>
      <c r="CN161" s="124"/>
      <c r="CO161" s="124"/>
      <c r="CP161" s="124"/>
      <c r="CQ161" s="124"/>
      <c r="CR161" s="124"/>
      <c r="CS161" s="124"/>
      <c r="CT161" s="124"/>
      <c r="CU161" s="124"/>
      <c r="CV161" s="124"/>
      <c r="CW161" s="124"/>
      <c r="CX161" s="124"/>
      <c r="CY161" s="124"/>
      <c r="CZ161" s="124"/>
      <c r="DA161" s="124"/>
      <c r="DB161" s="124"/>
      <c r="DC161" s="124"/>
      <c r="DD161" s="124"/>
      <c r="DE161" s="124"/>
      <c r="DF161" s="124"/>
      <c r="DG161" s="124"/>
      <c r="DH161" s="124"/>
      <c r="DI161" s="124"/>
      <c r="DJ161" s="124"/>
      <c r="DK161" s="2"/>
      <c r="DL161" s="2"/>
      <c r="DM161" s="2"/>
      <c r="DN161" s="2"/>
      <c r="DO161" s="2"/>
      <c r="DP161" s="2"/>
    </row>
    <row x14ac:dyDescent="0.25" r="162" customHeight="1" ht="13.5">
      <c r="A162" s="2"/>
      <c r="B162" s="3"/>
      <c r="C162" s="2"/>
      <c r="D162" s="134"/>
      <c r="E162" s="142"/>
      <c r="F162" s="108"/>
      <c r="G162" s="108"/>
      <c r="H162" s="108"/>
      <c r="I162" s="108"/>
      <c r="J162" s="108"/>
      <c r="K162" s="108"/>
      <c r="L162" s="108"/>
      <c r="M162" s="108"/>
      <c r="N162" s="108"/>
      <c r="O162" s="108"/>
      <c r="P162" s="108"/>
      <c r="Q162" s="108"/>
      <c r="R162" s="108"/>
      <c r="S162" s="108"/>
      <c r="T162" s="108"/>
      <c r="U162" s="108"/>
      <c r="V162" s="108"/>
      <c r="W162" s="124"/>
      <c r="X162" s="3"/>
      <c r="Y162" s="3"/>
      <c r="Z162" s="108"/>
      <c r="AA162" s="108"/>
      <c r="AB162" s="108"/>
      <c r="AC162" s="142"/>
      <c r="AD162" s="142"/>
      <c r="AE162" s="142"/>
      <c r="AF162" s="142"/>
      <c r="AG162" s="142"/>
      <c r="AH162" s="142"/>
      <c r="AI162" s="142"/>
      <c r="AJ162" s="142"/>
      <c r="AK162" s="307"/>
      <c r="AL162" s="307"/>
      <c r="AM162" s="307"/>
      <c r="AN162" s="142"/>
      <c r="AO162" s="142"/>
      <c r="AP162" s="124"/>
      <c r="AQ162" s="124"/>
      <c r="AR162" s="124"/>
      <c r="AS162" s="124"/>
      <c r="AT162" s="124"/>
      <c r="AU162" s="124"/>
      <c r="AV162" s="124"/>
      <c r="AW162" s="124"/>
      <c r="AX162" s="124"/>
      <c r="AY162" s="124"/>
      <c r="AZ162" s="124"/>
      <c r="BA162" s="124"/>
      <c r="BB162" s="124"/>
      <c r="BC162" s="124"/>
      <c r="BD162" s="124"/>
      <c r="BE162" s="124"/>
      <c r="BF162" s="124"/>
      <c r="BG162" s="124"/>
      <c r="BH162" s="124"/>
      <c r="BI162" s="124"/>
      <c r="BJ162" s="124"/>
      <c r="BK162" s="124"/>
      <c r="BL162" s="124"/>
      <c r="BM162" s="124"/>
      <c r="BN162" s="124"/>
      <c r="BO162" s="124"/>
      <c r="BP162" s="124"/>
      <c r="BQ162" s="124"/>
      <c r="BR162" s="124"/>
      <c r="BS162" s="124"/>
      <c r="BT162" s="124"/>
      <c r="BU162" s="124"/>
      <c r="BV162" s="124"/>
      <c r="BW162" s="124"/>
      <c r="BX162" s="124"/>
      <c r="BY162" s="124"/>
      <c r="BZ162" s="124"/>
      <c r="CA162" s="124"/>
      <c r="CB162" s="124"/>
      <c r="CC162" s="124"/>
      <c r="CD162" s="124"/>
      <c r="CE162" s="124"/>
      <c r="CF162" s="124"/>
      <c r="CG162" s="124"/>
      <c r="CH162" s="124"/>
      <c r="CI162" s="124"/>
      <c r="CJ162" s="124"/>
      <c r="CK162" s="124"/>
      <c r="CL162" s="124"/>
      <c r="CM162" s="124"/>
      <c r="CN162" s="124"/>
      <c r="CO162" s="124"/>
      <c r="CP162" s="124"/>
      <c r="CQ162" s="124"/>
      <c r="CR162" s="124"/>
      <c r="CS162" s="124"/>
      <c r="CT162" s="124"/>
      <c r="CU162" s="124"/>
      <c r="CV162" s="124"/>
      <c r="CW162" s="124"/>
      <c r="CX162" s="124"/>
      <c r="CY162" s="124"/>
      <c r="CZ162" s="124"/>
      <c r="DA162" s="124"/>
      <c r="DB162" s="124"/>
      <c r="DC162" s="124"/>
      <c r="DD162" s="124"/>
      <c r="DE162" s="124"/>
      <c r="DF162" s="124"/>
      <c r="DG162" s="124"/>
      <c r="DH162" s="124"/>
      <c r="DI162" s="124"/>
      <c r="DJ162" s="124"/>
      <c r="DK162" s="2"/>
      <c r="DL162" s="2"/>
      <c r="DM162" s="2"/>
      <c r="DN162" s="2"/>
      <c r="DO162" s="2"/>
      <c r="DP162" s="2"/>
    </row>
    <row x14ac:dyDescent="0.25" r="163" customHeight="1" ht="13.5">
      <c r="A163" s="2"/>
      <c r="B163" s="3"/>
      <c r="C163" s="2"/>
      <c r="D163" s="240" t="s">
        <v>467</v>
      </c>
      <c r="E163" s="142"/>
      <c r="F163" s="108"/>
      <c r="G163" s="108"/>
      <c r="H163" s="108"/>
      <c r="I163" s="108"/>
      <c r="J163" s="108"/>
      <c r="K163" s="108"/>
      <c r="L163" s="108"/>
      <c r="M163" s="108"/>
      <c r="N163" s="108"/>
      <c r="O163" s="108"/>
      <c r="P163" s="108"/>
      <c r="Q163" s="108"/>
      <c r="R163" s="108"/>
      <c r="S163" s="108"/>
      <c r="T163" s="108"/>
      <c r="U163" s="108"/>
      <c r="V163" s="108"/>
      <c r="W163" s="124"/>
      <c r="X163" s="3"/>
      <c r="Y163" s="279" t="s">
        <v>467</v>
      </c>
      <c r="Z163" s="308"/>
      <c r="AA163" s="308"/>
      <c r="AB163" s="308"/>
      <c r="AC163" s="308"/>
      <c r="AD163" s="308"/>
      <c r="AE163" s="308"/>
      <c r="AF163" s="308"/>
      <c r="AG163" s="308"/>
      <c r="AH163" s="308"/>
      <c r="AI163" s="308"/>
      <c r="AJ163" s="308"/>
      <c r="AK163" s="308"/>
      <c r="AL163" s="308"/>
      <c r="AM163" s="308"/>
      <c r="AN163" s="308"/>
      <c r="AO163" s="142"/>
      <c r="AP163" s="335" t="s">
        <v>493</v>
      </c>
      <c r="AQ163" s="124"/>
      <c r="AR163" s="124"/>
      <c r="AS163" s="124"/>
      <c r="AT163" s="308"/>
      <c r="AU163" s="124"/>
      <c r="AV163" s="124"/>
      <c r="AW163" s="308"/>
      <c r="AX163" s="124"/>
      <c r="AY163" s="124"/>
      <c r="AZ163" s="308"/>
      <c r="BA163" s="124"/>
      <c r="BB163" s="124"/>
      <c r="BC163" s="124"/>
      <c r="BD163" s="308"/>
      <c r="BE163" s="124"/>
      <c r="BF163" s="124"/>
      <c r="BG163" s="63"/>
      <c r="BH163" s="307"/>
      <c r="BI163" s="307"/>
      <c r="BJ163" s="307"/>
      <c r="BK163" s="124"/>
      <c r="BL163" s="124"/>
      <c r="BM163" s="290"/>
      <c r="BN163" s="124"/>
      <c r="BO163" s="124"/>
      <c r="BP163" s="290"/>
      <c r="BQ163" s="124"/>
      <c r="BR163" s="124"/>
      <c r="BS163" s="290"/>
      <c r="BT163" s="124"/>
      <c r="BU163" s="124"/>
      <c r="BV163" s="124"/>
      <c r="BW163" s="124"/>
      <c r="BX163" s="124"/>
      <c r="BY163" s="124"/>
      <c r="BZ163" s="124"/>
      <c r="CA163" s="124"/>
      <c r="CB163" s="124"/>
      <c r="CC163" s="124"/>
      <c r="CD163" s="124"/>
      <c r="CE163" s="124"/>
      <c r="CF163" s="124"/>
      <c r="CG163" s="124"/>
      <c r="CH163" s="124"/>
      <c r="CI163" s="124"/>
      <c r="CJ163" s="124"/>
      <c r="CK163" s="124"/>
      <c r="CL163" s="124"/>
      <c r="CM163" s="124"/>
      <c r="CN163" s="124"/>
      <c r="CO163" s="124"/>
      <c r="CP163" s="124"/>
      <c r="CQ163" s="124"/>
      <c r="CR163" s="124"/>
      <c r="CS163" s="124"/>
      <c r="CT163" s="124"/>
      <c r="CU163" s="124"/>
      <c r="CV163" s="124"/>
      <c r="CW163" s="124"/>
      <c r="CX163" s="124"/>
      <c r="CY163" s="124"/>
      <c r="CZ163" s="124"/>
      <c r="DA163" s="124"/>
      <c r="DB163" s="124"/>
      <c r="DC163" s="124"/>
      <c r="DD163" s="124"/>
      <c r="DE163" s="124"/>
      <c r="DF163" s="124"/>
      <c r="DG163" s="124"/>
      <c r="DH163" s="124"/>
      <c r="DI163" s="124"/>
      <c r="DJ163" s="124"/>
      <c r="DK163" s="2"/>
      <c r="DL163" s="2"/>
      <c r="DM163" s="2"/>
      <c r="DN163" s="2"/>
      <c r="DO163" s="2"/>
      <c r="DP163" s="2"/>
    </row>
    <row x14ac:dyDescent="0.25" r="164" customHeight="1" ht="13.5">
      <c r="A164" s="2"/>
      <c r="B164" s="3"/>
      <c r="C164" s="2"/>
      <c r="D164" s="241" t="s">
        <v>468</v>
      </c>
      <c r="E164" s="140" t="s">
        <v>492</v>
      </c>
      <c r="F164" s="108"/>
      <c r="G164" s="309"/>
      <c r="H164" s="140" t="s">
        <v>469</v>
      </c>
      <c r="I164" s="108"/>
      <c r="J164" s="309"/>
      <c r="K164" s="140" t="s">
        <v>477</v>
      </c>
      <c r="L164" s="108"/>
      <c r="M164" s="309"/>
      <c r="N164" s="140" t="s">
        <v>25</v>
      </c>
      <c r="O164" s="108"/>
      <c r="P164" s="108"/>
      <c r="Q164" s="140" t="s">
        <v>444</v>
      </c>
      <c r="R164" s="108"/>
      <c r="S164" s="108"/>
      <c r="T164" s="140" t="s">
        <v>29</v>
      </c>
      <c r="U164" s="108"/>
      <c r="V164" s="108"/>
      <c r="W164" s="124"/>
      <c r="X164" s="3"/>
      <c r="Y164" s="242" t="s">
        <v>470</v>
      </c>
      <c r="Z164" s="140" t="s">
        <v>492</v>
      </c>
      <c r="AA164" s="108"/>
      <c r="AB164" s="108"/>
      <c r="AC164" s="336" t="s">
        <v>469</v>
      </c>
      <c r="AD164" s="337"/>
      <c r="AE164" s="338"/>
      <c r="AF164" s="336" t="s">
        <v>443</v>
      </c>
      <c r="AG164" s="339"/>
      <c r="AH164" s="340"/>
      <c r="AI164" s="336" t="s">
        <v>25</v>
      </c>
      <c r="AJ164" s="339"/>
      <c r="AK164" s="340"/>
      <c r="AL164" s="336" t="s">
        <v>444</v>
      </c>
      <c r="AM164" s="339"/>
      <c r="AN164" s="338"/>
      <c r="AO164" s="310" t="s">
        <v>29</v>
      </c>
      <c r="AP164" s="124"/>
      <c r="AQ164" s="124"/>
      <c r="AR164" s="124"/>
      <c r="AS164" s="124"/>
      <c r="AT164" s="124"/>
      <c r="AU164" s="124"/>
      <c r="AV164" s="124"/>
      <c r="AW164" s="124"/>
      <c r="AX164" s="124"/>
      <c r="AY164" s="124"/>
      <c r="AZ164" s="124"/>
      <c r="BA164" s="124"/>
      <c r="BB164" s="124"/>
      <c r="BC164" s="124"/>
      <c r="BD164" s="124"/>
      <c r="BE164" s="63"/>
      <c r="BF164" s="124"/>
      <c r="BG164" s="124"/>
      <c r="BH164" s="307"/>
      <c r="BI164" s="307"/>
      <c r="BJ164" s="124"/>
      <c r="BK164" s="307"/>
      <c r="BL164" s="307"/>
      <c r="BM164" s="124"/>
      <c r="BN164" s="124"/>
      <c r="BO164" s="124"/>
      <c r="BP164" s="124"/>
      <c r="BQ164" s="124"/>
      <c r="BR164" s="124"/>
      <c r="BS164" s="124"/>
      <c r="BT164" s="124"/>
      <c r="BU164" s="124"/>
      <c r="BV164" s="290"/>
      <c r="BW164" s="124"/>
      <c r="BX164" s="124"/>
      <c r="BY164" s="290"/>
      <c r="BZ164" s="124"/>
      <c r="CA164" s="124"/>
      <c r="CB164" s="124"/>
      <c r="CC164" s="124"/>
      <c r="CD164" s="124"/>
      <c r="CE164" s="63"/>
      <c r="CF164" s="124"/>
      <c r="CG164" s="124"/>
      <c r="CH164" s="124"/>
      <c r="CI164" s="63"/>
      <c r="CJ164" s="124"/>
      <c r="CK164" s="124"/>
      <c r="CL164" s="124"/>
      <c r="CM164" s="63"/>
      <c r="CN164" s="124"/>
      <c r="CO164" s="124"/>
      <c r="CP164" s="124"/>
      <c r="CQ164" s="63"/>
      <c r="CR164" s="63"/>
      <c r="CS164" s="124"/>
      <c r="CT164" s="124"/>
      <c r="CU164" s="63"/>
      <c r="CV164" s="63"/>
      <c r="CW164" s="124"/>
      <c r="CX164" s="124"/>
      <c r="CY164" s="63"/>
      <c r="CZ164" s="63"/>
      <c r="DA164" s="124"/>
      <c r="DB164" s="124"/>
      <c r="DC164" s="124"/>
      <c r="DD164" s="124"/>
      <c r="DE164" s="124"/>
      <c r="DF164" s="124"/>
      <c r="DG164" s="124"/>
      <c r="DH164" s="124"/>
      <c r="DI164" s="124"/>
      <c r="DJ164" s="124"/>
      <c r="DK164" s="2"/>
      <c r="DL164" s="2"/>
      <c r="DM164" s="2"/>
      <c r="DN164" s="2"/>
      <c r="DO164" s="2"/>
      <c r="DP164" s="2"/>
    </row>
    <row x14ac:dyDescent="0.25" r="165" customHeight="1" ht="13.5">
      <c r="A165" s="2"/>
      <c r="B165" s="3"/>
      <c r="C165" s="2"/>
      <c r="D165" s="246" t="s">
        <v>475</v>
      </c>
      <c r="E165" s="257">
        <v>2023</v>
      </c>
      <c r="F165" s="257">
        <v>2024</v>
      </c>
      <c r="G165" s="302">
        <v>2025</v>
      </c>
      <c r="H165" s="257">
        <v>2023</v>
      </c>
      <c r="I165" s="257">
        <v>2024</v>
      </c>
      <c r="J165" s="302">
        <v>2025</v>
      </c>
      <c r="K165" s="257">
        <v>2023</v>
      </c>
      <c r="L165" s="257">
        <v>2024</v>
      </c>
      <c r="M165" s="302">
        <v>2025</v>
      </c>
      <c r="N165" s="257">
        <v>2023</v>
      </c>
      <c r="O165" s="257">
        <v>2024</v>
      </c>
      <c r="P165" s="302">
        <v>2025</v>
      </c>
      <c r="Q165" s="257">
        <v>2023</v>
      </c>
      <c r="R165" s="257">
        <v>2024</v>
      </c>
      <c r="S165" s="302">
        <v>2025</v>
      </c>
      <c r="T165" s="257">
        <v>2023</v>
      </c>
      <c r="U165" s="257">
        <v>2024</v>
      </c>
      <c r="V165" s="257">
        <v>2025</v>
      </c>
      <c r="W165" s="311"/>
      <c r="X165" s="312"/>
      <c r="Y165" s="280" t="s">
        <v>475</v>
      </c>
      <c r="Z165" s="257">
        <v>2023</v>
      </c>
      <c r="AA165" s="257">
        <v>2024</v>
      </c>
      <c r="AB165" s="257">
        <v>2025</v>
      </c>
      <c r="AC165" s="316">
        <v>2023</v>
      </c>
      <c r="AD165" s="257">
        <v>2024</v>
      </c>
      <c r="AE165" s="302">
        <v>2025</v>
      </c>
      <c r="AF165" s="316">
        <v>2023</v>
      </c>
      <c r="AG165" s="257">
        <v>2024</v>
      </c>
      <c r="AH165" s="302">
        <v>2025</v>
      </c>
      <c r="AI165" s="316">
        <v>2023</v>
      </c>
      <c r="AJ165" s="257">
        <v>2024</v>
      </c>
      <c r="AK165" s="302">
        <v>2025</v>
      </c>
      <c r="AL165" s="316">
        <v>2023</v>
      </c>
      <c r="AM165" s="257">
        <v>2024</v>
      </c>
      <c r="AN165" s="302">
        <v>2025</v>
      </c>
      <c r="AO165" s="316">
        <v>2023</v>
      </c>
      <c r="AP165" s="257">
        <v>2024</v>
      </c>
      <c r="AQ165" s="302">
        <v>2025</v>
      </c>
      <c r="AR165" s="317" t="s">
        <v>494</v>
      </c>
      <c r="AS165" s="312" t="s">
        <v>495</v>
      </c>
      <c r="AT165" s="312"/>
      <c r="AU165" s="312"/>
      <c r="AV165" s="312"/>
      <c r="AW165" s="312"/>
      <c r="AX165" s="312"/>
      <c r="AY165" s="312"/>
      <c r="AZ165" s="312"/>
      <c r="BA165" s="312"/>
      <c r="BB165" s="312"/>
      <c r="BC165" s="312"/>
      <c r="BD165" s="312"/>
      <c r="BE165" s="312"/>
      <c r="BF165" s="312"/>
      <c r="BG165" s="160"/>
      <c r="BH165" s="160"/>
      <c r="BI165" s="160"/>
      <c r="BJ165" s="160"/>
      <c r="BK165" s="160"/>
      <c r="BL165" s="160"/>
      <c r="BM165" s="160"/>
      <c r="BN165" s="160"/>
      <c r="BO165" s="160"/>
      <c r="BP165" s="160"/>
      <c r="BQ165" s="160"/>
      <c r="BR165" s="160"/>
      <c r="BS165" s="160"/>
      <c r="BT165" s="160"/>
      <c r="BU165" s="160"/>
      <c r="BV165" s="160"/>
      <c r="BW165" s="160"/>
      <c r="BX165" s="160"/>
      <c r="BY165" s="160"/>
      <c r="BZ165" s="160"/>
      <c r="CA165" s="160"/>
      <c r="CB165" s="160"/>
      <c r="CC165" s="160"/>
      <c r="CD165" s="160"/>
      <c r="CE165" s="124"/>
      <c r="CF165" s="124"/>
      <c r="CG165" s="124"/>
      <c r="CH165" s="124"/>
      <c r="CI165" s="124"/>
      <c r="CJ165" s="124"/>
      <c r="CK165" s="124"/>
      <c r="CL165" s="124"/>
      <c r="CM165" s="124"/>
      <c r="CN165" s="124"/>
      <c r="CO165" s="124"/>
      <c r="CP165" s="124"/>
      <c r="CQ165" s="124"/>
      <c r="CR165" s="124"/>
      <c r="CS165" s="124"/>
      <c r="CT165" s="124"/>
      <c r="CU165" s="124"/>
      <c r="CV165" s="124"/>
      <c r="CW165" s="124"/>
      <c r="CX165" s="124"/>
      <c r="CY165" s="124"/>
      <c r="CZ165" s="124"/>
      <c r="DA165" s="124"/>
      <c r="DB165" s="124"/>
      <c r="DC165" s="124"/>
      <c r="DD165" s="124"/>
      <c r="DE165" s="124"/>
      <c r="DF165" s="124"/>
      <c r="DG165" s="124"/>
      <c r="DH165" s="124"/>
      <c r="DI165" s="124"/>
      <c r="DJ165" s="124"/>
      <c r="DK165" s="2"/>
      <c r="DL165" s="2"/>
      <c r="DM165" s="2"/>
      <c r="DN165" s="2"/>
      <c r="DO165" s="2"/>
      <c r="DP165" s="2"/>
    </row>
    <row x14ac:dyDescent="0.25" r="166" customHeight="1" ht="13.5">
      <c r="A166" s="2"/>
      <c r="B166" s="3"/>
      <c r="C166" s="2"/>
      <c r="D166" s="123" t="s">
        <v>179</v>
      </c>
      <c r="E166" s="318">
        <f>OCPMarketShares!K119</f>
      </c>
      <c r="F166" s="318">
        <f>OCPMarketShares!L119</f>
      </c>
      <c r="G166" s="341">
        <f>OCPMarketShares!M119</f>
      </c>
      <c r="H166" s="293">
        <f>E166*H113</f>
      </c>
      <c r="I166" s="293">
        <f>F166*I113</f>
      </c>
      <c r="J166" s="319">
        <f>G166*J113</f>
      </c>
      <c r="K166" s="293">
        <f>E166*K113</f>
      </c>
      <c r="L166" s="293">
        <f>F166*L113</f>
      </c>
      <c r="M166" s="319">
        <f>G166*M113</f>
      </c>
      <c r="N166" s="293">
        <f>E166*N113</f>
      </c>
      <c r="O166" s="293">
        <f>F166*O113</f>
      </c>
      <c r="P166" s="319">
        <f>G166*P113</f>
      </c>
      <c r="Q166" s="293">
        <f>E166*Q113</f>
      </c>
      <c r="R166" s="293">
        <f>F166*R113</f>
      </c>
      <c r="S166" s="319">
        <f>G166*S113</f>
      </c>
      <c r="T166" s="293">
        <f>E166*T113</f>
      </c>
      <c r="U166" s="293">
        <f>F166*U113</f>
      </c>
      <c r="V166" s="293">
        <f>G166*V113</f>
      </c>
      <c r="W166" s="297"/>
      <c r="X166" s="297"/>
      <c r="Y166" s="140" t="s">
        <v>179</v>
      </c>
      <c r="Z166" s="293">
        <f>AC166+AF166+AI166+AL166+AO166</f>
      </c>
      <c r="AA166" s="293">
        <f>AD166+AG166+AJ166+AM166+AP166</f>
      </c>
      <c r="AB166" s="293">
        <f>AE166+AH166+AK166+AN166+AQ166</f>
      </c>
      <c r="AC166" s="320">
        <f>H166/$E$10</f>
      </c>
      <c r="AD166" s="293">
        <f>I166/$E$10</f>
      </c>
      <c r="AE166" s="319">
        <f>J166/$E$10</f>
      </c>
      <c r="AF166" s="320">
        <f>K166/$E$11</f>
      </c>
      <c r="AG166" s="293">
        <f>L166/$E$11</f>
      </c>
      <c r="AH166" s="319">
        <f>M166/$E$11</f>
      </c>
      <c r="AI166" s="320">
        <f>N166/$E$12</f>
      </c>
      <c r="AJ166" s="293">
        <f>O166/$E$12</f>
      </c>
      <c r="AK166" s="319">
        <f>P166/$E$12</f>
      </c>
      <c r="AL166" s="320">
        <f>Q166/$E$13</f>
      </c>
      <c r="AM166" s="293">
        <f>R166/$E$13</f>
      </c>
      <c r="AN166" s="319">
        <f>S166/$E$13</f>
      </c>
      <c r="AO166" s="293">
        <f>T166/$E$14</f>
      </c>
      <c r="AP166" s="293">
        <f>U166/$E$14</f>
      </c>
      <c r="AQ166" s="319">
        <f>V166/$E$14</f>
      </c>
      <c r="AR166" s="307"/>
      <c r="AS166" s="297"/>
      <c r="AT166" s="307"/>
      <c r="AU166" s="307"/>
      <c r="AV166" s="307"/>
      <c r="AW166" s="63"/>
      <c r="AX166" s="63"/>
      <c r="AY166" s="63"/>
      <c r="AZ166" s="303"/>
      <c r="BA166" s="303"/>
      <c r="BB166" s="303"/>
      <c r="BC166" s="303"/>
      <c r="BD166" s="297"/>
      <c r="BE166" s="297"/>
      <c r="BF166" s="297"/>
      <c r="BG166" s="297"/>
      <c r="BH166" s="297"/>
      <c r="BI166" s="297"/>
      <c r="BJ166" s="297"/>
      <c r="BK166" s="297"/>
      <c r="BL166" s="297"/>
      <c r="BM166" s="160"/>
      <c r="BN166" s="160"/>
      <c r="BO166" s="160"/>
      <c r="BP166" s="297"/>
      <c r="BQ166" s="297"/>
      <c r="BR166" s="297"/>
      <c r="BS166" s="297"/>
      <c r="BT166" s="297"/>
      <c r="BU166" s="297"/>
      <c r="BV166" s="297"/>
      <c r="BW166" s="297"/>
      <c r="BX166" s="297"/>
      <c r="BY166" s="297"/>
      <c r="BZ166" s="297"/>
      <c r="CA166" s="297"/>
      <c r="CB166" s="124"/>
      <c r="CC166" s="124"/>
      <c r="CD166" s="124"/>
      <c r="CE166" s="63"/>
      <c r="CF166" s="63"/>
      <c r="CG166" s="63"/>
      <c r="CH166" s="124"/>
      <c r="CI166" s="63"/>
      <c r="CJ166" s="63"/>
      <c r="CK166" s="63"/>
      <c r="CL166" s="124"/>
      <c r="CM166" s="63"/>
      <c r="CN166" s="63"/>
      <c r="CO166" s="63"/>
      <c r="CP166" s="63"/>
      <c r="CQ166" s="124"/>
      <c r="CR166" s="124"/>
      <c r="CS166" s="124"/>
      <c r="CT166" s="124"/>
      <c r="CU166" s="124"/>
      <c r="CV166" s="124"/>
      <c r="CW166" s="124"/>
      <c r="CX166" s="124"/>
      <c r="CY166" s="124"/>
      <c r="CZ166" s="124"/>
      <c r="DA166" s="124"/>
      <c r="DB166" s="124"/>
      <c r="DC166" s="124"/>
      <c r="DD166" s="124"/>
      <c r="DE166" s="124"/>
      <c r="DF166" s="124"/>
      <c r="DG166" s="124"/>
      <c r="DH166" s="124"/>
      <c r="DI166" s="124"/>
      <c r="DJ166" s="124"/>
      <c r="DK166" s="2"/>
      <c r="DL166" s="2"/>
      <c r="DM166" s="2"/>
      <c r="DN166" s="2"/>
      <c r="DO166" s="2"/>
      <c r="DP166" s="2"/>
    </row>
    <row x14ac:dyDescent="0.25" r="167" customHeight="1" ht="13.5">
      <c r="A167" s="2"/>
      <c r="B167" s="3"/>
      <c r="C167" s="2"/>
      <c r="D167" s="123" t="s">
        <v>231</v>
      </c>
      <c r="E167" s="318">
        <f>OCPMarketShares!K120</f>
      </c>
      <c r="F167" s="318">
        <f>OCPMarketShares!L120</f>
      </c>
      <c r="G167" s="341">
        <f>OCPMarketShares!M120</f>
      </c>
      <c r="H167" s="293">
        <f>E167*H114</f>
      </c>
      <c r="I167" s="293">
        <f>F167*I114</f>
      </c>
      <c r="J167" s="319">
        <f>G167*J114</f>
      </c>
      <c r="K167" s="293">
        <f>E167*K114</f>
      </c>
      <c r="L167" s="293">
        <f>F167*L114</f>
      </c>
      <c r="M167" s="319">
        <f>G167*M114</f>
      </c>
      <c r="N167" s="293">
        <f>E167*N114</f>
      </c>
      <c r="O167" s="293">
        <f>F167*O114</f>
      </c>
      <c r="P167" s="319">
        <f>G167*P114</f>
      </c>
      <c r="Q167" s="293">
        <f>E167*Q114</f>
      </c>
      <c r="R167" s="293">
        <f>F167*R114</f>
      </c>
      <c r="S167" s="319">
        <f>G167*S114</f>
      </c>
      <c r="T167" s="293">
        <f>E167*T114</f>
      </c>
      <c r="U167" s="293">
        <f>F167*U114</f>
      </c>
      <c r="V167" s="293">
        <f>G167*V114</f>
      </c>
      <c r="W167" s="297"/>
      <c r="X167" s="297"/>
      <c r="Y167" s="140" t="s">
        <v>231</v>
      </c>
      <c r="Z167" s="293">
        <f>AC167+AF167+AI167+AL167+AO167</f>
      </c>
      <c r="AA167" s="293">
        <f>AD167+AG167+AJ167+AM167+AP167</f>
      </c>
      <c r="AB167" s="293">
        <f>AE167+AH167+AK167+AN167+AQ167</f>
      </c>
      <c r="AC167" s="320">
        <f>H167/$E$10</f>
      </c>
      <c r="AD167" s="293">
        <f>I167/$E$10</f>
      </c>
      <c r="AE167" s="319">
        <f>J167/$E$10</f>
      </c>
      <c r="AF167" s="320">
        <f>K167/$E$11</f>
      </c>
      <c r="AG167" s="293">
        <f>L167/$E$11</f>
      </c>
      <c r="AH167" s="319">
        <f>M167/$E$11</f>
      </c>
      <c r="AI167" s="320">
        <f>N167/$E$12</f>
      </c>
      <c r="AJ167" s="293">
        <f>O167/$E$12</f>
      </c>
      <c r="AK167" s="319">
        <f>P167/$E$12</f>
      </c>
      <c r="AL167" s="320">
        <f>Q167/$E$13</f>
      </c>
      <c r="AM167" s="293">
        <f>R167/$E$13</f>
      </c>
      <c r="AN167" s="319">
        <f>S167/$E$13</f>
      </c>
      <c r="AO167" s="293">
        <f>T167/$E$14</f>
      </c>
      <c r="AP167" s="293">
        <f>U167/$E$14</f>
      </c>
      <c r="AQ167" s="319">
        <f>V167/$E$14</f>
      </c>
      <c r="AR167" s="307"/>
      <c r="AS167" s="297"/>
      <c r="AT167" s="307"/>
      <c r="AU167" s="307"/>
      <c r="AV167" s="307"/>
      <c r="AW167" s="63"/>
      <c r="AX167" s="63"/>
      <c r="AY167" s="63"/>
      <c r="AZ167" s="303"/>
      <c r="BA167" s="303"/>
      <c r="BB167" s="303"/>
      <c r="BC167" s="303"/>
      <c r="BD167" s="297"/>
      <c r="BE167" s="297"/>
      <c r="BF167" s="297"/>
      <c r="BG167" s="297"/>
      <c r="BH167" s="297"/>
      <c r="BI167" s="297"/>
      <c r="BJ167" s="297"/>
      <c r="BK167" s="297"/>
      <c r="BL167" s="297"/>
      <c r="BM167" s="160"/>
      <c r="BN167" s="160"/>
      <c r="BO167" s="160"/>
      <c r="BP167" s="297"/>
      <c r="BQ167" s="297"/>
      <c r="BR167" s="297"/>
      <c r="BS167" s="297"/>
      <c r="BT167" s="297"/>
      <c r="BU167" s="297"/>
      <c r="BV167" s="297"/>
      <c r="BW167" s="297"/>
      <c r="BX167" s="297"/>
      <c r="BY167" s="297"/>
      <c r="BZ167" s="297"/>
      <c r="CA167" s="297"/>
      <c r="CB167" s="124"/>
      <c r="CC167" s="124"/>
      <c r="CD167" s="124"/>
      <c r="CE167" s="63"/>
      <c r="CF167" s="63"/>
      <c r="CG167" s="63"/>
      <c r="CH167" s="124"/>
      <c r="CI167" s="63"/>
      <c r="CJ167" s="63"/>
      <c r="CK167" s="63"/>
      <c r="CL167" s="124"/>
      <c r="CM167" s="63"/>
      <c r="CN167" s="63"/>
      <c r="CO167" s="63"/>
      <c r="CP167" s="63"/>
      <c r="CQ167" s="124"/>
      <c r="CR167" s="124"/>
      <c r="CS167" s="124"/>
      <c r="CT167" s="124"/>
      <c r="CU167" s="124"/>
      <c r="CV167" s="124"/>
      <c r="CW167" s="124"/>
      <c r="CX167" s="124"/>
      <c r="CY167" s="124"/>
      <c r="CZ167" s="124"/>
      <c r="DA167" s="124"/>
      <c r="DB167" s="124"/>
      <c r="DC167" s="124"/>
      <c r="DD167" s="124"/>
      <c r="DE167" s="124"/>
      <c r="DF167" s="124"/>
      <c r="DG167" s="124"/>
      <c r="DH167" s="124"/>
      <c r="DI167" s="124"/>
      <c r="DJ167" s="124"/>
      <c r="DK167" s="2"/>
      <c r="DL167" s="2"/>
      <c r="DM167" s="2"/>
      <c r="DN167" s="2"/>
      <c r="DO167" s="2"/>
      <c r="DP167" s="2"/>
    </row>
    <row x14ac:dyDescent="0.25" r="168" customHeight="1" ht="13.5">
      <c r="A168" s="2"/>
      <c r="B168" s="3"/>
      <c r="C168" s="2"/>
      <c r="D168" s="123" t="s">
        <v>141</v>
      </c>
      <c r="E168" s="318">
        <f>OCPMarketShares!K121</f>
      </c>
      <c r="F168" s="318">
        <f>OCPMarketShares!L121</f>
      </c>
      <c r="G168" s="341">
        <f>OCPMarketShares!M121</f>
      </c>
      <c r="H168" s="293">
        <f>E168*H115</f>
      </c>
      <c r="I168" s="293">
        <f>F168*I115</f>
      </c>
      <c r="J168" s="319">
        <f>G168*J115</f>
      </c>
      <c r="K168" s="293">
        <f>E168*K115</f>
      </c>
      <c r="L168" s="293">
        <f>F168*L115</f>
      </c>
      <c r="M168" s="319">
        <f>G168*M115</f>
      </c>
      <c r="N168" s="293">
        <f>E168*N115</f>
      </c>
      <c r="O168" s="293">
        <f>F168*O115</f>
      </c>
      <c r="P168" s="319">
        <f>G168*P115</f>
      </c>
      <c r="Q168" s="293">
        <f>E168*Q115</f>
      </c>
      <c r="R168" s="293">
        <f>F168*R115</f>
      </c>
      <c r="S168" s="319">
        <f>G168*S115</f>
      </c>
      <c r="T168" s="293">
        <f>E168*T115</f>
      </c>
      <c r="U168" s="293">
        <f>F168*U115</f>
      </c>
      <c r="V168" s="293">
        <f>G168*V115</f>
      </c>
      <c r="W168" s="297"/>
      <c r="X168" s="297"/>
      <c r="Y168" s="140" t="s">
        <v>141</v>
      </c>
      <c r="Z168" s="293">
        <f>AC168+AF168+AI168+AL168+AO168</f>
      </c>
      <c r="AA168" s="293">
        <f>AD168+AG168+AJ168+AM168+AP168</f>
      </c>
      <c r="AB168" s="293">
        <f>AE168+AH168+AK168+AN168+AQ168</f>
      </c>
      <c r="AC168" s="320">
        <f>H168/$E$10</f>
      </c>
      <c r="AD168" s="293">
        <f>I168/$E$10</f>
      </c>
      <c r="AE168" s="319">
        <f>J168/$E$10</f>
      </c>
      <c r="AF168" s="320">
        <f>K168/$E$11</f>
      </c>
      <c r="AG168" s="293">
        <f>L168/$E$11</f>
      </c>
      <c r="AH168" s="319">
        <f>M168/$E$11</f>
      </c>
      <c r="AI168" s="320">
        <f>N168/$E$12</f>
      </c>
      <c r="AJ168" s="293">
        <f>O168/$E$12</f>
      </c>
      <c r="AK168" s="319">
        <f>P168/$E$12</f>
      </c>
      <c r="AL168" s="320">
        <f>Q168/$E$13</f>
      </c>
      <c r="AM168" s="293">
        <f>R168/$E$13</f>
      </c>
      <c r="AN168" s="319">
        <f>S168/$E$13</f>
      </c>
      <c r="AO168" s="293">
        <f>T168/$E$14</f>
      </c>
      <c r="AP168" s="293">
        <f>U168/$E$14</f>
      </c>
      <c r="AQ168" s="319">
        <f>V168/$E$14</f>
      </c>
      <c r="AR168" s="307"/>
      <c r="AS168" s="297"/>
      <c r="AT168" s="307"/>
      <c r="AU168" s="307"/>
      <c r="AV168" s="307"/>
      <c r="AW168" s="63"/>
      <c r="AX168" s="63"/>
      <c r="AY168" s="63"/>
      <c r="AZ168" s="303"/>
      <c r="BA168" s="303"/>
      <c r="BB168" s="303"/>
      <c r="BC168" s="303"/>
      <c r="BD168" s="297"/>
      <c r="BE168" s="297"/>
      <c r="BF168" s="297"/>
      <c r="BG168" s="297"/>
      <c r="BH168" s="297"/>
      <c r="BI168" s="297"/>
      <c r="BJ168" s="297"/>
      <c r="BK168" s="297"/>
      <c r="BL168" s="297"/>
      <c r="BM168" s="160"/>
      <c r="BN168" s="160"/>
      <c r="BO168" s="160"/>
      <c r="BP168" s="297"/>
      <c r="BQ168" s="297"/>
      <c r="BR168" s="297"/>
      <c r="BS168" s="297"/>
      <c r="BT168" s="297"/>
      <c r="BU168" s="297"/>
      <c r="BV168" s="297"/>
      <c r="BW168" s="297"/>
      <c r="BX168" s="297"/>
      <c r="BY168" s="297"/>
      <c r="BZ168" s="297"/>
      <c r="CA168" s="297"/>
      <c r="CB168" s="124"/>
      <c r="CC168" s="124"/>
      <c r="CD168" s="124"/>
      <c r="CE168" s="63"/>
      <c r="CF168" s="63"/>
      <c r="CG168" s="63"/>
      <c r="CH168" s="124"/>
      <c r="CI168" s="63"/>
      <c r="CJ168" s="63"/>
      <c r="CK168" s="63"/>
      <c r="CL168" s="124"/>
      <c r="CM168" s="63"/>
      <c r="CN168" s="63"/>
      <c r="CO168" s="63"/>
      <c r="CP168" s="63"/>
      <c r="CQ168" s="124"/>
      <c r="CR168" s="124"/>
      <c r="CS168" s="124"/>
      <c r="CT168" s="124"/>
      <c r="CU168" s="124"/>
      <c r="CV168" s="124"/>
      <c r="CW168" s="124"/>
      <c r="CX168" s="124"/>
      <c r="CY168" s="124"/>
      <c r="CZ168" s="124"/>
      <c r="DA168" s="124"/>
      <c r="DB168" s="124"/>
      <c r="DC168" s="124"/>
      <c r="DD168" s="124"/>
      <c r="DE168" s="124"/>
      <c r="DF168" s="124"/>
      <c r="DG168" s="124"/>
      <c r="DH168" s="124"/>
      <c r="DI168" s="124"/>
      <c r="DJ168" s="124"/>
      <c r="DK168" s="2"/>
      <c r="DL168" s="2"/>
      <c r="DM168" s="2"/>
      <c r="DN168" s="2"/>
      <c r="DO168" s="2"/>
      <c r="DP168" s="2"/>
    </row>
    <row x14ac:dyDescent="0.25" r="169" customHeight="1" ht="13.5">
      <c r="A169" s="2"/>
      <c r="B169" s="3"/>
      <c r="C169" s="2"/>
      <c r="D169" s="123" t="s">
        <v>247</v>
      </c>
      <c r="E169" s="318">
        <f>OCPMarketShares!K122</f>
      </c>
      <c r="F169" s="318">
        <f>OCPMarketShares!L122</f>
      </c>
      <c r="G169" s="341">
        <f>OCPMarketShares!M122</f>
      </c>
      <c r="H169" s="293">
        <f>E169*H116</f>
      </c>
      <c r="I169" s="293">
        <f>F169*I116</f>
      </c>
      <c r="J169" s="319">
        <f>G169*J116</f>
      </c>
      <c r="K169" s="293">
        <f>E169*K116</f>
      </c>
      <c r="L169" s="293">
        <f>F169*L116</f>
      </c>
      <c r="M169" s="319">
        <f>G169*M116</f>
      </c>
      <c r="N169" s="293">
        <f>E169*N116</f>
      </c>
      <c r="O169" s="293">
        <f>F169*O116</f>
      </c>
      <c r="P169" s="319">
        <f>G169*P116</f>
      </c>
      <c r="Q169" s="293">
        <f>E169*Q116</f>
      </c>
      <c r="R169" s="293">
        <f>F169*R116</f>
      </c>
      <c r="S169" s="319">
        <f>G169*S116</f>
      </c>
      <c r="T169" s="293">
        <f>E169*T116</f>
      </c>
      <c r="U169" s="293">
        <f>F169*U116</f>
      </c>
      <c r="V169" s="293">
        <f>G169*V116</f>
      </c>
      <c r="W169" s="297"/>
      <c r="X169" s="297"/>
      <c r="Y169" s="140" t="s">
        <v>247</v>
      </c>
      <c r="Z169" s="293">
        <f>AC169+AF169+AI169+AL169+AO169</f>
      </c>
      <c r="AA169" s="293">
        <f>AD169+AG169+AJ169+AM169+AP169</f>
      </c>
      <c r="AB169" s="293">
        <f>AE169+AH169+AK169+AN169+AQ169</f>
      </c>
      <c r="AC169" s="320">
        <f>H169/$E$10</f>
      </c>
      <c r="AD169" s="293">
        <f>I169/$E$10</f>
      </c>
      <c r="AE169" s="319">
        <f>J169/$E$10</f>
      </c>
      <c r="AF169" s="320">
        <f>K169/$E$11</f>
      </c>
      <c r="AG169" s="293">
        <f>L169/$E$11</f>
      </c>
      <c r="AH169" s="319">
        <f>M169/$E$11</f>
      </c>
      <c r="AI169" s="320">
        <f>N169/$E$12</f>
      </c>
      <c r="AJ169" s="293">
        <f>O169/$E$12</f>
      </c>
      <c r="AK169" s="319">
        <f>P169/$E$12</f>
      </c>
      <c r="AL169" s="320">
        <f>Q169/$E$13</f>
      </c>
      <c r="AM169" s="293">
        <f>R169/$E$13</f>
      </c>
      <c r="AN169" s="319">
        <f>S169/$E$13</f>
      </c>
      <c r="AO169" s="293">
        <f>T169/$E$14</f>
      </c>
      <c r="AP169" s="293">
        <f>U169/$E$14</f>
      </c>
      <c r="AQ169" s="319">
        <f>V169/$E$14</f>
      </c>
      <c r="AR169" s="307"/>
      <c r="AS169" s="297"/>
      <c r="AT169" s="307"/>
      <c r="AU169" s="307"/>
      <c r="AV169" s="307"/>
      <c r="AW169" s="63"/>
      <c r="AX169" s="63"/>
      <c r="AY169" s="63"/>
      <c r="AZ169" s="303"/>
      <c r="BA169" s="303"/>
      <c r="BB169" s="303"/>
      <c r="BC169" s="303"/>
      <c r="BD169" s="297"/>
      <c r="BE169" s="297"/>
      <c r="BF169" s="297"/>
      <c r="BG169" s="297"/>
      <c r="BH169" s="297"/>
      <c r="BI169" s="297"/>
      <c r="BJ169" s="297"/>
      <c r="BK169" s="297"/>
      <c r="BL169" s="297"/>
      <c r="BM169" s="160"/>
      <c r="BN169" s="160"/>
      <c r="BO169" s="160"/>
      <c r="BP169" s="297"/>
      <c r="BQ169" s="297"/>
      <c r="BR169" s="297"/>
      <c r="BS169" s="297"/>
      <c r="BT169" s="297"/>
      <c r="BU169" s="297"/>
      <c r="BV169" s="297"/>
      <c r="BW169" s="297"/>
      <c r="BX169" s="297"/>
      <c r="BY169" s="297"/>
      <c r="BZ169" s="297"/>
      <c r="CA169" s="297"/>
      <c r="CB169" s="124"/>
      <c r="CC169" s="124"/>
      <c r="CD169" s="124"/>
      <c r="CE169" s="63"/>
      <c r="CF169" s="63"/>
      <c r="CG169" s="63"/>
      <c r="CH169" s="124"/>
      <c r="CI169" s="63"/>
      <c r="CJ169" s="63"/>
      <c r="CK169" s="63"/>
      <c r="CL169" s="124"/>
      <c r="CM169" s="63"/>
      <c r="CN169" s="63"/>
      <c r="CO169" s="63"/>
      <c r="CP169" s="63"/>
      <c r="CQ169" s="124"/>
      <c r="CR169" s="124"/>
      <c r="CS169" s="124"/>
      <c r="CT169" s="124"/>
      <c r="CU169" s="124"/>
      <c r="CV169" s="124"/>
      <c r="CW169" s="124"/>
      <c r="CX169" s="124"/>
      <c r="CY169" s="124"/>
      <c r="CZ169" s="124"/>
      <c r="DA169" s="124"/>
      <c r="DB169" s="124"/>
      <c r="DC169" s="124"/>
      <c r="DD169" s="124"/>
      <c r="DE169" s="124"/>
      <c r="DF169" s="124"/>
      <c r="DG169" s="124"/>
      <c r="DH169" s="124"/>
      <c r="DI169" s="124"/>
      <c r="DJ169" s="124"/>
      <c r="DK169" s="2"/>
      <c r="DL169" s="2"/>
      <c r="DM169" s="2"/>
      <c r="DN169" s="2"/>
      <c r="DO169" s="2"/>
      <c r="DP169" s="2"/>
    </row>
    <row x14ac:dyDescent="0.25" r="170" customHeight="1" ht="13.5">
      <c r="A170" s="2"/>
      <c r="B170" s="3"/>
      <c r="C170" s="2"/>
      <c r="D170" s="123" t="s">
        <v>175</v>
      </c>
      <c r="E170" s="318">
        <f>OCPMarketShares!K123</f>
      </c>
      <c r="F170" s="318">
        <f>OCPMarketShares!L123</f>
      </c>
      <c r="G170" s="341">
        <f>OCPMarketShares!M123</f>
      </c>
      <c r="H170" s="293">
        <f>E170*H117</f>
      </c>
      <c r="I170" s="293">
        <f>F170*I117</f>
      </c>
      <c r="J170" s="319">
        <f>G170*J117</f>
      </c>
      <c r="K170" s="293">
        <f>E170*K117</f>
      </c>
      <c r="L170" s="293">
        <f>F170*L117</f>
      </c>
      <c r="M170" s="319">
        <f>G170*M117</f>
      </c>
      <c r="N170" s="293">
        <f>E170*N117</f>
      </c>
      <c r="O170" s="293">
        <f>F170*O117</f>
      </c>
      <c r="P170" s="319">
        <f>G170*P117</f>
      </c>
      <c r="Q170" s="293">
        <f>E170*Q117</f>
      </c>
      <c r="R170" s="293">
        <f>F170*R117</f>
      </c>
      <c r="S170" s="319">
        <f>G170*S117</f>
      </c>
      <c r="T170" s="293">
        <f>E170*T117</f>
      </c>
      <c r="U170" s="293">
        <f>F170*U117</f>
      </c>
      <c r="V170" s="293">
        <f>G170*V117</f>
      </c>
      <c r="W170" s="297"/>
      <c r="X170" s="297"/>
      <c r="Y170" s="140" t="s">
        <v>175</v>
      </c>
      <c r="Z170" s="293">
        <f>AC170+AF170+AI170+AL170+AO170</f>
      </c>
      <c r="AA170" s="293">
        <f>AD170+AG170+AJ170+AM170+AP170</f>
      </c>
      <c r="AB170" s="293">
        <f>AE170+AH170+AK170+AN170+AQ170</f>
      </c>
      <c r="AC170" s="320">
        <f>H170/$E$10</f>
      </c>
      <c r="AD170" s="293">
        <f>I170/$E$10</f>
      </c>
      <c r="AE170" s="319">
        <f>J170/$E$10</f>
      </c>
      <c r="AF170" s="320">
        <f>K170/$E$11</f>
      </c>
      <c r="AG170" s="293">
        <f>L170/$E$11</f>
      </c>
      <c r="AH170" s="319">
        <f>M170/$E$11</f>
      </c>
      <c r="AI170" s="320">
        <f>N170/$E$12</f>
      </c>
      <c r="AJ170" s="293">
        <f>O170/$E$12</f>
      </c>
      <c r="AK170" s="319">
        <f>P170/$E$12</f>
      </c>
      <c r="AL170" s="320">
        <f>Q170/$E$13</f>
      </c>
      <c r="AM170" s="293">
        <f>R170/$E$13</f>
      </c>
      <c r="AN170" s="319">
        <f>S170/$E$13</f>
      </c>
      <c r="AO170" s="293">
        <f>T170/$E$14</f>
      </c>
      <c r="AP170" s="293">
        <f>U170/$E$14</f>
      </c>
      <c r="AQ170" s="319">
        <f>V170/$E$14</f>
      </c>
      <c r="AR170" s="307"/>
      <c r="AS170" s="297"/>
      <c r="AT170" s="307"/>
      <c r="AU170" s="307"/>
      <c r="AV170" s="307"/>
      <c r="AW170" s="63"/>
      <c r="AX170" s="63"/>
      <c r="AY170" s="63"/>
      <c r="AZ170" s="303"/>
      <c r="BA170" s="303"/>
      <c r="BB170" s="303"/>
      <c r="BC170" s="303"/>
      <c r="BD170" s="297"/>
      <c r="BE170" s="297"/>
      <c r="BF170" s="297"/>
      <c r="BG170" s="297"/>
      <c r="BH170" s="297"/>
      <c r="BI170" s="297"/>
      <c r="BJ170" s="297"/>
      <c r="BK170" s="297"/>
      <c r="BL170" s="297"/>
      <c r="BM170" s="160"/>
      <c r="BN170" s="160"/>
      <c r="BO170" s="160"/>
      <c r="BP170" s="297"/>
      <c r="BQ170" s="297"/>
      <c r="BR170" s="297"/>
      <c r="BS170" s="297"/>
      <c r="BT170" s="297"/>
      <c r="BU170" s="297"/>
      <c r="BV170" s="297"/>
      <c r="BW170" s="297"/>
      <c r="BX170" s="297"/>
      <c r="BY170" s="297"/>
      <c r="BZ170" s="297"/>
      <c r="CA170" s="297"/>
      <c r="CB170" s="124"/>
      <c r="CC170" s="124"/>
      <c r="CD170" s="124"/>
      <c r="CE170" s="63"/>
      <c r="CF170" s="63"/>
      <c r="CG170" s="63"/>
      <c r="CH170" s="124"/>
      <c r="CI170" s="63"/>
      <c r="CJ170" s="63"/>
      <c r="CK170" s="63"/>
      <c r="CL170" s="124"/>
      <c r="CM170" s="63"/>
      <c r="CN170" s="63"/>
      <c r="CO170" s="63"/>
      <c r="CP170" s="63"/>
      <c r="CQ170" s="124"/>
      <c r="CR170" s="124"/>
      <c r="CS170" s="124"/>
      <c r="CT170" s="124"/>
      <c r="CU170" s="124"/>
      <c r="CV170" s="124"/>
      <c r="CW170" s="124"/>
      <c r="CX170" s="124"/>
      <c r="CY170" s="124"/>
      <c r="CZ170" s="124"/>
      <c r="DA170" s="124"/>
      <c r="DB170" s="124"/>
      <c r="DC170" s="124"/>
      <c r="DD170" s="124"/>
      <c r="DE170" s="124"/>
      <c r="DF170" s="124"/>
      <c r="DG170" s="124"/>
      <c r="DH170" s="124"/>
      <c r="DI170" s="124"/>
      <c r="DJ170" s="124"/>
      <c r="DK170" s="2"/>
      <c r="DL170" s="2"/>
      <c r="DM170" s="2"/>
      <c r="DN170" s="2"/>
      <c r="DO170" s="2"/>
      <c r="DP170" s="2"/>
    </row>
    <row x14ac:dyDescent="0.25" r="171" customHeight="1" ht="13.5">
      <c r="A171" s="2"/>
      <c r="B171" s="3"/>
      <c r="C171" s="2"/>
      <c r="D171" s="123" t="s">
        <v>131</v>
      </c>
      <c r="E171" s="318">
        <f>OCPMarketShares!K124</f>
      </c>
      <c r="F171" s="318">
        <f>OCPMarketShares!L124</f>
      </c>
      <c r="G171" s="341">
        <f>OCPMarketShares!M124</f>
      </c>
      <c r="H171" s="293">
        <f>E171*H118</f>
      </c>
      <c r="I171" s="293">
        <f>F171*I118</f>
      </c>
      <c r="J171" s="319">
        <f>G171*J118</f>
      </c>
      <c r="K171" s="293">
        <f>E171*K118</f>
      </c>
      <c r="L171" s="293">
        <f>F171*L118</f>
      </c>
      <c r="M171" s="319">
        <f>G171*M118</f>
      </c>
      <c r="N171" s="293">
        <f>E171*N118</f>
      </c>
      <c r="O171" s="293">
        <f>F171*O118</f>
      </c>
      <c r="P171" s="319">
        <f>G171*P118</f>
      </c>
      <c r="Q171" s="293">
        <f>E171*Q118</f>
      </c>
      <c r="R171" s="293">
        <f>F171*R118</f>
      </c>
      <c r="S171" s="319">
        <f>G171*S118</f>
      </c>
      <c r="T171" s="293">
        <f>E171*T118</f>
      </c>
      <c r="U171" s="293">
        <f>F171*U118</f>
      </c>
      <c r="V171" s="293">
        <f>G171*V118</f>
      </c>
      <c r="W171" s="297"/>
      <c r="X171" s="297"/>
      <c r="Y171" s="140" t="s">
        <v>131</v>
      </c>
      <c r="Z171" s="293">
        <f>AC171+AF171+AI171+AL171+AO171</f>
      </c>
      <c r="AA171" s="293">
        <f>AD171+AG171+AJ171+AM171+AP171</f>
      </c>
      <c r="AB171" s="293">
        <f>AE171+AH171+AK171+AN171+AQ171</f>
      </c>
      <c r="AC171" s="320">
        <f>H171/$E$10</f>
      </c>
      <c r="AD171" s="293">
        <f>I171/$E$10</f>
      </c>
      <c r="AE171" s="319">
        <f>J171/$E$10</f>
      </c>
      <c r="AF171" s="320">
        <f>K171/$E$11</f>
      </c>
      <c r="AG171" s="293">
        <f>L171/$E$11</f>
      </c>
      <c r="AH171" s="319">
        <f>M171/$E$11</f>
      </c>
      <c r="AI171" s="320">
        <f>N171/$E$12</f>
      </c>
      <c r="AJ171" s="293">
        <f>O171/$E$12</f>
      </c>
      <c r="AK171" s="319">
        <f>P171/$E$12</f>
      </c>
      <c r="AL171" s="320">
        <f>Q171/$E$13</f>
      </c>
      <c r="AM171" s="293">
        <f>R171/$E$13</f>
      </c>
      <c r="AN171" s="319">
        <f>S171/$E$13</f>
      </c>
      <c r="AO171" s="293">
        <f>T171/$E$14</f>
      </c>
      <c r="AP171" s="293">
        <f>U171/$E$14</f>
      </c>
      <c r="AQ171" s="319">
        <f>V171/$E$14</f>
      </c>
      <c r="AR171" s="307"/>
      <c r="AS171" s="297"/>
      <c r="AT171" s="307"/>
      <c r="AU171" s="307"/>
      <c r="AV171" s="307"/>
      <c r="AW171" s="63"/>
      <c r="AX171" s="63"/>
      <c r="AY171" s="63"/>
      <c r="AZ171" s="303"/>
      <c r="BA171" s="303"/>
      <c r="BB171" s="303"/>
      <c r="BC171" s="303"/>
      <c r="BD171" s="297"/>
      <c r="BE171" s="297"/>
      <c r="BF171" s="297"/>
      <c r="BG171" s="297"/>
      <c r="BH171" s="297"/>
      <c r="BI171" s="297"/>
      <c r="BJ171" s="297"/>
      <c r="BK171" s="297"/>
      <c r="BL171" s="297"/>
      <c r="BM171" s="160"/>
      <c r="BN171" s="160"/>
      <c r="BO171" s="160"/>
      <c r="BP171" s="297"/>
      <c r="BQ171" s="297"/>
      <c r="BR171" s="297"/>
      <c r="BS171" s="297"/>
      <c r="BT171" s="297"/>
      <c r="BU171" s="297"/>
      <c r="BV171" s="297"/>
      <c r="BW171" s="297"/>
      <c r="BX171" s="297"/>
      <c r="BY171" s="297"/>
      <c r="BZ171" s="297"/>
      <c r="CA171" s="297"/>
      <c r="CB171" s="124"/>
      <c r="CC171" s="124"/>
      <c r="CD171" s="124"/>
      <c r="CE171" s="63"/>
      <c r="CF171" s="63"/>
      <c r="CG171" s="63"/>
      <c r="CH171" s="124"/>
      <c r="CI171" s="63"/>
      <c r="CJ171" s="63"/>
      <c r="CK171" s="63"/>
      <c r="CL171" s="124"/>
      <c r="CM171" s="63"/>
      <c r="CN171" s="63"/>
      <c r="CO171" s="63"/>
      <c r="CP171" s="63"/>
      <c r="CQ171" s="124"/>
      <c r="CR171" s="124"/>
      <c r="CS171" s="124"/>
      <c r="CT171" s="124"/>
      <c r="CU171" s="124"/>
      <c r="CV171" s="124"/>
      <c r="CW171" s="124"/>
      <c r="CX171" s="124"/>
      <c r="CY171" s="124"/>
      <c r="CZ171" s="124"/>
      <c r="DA171" s="124"/>
      <c r="DB171" s="124"/>
      <c r="DC171" s="124"/>
      <c r="DD171" s="124"/>
      <c r="DE171" s="124"/>
      <c r="DF171" s="124"/>
      <c r="DG171" s="124"/>
      <c r="DH171" s="124"/>
      <c r="DI171" s="124"/>
      <c r="DJ171" s="124"/>
      <c r="DK171" s="2"/>
      <c r="DL171" s="2"/>
      <c r="DM171" s="2"/>
      <c r="DN171" s="2"/>
      <c r="DO171" s="2"/>
      <c r="DP171" s="2"/>
    </row>
    <row x14ac:dyDescent="0.25" r="172" customHeight="1" ht="13.5">
      <c r="A172" s="2"/>
      <c r="B172" s="3"/>
      <c r="C172" s="2"/>
      <c r="D172" s="123" t="s">
        <v>237</v>
      </c>
      <c r="E172" s="318">
        <f>OCPMarketShares!K125</f>
      </c>
      <c r="F172" s="318">
        <f>OCPMarketShares!L125</f>
      </c>
      <c r="G172" s="341">
        <f>OCPMarketShares!M125</f>
      </c>
      <c r="H172" s="293">
        <f>E172*H119</f>
      </c>
      <c r="I172" s="293">
        <f>F172*I119</f>
      </c>
      <c r="J172" s="319">
        <f>G172*J119</f>
      </c>
      <c r="K172" s="293">
        <f>E172*K119</f>
      </c>
      <c r="L172" s="293">
        <f>F172*L119</f>
      </c>
      <c r="M172" s="319">
        <f>G172*M119</f>
      </c>
      <c r="N172" s="293">
        <f>E172*N119</f>
      </c>
      <c r="O172" s="293">
        <f>F172*O119</f>
      </c>
      <c r="P172" s="319">
        <f>G172*P119</f>
      </c>
      <c r="Q172" s="293">
        <f>E172*Q119</f>
      </c>
      <c r="R172" s="293">
        <f>F172*R119</f>
      </c>
      <c r="S172" s="319">
        <f>G172*S119</f>
      </c>
      <c r="T172" s="293">
        <f>E172*T119</f>
      </c>
      <c r="U172" s="293">
        <f>F172*U119</f>
      </c>
      <c r="V172" s="293">
        <f>G172*V119</f>
      </c>
      <c r="W172" s="297"/>
      <c r="X172" s="297"/>
      <c r="Y172" s="140" t="s">
        <v>237</v>
      </c>
      <c r="Z172" s="293">
        <f>AC172+AF172+AI172+AL172+AO172</f>
      </c>
      <c r="AA172" s="293">
        <f>AD172+AG172+AJ172+AM172+AP172</f>
      </c>
      <c r="AB172" s="293">
        <f>AE172+AH172+AK172+AN172+AQ172</f>
      </c>
      <c r="AC172" s="320">
        <f>H172/$E$10</f>
      </c>
      <c r="AD172" s="293">
        <f>I172/$E$10</f>
      </c>
      <c r="AE172" s="319">
        <f>J172/$E$10</f>
      </c>
      <c r="AF172" s="320">
        <f>K172/$E$11</f>
      </c>
      <c r="AG172" s="293">
        <f>L172/$E$11</f>
      </c>
      <c r="AH172" s="319">
        <f>M172/$E$11</f>
      </c>
      <c r="AI172" s="320">
        <f>N172/$E$12</f>
      </c>
      <c r="AJ172" s="293">
        <f>O172/$E$12</f>
      </c>
      <c r="AK172" s="319">
        <f>P172/$E$12</f>
      </c>
      <c r="AL172" s="320">
        <f>Q172/$E$13</f>
      </c>
      <c r="AM172" s="293">
        <f>R172/$E$13</f>
      </c>
      <c r="AN172" s="319">
        <f>S172/$E$13</f>
      </c>
      <c r="AO172" s="293">
        <f>T172/$E$14</f>
      </c>
      <c r="AP172" s="293">
        <f>U172/$E$14</f>
      </c>
      <c r="AQ172" s="319">
        <f>V172/$E$14</f>
      </c>
      <c r="AR172" s="307"/>
      <c r="AS172" s="297"/>
      <c r="AT172" s="307"/>
      <c r="AU172" s="307"/>
      <c r="AV172" s="307"/>
      <c r="AW172" s="63"/>
      <c r="AX172" s="63"/>
      <c r="AY172" s="63"/>
      <c r="AZ172" s="303"/>
      <c r="BA172" s="303"/>
      <c r="BB172" s="303"/>
      <c r="BC172" s="303"/>
      <c r="BD172" s="297"/>
      <c r="BE172" s="297"/>
      <c r="BF172" s="297"/>
      <c r="BG172" s="297"/>
      <c r="BH172" s="297"/>
      <c r="BI172" s="297"/>
      <c r="BJ172" s="297"/>
      <c r="BK172" s="297"/>
      <c r="BL172" s="297"/>
      <c r="BM172" s="160"/>
      <c r="BN172" s="160"/>
      <c r="BO172" s="160"/>
      <c r="BP172" s="297"/>
      <c r="BQ172" s="297"/>
      <c r="BR172" s="297"/>
      <c r="BS172" s="297"/>
      <c r="BT172" s="297"/>
      <c r="BU172" s="297"/>
      <c r="BV172" s="297"/>
      <c r="BW172" s="297"/>
      <c r="BX172" s="297"/>
      <c r="BY172" s="297"/>
      <c r="BZ172" s="297"/>
      <c r="CA172" s="297"/>
      <c r="CB172" s="124"/>
      <c r="CC172" s="124"/>
      <c r="CD172" s="124"/>
      <c r="CE172" s="63"/>
      <c r="CF172" s="63"/>
      <c r="CG172" s="63"/>
      <c r="CH172" s="124"/>
      <c r="CI172" s="63"/>
      <c r="CJ172" s="63"/>
      <c r="CK172" s="63"/>
      <c r="CL172" s="124"/>
      <c r="CM172" s="63"/>
      <c r="CN172" s="63"/>
      <c r="CO172" s="63"/>
      <c r="CP172" s="63"/>
      <c r="CQ172" s="124"/>
      <c r="CR172" s="124"/>
      <c r="CS172" s="124"/>
      <c r="CT172" s="124"/>
      <c r="CU172" s="124"/>
      <c r="CV172" s="124"/>
      <c r="CW172" s="124"/>
      <c r="CX172" s="124"/>
      <c r="CY172" s="124"/>
      <c r="CZ172" s="124"/>
      <c r="DA172" s="124"/>
      <c r="DB172" s="124"/>
      <c r="DC172" s="124"/>
      <c r="DD172" s="124"/>
      <c r="DE172" s="124"/>
      <c r="DF172" s="124"/>
      <c r="DG172" s="124"/>
      <c r="DH172" s="124"/>
      <c r="DI172" s="124"/>
      <c r="DJ172" s="124"/>
      <c r="DK172" s="2"/>
      <c r="DL172" s="2"/>
      <c r="DM172" s="2"/>
      <c r="DN172" s="2"/>
      <c r="DO172" s="2"/>
      <c r="DP172" s="2"/>
    </row>
    <row x14ac:dyDescent="0.25" r="173" customHeight="1" ht="13.5">
      <c r="A173" s="2"/>
      <c r="B173" s="3"/>
      <c r="C173" s="2"/>
      <c r="D173" s="123" t="s">
        <v>139</v>
      </c>
      <c r="E173" s="318">
        <f>OCPMarketShares!K126</f>
      </c>
      <c r="F173" s="318">
        <f>OCPMarketShares!L126</f>
      </c>
      <c r="G173" s="341">
        <f>OCPMarketShares!M126</f>
      </c>
      <c r="H173" s="293">
        <f>E173*H120</f>
      </c>
      <c r="I173" s="293">
        <f>F173*I120</f>
      </c>
      <c r="J173" s="319">
        <f>G173*J120</f>
      </c>
      <c r="K173" s="293">
        <f>E173*K120</f>
      </c>
      <c r="L173" s="293">
        <f>F173*L120</f>
      </c>
      <c r="M173" s="319">
        <f>G173*M120</f>
      </c>
      <c r="N173" s="293">
        <f>E173*N120</f>
      </c>
      <c r="O173" s="293">
        <f>F173*O120</f>
      </c>
      <c r="P173" s="319">
        <f>G173*P120</f>
      </c>
      <c r="Q173" s="293">
        <f>E173*Q120</f>
      </c>
      <c r="R173" s="293">
        <f>F173*R120</f>
      </c>
      <c r="S173" s="319">
        <f>G173*S120</f>
      </c>
      <c r="T173" s="293">
        <f>E173*T120</f>
      </c>
      <c r="U173" s="293">
        <f>F173*U120</f>
      </c>
      <c r="V173" s="293">
        <f>G173*V120</f>
      </c>
      <c r="W173" s="297"/>
      <c r="X173" s="297"/>
      <c r="Y173" s="140" t="s">
        <v>139</v>
      </c>
      <c r="Z173" s="293">
        <f>AC173+AF173+AI173+AL173+AO173</f>
      </c>
      <c r="AA173" s="293">
        <f>AD173+AG173+AJ173+AM173+AP173</f>
      </c>
      <c r="AB173" s="293">
        <f>AE173+AH173+AK173+AN173+AQ173</f>
      </c>
      <c r="AC173" s="320">
        <f>H173/$E$10</f>
      </c>
      <c r="AD173" s="293">
        <f>I173/$E$10</f>
      </c>
      <c r="AE173" s="319">
        <f>J173/$E$10</f>
      </c>
      <c r="AF173" s="320">
        <f>K173/$E$11</f>
      </c>
      <c r="AG173" s="293">
        <f>L173/$E$11</f>
      </c>
      <c r="AH173" s="319">
        <f>M173/$E$11</f>
      </c>
      <c r="AI173" s="320">
        <f>N173/$E$12</f>
      </c>
      <c r="AJ173" s="293">
        <f>O173/$E$12</f>
      </c>
      <c r="AK173" s="319">
        <f>P173/$E$12</f>
      </c>
      <c r="AL173" s="320">
        <f>Q173/$E$13</f>
      </c>
      <c r="AM173" s="293">
        <f>R173/$E$13</f>
      </c>
      <c r="AN173" s="319">
        <f>S173/$E$13</f>
      </c>
      <c r="AO173" s="293">
        <f>T173/$E$14</f>
      </c>
      <c r="AP173" s="293">
        <f>U173/$E$14</f>
      </c>
      <c r="AQ173" s="319">
        <f>V173/$E$14</f>
      </c>
      <c r="AR173" s="307"/>
      <c r="AS173" s="297"/>
      <c r="AT173" s="307"/>
      <c r="AU173" s="307"/>
      <c r="AV173" s="307"/>
      <c r="AW173" s="63"/>
      <c r="AX173" s="63"/>
      <c r="AY173" s="63"/>
      <c r="AZ173" s="303"/>
      <c r="BA173" s="303"/>
      <c r="BB173" s="303"/>
      <c r="BC173" s="303"/>
      <c r="BD173" s="297"/>
      <c r="BE173" s="297"/>
      <c r="BF173" s="297"/>
      <c r="BG173" s="297"/>
      <c r="BH173" s="297"/>
      <c r="BI173" s="297"/>
      <c r="BJ173" s="297"/>
      <c r="BK173" s="297"/>
      <c r="BL173" s="297"/>
      <c r="BM173" s="160"/>
      <c r="BN173" s="160"/>
      <c r="BO173" s="160"/>
      <c r="BP173" s="297"/>
      <c r="BQ173" s="297"/>
      <c r="BR173" s="297"/>
      <c r="BS173" s="297"/>
      <c r="BT173" s="297"/>
      <c r="BU173" s="297"/>
      <c r="BV173" s="297"/>
      <c r="BW173" s="297"/>
      <c r="BX173" s="297"/>
      <c r="BY173" s="297"/>
      <c r="BZ173" s="297"/>
      <c r="CA173" s="297"/>
      <c r="CB173" s="124"/>
      <c r="CC173" s="124"/>
      <c r="CD173" s="124"/>
      <c r="CE173" s="63"/>
      <c r="CF173" s="63"/>
      <c r="CG173" s="63"/>
      <c r="CH173" s="124"/>
      <c r="CI173" s="63"/>
      <c r="CJ173" s="63"/>
      <c r="CK173" s="63"/>
      <c r="CL173" s="124"/>
      <c r="CM173" s="63"/>
      <c r="CN173" s="63"/>
      <c r="CO173" s="63"/>
      <c r="CP173" s="63"/>
      <c r="CQ173" s="124"/>
      <c r="CR173" s="124"/>
      <c r="CS173" s="124"/>
      <c r="CT173" s="124"/>
      <c r="CU173" s="124"/>
      <c r="CV173" s="124"/>
      <c r="CW173" s="124"/>
      <c r="CX173" s="124"/>
      <c r="CY173" s="124"/>
      <c r="CZ173" s="124"/>
      <c r="DA173" s="124"/>
      <c r="DB173" s="124"/>
      <c r="DC173" s="124"/>
      <c r="DD173" s="124"/>
      <c r="DE173" s="124"/>
      <c r="DF173" s="124"/>
      <c r="DG173" s="124"/>
      <c r="DH173" s="124"/>
      <c r="DI173" s="124"/>
      <c r="DJ173" s="124"/>
      <c r="DK173" s="2"/>
      <c r="DL173" s="2"/>
      <c r="DM173" s="2"/>
      <c r="DN173" s="2"/>
      <c r="DO173" s="2"/>
      <c r="DP173" s="2"/>
    </row>
    <row x14ac:dyDescent="0.25" r="174" customHeight="1" ht="13.5">
      <c r="A174" s="2"/>
      <c r="B174" s="3"/>
      <c r="C174" s="2"/>
      <c r="D174" s="123" t="s">
        <v>241</v>
      </c>
      <c r="E174" s="318">
        <f>OCPMarketShares!K127</f>
      </c>
      <c r="F174" s="318">
        <f>OCPMarketShares!L127</f>
      </c>
      <c r="G174" s="341">
        <f>OCPMarketShares!M127</f>
      </c>
      <c r="H174" s="293">
        <f>E174*H121</f>
      </c>
      <c r="I174" s="293">
        <f>F174*I121</f>
      </c>
      <c r="J174" s="319">
        <f>G174*J121</f>
      </c>
      <c r="K174" s="293">
        <f>E174*K121</f>
      </c>
      <c r="L174" s="293">
        <f>F174*L121</f>
      </c>
      <c r="M174" s="319">
        <f>G174*M121</f>
      </c>
      <c r="N174" s="293">
        <f>E174*N121</f>
      </c>
      <c r="O174" s="293">
        <f>F174*O121</f>
      </c>
      <c r="P174" s="319">
        <f>G174*P121</f>
      </c>
      <c r="Q174" s="293">
        <f>E174*Q121</f>
      </c>
      <c r="R174" s="293">
        <f>F174*R121</f>
      </c>
      <c r="S174" s="319">
        <f>G174*S121</f>
      </c>
      <c r="T174" s="293">
        <f>E174*T121</f>
      </c>
      <c r="U174" s="293">
        <f>F174*U121</f>
      </c>
      <c r="V174" s="293">
        <f>G174*V121</f>
      </c>
      <c r="W174" s="297"/>
      <c r="X174" s="297"/>
      <c r="Y174" s="140" t="s">
        <v>241</v>
      </c>
      <c r="Z174" s="293">
        <f>AC174+AF174+AI174+AL174+AO174</f>
      </c>
      <c r="AA174" s="293">
        <f>AD174+AG174+AJ174+AM174+AP174</f>
      </c>
      <c r="AB174" s="293">
        <f>AE174+AH174+AK174+AN174+AQ174</f>
      </c>
      <c r="AC174" s="320">
        <f>H174/$E$10</f>
      </c>
      <c r="AD174" s="293">
        <f>I174/$E$10</f>
      </c>
      <c r="AE174" s="319">
        <f>J174/$E$10</f>
      </c>
      <c r="AF174" s="320">
        <f>K174/$E$11</f>
      </c>
      <c r="AG174" s="293">
        <f>L174/$E$11</f>
      </c>
      <c r="AH174" s="319">
        <f>M174/$E$11</f>
      </c>
      <c r="AI174" s="320">
        <f>N174/$E$12</f>
      </c>
      <c r="AJ174" s="293">
        <f>O174/$E$12</f>
      </c>
      <c r="AK174" s="319">
        <f>P174/$E$12</f>
      </c>
      <c r="AL174" s="320">
        <f>Q174/$E$13</f>
      </c>
      <c r="AM174" s="293">
        <f>R174/$E$13</f>
      </c>
      <c r="AN174" s="319">
        <f>S174/$E$13</f>
      </c>
      <c r="AO174" s="293">
        <f>T174/$E$14</f>
      </c>
      <c r="AP174" s="293">
        <f>U174/$E$14</f>
      </c>
      <c r="AQ174" s="319">
        <f>V174/$E$14</f>
      </c>
      <c r="AR174" s="307"/>
      <c r="AS174" s="297"/>
      <c r="AT174" s="307"/>
      <c r="AU174" s="307"/>
      <c r="AV174" s="307"/>
      <c r="AW174" s="63"/>
      <c r="AX174" s="63"/>
      <c r="AY174" s="63"/>
      <c r="AZ174" s="303"/>
      <c r="BA174" s="303"/>
      <c r="BB174" s="303"/>
      <c r="BC174" s="303"/>
      <c r="BD174" s="297"/>
      <c r="BE174" s="297"/>
      <c r="BF174" s="297"/>
      <c r="BG174" s="297"/>
      <c r="BH174" s="297"/>
      <c r="BI174" s="297"/>
      <c r="BJ174" s="297"/>
      <c r="BK174" s="297"/>
      <c r="BL174" s="297"/>
      <c r="BM174" s="160"/>
      <c r="BN174" s="160"/>
      <c r="BO174" s="160"/>
      <c r="BP174" s="297"/>
      <c r="BQ174" s="297"/>
      <c r="BR174" s="297"/>
      <c r="BS174" s="297"/>
      <c r="BT174" s="297"/>
      <c r="BU174" s="297"/>
      <c r="BV174" s="297"/>
      <c r="BW174" s="297"/>
      <c r="BX174" s="297"/>
      <c r="BY174" s="297"/>
      <c r="BZ174" s="297"/>
      <c r="CA174" s="297"/>
      <c r="CB174" s="124"/>
      <c r="CC174" s="124"/>
      <c r="CD174" s="124"/>
      <c r="CE174" s="63"/>
      <c r="CF174" s="63"/>
      <c r="CG174" s="63"/>
      <c r="CH174" s="124"/>
      <c r="CI174" s="63"/>
      <c r="CJ174" s="63"/>
      <c r="CK174" s="63"/>
      <c r="CL174" s="124"/>
      <c r="CM174" s="63"/>
      <c r="CN174" s="63"/>
      <c r="CO174" s="63"/>
      <c r="CP174" s="63"/>
      <c r="CQ174" s="124"/>
      <c r="CR174" s="124"/>
      <c r="CS174" s="124"/>
      <c r="CT174" s="124"/>
      <c r="CU174" s="124"/>
      <c r="CV174" s="124"/>
      <c r="CW174" s="124"/>
      <c r="CX174" s="124"/>
      <c r="CY174" s="124"/>
      <c r="CZ174" s="124"/>
      <c r="DA174" s="124"/>
      <c r="DB174" s="124"/>
      <c r="DC174" s="124"/>
      <c r="DD174" s="124"/>
      <c r="DE174" s="124"/>
      <c r="DF174" s="124"/>
      <c r="DG174" s="124"/>
      <c r="DH174" s="124"/>
      <c r="DI174" s="124"/>
      <c r="DJ174" s="124"/>
      <c r="DK174" s="2"/>
      <c r="DL174" s="2"/>
      <c r="DM174" s="2"/>
      <c r="DN174" s="2"/>
      <c r="DO174" s="2"/>
      <c r="DP174" s="2"/>
    </row>
    <row x14ac:dyDescent="0.25" r="175" customHeight="1" ht="13.5">
      <c r="A175" s="2"/>
      <c r="B175" s="3"/>
      <c r="C175" s="2"/>
      <c r="D175" s="123" t="s">
        <v>249</v>
      </c>
      <c r="E175" s="318">
        <f>OCPMarketShares!K128</f>
      </c>
      <c r="F175" s="318">
        <f>OCPMarketShares!L128</f>
      </c>
      <c r="G175" s="341">
        <f>OCPMarketShares!M128</f>
      </c>
      <c r="H175" s="293">
        <f>E175*H122</f>
      </c>
      <c r="I175" s="293">
        <f>F175*I122</f>
      </c>
      <c r="J175" s="319">
        <f>G175*J122</f>
      </c>
      <c r="K175" s="293">
        <f>E175*K122</f>
      </c>
      <c r="L175" s="293">
        <f>F175*L122</f>
      </c>
      <c r="M175" s="319">
        <f>G175*M122</f>
      </c>
      <c r="N175" s="293">
        <f>E175*N122</f>
      </c>
      <c r="O175" s="293">
        <f>F175*O122</f>
      </c>
      <c r="P175" s="319">
        <f>G175*P122</f>
      </c>
      <c r="Q175" s="293">
        <f>E175*Q122</f>
      </c>
      <c r="R175" s="293">
        <f>F175*R122</f>
      </c>
      <c r="S175" s="319">
        <f>G175*S122</f>
      </c>
      <c r="T175" s="293">
        <f>E175*T122</f>
      </c>
      <c r="U175" s="293">
        <f>F175*U122</f>
      </c>
      <c r="V175" s="293">
        <f>G175*V122</f>
      </c>
      <c r="W175" s="297"/>
      <c r="X175" s="297"/>
      <c r="Y175" s="140" t="s">
        <v>249</v>
      </c>
      <c r="Z175" s="293">
        <f>AC175+AF175+AI175+AL175+AO175</f>
      </c>
      <c r="AA175" s="293">
        <f>AD175+AG175+AJ175+AM175+AP175</f>
      </c>
      <c r="AB175" s="293">
        <f>AE175+AH175+AK175+AN175+AQ175</f>
      </c>
      <c r="AC175" s="320">
        <f>H175/$E$10</f>
      </c>
      <c r="AD175" s="293">
        <f>I175/$E$10</f>
      </c>
      <c r="AE175" s="319">
        <f>J175/$E$10</f>
      </c>
      <c r="AF175" s="320">
        <f>K175/$E$11</f>
      </c>
      <c r="AG175" s="293">
        <f>L175/$E$11</f>
      </c>
      <c r="AH175" s="319">
        <f>M175/$E$11</f>
      </c>
      <c r="AI175" s="320">
        <f>N175/$E$12</f>
      </c>
      <c r="AJ175" s="293">
        <f>O175/$E$12</f>
      </c>
      <c r="AK175" s="319">
        <f>P175/$E$12</f>
      </c>
      <c r="AL175" s="320">
        <f>Q175/$E$13</f>
      </c>
      <c r="AM175" s="293">
        <f>R175/$E$13</f>
      </c>
      <c r="AN175" s="319">
        <f>S175/$E$13</f>
      </c>
      <c r="AO175" s="293">
        <f>T175/$E$14</f>
      </c>
      <c r="AP175" s="293">
        <f>U175/$E$14</f>
      </c>
      <c r="AQ175" s="319">
        <f>V175/$E$14</f>
      </c>
      <c r="AR175" s="307"/>
      <c r="AS175" s="297"/>
      <c r="AT175" s="307"/>
      <c r="AU175" s="307"/>
      <c r="AV175" s="307"/>
      <c r="AW175" s="63"/>
      <c r="AX175" s="63"/>
      <c r="AY175" s="63"/>
      <c r="AZ175" s="303"/>
      <c r="BA175" s="303"/>
      <c r="BB175" s="303"/>
      <c r="BC175" s="303"/>
      <c r="BD175" s="297"/>
      <c r="BE175" s="297"/>
      <c r="BF175" s="297"/>
      <c r="BG175" s="297"/>
      <c r="BH175" s="297"/>
      <c r="BI175" s="297"/>
      <c r="BJ175" s="297"/>
      <c r="BK175" s="297"/>
      <c r="BL175" s="297"/>
      <c r="BM175" s="160"/>
      <c r="BN175" s="160"/>
      <c r="BO175" s="160"/>
      <c r="BP175" s="297"/>
      <c r="BQ175" s="297"/>
      <c r="BR175" s="297"/>
      <c r="BS175" s="297"/>
      <c r="BT175" s="297"/>
      <c r="BU175" s="297"/>
      <c r="BV175" s="297"/>
      <c r="BW175" s="297"/>
      <c r="BX175" s="297"/>
      <c r="BY175" s="297"/>
      <c r="BZ175" s="297"/>
      <c r="CA175" s="297"/>
      <c r="CB175" s="124"/>
      <c r="CC175" s="124"/>
      <c r="CD175" s="124"/>
      <c r="CE175" s="63"/>
      <c r="CF175" s="63"/>
      <c r="CG175" s="63"/>
      <c r="CH175" s="124"/>
      <c r="CI175" s="63"/>
      <c r="CJ175" s="63"/>
      <c r="CK175" s="63"/>
      <c r="CL175" s="124"/>
      <c r="CM175" s="63"/>
      <c r="CN175" s="63"/>
      <c r="CO175" s="63"/>
      <c r="CP175" s="63"/>
      <c r="CQ175" s="124"/>
      <c r="CR175" s="124"/>
      <c r="CS175" s="124"/>
      <c r="CT175" s="124"/>
      <c r="CU175" s="124"/>
      <c r="CV175" s="124"/>
      <c r="CW175" s="124"/>
      <c r="CX175" s="124"/>
      <c r="CY175" s="124"/>
      <c r="CZ175" s="124"/>
      <c r="DA175" s="124"/>
      <c r="DB175" s="124"/>
      <c r="DC175" s="124"/>
      <c r="DD175" s="124"/>
      <c r="DE175" s="124"/>
      <c r="DF175" s="124"/>
      <c r="DG175" s="124"/>
      <c r="DH175" s="124"/>
      <c r="DI175" s="124"/>
      <c r="DJ175" s="124"/>
      <c r="DK175" s="2"/>
      <c r="DL175" s="2"/>
      <c r="DM175" s="2"/>
      <c r="DN175" s="2"/>
      <c r="DO175" s="2"/>
      <c r="DP175" s="2"/>
    </row>
    <row x14ac:dyDescent="0.25" r="176" customHeight="1" ht="13.5">
      <c r="A176" s="2"/>
      <c r="B176" s="3"/>
      <c r="C176" s="2"/>
      <c r="D176" s="123" t="s">
        <v>235</v>
      </c>
      <c r="E176" s="318">
        <f>OCPMarketShares!K129</f>
      </c>
      <c r="F176" s="318">
        <f>OCPMarketShares!L129</f>
      </c>
      <c r="G176" s="341">
        <f>OCPMarketShares!M129</f>
      </c>
      <c r="H176" s="293">
        <f>E176*H123</f>
      </c>
      <c r="I176" s="293">
        <f>F176*I123</f>
      </c>
      <c r="J176" s="319">
        <f>G176*J123</f>
      </c>
      <c r="K176" s="293">
        <f>E176*K123</f>
      </c>
      <c r="L176" s="293">
        <f>F176*L123</f>
      </c>
      <c r="M176" s="319">
        <f>G176*M123</f>
      </c>
      <c r="N176" s="293">
        <f>E176*N123</f>
      </c>
      <c r="O176" s="293">
        <f>F176*O123</f>
      </c>
      <c r="P176" s="319">
        <f>G176*P123</f>
      </c>
      <c r="Q176" s="293">
        <f>E176*Q123</f>
      </c>
      <c r="R176" s="293">
        <f>F176*R123</f>
      </c>
      <c r="S176" s="319">
        <f>G176*S123</f>
      </c>
      <c r="T176" s="293">
        <f>E176*T123</f>
      </c>
      <c r="U176" s="293">
        <f>F176*U123</f>
      </c>
      <c r="V176" s="293">
        <f>G176*V123</f>
      </c>
      <c r="W176" s="297"/>
      <c r="X176" s="297"/>
      <c r="Y176" s="140" t="s">
        <v>235</v>
      </c>
      <c r="Z176" s="293">
        <f>AC176+AF176+AI176+AL176+AO176</f>
      </c>
      <c r="AA176" s="293">
        <f>AD176+AG176+AJ176+AM176+AP176</f>
      </c>
      <c r="AB176" s="293">
        <f>AE176+AH176+AK176+AN176+AQ176</f>
      </c>
      <c r="AC176" s="320">
        <f>H176/$E$10</f>
      </c>
      <c r="AD176" s="293">
        <f>I176/$E$10</f>
      </c>
      <c r="AE176" s="319">
        <f>J176/$E$10</f>
      </c>
      <c r="AF176" s="320">
        <f>K176/$E$11</f>
      </c>
      <c r="AG176" s="293">
        <f>L176/$E$11</f>
      </c>
      <c r="AH176" s="319">
        <f>M176/$E$11</f>
      </c>
      <c r="AI176" s="320">
        <f>N176/$E$12</f>
      </c>
      <c r="AJ176" s="293">
        <f>O176/$E$12</f>
      </c>
      <c r="AK176" s="319">
        <f>P176/$E$12</f>
      </c>
      <c r="AL176" s="320">
        <f>Q176/$E$13</f>
      </c>
      <c r="AM176" s="293">
        <f>R176/$E$13</f>
      </c>
      <c r="AN176" s="319">
        <f>S176/$E$13</f>
      </c>
      <c r="AO176" s="293">
        <f>T176/$E$14</f>
      </c>
      <c r="AP176" s="293">
        <f>U176/$E$14</f>
      </c>
      <c r="AQ176" s="319">
        <f>V176/$E$14</f>
      </c>
      <c r="AR176" s="307"/>
      <c r="AS176" s="297"/>
      <c r="AT176" s="307"/>
      <c r="AU176" s="307"/>
      <c r="AV176" s="307"/>
      <c r="AW176" s="63"/>
      <c r="AX176" s="63"/>
      <c r="AY176" s="63"/>
      <c r="AZ176" s="303"/>
      <c r="BA176" s="303"/>
      <c r="BB176" s="303"/>
      <c r="BC176" s="303"/>
      <c r="BD176" s="297"/>
      <c r="BE176" s="297"/>
      <c r="BF176" s="297"/>
      <c r="BG176" s="297"/>
      <c r="BH176" s="297"/>
      <c r="BI176" s="297"/>
      <c r="BJ176" s="297"/>
      <c r="BK176" s="297"/>
      <c r="BL176" s="297"/>
      <c r="BM176" s="160"/>
      <c r="BN176" s="160"/>
      <c r="BO176" s="160"/>
      <c r="BP176" s="297"/>
      <c r="BQ176" s="297"/>
      <c r="BR176" s="297"/>
      <c r="BS176" s="297"/>
      <c r="BT176" s="297"/>
      <c r="BU176" s="297"/>
      <c r="BV176" s="297"/>
      <c r="BW176" s="297"/>
      <c r="BX176" s="297"/>
      <c r="BY176" s="297"/>
      <c r="BZ176" s="297"/>
      <c r="CA176" s="297"/>
      <c r="CB176" s="124"/>
      <c r="CC176" s="124"/>
      <c r="CD176" s="124"/>
      <c r="CE176" s="63"/>
      <c r="CF176" s="63"/>
      <c r="CG176" s="63"/>
      <c r="CH176" s="124"/>
      <c r="CI176" s="63"/>
      <c r="CJ176" s="63"/>
      <c r="CK176" s="63"/>
      <c r="CL176" s="124"/>
      <c r="CM176" s="63"/>
      <c r="CN176" s="63"/>
      <c r="CO176" s="63"/>
      <c r="CP176" s="63"/>
      <c r="CQ176" s="124"/>
      <c r="CR176" s="124"/>
      <c r="CS176" s="124"/>
      <c r="CT176" s="124"/>
      <c r="CU176" s="124"/>
      <c r="CV176" s="124"/>
      <c r="CW176" s="124"/>
      <c r="CX176" s="124"/>
      <c r="CY176" s="124"/>
      <c r="CZ176" s="124"/>
      <c r="DA176" s="124"/>
      <c r="DB176" s="124"/>
      <c r="DC176" s="124"/>
      <c r="DD176" s="124"/>
      <c r="DE176" s="124"/>
      <c r="DF176" s="124"/>
      <c r="DG176" s="124"/>
      <c r="DH176" s="124"/>
      <c r="DI176" s="124"/>
      <c r="DJ176" s="124"/>
      <c r="DK176" s="2"/>
      <c r="DL176" s="2"/>
      <c r="DM176" s="2"/>
      <c r="DN176" s="2"/>
      <c r="DO176" s="2"/>
      <c r="DP176" s="2"/>
    </row>
    <row x14ac:dyDescent="0.25" r="177" customHeight="1" ht="13.5">
      <c r="A177" s="2"/>
      <c r="B177" s="3"/>
      <c r="C177" s="2"/>
      <c r="D177" s="123" t="s">
        <v>125</v>
      </c>
      <c r="E177" s="318">
        <f>OCPMarketShares!K130</f>
      </c>
      <c r="F177" s="318">
        <f>OCPMarketShares!L130</f>
      </c>
      <c r="G177" s="341">
        <f>OCPMarketShares!M130</f>
      </c>
      <c r="H177" s="293">
        <f>E177*H124</f>
      </c>
      <c r="I177" s="293">
        <f>F177*I124</f>
      </c>
      <c r="J177" s="319">
        <f>G177*J124</f>
      </c>
      <c r="K177" s="293">
        <f>E177*K124</f>
      </c>
      <c r="L177" s="293">
        <f>F177*L124</f>
      </c>
      <c r="M177" s="319">
        <f>G177*M124</f>
      </c>
      <c r="N177" s="293">
        <f>E177*N124</f>
      </c>
      <c r="O177" s="293">
        <f>F177*O124</f>
      </c>
      <c r="P177" s="319">
        <f>G177*P124</f>
      </c>
      <c r="Q177" s="293">
        <f>E177*Q124</f>
      </c>
      <c r="R177" s="293">
        <f>F177*R124</f>
      </c>
      <c r="S177" s="319">
        <f>G177*S124</f>
      </c>
      <c r="T177" s="293">
        <f>E177*T124</f>
      </c>
      <c r="U177" s="293">
        <f>F177*U124</f>
      </c>
      <c r="V177" s="293">
        <f>G177*V124</f>
      </c>
      <c r="W177" s="297"/>
      <c r="X177" s="297"/>
      <c r="Y177" s="140" t="s">
        <v>125</v>
      </c>
      <c r="Z177" s="293">
        <f>AC177+AF177+AI177+AL177+AO177</f>
      </c>
      <c r="AA177" s="293">
        <f>AD177+AG177+AJ177+AM177+AP177</f>
      </c>
      <c r="AB177" s="293">
        <f>AE177+AH177+AK177+AN177+AQ177</f>
      </c>
      <c r="AC177" s="320">
        <f>H177/$E$10</f>
      </c>
      <c r="AD177" s="293">
        <f>I177/$E$10</f>
      </c>
      <c r="AE177" s="319">
        <f>J177/$E$10</f>
      </c>
      <c r="AF177" s="320">
        <f>K177/$E$11</f>
      </c>
      <c r="AG177" s="293">
        <f>L177/$E$11</f>
      </c>
      <c r="AH177" s="319">
        <f>M177/$E$11</f>
      </c>
      <c r="AI177" s="320">
        <f>N177/$E$12</f>
      </c>
      <c r="AJ177" s="293">
        <f>O177/$E$12</f>
      </c>
      <c r="AK177" s="319">
        <f>P177/$E$12</f>
      </c>
      <c r="AL177" s="320">
        <f>Q177/$E$13</f>
      </c>
      <c r="AM177" s="293">
        <f>R177/$E$13</f>
      </c>
      <c r="AN177" s="319">
        <f>S177/$E$13</f>
      </c>
      <c r="AO177" s="293">
        <f>T177/$E$14</f>
      </c>
      <c r="AP177" s="293">
        <f>U177/$E$14</f>
      </c>
      <c r="AQ177" s="319">
        <f>V177/$E$14</f>
      </c>
      <c r="AR177" s="307"/>
      <c r="AS177" s="297"/>
      <c r="AT177" s="307"/>
      <c r="AU177" s="307"/>
      <c r="AV177" s="307"/>
      <c r="AW177" s="63"/>
      <c r="AX177" s="63"/>
      <c r="AY177" s="63"/>
      <c r="AZ177" s="303"/>
      <c r="BA177" s="303"/>
      <c r="BB177" s="303"/>
      <c r="BC177" s="303"/>
      <c r="BD177" s="297"/>
      <c r="BE177" s="297"/>
      <c r="BF177" s="297"/>
      <c r="BG177" s="297"/>
      <c r="BH177" s="297"/>
      <c r="BI177" s="297"/>
      <c r="BJ177" s="297"/>
      <c r="BK177" s="297"/>
      <c r="BL177" s="297"/>
      <c r="BM177" s="160"/>
      <c r="BN177" s="160"/>
      <c r="BO177" s="160"/>
      <c r="BP177" s="297"/>
      <c r="BQ177" s="297"/>
      <c r="BR177" s="297"/>
      <c r="BS177" s="297"/>
      <c r="BT177" s="297"/>
      <c r="BU177" s="297"/>
      <c r="BV177" s="297"/>
      <c r="BW177" s="297"/>
      <c r="BX177" s="297"/>
      <c r="BY177" s="297"/>
      <c r="BZ177" s="297"/>
      <c r="CA177" s="297"/>
      <c r="CB177" s="124"/>
      <c r="CC177" s="124"/>
      <c r="CD177" s="124"/>
      <c r="CE177" s="63"/>
      <c r="CF177" s="63"/>
      <c r="CG177" s="63"/>
      <c r="CH177" s="124"/>
      <c r="CI177" s="63"/>
      <c r="CJ177" s="63"/>
      <c r="CK177" s="63"/>
      <c r="CL177" s="124"/>
      <c r="CM177" s="63"/>
      <c r="CN177" s="63"/>
      <c r="CO177" s="63"/>
      <c r="CP177" s="63"/>
      <c r="CQ177" s="124"/>
      <c r="CR177" s="124"/>
      <c r="CS177" s="124"/>
      <c r="CT177" s="124"/>
      <c r="CU177" s="124"/>
      <c r="CV177" s="124"/>
      <c r="CW177" s="124"/>
      <c r="CX177" s="124"/>
      <c r="CY177" s="124"/>
      <c r="CZ177" s="124"/>
      <c r="DA177" s="124"/>
      <c r="DB177" s="124"/>
      <c r="DC177" s="124"/>
      <c r="DD177" s="124"/>
      <c r="DE177" s="124"/>
      <c r="DF177" s="124"/>
      <c r="DG177" s="124"/>
      <c r="DH177" s="124"/>
      <c r="DI177" s="124"/>
      <c r="DJ177" s="124"/>
      <c r="DK177" s="2"/>
      <c r="DL177" s="2"/>
      <c r="DM177" s="2"/>
      <c r="DN177" s="2"/>
      <c r="DO177" s="2"/>
      <c r="DP177" s="2"/>
    </row>
    <row x14ac:dyDescent="0.25" r="178" customHeight="1" ht="13.5">
      <c r="A178" s="2"/>
      <c r="B178" s="3"/>
      <c r="C178" s="2"/>
      <c r="D178" s="123" t="s">
        <v>209</v>
      </c>
      <c r="E178" s="318">
        <f>OCPMarketShares!K131</f>
      </c>
      <c r="F178" s="318">
        <f>OCPMarketShares!L131</f>
      </c>
      <c r="G178" s="341">
        <f>OCPMarketShares!M131</f>
      </c>
      <c r="H178" s="293">
        <f>E178*H125</f>
      </c>
      <c r="I178" s="293">
        <f>F178*I125</f>
      </c>
      <c r="J178" s="319">
        <f>G178*J125</f>
      </c>
      <c r="K178" s="293">
        <f>E178*K125</f>
      </c>
      <c r="L178" s="293">
        <f>F178*L125</f>
      </c>
      <c r="M178" s="319">
        <f>G178*M125</f>
      </c>
      <c r="N178" s="293">
        <f>E178*N125</f>
      </c>
      <c r="O178" s="293">
        <f>F178*O125</f>
      </c>
      <c r="P178" s="319">
        <f>G178*P125</f>
      </c>
      <c r="Q178" s="293">
        <f>E178*Q125</f>
      </c>
      <c r="R178" s="293">
        <f>F178*R125</f>
      </c>
      <c r="S178" s="319">
        <f>G178*S125</f>
      </c>
      <c r="T178" s="293">
        <f>E178*T125</f>
      </c>
      <c r="U178" s="293">
        <f>F178*U125</f>
      </c>
      <c r="V178" s="293">
        <f>G178*V125</f>
      </c>
      <c r="W178" s="297"/>
      <c r="X178" s="297"/>
      <c r="Y178" s="140" t="s">
        <v>209</v>
      </c>
      <c r="Z178" s="293">
        <f>AC178+AF178+AI178+AL178+AO178</f>
      </c>
      <c r="AA178" s="293">
        <f>AD178+AG178+AJ178+AM178+AP178</f>
      </c>
      <c r="AB178" s="293">
        <f>AE178+AH178+AK178+AN178+AQ178</f>
      </c>
      <c r="AC178" s="320">
        <f>H178/$E$10</f>
      </c>
      <c r="AD178" s="293">
        <f>I178/$E$10</f>
      </c>
      <c r="AE178" s="319">
        <f>J178/$E$10</f>
      </c>
      <c r="AF178" s="320">
        <f>K178/$E$11</f>
      </c>
      <c r="AG178" s="293">
        <f>L178/$E$11</f>
      </c>
      <c r="AH178" s="319">
        <f>M178/$E$11</f>
      </c>
      <c r="AI178" s="320">
        <f>N178/$E$12</f>
      </c>
      <c r="AJ178" s="293">
        <f>O178/$E$12</f>
      </c>
      <c r="AK178" s="319">
        <f>P178/$E$12</f>
      </c>
      <c r="AL178" s="320">
        <f>Q178/$E$13</f>
      </c>
      <c r="AM178" s="293">
        <f>R178/$E$13</f>
      </c>
      <c r="AN178" s="319">
        <f>S178/$E$13</f>
      </c>
      <c r="AO178" s="293">
        <f>T178/$E$14</f>
      </c>
      <c r="AP178" s="293">
        <f>U178/$E$14</f>
      </c>
      <c r="AQ178" s="319">
        <f>V178/$E$14</f>
      </c>
      <c r="AR178" s="307"/>
      <c r="AS178" s="297"/>
      <c r="AT178" s="307"/>
      <c r="AU178" s="307"/>
      <c r="AV178" s="307"/>
      <c r="AW178" s="63"/>
      <c r="AX178" s="63"/>
      <c r="AY178" s="63"/>
      <c r="AZ178" s="303"/>
      <c r="BA178" s="303"/>
      <c r="BB178" s="303"/>
      <c r="BC178" s="303"/>
      <c r="BD178" s="297"/>
      <c r="BE178" s="297"/>
      <c r="BF178" s="297"/>
      <c r="BG178" s="297"/>
      <c r="BH178" s="297"/>
      <c r="BI178" s="297"/>
      <c r="BJ178" s="297"/>
      <c r="BK178" s="297"/>
      <c r="BL178" s="297"/>
      <c r="BM178" s="160"/>
      <c r="BN178" s="160"/>
      <c r="BO178" s="160"/>
      <c r="BP178" s="297"/>
      <c r="BQ178" s="297"/>
      <c r="BR178" s="297"/>
      <c r="BS178" s="297"/>
      <c r="BT178" s="297"/>
      <c r="BU178" s="297"/>
      <c r="BV178" s="297"/>
      <c r="BW178" s="297"/>
      <c r="BX178" s="297"/>
      <c r="BY178" s="297"/>
      <c r="BZ178" s="297"/>
      <c r="CA178" s="297"/>
      <c r="CB178" s="124"/>
      <c r="CC178" s="124"/>
      <c r="CD178" s="124"/>
      <c r="CE178" s="63"/>
      <c r="CF178" s="63"/>
      <c r="CG178" s="63"/>
      <c r="CH178" s="124"/>
      <c r="CI178" s="63"/>
      <c r="CJ178" s="63"/>
      <c r="CK178" s="63"/>
      <c r="CL178" s="124"/>
      <c r="CM178" s="63"/>
      <c r="CN178" s="63"/>
      <c r="CO178" s="63"/>
      <c r="CP178" s="63"/>
      <c r="CQ178" s="124"/>
      <c r="CR178" s="124"/>
      <c r="CS178" s="124"/>
      <c r="CT178" s="124"/>
      <c r="CU178" s="124"/>
      <c r="CV178" s="124"/>
      <c r="CW178" s="124"/>
      <c r="CX178" s="124"/>
      <c r="CY178" s="124"/>
      <c r="CZ178" s="124"/>
      <c r="DA178" s="124"/>
      <c r="DB178" s="124"/>
      <c r="DC178" s="124"/>
      <c r="DD178" s="124"/>
      <c r="DE178" s="124"/>
      <c r="DF178" s="124"/>
      <c r="DG178" s="124"/>
      <c r="DH178" s="124"/>
      <c r="DI178" s="124"/>
      <c r="DJ178" s="124"/>
      <c r="DK178" s="2"/>
      <c r="DL178" s="2"/>
      <c r="DM178" s="2"/>
      <c r="DN178" s="2"/>
      <c r="DO178" s="2"/>
      <c r="DP178" s="2"/>
    </row>
    <row x14ac:dyDescent="0.25" r="179" customHeight="1" ht="13.5">
      <c r="A179" s="2"/>
      <c r="B179" s="3"/>
      <c r="C179" s="2"/>
      <c r="D179" s="123" t="s">
        <v>223</v>
      </c>
      <c r="E179" s="318">
        <f>OCPMarketShares!K132</f>
      </c>
      <c r="F179" s="318">
        <f>OCPMarketShares!L132</f>
      </c>
      <c r="G179" s="341">
        <f>OCPMarketShares!M132</f>
      </c>
      <c r="H179" s="293">
        <f>E179*H126</f>
      </c>
      <c r="I179" s="293">
        <f>F179*I126</f>
      </c>
      <c r="J179" s="319">
        <f>G179*J126</f>
      </c>
      <c r="K179" s="293">
        <f>E179*K126</f>
      </c>
      <c r="L179" s="293">
        <f>F179*L126</f>
      </c>
      <c r="M179" s="319">
        <f>G179*M126</f>
      </c>
      <c r="N179" s="293">
        <f>E179*N126</f>
      </c>
      <c r="O179" s="293">
        <f>F179*O126</f>
      </c>
      <c r="P179" s="319">
        <f>G179*P126</f>
      </c>
      <c r="Q179" s="293">
        <f>E179*Q126</f>
      </c>
      <c r="R179" s="293">
        <f>F179*R126</f>
      </c>
      <c r="S179" s="319">
        <f>G179*S126</f>
      </c>
      <c r="T179" s="293">
        <f>E179*T126</f>
      </c>
      <c r="U179" s="293">
        <f>F179*U126</f>
      </c>
      <c r="V179" s="293">
        <f>G179*V126</f>
      </c>
      <c r="W179" s="297"/>
      <c r="X179" s="297"/>
      <c r="Y179" s="140" t="s">
        <v>223</v>
      </c>
      <c r="Z179" s="293">
        <f>AC179+AF179+AI179+AL179+AO179</f>
      </c>
      <c r="AA179" s="293">
        <f>AD179+AG179+AJ179+AM179+AP179</f>
      </c>
      <c r="AB179" s="293">
        <f>AE179+AH179+AK179+AN179+AQ179</f>
      </c>
      <c r="AC179" s="320">
        <f>H179/$E$10</f>
      </c>
      <c r="AD179" s="293">
        <f>I179/$E$10</f>
      </c>
      <c r="AE179" s="319">
        <f>J179/$E$10</f>
      </c>
      <c r="AF179" s="320">
        <f>K179/$E$11</f>
      </c>
      <c r="AG179" s="293">
        <f>L179/$E$11</f>
      </c>
      <c r="AH179" s="319">
        <f>M179/$E$11</f>
      </c>
      <c r="AI179" s="320">
        <f>N179/$E$12</f>
      </c>
      <c r="AJ179" s="293">
        <f>O179/$E$12</f>
      </c>
      <c r="AK179" s="319">
        <f>P179/$E$12</f>
      </c>
      <c r="AL179" s="320">
        <f>Q179/$E$13</f>
      </c>
      <c r="AM179" s="293">
        <f>R179/$E$13</f>
      </c>
      <c r="AN179" s="319">
        <f>S179/$E$13</f>
      </c>
      <c r="AO179" s="293">
        <f>T179/$E$14</f>
      </c>
      <c r="AP179" s="293">
        <f>U179/$E$14</f>
      </c>
      <c r="AQ179" s="319">
        <f>V179/$E$14</f>
      </c>
      <c r="AR179" s="307"/>
      <c r="AS179" s="297"/>
      <c r="AT179" s="307"/>
      <c r="AU179" s="307"/>
      <c r="AV179" s="307"/>
      <c r="AW179" s="63"/>
      <c r="AX179" s="63"/>
      <c r="AY179" s="63"/>
      <c r="AZ179" s="303"/>
      <c r="BA179" s="303"/>
      <c r="BB179" s="303"/>
      <c r="BC179" s="303"/>
      <c r="BD179" s="297"/>
      <c r="BE179" s="297"/>
      <c r="BF179" s="297"/>
      <c r="BG179" s="297"/>
      <c r="BH179" s="297"/>
      <c r="BI179" s="297"/>
      <c r="BJ179" s="297"/>
      <c r="BK179" s="297"/>
      <c r="BL179" s="297"/>
      <c r="BM179" s="160"/>
      <c r="BN179" s="160"/>
      <c r="BO179" s="160"/>
      <c r="BP179" s="297"/>
      <c r="BQ179" s="297"/>
      <c r="BR179" s="297"/>
      <c r="BS179" s="297"/>
      <c r="BT179" s="297"/>
      <c r="BU179" s="297"/>
      <c r="BV179" s="297"/>
      <c r="BW179" s="297"/>
      <c r="BX179" s="297"/>
      <c r="BY179" s="297"/>
      <c r="BZ179" s="297"/>
      <c r="CA179" s="297"/>
      <c r="CB179" s="124"/>
      <c r="CC179" s="124"/>
      <c r="CD179" s="124"/>
      <c r="CE179" s="63"/>
      <c r="CF179" s="63"/>
      <c r="CG179" s="63"/>
      <c r="CH179" s="124"/>
      <c r="CI179" s="63"/>
      <c r="CJ179" s="63"/>
      <c r="CK179" s="63"/>
      <c r="CL179" s="124"/>
      <c r="CM179" s="63"/>
      <c r="CN179" s="63"/>
      <c r="CO179" s="63"/>
      <c r="CP179" s="63"/>
      <c r="CQ179" s="124"/>
      <c r="CR179" s="124"/>
      <c r="CS179" s="124"/>
      <c r="CT179" s="124"/>
      <c r="CU179" s="124"/>
      <c r="CV179" s="124"/>
      <c r="CW179" s="124"/>
      <c r="CX179" s="124"/>
      <c r="CY179" s="124"/>
      <c r="CZ179" s="124"/>
      <c r="DA179" s="124"/>
      <c r="DB179" s="124"/>
      <c r="DC179" s="124"/>
      <c r="DD179" s="124"/>
      <c r="DE179" s="124"/>
      <c r="DF179" s="124"/>
      <c r="DG179" s="124"/>
      <c r="DH179" s="124"/>
      <c r="DI179" s="124"/>
      <c r="DJ179" s="124"/>
      <c r="DK179" s="2"/>
      <c r="DL179" s="2"/>
      <c r="DM179" s="2"/>
      <c r="DN179" s="2"/>
      <c r="DO179" s="2"/>
      <c r="DP179" s="2"/>
    </row>
    <row x14ac:dyDescent="0.25" r="180" customHeight="1" ht="13.5">
      <c r="A180" s="2"/>
      <c r="B180" s="3"/>
      <c r="C180" s="2"/>
      <c r="D180" s="123" t="s">
        <v>183</v>
      </c>
      <c r="E180" s="318">
        <f>OCPMarketShares!K133</f>
      </c>
      <c r="F180" s="318">
        <f>OCPMarketShares!L133</f>
      </c>
      <c r="G180" s="341">
        <f>OCPMarketShares!M133</f>
      </c>
      <c r="H180" s="293">
        <f>E180*H127</f>
      </c>
      <c r="I180" s="293">
        <f>F180*I127</f>
      </c>
      <c r="J180" s="319">
        <f>G180*J127</f>
      </c>
      <c r="K180" s="293">
        <f>E180*K127</f>
      </c>
      <c r="L180" s="293">
        <f>F180*L127</f>
      </c>
      <c r="M180" s="319">
        <f>G180*M127</f>
      </c>
      <c r="N180" s="293">
        <f>E180*N127</f>
      </c>
      <c r="O180" s="293">
        <f>F180*O127</f>
      </c>
      <c r="P180" s="319">
        <f>G180*P127</f>
      </c>
      <c r="Q180" s="293">
        <f>E180*Q127</f>
      </c>
      <c r="R180" s="293">
        <f>F180*R127</f>
      </c>
      <c r="S180" s="319">
        <f>G180*S127</f>
      </c>
      <c r="T180" s="293">
        <f>E180*T127</f>
      </c>
      <c r="U180" s="293">
        <f>F180*U127</f>
      </c>
      <c r="V180" s="293">
        <f>G180*V127</f>
      </c>
      <c r="W180" s="297"/>
      <c r="X180" s="297"/>
      <c r="Y180" s="140" t="s">
        <v>183</v>
      </c>
      <c r="Z180" s="293">
        <f>AC180+AF180+AI180+AL180+AO180</f>
      </c>
      <c r="AA180" s="293">
        <f>AD180+AG180+AJ180+AM180+AP180</f>
      </c>
      <c r="AB180" s="293">
        <f>AE180+AH180+AK180+AN180+AQ180</f>
      </c>
      <c r="AC180" s="320">
        <f>H180/$E$10</f>
      </c>
      <c r="AD180" s="293">
        <f>I180/$E$10</f>
      </c>
      <c r="AE180" s="319">
        <f>J180/$E$10</f>
      </c>
      <c r="AF180" s="320">
        <f>K180/$E$11</f>
      </c>
      <c r="AG180" s="293">
        <f>L180/$E$11</f>
      </c>
      <c r="AH180" s="319">
        <f>M180/$E$11</f>
      </c>
      <c r="AI180" s="320">
        <f>N180/$E$12</f>
      </c>
      <c r="AJ180" s="293">
        <f>O180/$E$12</f>
      </c>
      <c r="AK180" s="319">
        <f>P180/$E$12</f>
      </c>
      <c r="AL180" s="320">
        <f>Q180/$E$13</f>
      </c>
      <c r="AM180" s="293">
        <f>R180/$E$13</f>
      </c>
      <c r="AN180" s="319">
        <f>S180/$E$13</f>
      </c>
      <c r="AO180" s="293">
        <f>T180/$E$14</f>
      </c>
      <c r="AP180" s="293">
        <f>U180/$E$14</f>
      </c>
      <c r="AQ180" s="319">
        <f>V180/$E$14</f>
      </c>
      <c r="AR180" s="307"/>
      <c r="AS180" s="297"/>
      <c r="AT180" s="307"/>
      <c r="AU180" s="307"/>
      <c r="AV180" s="307"/>
      <c r="AW180" s="63"/>
      <c r="AX180" s="63"/>
      <c r="AY180" s="63"/>
      <c r="AZ180" s="303"/>
      <c r="BA180" s="303"/>
      <c r="BB180" s="303"/>
      <c r="BC180" s="303"/>
      <c r="BD180" s="297"/>
      <c r="BE180" s="297"/>
      <c r="BF180" s="297"/>
      <c r="BG180" s="297"/>
      <c r="BH180" s="297"/>
      <c r="BI180" s="297"/>
      <c r="BJ180" s="297"/>
      <c r="BK180" s="297"/>
      <c r="BL180" s="297"/>
      <c r="BM180" s="160"/>
      <c r="BN180" s="160"/>
      <c r="BO180" s="160"/>
      <c r="BP180" s="297"/>
      <c r="BQ180" s="297"/>
      <c r="BR180" s="297"/>
      <c r="BS180" s="297"/>
      <c r="BT180" s="297"/>
      <c r="BU180" s="297"/>
      <c r="BV180" s="297"/>
      <c r="BW180" s="297"/>
      <c r="BX180" s="297"/>
      <c r="BY180" s="297"/>
      <c r="BZ180" s="297"/>
      <c r="CA180" s="297"/>
      <c r="CB180" s="124"/>
      <c r="CC180" s="124"/>
      <c r="CD180" s="124"/>
      <c r="CE180" s="63"/>
      <c r="CF180" s="63"/>
      <c r="CG180" s="63"/>
      <c r="CH180" s="124"/>
      <c r="CI180" s="63"/>
      <c r="CJ180" s="63"/>
      <c r="CK180" s="63"/>
      <c r="CL180" s="124"/>
      <c r="CM180" s="63"/>
      <c r="CN180" s="63"/>
      <c r="CO180" s="63"/>
      <c r="CP180" s="63"/>
      <c r="CQ180" s="124"/>
      <c r="CR180" s="124"/>
      <c r="CS180" s="124"/>
      <c r="CT180" s="124"/>
      <c r="CU180" s="124"/>
      <c r="CV180" s="124"/>
      <c r="CW180" s="124"/>
      <c r="CX180" s="124"/>
      <c r="CY180" s="124"/>
      <c r="CZ180" s="124"/>
      <c r="DA180" s="124"/>
      <c r="DB180" s="124"/>
      <c r="DC180" s="124"/>
      <c r="DD180" s="124"/>
      <c r="DE180" s="124"/>
      <c r="DF180" s="124"/>
      <c r="DG180" s="124"/>
      <c r="DH180" s="124"/>
      <c r="DI180" s="124"/>
      <c r="DJ180" s="124"/>
      <c r="DK180" s="2"/>
      <c r="DL180" s="2"/>
      <c r="DM180" s="2"/>
      <c r="DN180" s="2"/>
      <c r="DO180" s="2"/>
      <c r="DP180" s="2"/>
    </row>
    <row x14ac:dyDescent="0.25" r="181" customHeight="1" ht="13.5">
      <c r="A181" s="2"/>
      <c r="B181" s="3"/>
      <c r="C181" s="2"/>
      <c r="D181" s="123" t="s">
        <v>161</v>
      </c>
      <c r="E181" s="318">
        <f>OCPMarketShares!K134</f>
      </c>
      <c r="F181" s="318">
        <f>OCPMarketShares!L134</f>
      </c>
      <c r="G181" s="341">
        <f>OCPMarketShares!M134</f>
      </c>
      <c r="H181" s="293">
        <f>E181*H128</f>
      </c>
      <c r="I181" s="293">
        <f>F181*I128</f>
      </c>
      <c r="J181" s="319">
        <f>G181*J128</f>
      </c>
      <c r="K181" s="293">
        <f>E181*K128</f>
      </c>
      <c r="L181" s="293">
        <f>F181*L128</f>
      </c>
      <c r="M181" s="319">
        <f>G181*M128</f>
      </c>
      <c r="N181" s="293">
        <f>E181*N128</f>
      </c>
      <c r="O181" s="293">
        <f>F181*O128</f>
      </c>
      <c r="P181" s="319">
        <f>G181*P128</f>
      </c>
      <c r="Q181" s="293">
        <f>E181*Q128</f>
      </c>
      <c r="R181" s="293">
        <f>F181*R128</f>
      </c>
      <c r="S181" s="319">
        <f>G181*S128</f>
      </c>
      <c r="T181" s="293">
        <f>E181*T128</f>
      </c>
      <c r="U181" s="293">
        <f>F181*U128</f>
      </c>
      <c r="V181" s="293">
        <f>G181*V128</f>
      </c>
      <c r="W181" s="297"/>
      <c r="X181" s="297"/>
      <c r="Y181" s="140" t="s">
        <v>161</v>
      </c>
      <c r="Z181" s="293">
        <f>AC181+AF181+AI181+AL181+AO181</f>
      </c>
      <c r="AA181" s="293">
        <f>AD181+AG181+AJ181+AM181+AP181</f>
      </c>
      <c r="AB181" s="293">
        <f>AE181+AH181+AK181+AN181+AQ181</f>
      </c>
      <c r="AC181" s="320">
        <f>H181/$E$10</f>
      </c>
      <c r="AD181" s="293">
        <f>I181/$E$10</f>
      </c>
      <c r="AE181" s="319">
        <f>J181/$E$10</f>
      </c>
      <c r="AF181" s="320">
        <f>K181/$E$11</f>
      </c>
      <c r="AG181" s="293">
        <f>L181/$E$11</f>
      </c>
      <c r="AH181" s="319">
        <f>M181/$E$11</f>
      </c>
      <c r="AI181" s="320">
        <f>N181/$E$12</f>
      </c>
      <c r="AJ181" s="293">
        <f>O181/$E$12</f>
      </c>
      <c r="AK181" s="319">
        <f>P181/$E$12</f>
      </c>
      <c r="AL181" s="320">
        <f>Q181/$E$13</f>
      </c>
      <c r="AM181" s="293">
        <f>R181/$E$13</f>
      </c>
      <c r="AN181" s="319">
        <f>S181/$E$13</f>
      </c>
      <c r="AO181" s="293">
        <f>T181/$E$14</f>
      </c>
      <c r="AP181" s="293">
        <f>U181/$E$14</f>
      </c>
      <c r="AQ181" s="319">
        <f>V181/$E$14</f>
      </c>
      <c r="AR181" s="307"/>
      <c r="AS181" s="297"/>
      <c r="AT181" s="307"/>
      <c r="AU181" s="307"/>
      <c r="AV181" s="307"/>
      <c r="AW181" s="63"/>
      <c r="AX181" s="63"/>
      <c r="AY181" s="63"/>
      <c r="AZ181" s="303"/>
      <c r="BA181" s="303"/>
      <c r="BB181" s="303"/>
      <c r="BC181" s="303"/>
      <c r="BD181" s="297"/>
      <c r="BE181" s="297"/>
      <c r="BF181" s="297"/>
      <c r="BG181" s="297"/>
      <c r="BH181" s="297"/>
      <c r="BI181" s="297"/>
      <c r="BJ181" s="297"/>
      <c r="BK181" s="297"/>
      <c r="BL181" s="297"/>
      <c r="BM181" s="160"/>
      <c r="BN181" s="160"/>
      <c r="BO181" s="160"/>
      <c r="BP181" s="297"/>
      <c r="BQ181" s="297"/>
      <c r="BR181" s="297"/>
      <c r="BS181" s="297"/>
      <c r="BT181" s="297"/>
      <c r="BU181" s="297"/>
      <c r="BV181" s="297"/>
      <c r="BW181" s="297"/>
      <c r="BX181" s="297"/>
      <c r="BY181" s="297"/>
      <c r="BZ181" s="297"/>
      <c r="CA181" s="297"/>
      <c r="CB181" s="124"/>
      <c r="CC181" s="124"/>
      <c r="CD181" s="124"/>
      <c r="CE181" s="63"/>
      <c r="CF181" s="63"/>
      <c r="CG181" s="63"/>
      <c r="CH181" s="124"/>
      <c r="CI181" s="63"/>
      <c r="CJ181" s="63"/>
      <c r="CK181" s="63"/>
      <c r="CL181" s="124"/>
      <c r="CM181" s="63"/>
      <c r="CN181" s="63"/>
      <c r="CO181" s="63"/>
      <c r="CP181" s="63"/>
      <c r="CQ181" s="124"/>
      <c r="CR181" s="124"/>
      <c r="CS181" s="124"/>
      <c r="CT181" s="124"/>
      <c r="CU181" s="124"/>
      <c r="CV181" s="124"/>
      <c r="CW181" s="124"/>
      <c r="CX181" s="124"/>
      <c r="CY181" s="124"/>
      <c r="CZ181" s="124"/>
      <c r="DA181" s="124"/>
      <c r="DB181" s="124"/>
      <c r="DC181" s="124"/>
      <c r="DD181" s="124"/>
      <c r="DE181" s="124"/>
      <c r="DF181" s="124"/>
      <c r="DG181" s="124"/>
      <c r="DH181" s="124"/>
      <c r="DI181" s="124"/>
      <c r="DJ181" s="124"/>
      <c r="DK181" s="2"/>
      <c r="DL181" s="2"/>
      <c r="DM181" s="2"/>
      <c r="DN181" s="2"/>
      <c r="DO181" s="2"/>
      <c r="DP181" s="2"/>
    </row>
    <row x14ac:dyDescent="0.25" r="182" customHeight="1" ht="13.5">
      <c r="A182" s="2"/>
      <c r="B182" s="3"/>
      <c r="C182" s="2"/>
      <c r="D182" s="123" t="s">
        <v>219</v>
      </c>
      <c r="E182" s="318">
        <f>OCPMarketShares!K135</f>
      </c>
      <c r="F182" s="318">
        <f>OCPMarketShares!L135</f>
      </c>
      <c r="G182" s="341">
        <f>OCPMarketShares!M135</f>
      </c>
      <c r="H182" s="293">
        <f>E182*H129</f>
      </c>
      <c r="I182" s="293">
        <f>F182*I129</f>
      </c>
      <c r="J182" s="319">
        <f>G182*J129</f>
      </c>
      <c r="K182" s="293">
        <f>E182*K129</f>
      </c>
      <c r="L182" s="293">
        <f>F182*L129</f>
      </c>
      <c r="M182" s="319">
        <f>G182*M129</f>
      </c>
      <c r="N182" s="293">
        <f>E182*N129</f>
      </c>
      <c r="O182" s="293">
        <f>F182*O129</f>
      </c>
      <c r="P182" s="319">
        <f>G182*P129</f>
      </c>
      <c r="Q182" s="293">
        <f>E182*Q129</f>
      </c>
      <c r="R182" s="293">
        <f>F182*R129</f>
      </c>
      <c r="S182" s="319">
        <f>G182*S129</f>
      </c>
      <c r="T182" s="293">
        <f>E182*T129</f>
      </c>
      <c r="U182" s="293">
        <f>F182*U129</f>
      </c>
      <c r="V182" s="293">
        <f>G182*V129</f>
      </c>
      <c r="W182" s="297"/>
      <c r="X182" s="297"/>
      <c r="Y182" s="140" t="s">
        <v>219</v>
      </c>
      <c r="Z182" s="293">
        <f>AC182+AF182+AI182+AL182+AO182</f>
      </c>
      <c r="AA182" s="293">
        <f>AD182+AG182+AJ182+AM182+AP182</f>
      </c>
      <c r="AB182" s="293">
        <f>AE182+AH182+AK182+AN182+AQ182</f>
      </c>
      <c r="AC182" s="320">
        <f>H182/$E$10</f>
      </c>
      <c r="AD182" s="293">
        <f>I182/$E$10</f>
      </c>
      <c r="AE182" s="319">
        <f>J182/$E$10</f>
      </c>
      <c r="AF182" s="320">
        <f>K182/$E$11</f>
      </c>
      <c r="AG182" s="293">
        <f>L182/$E$11</f>
      </c>
      <c r="AH182" s="319">
        <f>M182/$E$11</f>
      </c>
      <c r="AI182" s="320">
        <f>N182/$E$12</f>
      </c>
      <c r="AJ182" s="293">
        <f>O182/$E$12</f>
      </c>
      <c r="AK182" s="319">
        <f>P182/$E$12</f>
      </c>
      <c r="AL182" s="320">
        <f>Q182/$E$13</f>
      </c>
      <c r="AM182" s="293">
        <f>R182/$E$13</f>
      </c>
      <c r="AN182" s="319">
        <f>S182/$E$13</f>
      </c>
      <c r="AO182" s="293">
        <f>T182/$E$14</f>
      </c>
      <c r="AP182" s="293">
        <f>U182/$E$14</f>
      </c>
      <c r="AQ182" s="319">
        <f>V182/$E$14</f>
      </c>
      <c r="AR182" s="307"/>
      <c r="AS182" s="297"/>
      <c r="AT182" s="307"/>
      <c r="AU182" s="307"/>
      <c r="AV182" s="307"/>
      <c r="AW182" s="63"/>
      <c r="AX182" s="63"/>
      <c r="AY182" s="63"/>
      <c r="AZ182" s="303"/>
      <c r="BA182" s="303"/>
      <c r="BB182" s="303"/>
      <c r="BC182" s="303"/>
      <c r="BD182" s="297"/>
      <c r="BE182" s="297"/>
      <c r="BF182" s="297"/>
      <c r="BG182" s="297"/>
      <c r="BH182" s="297"/>
      <c r="BI182" s="297"/>
      <c r="BJ182" s="297"/>
      <c r="BK182" s="297"/>
      <c r="BL182" s="297"/>
      <c r="BM182" s="160"/>
      <c r="BN182" s="160"/>
      <c r="BO182" s="160"/>
      <c r="BP182" s="297"/>
      <c r="BQ182" s="297"/>
      <c r="BR182" s="297"/>
      <c r="BS182" s="297"/>
      <c r="BT182" s="297"/>
      <c r="BU182" s="297"/>
      <c r="BV182" s="297"/>
      <c r="BW182" s="297"/>
      <c r="BX182" s="297"/>
      <c r="BY182" s="297"/>
      <c r="BZ182" s="297"/>
      <c r="CA182" s="297"/>
      <c r="CB182" s="124"/>
      <c r="CC182" s="124"/>
      <c r="CD182" s="124"/>
      <c r="CE182" s="63"/>
      <c r="CF182" s="63"/>
      <c r="CG182" s="63"/>
      <c r="CH182" s="124"/>
      <c r="CI182" s="63"/>
      <c r="CJ182" s="63"/>
      <c r="CK182" s="63"/>
      <c r="CL182" s="124"/>
      <c r="CM182" s="63"/>
      <c r="CN182" s="63"/>
      <c r="CO182" s="63"/>
      <c r="CP182" s="63"/>
      <c r="CQ182" s="124"/>
      <c r="CR182" s="124"/>
      <c r="CS182" s="124"/>
      <c r="CT182" s="124"/>
      <c r="CU182" s="124"/>
      <c r="CV182" s="124"/>
      <c r="CW182" s="124"/>
      <c r="CX182" s="124"/>
      <c r="CY182" s="124"/>
      <c r="CZ182" s="124"/>
      <c r="DA182" s="124"/>
      <c r="DB182" s="124"/>
      <c r="DC182" s="124"/>
      <c r="DD182" s="124"/>
      <c r="DE182" s="124"/>
      <c r="DF182" s="124"/>
      <c r="DG182" s="124"/>
      <c r="DH182" s="124"/>
      <c r="DI182" s="124"/>
      <c r="DJ182" s="124"/>
      <c r="DK182" s="2"/>
      <c r="DL182" s="2"/>
      <c r="DM182" s="2"/>
      <c r="DN182" s="2"/>
      <c r="DO182" s="2"/>
      <c r="DP182" s="2"/>
    </row>
    <row x14ac:dyDescent="0.25" r="183" customHeight="1" ht="13.5">
      <c r="A183" s="2"/>
      <c r="B183" s="3"/>
      <c r="C183" s="2"/>
      <c r="D183" s="123" t="s">
        <v>159</v>
      </c>
      <c r="E183" s="318">
        <f>OCPMarketShares!K136</f>
      </c>
      <c r="F183" s="318">
        <f>OCPMarketShares!L136</f>
      </c>
      <c r="G183" s="341">
        <f>OCPMarketShares!M136</f>
      </c>
      <c r="H183" s="293">
        <f>E183*H130</f>
      </c>
      <c r="I183" s="293">
        <f>F183*I130</f>
      </c>
      <c r="J183" s="319">
        <f>G183*J130</f>
      </c>
      <c r="K183" s="293">
        <f>E183*K130</f>
      </c>
      <c r="L183" s="293">
        <f>F183*L130</f>
      </c>
      <c r="M183" s="319">
        <f>G183*M130</f>
      </c>
      <c r="N183" s="293">
        <f>E183*N130</f>
      </c>
      <c r="O183" s="293">
        <f>F183*O130</f>
      </c>
      <c r="P183" s="319">
        <f>G183*P130</f>
      </c>
      <c r="Q183" s="293">
        <f>E183*Q130</f>
      </c>
      <c r="R183" s="293">
        <f>F183*R130</f>
      </c>
      <c r="S183" s="319">
        <f>G183*S130</f>
      </c>
      <c r="T183" s="293">
        <f>E183*T130</f>
      </c>
      <c r="U183" s="293">
        <f>F183*U130</f>
      </c>
      <c r="V183" s="293">
        <f>G183*V130</f>
      </c>
      <c r="W183" s="297"/>
      <c r="X183" s="297"/>
      <c r="Y183" s="140" t="s">
        <v>159</v>
      </c>
      <c r="Z183" s="293">
        <f>AC183+AF183+AI183+AL183+AO183</f>
      </c>
      <c r="AA183" s="293">
        <f>AD183+AG183+AJ183+AM183+AP183</f>
      </c>
      <c r="AB183" s="293">
        <f>AE183+AH183+AK183+AN183+AQ183</f>
      </c>
      <c r="AC183" s="320">
        <f>H183/$E$10</f>
      </c>
      <c r="AD183" s="293">
        <f>I183/$E$10</f>
      </c>
      <c r="AE183" s="319">
        <f>J183/$E$10</f>
      </c>
      <c r="AF183" s="320">
        <f>K183/$E$11</f>
      </c>
      <c r="AG183" s="293">
        <f>L183/$E$11</f>
      </c>
      <c r="AH183" s="319">
        <f>M183/$E$11</f>
      </c>
      <c r="AI183" s="320">
        <f>N183/$E$12</f>
      </c>
      <c r="AJ183" s="293">
        <f>O183/$E$12</f>
      </c>
      <c r="AK183" s="319">
        <f>P183/$E$12</f>
      </c>
      <c r="AL183" s="320">
        <f>Q183/$E$13</f>
      </c>
      <c r="AM183" s="293">
        <f>R183/$E$13</f>
      </c>
      <c r="AN183" s="319">
        <f>S183/$E$13</f>
      </c>
      <c r="AO183" s="293">
        <f>T183/$E$14</f>
      </c>
      <c r="AP183" s="293">
        <f>U183/$E$14</f>
      </c>
      <c r="AQ183" s="319">
        <f>V183/$E$14</f>
      </c>
      <c r="AR183" s="307"/>
      <c r="AS183" s="297"/>
      <c r="AT183" s="307"/>
      <c r="AU183" s="307"/>
      <c r="AV183" s="307"/>
      <c r="AW183" s="63"/>
      <c r="AX183" s="63"/>
      <c r="AY183" s="63"/>
      <c r="AZ183" s="303"/>
      <c r="BA183" s="303"/>
      <c r="BB183" s="303"/>
      <c r="BC183" s="303"/>
      <c r="BD183" s="297"/>
      <c r="BE183" s="297"/>
      <c r="BF183" s="297"/>
      <c r="BG183" s="297"/>
      <c r="BH183" s="297"/>
      <c r="BI183" s="297"/>
      <c r="BJ183" s="297"/>
      <c r="BK183" s="297"/>
      <c r="BL183" s="297"/>
      <c r="BM183" s="160"/>
      <c r="BN183" s="160"/>
      <c r="BO183" s="160"/>
      <c r="BP183" s="297"/>
      <c r="BQ183" s="297"/>
      <c r="BR183" s="297"/>
      <c r="BS183" s="297"/>
      <c r="BT183" s="297"/>
      <c r="BU183" s="297"/>
      <c r="BV183" s="297"/>
      <c r="BW183" s="297"/>
      <c r="BX183" s="297"/>
      <c r="BY183" s="297"/>
      <c r="BZ183" s="297"/>
      <c r="CA183" s="297"/>
      <c r="CB183" s="124"/>
      <c r="CC183" s="124"/>
      <c r="CD183" s="124"/>
      <c r="CE183" s="63"/>
      <c r="CF183" s="63"/>
      <c r="CG183" s="63"/>
      <c r="CH183" s="124"/>
      <c r="CI183" s="63"/>
      <c r="CJ183" s="63"/>
      <c r="CK183" s="63"/>
      <c r="CL183" s="124"/>
      <c r="CM183" s="63"/>
      <c r="CN183" s="63"/>
      <c r="CO183" s="63"/>
      <c r="CP183" s="63"/>
      <c r="CQ183" s="124"/>
      <c r="CR183" s="124"/>
      <c r="CS183" s="124"/>
      <c r="CT183" s="124"/>
      <c r="CU183" s="124"/>
      <c r="CV183" s="124"/>
      <c r="CW183" s="124"/>
      <c r="CX183" s="124"/>
      <c r="CY183" s="124"/>
      <c r="CZ183" s="124"/>
      <c r="DA183" s="124"/>
      <c r="DB183" s="124"/>
      <c r="DC183" s="124"/>
      <c r="DD183" s="124"/>
      <c r="DE183" s="124"/>
      <c r="DF183" s="124"/>
      <c r="DG183" s="124"/>
      <c r="DH183" s="124"/>
      <c r="DI183" s="124"/>
      <c r="DJ183" s="124"/>
      <c r="DK183" s="2"/>
      <c r="DL183" s="2"/>
      <c r="DM183" s="2"/>
      <c r="DN183" s="2"/>
      <c r="DO183" s="2"/>
      <c r="DP183" s="2"/>
    </row>
    <row x14ac:dyDescent="0.25" r="184" customHeight="1" ht="13.5">
      <c r="A184" s="2"/>
      <c r="B184" s="3"/>
      <c r="C184" s="2"/>
      <c r="D184" s="123" t="s">
        <v>163</v>
      </c>
      <c r="E184" s="318">
        <f>OCPMarketShares!K137</f>
      </c>
      <c r="F184" s="318">
        <f>OCPMarketShares!L137</f>
      </c>
      <c r="G184" s="341">
        <f>OCPMarketShares!M137</f>
      </c>
      <c r="H184" s="293">
        <f>E184*H131</f>
      </c>
      <c r="I184" s="293">
        <f>F184*I131</f>
      </c>
      <c r="J184" s="319">
        <f>G184*J131</f>
      </c>
      <c r="K184" s="293">
        <f>E184*K131</f>
      </c>
      <c r="L184" s="293">
        <f>F184*L131</f>
      </c>
      <c r="M184" s="319">
        <f>G184*M131</f>
      </c>
      <c r="N184" s="293">
        <f>E184*N131</f>
      </c>
      <c r="O184" s="293">
        <f>F184*O131</f>
      </c>
      <c r="P184" s="319">
        <f>G184*P131</f>
      </c>
      <c r="Q184" s="293">
        <f>E184*Q131</f>
      </c>
      <c r="R184" s="293">
        <f>F184*R131</f>
      </c>
      <c r="S184" s="319">
        <f>G184*S131</f>
      </c>
      <c r="T184" s="293">
        <f>E184*T131</f>
      </c>
      <c r="U184" s="293">
        <f>F184*U131</f>
      </c>
      <c r="V184" s="293">
        <f>G184*V131</f>
      </c>
      <c r="W184" s="297"/>
      <c r="X184" s="297"/>
      <c r="Y184" s="140" t="s">
        <v>163</v>
      </c>
      <c r="Z184" s="293">
        <f>AC184+AF184+AI184+AL184+AO184</f>
      </c>
      <c r="AA184" s="293">
        <f>AD184+AG184+AJ184+AM184+AP184</f>
      </c>
      <c r="AB184" s="293">
        <f>AE184+AH184+AK184+AN184+AQ184</f>
      </c>
      <c r="AC184" s="320">
        <f>H184/$E$10</f>
      </c>
      <c r="AD184" s="293">
        <f>I184/$E$10</f>
      </c>
      <c r="AE184" s="319">
        <f>J184/$E$10</f>
      </c>
      <c r="AF184" s="320">
        <f>K184/$E$11</f>
      </c>
      <c r="AG184" s="293">
        <f>L184/$E$11</f>
      </c>
      <c r="AH184" s="319">
        <f>M184/$E$11</f>
      </c>
      <c r="AI184" s="320">
        <f>N184/$E$12</f>
      </c>
      <c r="AJ184" s="293">
        <f>O184/$E$12</f>
      </c>
      <c r="AK184" s="319">
        <f>P184/$E$12</f>
      </c>
      <c r="AL184" s="320">
        <f>Q184/$E$13</f>
      </c>
      <c r="AM184" s="293">
        <f>R184/$E$13</f>
      </c>
      <c r="AN184" s="319">
        <f>S184/$E$13</f>
      </c>
      <c r="AO184" s="293">
        <f>T184/$E$14</f>
      </c>
      <c r="AP184" s="293">
        <f>U184/$E$14</f>
      </c>
      <c r="AQ184" s="319">
        <f>V184/$E$14</f>
      </c>
      <c r="AR184" s="307"/>
      <c r="AS184" s="297"/>
      <c r="AT184" s="307"/>
      <c r="AU184" s="307"/>
      <c r="AV184" s="307"/>
      <c r="AW184" s="63"/>
      <c r="AX184" s="63"/>
      <c r="AY184" s="63"/>
      <c r="AZ184" s="303"/>
      <c r="BA184" s="303"/>
      <c r="BB184" s="303"/>
      <c r="BC184" s="303"/>
      <c r="BD184" s="297"/>
      <c r="BE184" s="297"/>
      <c r="BF184" s="297"/>
      <c r="BG184" s="297"/>
      <c r="BH184" s="297"/>
      <c r="BI184" s="297"/>
      <c r="BJ184" s="297"/>
      <c r="BK184" s="297"/>
      <c r="BL184" s="297"/>
      <c r="BM184" s="160"/>
      <c r="BN184" s="160"/>
      <c r="BO184" s="160"/>
      <c r="BP184" s="297"/>
      <c r="BQ184" s="297"/>
      <c r="BR184" s="297"/>
      <c r="BS184" s="297"/>
      <c r="BT184" s="297"/>
      <c r="BU184" s="297"/>
      <c r="BV184" s="297"/>
      <c r="BW184" s="297"/>
      <c r="BX184" s="297"/>
      <c r="BY184" s="297"/>
      <c r="BZ184" s="297"/>
      <c r="CA184" s="297"/>
      <c r="CB184" s="124"/>
      <c r="CC184" s="124"/>
      <c r="CD184" s="124"/>
      <c r="CE184" s="63"/>
      <c r="CF184" s="63"/>
      <c r="CG184" s="63"/>
      <c r="CH184" s="124"/>
      <c r="CI184" s="63"/>
      <c r="CJ184" s="63"/>
      <c r="CK184" s="63"/>
      <c r="CL184" s="124"/>
      <c r="CM184" s="63"/>
      <c r="CN184" s="63"/>
      <c r="CO184" s="63"/>
      <c r="CP184" s="63"/>
      <c r="CQ184" s="124"/>
      <c r="CR184" s="124"/>
      <c r="CS184" s="124"/>
      <c r="CT184" s="124"/>
      <c r="CU184" s="124"/>
      <c r="CV184" s="124"/>
      <c r="CW184" s="124"/>
      <c r="CX184" s="124"/>
      <c r="CY184" s="124"/>
      <c r="CZ184" s="124"/>
      <c r="DA184" s="124"/>
      <c r="DB184" s="124"/>
      <c r="DC184" s="124"/>
      <c r="DD184" s="124"/>
      <c r="DE184" s="124"/>
      <c r="DF184" s="124"/>
      <c r="DG184" s="124"/>
      <c r="DH184" s="124"/>
      <c r="DI184" s="124"/>
      <c r="DJ184" s="124"/>
      <c r="DK184" s="2"/>
      <c r="DL184" s="2"/>
      <c r="DM184" s="2"/>
      <c r="DN184" s="2"/>
      <c r="DO184" s="2"/>
      <c r="DP184" s="2"/>
    </row>
    <row x14ac:dyDescent="0.25" r="185" customHeight="1" ht="13.5">
      <c r="A185" s="2"/>
      <c r="B185" s="3"/>
      <c r="C185" s="2"/>
      <c r="D185" s="123" t="s">
        <v>227</v>
      </c>
      <c r="E185" s="318">
        <f>OCPMarketShares!K138</f>
      </c>
      <c r="F185" s="318">
        <f>OCPMarketShares!L138</f>
      </c>
      <c r="G185" s="341">
        <f>OCPMarketShares!M138</f>
      </c>
      <c r="H185" s="293">
        <f>E185*H132</f>
      </c>
      <c r="I185" s="293">
        <f>F185*I132</f>
      </c>
      <c r="J185" s="319">
        <f>G185*J132</f>
      </c>
      <c r="K185" s="293">
        <f>E185*K132</f>
      </c>
      <c r="L185" s="293">
        <f>F185*L132</f>
      </c>
      <c r="M185" s="319">
        <f>G185*M132</f>
      </c>
      <c r="N185" s="293">
        <f>E185*N132</f>
      </c>
      <c r="O185" s="293">
        <f>F185*O132</f>
      </c>
      <c r="P185" s="319">
        <f>G185*P132</f>
      </c>
      <c r="Q185" s="293">
        <f>E185*Q132</f>
      </c>
      <c r="R185" s="293">
        <f>F185*R132</f>
      </c>
      <c r="S185" s="319">
        <f>G185*S132</f>
      </c>
      <c r="T185" s="293">
        <f>E185*T132</f>
      </c>
      <c r="U185" s="293">
        <f>F185*U132</f>
      </c>
      <c r="V185" s="293">
        <f>G185*V132</f>
      </c>
      <c r="W185" s="297"/>
      <c r="X185" s="297"/>
      <c r="Y185" s="140" t="s">
        <v>227</v>
      </c>
      <c r="Z185" s="293">
        <f>AC185+AF185+AI185+AL185+AO185</f>
      </c>
      <c r="AA185" s="293">
        <f>AD185+AG185+AJ185+AM185+AP185</f>
      </c>
      <c r="AB185" s="293">
        <f>AE185+AH185+AK185+AN185+AQ185</f>
      </c>
      <c r="AC185" s="320">
        <f>H185/$E$10</f>
      </c>
      <c r="AD185" s="293">
        <f>I185/$E$10</f>
      </c>
      <c r="AE185" s="319">
        <f>J185/$E$10</f>
      </c>
      <c r="AF185" s="320">
        <f>K185/$E$11</f>
      </c>
      <c r="AG185" s="293">
        <f>L185/$E$11</f>
      </c>
      <c r="AH185" s="319">
        <f>M185/$E$11</f>
      </c>
      <c r="AI185" s="320">
        <f>N185/$E$12</f>
      </c>
      <c r="AJ185" s="293">
        <f>O185/$E$12</f>
      </c>
      <c r="AK185" s="319">
        <f>P185/$E$12</f>
      </c>
      <c r="AL185" s="320">
        <f>Q185/$E$13</f>
      </c>
      <c r="AM185" s="293">
        <f>R185/$E$13</f>
      </c>
      <c r="AN185" s="319">
        <f>S185/$E$13</f>
      </c>
      <c r="AO185" s="293">
        <f>T185/$E$14</f>
      </c>
      <c r="AP185" s="293">
        <f>U185/$E$14</f>
      </c>
      <c r="AQ185" s="319">
        <f>V185/$E$14</f>
      </c>
      <c r="AR185" s="307"/>
      <c r="AS185" s="297"/>
      <c r="AT185" s="307"/>
      <c r="AU185" s="307"/>
      <c r="AV185" s="307"/>
      <c r="AW185" s="63"/>
      <c r="AX185" s="63"/>
      <c r="AY185" s="63"/>
      <c r="AZ185" s="303"/>
      <c r="BA185" s="303"/>
      <c r="BB185" s="303"/>
      <c r="BC185" s="303"/>
      <c r="BD185" s="297"/>
      <c r="BE185" s="297"/>
      <c r="BF185" s="297"/>
      <c r="BG185" s="297"/>
      <c r="BH185" s="297"/>
      <c r="BI185" s="297"/>
      <c r="BJ185" s="297"/>
      <c r="BK185" s="297"/>
      <c r="BL185" s="297"/>
      <c r="BM185" s="160"/>
      <c r="BN185" s="160"/>
      <c r="BO185" s="160"/>
      <c r="BP185" s="297"/>
      <c r="BQ185" s="297"/>
      <c r="BR185" s="297"/>
      <c r="BS185" s="297"/>
      <c r="BT185" s="297"/>
      <c r="BU185" s="297"/>
      <c r="BV185" s="297"/>
      <c r="BW185" s="297"/>
      <c r="BX185" s="297"/>
      <c r="BY185" s="297"/>
      <c r="BZ185" s="297"/>
      <c r="CA185" s="297"/>
      <c r="CB185" s="124"/>
      <c r="CC185" s="124"/>
      <c r="CD185" s="124"/>
      <c r="CE185" s="63"/>
      <c r="CF185" s="63"/>
      <c r="CG185" s="63"/>
      <c r="CH185" s="124"/>
      <c r="CI185" s="63"/>
      <c r="CJ185" s="63"/>
      <c r="CK185" s="63"/>
      <c r="CL185" s="124"/>
      <c r="CM185" s="63"/>
      <c r="CN185" s="63"/>
      <c r="CO185" s="63"/>
      <c r="CP185" s="63"/>
      <c r="CQ185" s="124"/>
      <c r="CR185" s="124"/>
      <c r="CS185" s="124"/>
      <c r="CT185" s="124"/>
      <c r="CU185" s="124"/>
      <c r="CV185" s="124"/>
      <c r="CW185" s="124"/>
      <c r="CX185" s="124"/>
      <c r="CY185" s="124"/>
      <c r="CZ185" s="124"/>
      <c r="DA185" s="124"/>
      <c r="DB185" s="124"/>
      <c r="DC185" s="124"/>
      <c r="DD185" s="124"/>
      <c r="DE185" s="124"/>
      <c r="DF185" s="124"/>
      <c r="DG185" s="124"/>
      <c r="DH185" s="124"/>
      <c r="DI185" s="124"/>
      <c r="DJ185" s="124"/>
      <c r="DK185" s="2"/>
      <c r="DL185" s="2"/>
      <c r="DM185" s="2"/>
      <c r="DN185" s="2"/>
      <c r="DO185" s="2"/>
      <c r="DP185" s="2"/>
    </row>
    <row x14ac:dyDescent="0.25" r="186" customHeight="1" ht="13.5">
      <c r="A186" s="2"/>
      <c r="B186" s="3"/>
      <c r="C186" s="2"/>
      <c r="D186" s="123" t="s">
        <v>255</v>
      </c>
      <c r="E186" s="318">
        <f>OCPMarketShares!K139</f>
      </c>
      <c r="F186" s="318">
        <f>OCPMarketShares!L139</f>
      </c>
      <c r="G186" s="341">
        <f>OCPMarketShares!M139</f>
      </c>
      <c r="H186" s="294">
        <f>E186*H133</f>
      </c>
      <c r="I186" s="294">
        <f>F186*I133</f>
      </c>
      <c r="J186" s="323">
        <f>G186*J133</f>
      </c>
      <c r="K186" s="294">
        <f>E186*K133</f>
      </c>
      <c r="L186" s="294">
        <f>F186*L133</f>
      </c>
      <c r="M186" s="323">
        <f>G186*M133</f>
      </c>
      <c r="N186" s="294">
        <f>E186*N133</f>
      </c>
      <c r="O186" s="294">
        <f>F186*O133</f>
      </c>
      <c r="P186" s="323">
        <f>G186*P133</f>
      </c>
      <c r="Q186" s="294">
        <f>E186*Q133</f>
      </c>
      <c r="R186" s="294">
        <f>F186*R133</f>
      </c>
      <c r="S186" s="323">
        <f>G186*S133</f>
      </c>
      <c r="T186" s="294">
        <f>E186*T133</f>
      </c>
      <c r="U186" s="294">
        <f>F186*U133</f>
      </c>
      <c r="V186" s="294">
        <f>G186*V133</f>
      </c>
      <c r="W186" s="297"/>
      <c r="X186" s="297"/>
      <c r="Y186" s="325" t="s">
        <v>255</v>
      </c>
      <c r="Z186" s="294">
        <f>AC186+AF186+AI186+AL186+AO186</f>
      </c>
      <c r="AA186" s="294">
        <f>AD186+AG186+AJ186+AM186+AP186</f>
      </c>
      <c r="AB186" s="294">
        <f>AE186+AH186+AK186+AN186+AQ186</f>
      </c>
      <c r="AC186" s="324">
        <f>H186/$E$10</f>
      </c>
      <c r="AD186" s="294">
        <f>I186/$E$10</f>
      </c>
      <c r="AE186" s="323">
        <f>J186/$E$10</f>
      </c>
      <c r="AF186" s="324">
        <f>K186/$E$11</f>
      </c>
      <c r="AG186" s="294">
        <f>L186/$E$11</f>
      </c>
      <c r="AH186" s="323">
        <f>M186/$E$11</f>
      </c>
      <c r="AI186" s="324">
        <f>N186/$E$12</f>
      </c>
      <c r="AJ186" s="294">
        <f>O186/$E$12</f>
      </c>
      <c r="AK186" s="323">
        <f>P186/$E$12</f>
      </c>
      <c r="AL186" s="324">
        <f>Q186/$E$13</f>
      </c>
      <c r="AM186" s="294">
        <f>R186/$E$13</f>
      </c>
      <c r="AN186" s="323">
        <f>S186/$E$13</f>
      </c>
      <c r="AO186" s="324">
        <f>T186/$E$14</f>
      </c>
      <c r="AP186" s="294">
        <f>U186/$E$14</f>
      </c>
      <c r="AQ186" s="323">
        <f>V186/$E$14</f>
      </c>
      <c r="AR186" s="307"/>
      <c r="AS186" s="297"/>
      <c r="AT186" s="307"/>
      <c r="AU186" s="307"/>
      <c r="AV186" s="307"/>
      <c r="AW186" s="63"/>
      <c r="AX186" s="63"/>
      <c r="AY186" s="63"/>
      <c r="AZ186" s="303"/>
      <c r="BA186" s="303"/>
      <c r="BB186" s="303"/>
      <c r="BC186" s="303"/>
      <c r="BD186" s="297"/>
      <c r="BE186" s="297"/>
      <c r="BF186" s="297"/>
      <c r="BG186" s="297"/>
      <c r="BH186" s="297"/>
      <c r="BI186" s="297"/>
      <c r="BJ186" s="297"/>
      <c r="BK186" s="297"/>
      <c r="BL186" s="297"/>
      <c r="BM186" s="160"/>
      <c r="BN186" s="160"/>
      <c r="BO186" s="160"/>
      <c r="BP186" s="297"/>
      <c r="BQ186" s="297"/>
      <c r="BR186" s="297"/>
      <c r="BS186" s="297"/>
      <c r="BT186" s="297"/>
      <c r="BU186" s="297"/>
      <c r="BV186" s="297"/>
      <c r="BW186" s="297"/>
      <c r="BX186" s="297"/>
      <c r="BY186" s="297"/>
      <c r="BZ186" s="297"/>
      <c r="CA186" s="297"/>
      <c r="CB186" s="124"/>
      <c r="CC186" s="124"/>
      <c r="CD186" s="124"/>
      <c r="CE186" s="63"/>
      <c r="CF186" s="63"/>
      <c r="CG186" s="63"/>
      <c r="CH186" s="124"/>
      <c r="CI186" s="63"/>
      <c r="CJ186" s="63"/>
      <c r="CK186" s="63"/>
      <c r="CL186" s="124"/>
      <c r="CM186" s="63"/>
      <c r="CN186" s="63"/>
      <c r="CO186" s="63"/>
      <c r="CP186" s="63"/>
      <c r="CQ186" s="124"/>
      <c r="CR186" s="124"/>
      <c r="CS186" s="124"/>
      <c r="CT186" s="124"/>
      <c r="CU186" s="124"/>
      <c r="CV186" s="124"/>
      <c r="CW186" s="124"/>
      <c r="CX186" s="124"/>
      <c r="CY186" s="124"/>
      <c r="CZ186" s="124"/>
      <c r="DA186" s="124"/>
      <c r="DB186" s="124"/>
      <c r="DC186" s="124"/>
      <c r="DD186" s="124"/>
      <c r="DE186" s="124"/>
      <c r="DF186" s="124"/>
      <c r="DG186" s="124"/>
      <c r="DH186" s="124"/>
      <c r="DI186" s="124"/>
      <c r="DJ186" s="124"/>
      <c r="DK186" s="2"/>
      <c r="DL186" s="2"/>
      <c r="DM186" s="2"/>
      <c r="DN186" s="2"/>
      <c r="DO186" s="2"/>
      <c r="DP186" s="2"/>
    </row>
    <row x14ac:dyDescent="0.25" r="187" customHeight="1" ht="13.5">
      <c r="A187" s="2"/>
      <c r="B187" s="3"/>
      <c r="C187" s="2"/>
      <c r="D187" s="326" t="s">
        <v>336</v>
      </c>
      <c r="E187" s="296">
        <f>SUM(E166:E186)</f>
      </c>
      <c r="F187" s="296">
        <f>SUM(F166:F186)</f>
      </c>
      <c r="G187" s="342">
        <f>SUM(G166:G186)</f>
      </c>
      <c r="H187" s="294">
        <f>SUM(H166:H186)</f>
      </c>
      <c r="I187" s="294">
        <f>SUM(I166:I186)</f>
      </c>
      <c r="J187" s="323">
        <f>SUM(J166:J186)</f>
      </c>
      <c r="K187" s="294">
        <f>SUM(K166:K186)</f>
      </c>
      <c r="L187" s="294">
        <f>SUM(L166:L186)</f>
      </c>
      <c r="M187" s="323">
        <f>SUM(M166:M186)</f>
      </c>
      <c r="N187" s="294">
        <f>SUM(N166:N186)</f>
      </c>
      <c r="O187" s="294">
        <f>SUM(O166:O186)</f>
      </c>
      <c r="P187" s="323">
        <f>SUM(P166:P186)</f>
      </c>
      <c r="Q187" s="294">
        <f>SUM(Q166:Q186)</f>
      </c>
      <c r="R187" s="294">
        <f>SUM(R166:R186)</f>
      </c>
      <c r="S187" s="323">
        <f>SUM(S166:S186)</f>
      </c>
      <c r="T187" s="294">
        <f>SUM(T166:T186)</f>
      </c>
      <c r="U187" s="294">
        <f>SUM(U166:U186)</f>
      </c>
      <c r="V187" s="294">
        <f>SUM(V166:V186)</f>
      </c>
      <c r="W187" s="297"/>
      <c r="X187" s="297"/>
      <c r="Y187" s="325" t="s">
        <v>336</v>
      </c>
      <c r="Z187" s="294">
        <f>SUM(Z166:Z186)</f>
      </c>
      <c r="AA187" s="294">
        <f>SUM(AA166:AA186)</f>
      </c>
      <c r="AB187" s="294">
        <f>SUM(AB166:AB186)</f>
      </c>
      <c r="AC187" s="329">
        <f>SUM(AC166:AC186)</f>
      </c>
      <c r="AD187" s="330">
        <f>SUM(AD166:AD186)</f>
      </c>
      <c r="AE187" s="331">
        <f>SUM(AE166:AE186)</f>
      </c>
      <c r="AF187" s="329">
        <f>SUM(AF166:AF186)</f>
      </c>
      <c r="AG187" s="330">
        <f>SUM(AG166:AG186)</f>
      </c>
      <c r="AH187" s="331">
        <f>SUM(AH166:AH186)</f>
      </c>
      <c r="AI187" s="329">
        <f>SUM(AI166:AI186)</f>
      </c>
      <c r="AJ187" s="330">
        <f>SUM(AJ166:AJ186)</f>
      </c>
      <c r="AK187" s="331">
        <f>SUM(AK166:AK186)</f>
      </c>
      <c r="AL187" s="324">
        <f>SUM(AL166:AL186)</f>
      </c>
      <c r="AM187" s="294">
        <f>SUM(AM166:AM186)</f>
      </c>
      <c r="AN187" s="323">
        <f>SUM(AN166:AN186)</f>
      </c>
      <c r="AO187" s="343">
        <f>SUM(AO166:AO186)</f>
      </c>
      <c r="AP187" s="344">
        <f>SUM(AP166:AP186)</f>
      </c>
      <c r="AQ187" s="345">
        <f>SUM(AQ166:AQ186)</f>
      </c>
      <c r="AR187" s="124"/>
      <c r="AS187" s="124"/>
      <c r="AT187" s="124"/>
      <c r="AU187" s="124"/>
      <c r="AV187" s="124"/>
      <c r="AW187" s="63"/>
      <c r="AX187" s="63"/>
      <c r="AY187" s="63"/>
      <c r="AZ187" s="124"/>
      <c r="BA187" s="124"/>
      <c r="BB187" s="124"/>
      <c r="BC187" s="124"/>
      <c r="BD187" s="124"/>
      <c r="BE187" s="124"/>
      <c r="BF187" s="124"/>
      <c r="BG187" s="124"/>
      <c r="BH187" s="124"/>
      <c r="BI187" s="124"/>
      <c r="BJ187" s="124"/>
      <c r="BK187" s="124"/>
      <c r="BL187" s="124"/>
      <c r="BM187" s="124"/>
      <c r="BN187" s="124"/>
      <c r="BO187" s="124"/>
      <c r="BP187" s="124"/>
      <c r="BQ187" s="124"/>
      <c r="BR187" s="124"/>
      <c r="BS187" s="124"/>
      <c r="BT187" s="124"/>
      <c r="BU187" s="124"/>
      <c r="BV187" s="124"/>
      <c r="BW187" s="124"/>
      <c r="BX187" s="124"/>
      <c r="BY187" s="124"/>
      <c r="BZ187" s="124"/>
      <c r="CA187" s="124"/>
      <c r="CB187" s="300"/>
      <c r="CC187" s="300"/>
      <c r="CD187" s="300"/>
      <c r="CE187" s="63"/>
      <c r="CF187" s="63"/>
      <c r="CG187" s="63"/>
      <c r="CH187" s="63"/>
      <c r="CI187" s="63"/>
      <c r="CJ187" s="63"/>
      <c r="CK187" s="63"/>
      <c r="CL187" s="63"/>
      <c r="CM187" s="63"/>
      <c r="CN187" s="63"/>
      <c r="CO187" s="63"/>
      <c r="CP187" s="63"/>
      <c r="CQ187" s="124"/>
      <c r="CR187" s="124"/>
      <c r="CS187" s="124"/>
      <c r="CT187" s="124"/>
      <c r="CU187" s="124"/>
      <c r="CV187" s="124"/>
      <c r="CW187" s="124"/>
      <c r="CX187" s="124"/>
      <c r="CY187" s="124"/>
      <c r="CZ187" s="124"/>
      <c r="DA187" s="124"/>
      <c r="DB187" s="124"/>
      <c r="DC187" s="124"/>
      <c r="DD187" s="124"/>
      <c r="DE187" s="124"/>
      <c r="DF187" s="124"/>
      <c r="DG187" s="124"/>
      <c r="DH187" s="124"/>
      <c r="DI187" s="124"/>
      <c r="DJ187" s="124"/>
      <c r="DK187" s="2"/>
      <c r="DL187" s="2"/>
      <c r="DM187" s="2"/>
      <c r="DN187" s="2"/>
      <c r="DO187" s="2"/>
      <c r="DP187" s="2"/>
    </row>
    <row x14ac:dyDescent="0.25" r="188" customHeight="1" ht="13.5">
      <c r="A188" s="2"/>
      <c r="B188" s="3"/>
      <c r="C188" s="2"/>
      <c r="D188" s="134"/>
      <c r="E188" s="142"/>
      <c r="F188" s="108"/>
      <c r="G188" s="108"/>
      <c r="H188" s="108"/>
      <c r="I188" s="108"/>
      <c r="J188" s="108"/>
      <c r="K188" s="108"/>
      <c r="L188" s="108"/>
      <c r="M188" s="108"/>
      <c r="N188" s="108"/>
      <c r="O188" s="108"/>
      <c r="P188" s="108"/>
      <c r="Q188" s="108"/>
      <c r="R188" s="108"/>
      <c r="S188" s="108"/>
      <c r="T188" s="108"/>
      <c r="U188" s="108"/>
      <c r="V188" s="108"/>
      <c r="W188" s="108"/>
      <c r="X188" s="3"/>
      <c r="Y188" s="3"/>
      <c r="Z188" s="108"/>
      <c r="AA188" s="108"/>
      <c r="AB188" s="108"/>
      <c r="AC188" s="142"/>
      <c r="AD188" s="142"/>
      <c r="AE188" s="142"/>
      <c r="AF188" s="142"/>
      <c r="AG188" s="142"/>
      <c r="AH188" s="142"/>
      <c r="AI188" s="142"/>
      <c r="AJ188" s="307"/>
      <c r="AK188" s="307"/>
      <c r="AL188" s="346"/>
      <c r="AM188" s="175"/>
      <c r="AN188" s="345"/>
      <c r="AO188" s="142"/>
      <c r="AP188" s="124"/>
      <c r="AQ188" s="124"/>
      <c r="AR188" s="124"/>
      <c r="AS188" s="124"/>
      <c r="AT188" s="124"/>
      <c r="AU188" s="124"/>
      <c r="AV188" s="124"/>
      <c r="AW188" s="124"/>
      <c r="AX188" s="124"/>
      <c r="AY188" s="124"/>
      <c r="AZ188" s="124"/>
      <c r="BA188" s="124"/>
      <c r="BB188" s="124"/>
      <c r="BC188" s="124"/>
      <c r="BD188" s="63"/>
      <c r="BE188" s="63"/>
      <c r="BF188" s="63"/>
      <c r="BG188" s="124"/>
      <c r="BH188" s="124"/>
      <c r="BI188" s="124"/>
      <c r="BJ188" s="124"/>
      <c r="BK188" s="124"/>
      <c r="BL188" s="124"/>
      <c r="BM188" s="124"/>
      <c r="BN188" s="124"/>
      <c r="BO188" s="124"/>
      <c r="BP188" s="124"/>
      <c r="BQ188" s="124"/>
      <c r="BR188" s="124"/>
      <c r="BS188" s="124"/>
      <c r="BT188" s="124"/>
      <c r="BU188" s="124"/>
      <c r="BV188" s="124"/>
      <c r="BW188" s="124"/>
      <c r="BX188" s="124"/>
      <c r="BY188" s="124"/>
      <c r="BZ188" s="124"/>
      <c r="CA188" s="124"/>
      <c r="CB188" s="124"/>
      <c r="CC188" s="124"/>
      <c r="CD188" s="124"/>
      <c r="CE188" s="124"/>
      <c r="CF188" s="124"/>
      <c r="CG188" s="124"/>
      <c r="CH188" s="124"/>
      <c r="CI188" s="124"/>
      <c r="CJ188" s="124"/>
      <c r="CK188" s="124"/>
      <c r="CL188" s="124"/>
      <c r="CM188" s="124"/>
      <c r="CN188" s="124"/>
      <c r="CO188" s="124"/>
      <c r="CP188" s="124"/>
      <c r="CQ188" s="124"/>
      <c r="CR188" s="124"/>
      <c r="CS188" s="124"/>
      <c r="CT188" s="124"/>
      <c r="CU188" s="124"/>
      <c r="CV188" s="124"/>
      <c r="CW188" s="124"/>
      <c r="CX188" s="124"/>
      <c r="CY188" s="124"/>
      <c r="CZ188" s="124"/>
      <c r="DA188" s="124"/>
      <c r="DB188" s="124"/>
      <c r="DC188" s="124"/>
      <c r="DD188" s="124"/>
      <c r="DE188" s="124"/>
      <c r="DF188" s="124"/>
      <c r="DG188" s="124"/>
      <c r="DH188" s="124"/>
      <c r="DI188" s="124"/>
      <c r="DJ188" s="124"/>
      <c r="DK188" s="2"/>
      <c r="DL188" s="2"/>
      <c r="DM188" s="2"/>
      <c r="DN188" s="2"/>
      <c r="DO188" s="2"/>
      <c r="DP188" s="2"/>
    </row>
    <row x14ac:dyDescent="0.25" r="189" customHeight="1" ht="13.5">
      <c r="A189" s="2"/>
      <c r="B189" s="198">
        <v>5</v>
      </c>
      <c r="C189" s="2"/>
      <c r="D189" s="275" t="s">
        <v>496</v>
      </c>
      <c r="E189" s="142"/>
      <c r="F189" s="108"/>
      <c r="G189" s="108"/>
      <c r="H189" s="108"/>
      <c r="I189" s="108"/>
      <c r="J189" s="108"/>
      <c r="K189" s="108"/>
      <c r="L189" s="108"/>
      <c r="M189" s="108"/>
      <c r="N189" s="108"/>
      <c r="O189" s="108"/>
      <c r="P189" s="108"/>
      <c r="Q189" s="108"/>
      <c r="R189" s="108"/>
      <c r="S189" s="108"/>
      <c r="T189" s="108"/>
      <c r="U189" s="108"/>
      <c r="V189" s="108"/>
      <c r="W189" s="108"/>
      <c r="X189" s="3"/>
      <c r="Y189" s="3"/>
      <c r="Z189" s="108"/>
      <c r="AA189" s="108"/>
      <c r="AB189" s="108"/>
      <c r="AC189" s="142"/>
      <c r="AD189" s="142"/>
      <c r="AE189" s="142"/>
      <c r="AF189" s="142"/>
      <c r="AG189" s="142"/>
      <c r="AH189" s="142"/>
      <c r="AI189" s="142"/>
      <c r="AJ189" s="142"/>
      <c r="AK189" s="142"/>
      <c r="AL189" s="142"/>
      <c r="AM189" s="124"/>
      <c r="AN189" s="142"/>
      <c r="AO189" s="142"/>
      <c r="AP189" s="124"/>
      <c r="AQ189" s="142"/>
      <c r="AR189" s="134"/>
      <c r="AS189" s="3"/>
      <c r="AT189" s="3"/>
      <c r="AU189" s="3"/>
      <c r="AV189" s="3"/>
      <c r="AW189" s="3"/>
      <c r="AX189" s="3"/>
      <c r="AY189" s="3"/>
      <c r="AZ189" s="3"/>
      <c r="BA189" s="3"/>
      <c r="BB189" s="3"/>
      <c r="BC189" s="3"/>
      <c r="BD189" s="3"/>
      <c r="BE189" s="3"/>
      <c r="BF189" s="3"/>
      <c r="BG189" s="3"/>
      <c r="BH189" s="2"/>
      <c r="BI189" s="2"/>
      <c r="BJ189" s="3"/>
      <c r="BK189" s="3"/>
      <c r="BL189" s="3"/>
      <c r="BM189" s="3"/>
      <c r="BN189" s="3"/>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row>
    <row x14ac:dyDescent="0.25" r="190" customHeight="1" ht="13.5">
      <c r="A190" s="2"/>
      <c r="B190" s="200"/>
      <c r="C190" s="2"/>
      <c r="D190" s="276"/>
      <c r="E190" s="142"/>
      <c r="F190" s="108"/>
      <c r="G190" s="108"/>
      <c r="H190" s="108"/>
      <c r="I190" s="108"/>
      <c r="J190" s="108"/>
      <c r="K190" s="108"/>
      <c r="L190" s="108"/>
      <c r="M190" s="108"/>
      <c r="N190" s="108"/>
      <c r="O190" s="108"/>
      <c r="P190" s="108"/>
      <c r="Q190" s="108"/>
      <c r="R190" s="108"/>
      <c r="S190" s="108"/>
      <c r="T190" s="108"/>
      <c r="U190" s="108"/>
      <c r="V190" s="124"/>
      <c r="W190" s="124"/>
      <c r="X190" s="124"/>
      <c r="Y190" s="124"/>
      <c r="Z190" s="124"/>
      <c r="AA190" s="124"/>
      <c r="AB190" s="124"/>
      <c r="AC190" s="124"/>
      <c r="AD190" s="124"/>
      <c r="AE190" s="124"/>
      <c r="AF190" s="124"/>
      <c r="AG190" s="124"/>
      <c r="AH190" s="124"/>
      <c r="AI190" s="124"/>
      <c r="AJ190" s="124"/>
      <c r="AK190" s="124"/>
      <c r="AL190" s="142"/>
      <c r="AM190" s="124"/>
      <c r="AN190" s="142"/>
      <c r="AO190" s="142"/>
      <c r="AP190" s="124"/>
      <c r="AQ190" s="142"/>
      <c r="AR190" s="134"/>
      <c r="AS190" s="3"/>
      <c r="AT190" s="3"/>
      <c r="AU190" s="3"/>
      <c r="AV190" s="3"/>
      <c r="AW190" s="3"/>
      <c r="AX190" s="3"/>
      <c r="AY190" s="3"/>
      <c r="AZ190" s="3"/>
      <c r="BA190" s="3"/>
      <c r="BB190" s="3"/>
      <c r="BC190" s="3"/>
      <c r="BD190" s="3"/>
      <c r="BE190" s="3"/>
      <c r="BF190" s="3"/>
      <c r="BG190" s="3"/>
      <c r="BH190" s="2"/>
      <c r="BI190" s="2"/>
      <c r="BJ190" s="3"/>
      <c r="BK190" s="3"/>
      <c r="BL190" s="3"/>
      <c r="BM190" s="3"/>
      <c r="BN190" s="3"/>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row>
    <row x14ac:dyDescent="0.25" r="191" customHeight="1" ht="13.5">
      <c r="A191" s="2"/>
      <c r="B191" s="200"/>
      <c r="C191" s="2"/>
      <c r="D191" s="240" t="s">
        <v>481</v>
      </c>
      <c r="E191" s="308"/>
      <c r="F191" s="108"/>
      <c r="G191" s="108"/>
      <c r="H191" s="108"/>
      <c r="I191" s="108"/>
      <c r="J191" s="108"/>
      <c r="K191" s="108"/>
      <c r="L191" s="108"/>
      <c r="M191" s="108"/>
      <c r="N191" s="108"/>
      <c r="O191" s="108"/>
      <c r="P191" s="108"/>
      <c r="Q191" s="108"/>
      <c r="R191" s="108"/>
      <c r="S191" s="108"/>
      <c r="T191" s="108"/>
      <c r="U191" s="108"/>
      <c r="V191" s="108"/>
      <c r="W191" s="108"/>
      <c r="X191" s="3"/>
      <c r="Y191" s="308"/>
      <c r="Z191" s="124"/>
      <c r="AA191" s="124"/>
      <c r="AB191" s="124"/>
      <c r="AC191" s="124"/>
      <c r="AD191" s="124"/>
      <c r="AE191" s="124"/>
      <c r="AF191" s="124"/>
      <c r="AG191" s="124"/>
      <c r="AH191" s="124"/>
      <c r="AI191" s="124"/>
      <c r="AJ191" s="124"/>
      <c r="AK191" s="124"/>
      <c r="AL191" s="124"/>
      <c r="AM191" s="124"/>
      <c r="AN191" s="124"/>
      <c r="AO191" s="142"/>
      <c r="AP191" s="142"/>
      <c r="AQ191" s="142"/>
      <c r="AR191" s="134"/>
      <c r="AS191" s="3"/>
      <c r="AT191" s="3"/>
      <c r="AU191" s="3"/>
      <c r="AV191" s="3"/>
      <c r="AW191" s="3"/>
      <c r="AX191" s="3"/>
      <c r="AY191" s="3"/>
      <c r="AZ191" s="3"/>
      <c r="BA191" s="3"/>
      <c r="BB191" s="3"/>
      <c r="BC191" s="3"/>
      <c r="BD191" s="3"/>
      <c r="BE191" s="3"/>
      <c r="BF191" s="3"/>
      <c r="BG191" s="3"/>
      <c r="BH191" s="2"/>
      <c r="BI191" s="2"/>
      <c r="BJ191" s="3"/>
      <c r="BK191" s="3"/>
      <c r="BL191" s="3"/>
      <c r="BM191" s="3"/>
      <c r="BN191" s="3"/>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row>
    <row x14ac:dyDescent="0.25" r="192" customHeight="1" ht="13.5">
      <c r="A192" s="2"/>
      <c r="B192" s="200"/>
      <c r="C192" s="2"/>
      <c r="D192" s="301"/>
      <c r="E192" s="347"/>
      <c r="F192" s="212" t="s">
        <v>482</v>
      </c>
      <c r="G192" s="108"/>
      <c r="H192" s="108"/>
      <c r="I192" s="212" t="s">
        <v>469</v>
      </c>
      <c r="J192" s="108"/>
      <c r="K192" s="309"/>
      <c r="L192" s="212" t="s">
        <v>443</v>
      </c>
      <c r="M192" s="108"/>
      <c r="N192" s="309"/>
      <c r="O192" s="212" t="s">
        <v>25</v>
      </c>
      <c r="P192" s="108"/>
      <c r="Q192" s="309"/>
      <c r="R192" s="212" t="s">
        <v>444</v>
      </c>
      <c r="S192" s="108"/>
      <c r="T192" s="309"/>
      <c r="U192" s="212" t="s">
        <v>29</v>
      </c>
      <c r="V192" s="108"/>
      <c r="W192" s="309"/>
      <c r="X192" s="3"/>
      <c r="Y192" s="347"/>
      <c r="Z192" s="124"/>
      <c r="AA192" s="124"/>
      <c r="AB192" s="124"/>
      <c r="AC192" s="290"/>
      <c r="AD192" s="124"/>
      <c r="AE192" s="124"/>
      <c r="AF192" s="290"/>
      <c r="AG192" s="290"/>
      <c r="AH192" s="290"/>
      <c r="AI192" s="290"/>
      <c r="AJ192" s="290"/>
      <c r="AK192" s="290"/>
      <c r="AL192" s="290"/>
      <c r="AM192" s="290"/>
      <c r="AN192" s="124"/>
      <c r="AO192" s="142"/>
      <c r="AP192" s="142"/>
      <c r="AQ192" s="142"/>
      <c r="AR192" s="134"/>
      <c r="AS192" s="3"/>
      <c r="AT192" s="3"/>
      <c r="AU192" s="3"/>
      <c r="AV192" s="3"/>
      <c r="AW192" s="3"/>
      <c r="AX192" s="3"/>
      <c r="AY192" s="3"/>
      <c r="AZ192" s="3"/>
      <c r="BA192" s="3"/>
      <c r="BB192" s="3"/>
      <c r="BC192" s="3"/>
      <c r="BD192" s="3"/>
      <c r="BE192" s="3"/>
      <c r="BF192" s="3"/>
      <c r="BG192" s="3"/>
      <c r="BH192" s="2"/>
      <c r="BI192" s="2"/>
      <c r="BJ192" s="3"/>
      <c r="BK192" s="3"/>
      <c r="BL192" s="3"/>
      <c r="BM192" s="3"/>
      <c r="BN192" s="3"/>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row>
    <row x14ac:dyDescent="0.25" r="193" customHeight="1" ht="13.5">
      <c r="A193" s="2"/>
      <c r="B193" s="200"/>
      <c r="C193" s="2"/>
      <c r="D193" s="256"/>
      <c r="E193" s="280" t="s">
        <v>497</v>
      </c>
      <c r="F193" s="257">
        <v>2023</v>
      </c>
      <c r="G193" s="257">
        <v>2024</v>
      </c>
      <c r="H193" s="302">
        <v>2025</v>
      </c>
      <c r="I193" s="257">
        <v>2023</v>
      </c>
      <c r="J193" s="257">
        <v>2024</v>
      </c>
      <c r="K193" s="302">
        <v>2025</v>
      </c>
      <c r="L193" s="257">
        <v>2023</v>
      </c>
      <c r="M193" s="257">
        <v>2024</v>
      </c>
      <c r="N193" s="302">
        <v>2025</v>
      </c>
      <c r="O193" s="257">
        <v>2023</v>
      </c>
      <c r="P193" s="257">
        <v>2024</v>
      </c>
      <c r="Q193" s="302">
        <v>2025</v>
      </c>
      <c r="R193" s="257">
        <v>2023</v>
      </c>
      <c r="S193" s="257">
        <v>2024</v>
      </c>
      <c r="T193" s="302">
        <v>2025</v>
      </c>
      <c r="U193" s="257">
        <v>2023</v>
      </c>
      <c r="V193" s="257">
        <v>2024</v>
      </c>
      <c r="W193" s="302">
        <v>2025</v>
      </c>
      <c r="X193" s="3"/>
      <c r="Y193" s="257">
        <v>2023</v>
      </c>
      <c r="Z193" s="257">
        <v>2024</v>
      </c>
      <c r="AA193" s="257">
        <v>2025</v>
      </c>
      <c r="AB193" s="311"/>
      <c r="AC193" s="348"/>
      <c r="AD193" s="348"/>
      <c r="AE193" s="348"/>
      <c r="AF193" s="348"/>
      <c r="AG193" s="348"/>
      <c r="AH193" s="348"/>
      <c r="AI193" s="348"/>
      <c r="AJ193" s="348"/>
      <c r="AK193" s="348"/>
      <c r="AL193" s="348"/>
      <c r="AM193" s="348"/>
      <c r="AN193" s="348"/>
      <c r="AO193" s="142"/>
      <c r="AP193" s="142"/>
      <c r="AQ193" s="142"/>
      <c r="AR193" s="134"/>
      <c r="AS193" s="3"/>
      <c r="AT193" s="3"/>
      <c r="AU193" s="3"/>
      <c r="AV193" s="3"/>
      <c r="AW193" s="3"/>
      <c r="AX193" s="3"/>
      <c r="AY193" s="3"/>
      <c r="AZ193" s="3"/>
      <c r="BA193" s="3"/>
      <c r="BB193" s="3"/>
      <c r="BC193" s="3"/>
      <c r="BD193" s="3"/>
      <c r="BE193" s="3"/>
      <c r="BF193" s="3"/>
      <c r="BG193" s="3"/>
      <c r="BH193" s="2"/>
      <c r="BI193" s="2"/>
      <c r="BJ193" s="3"/>
      <c r="BK193" s="3"/>
      <c r="BL193" s="3"/>
      <c r="BM193" s="3"/>
      <c r="BN193" s="3"/>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row>
    <row x14ac:dyDescent="0.25" r="194" customHeight="1" ht="13.5">
      <c r="A194" s="2"/>
      <c r="B194" s="200"/>
      <c r="C194" s="2"/>
      <c r="D194" s="123" t="s">
        <v>179</v>
      </c>
      <c r="E194" s="297">
        <f>OCPMarketShares!O148</f>
      </c>
      <c r="F194" s="120">
        <f>E113</f>
      </c>
      <c r="G194" s="120">
        <f>F113</f>
      </c>
      <c r="H194" s="349">
        <f>G113</f>
      </c>
      <c r="I194" s="303">
        <f>IF($E194="Yes",H113,0)</f>
      </c>
      <c r="J194" s="303">
        <f>IF($E194="Yes",I113,0)</f>
      </c>
      <c r="K194" s="306">
        <f>IF($E194="Yes",J113,0)</f>
      </c>
      <c r="L194" s="303">
        <f>IF($E194="Yes",K113,0)</f>
      </c>
      <c r="M194" s="303">
        <f>IF($E194="Yes",L113,0)</f>
      </c>
      <c r="N194" s="306">
        <f>IF($E194="Yes",M113,0)</f>
      </c>
      <c r="O194" s="303">
        <f>IF($E194="Yes",N113,0)</f>
      </c>
      <c r="P194" s="303">
        <f>IF($E194="Yes",O113,0)</f>
      </c>
      <c r="Q194" s="306">
        <f>IF($E194="Yes",P113,0)</f>
      </c>
      <c r="R194" s="303">
        <f>IF($E194="Yes",Q113,0)</f>
      </c>
      <c r="S194" s="303">
        <f>IF($E194="Yes",R113,0)</f>
      </c>
      <c r="T194" s="306">
        <f>IF($E194="Yes",S113,0)</f>
      </c>
      <c r="U194" s="303">
        <f>IF($E194="Yes",T113,0)</f>
      </c>
      <c r="V194" s="303">
        <f>IF($E194="Yes",U113,0)</f>
      </c>
      <c r="W194" s="303">
        <f>IF($E194="Yes",V113,0)</f>
      </c>
      <c r="X194" s="350"/>
      <c r="Y194" s="63">
        <f>I194+L194+O194+R194</f>
      </c>
      <c r="Z194" s="63">
        <f>J194+M194+P194+S194</f>
      </c>
      <c r="AA194" s="63">
        <f>K194+N194+Q194+T194</f>
      </c>
      <c r="AB194" s="303"/>
      <c r="AC194" s="303"/>
      <c r="AD194" s="303"/>
      <c r="AE194" s="124"/>
      <c r="AF194" s="124"/>
      <c r="AG194" s="124"/>
      <c r="AH194" s="124"/>
      <c r="AI194" s="124"/>
      <c r="AJ194" s="124"/>
      <c r="AK194" s="124"/>
      <c r="AL194" s="124"/>
      <c r="AM194" s="124"/>
      <c r="AN194" s="124"/>
      <c r="AO194" s="142"/>
      <c r="AP194" s="142"/>
      <c r="AQ194" s="142"/>
      <c r="AR194" s="134"/>
      <c r="AS194" s="3"/>
      <c r="AT194" s="3"/>
      <c r="AU194" s="3"/>
      <c r="AV194" s="3"/>
      <c r="AW194" s="3"/>
      <c r="AX194" s="3"/>
      <c r="AY194" s="3"/>
      <c r="AZ194" s="3"/>
      <c r="BA194" s="3"/>
      <c r="BB194" s="3"/>
      <c r="BC194" s="3"/>
      <c r="BD194" s="3"/>
      <c r="BE194" s="3"/>
      <c r="BF194" s="3"/>
      <c r="BG194" s="3"/>
      <c r="BH194" s="2"/>
      <c r="BI194" s="2"/>
      <c r="BJ194" s="3"/>
      <c r="BK194" s="3"/>
      <c r="BL194" s="3"/>
      <c r="BM194" s="3"/>
      <c r="BN194" s="3"/>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row>
    <row x14ac:dyDescent="0.25" r="195" customHeight="1" ht="13.5">
      <c r="A195" s="2"/>
      <c r="B195" s="200"/>
      <c r="C195" s="2"/>
      <c r="D195" s="123" t="s">
        <v>231</v>
      </c>
      <c r="E195" s="297">
        <f>OCPMarketShares!O149</f>
      </c>
      <c r="F195" s="120">
        <f>E114</f>
      </c>
      <c r="G195" s="120">
        <f>F114</f>
      </c>
      <c r="H195" s="349">
        <f>G114</f>
      </c>
      <c r="I195" s="303">
        <f>IF($E195="Yes",H114,0)</f>
      </c>
      <c r="J195" s="303">
        <f>IF($E195="Yes",I114,0)</f>
      </c>
      <c r="K195" s="306">
        <f>IF($E195="Yes",J114,0)</f>
      </c>
      <c r="L195" s="303">
        <f>IF($E195="Yes",K114,0)</f>
      </c>
      <c r="M195" s="303">
        <f>IF($E195="Yes",L114,0)</f>
      </c>
      <c r="N195" s="306">
        <f>IF($E195="Yes",M114,0)</f>
      </c>
      <c r="O195" s="303">
        <f>IF($E195="Yes",N114,0)</f>
      </c>
      <c r="P195" s="303">
        <f>IF($E195="Yes",O114,0)</f>
      </c>
      <c r="Q195" s="306">
        <f>IF($E195="Yes",P114,0)</f>
      </c>
      <c r="R195" s="303">
        <f>IF($E195="Yes",Q114,0)</f>
      </c>
      <c r="S195" s="303">
        <f>IF($E195="Yes",R114,0)</f>
      </c>
      <c r="T195" s="306">
        <f>IF($E195="Yes",S114,0)</f>
      </c>
      <c r="U195" s="303">
        <f>IF($E195="Yes",T114,0)</f>
      </c>
      <c r="V195" s="303">
        <f>IF($E195="Yes",U114,0)</f>
      </c>
      <c r="W195" s="303">
        <f>IF($E195="Yes",V114,0)</f>
      </c>
      <c r="X195" s="350"/>
      <c r="Y195" s="63">
        <f>I195+L195+O195+R195</f>
      </c>
      <c r="Z195" s="63">
        <f>J195+M195+P195+S195</f>
      </c>
      <c r="AA195" s="63">
        <f>K195+N195+Q195+T195</f>
      </c>
      <c r="AB195" s="303"/>
      <c r="AC195" s="303"/>
      <c r="AD195" s="303"/>
      <c r="AE195" s="124"/>
      <c r="AF195" s="124"/>
      <c r="AG195" s="124"/>
      <c r="AH195" s="124"/>
      <c r="AI195" s="124"/>
      <c r="AJ195" s="124"/>
      <c r="AK195" s="124"/>
      <c r="AL195" s="124"/>
      <c r="AM195" s="124"/>
      <c r="AN195" s="124"/>
      <c r="AO195" s="142"/>
      <c r="AP195" s="142"/>
      <c r="AQ195" s="142"/>
      <c r="AR195" s="134"/>
      <c r="AS195" s="3"/>
      <c r="AT195" s="3"/>
      <c r="AU195" s="3"/>
      <c r="AV195" s="3"/>
      <c r="AW195" s="3"/>
      <c r="AX195" s="3"/>
      <c r="AY195" s="3"/>
      <c r="AZ195" s="3"/>
      <c r="BA195" s="3"/>
      <c r="BB195" s="3"/>
      <c r="BC195" s="3"/>
      <c r="BD195" s="3"/>
      <c r="BE195" s="3"/>
      <c r="BF195" s="3"/>
      <c r="BG195" s="3"/>
      <c r="BH195" s="2"/>
      <c r="BI195" s="2"/>
      <c r="BJ195" s="3"/>
      <c r="BK195" s="3"/>
      <c r="BL195" s="3"/>
      <c r="BM195" s="3"/>
      <c r="BN195" s="3"/>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row>
    <row x14ac:dyDescent="0.25" r="196" customHeight="1" ht="13.5">
      <c r="A196" s="2"/>
      <c r="B196" s="200"/>
      <c r="C196" s="2"/>
      <c r="D196" s="123" t="s">
        <v>141</v>
      </c>
      <c r="E196" s="297">
        <f>OCPMarketShares!O150</f>
      </c>
      <c r="F196" s="120">
        <f>E115</f>
      </c>
      <c r="G196" s="120">
        <f>F115</f>
      </c>
      <c r="H196" s="349">
        <f>G115</f>
      </c>
      <c r="I196" s="303">
        <f>IF($E196="Yes",H115,0)</f>
      </c>
      <c r="J196" s="303">
        <f>IF($E196="Yes",I115,0)</f>
      </c>
      <c r="K196" s="306">
        <f>IF($E196="Yes",J115,0)</f>
      </c>
      <c r="L196" s="303">
        <f>IF($E196="Yes",K115,0)</f>
      </c>
      <c r="M196" s="303">
        <f>IF($E196="Yes",L115,0)</f>
      </c>
      <c r="N196" s="306">
        <f>IF($E196="Yes",M115,0)</f>
      </c>
      <c r="O196" s="303">
        <f>IF($E196="Yes",N115,0)</f>
      </c>
      <c r="P196" s="303">
        <f>IF($E196="Yes",O115,0)</f>
      </c>
      <c r="Q196" s="306">
        <f>IF($E196="Yes",P115,0)</f>
      </c>
      <c r="R196" s="303">
        <f>IF($E196="Yes",Q115,0)</f>
      </c>
      <c r="S196" s="303">
        <f>IF($E196="Yes",R115,0)</f>
      </c>
      <c r="T196" s="306">
        <f>IF($E196="Yes",S115,0)</f>
      </c>
      <c r="U196" s="303">
        <f>IF($E196="Yes",T115,0)</f>
      </c>
      <c r="V196" s="303">
        <f>IF($E196="Yes",U115,0)</f>
      </c>
      <c r="W196" s="303">
        <f>IF($E196="Yes",V115,0)</f>
      </c>
      <c r="X196" s="350"/>
      <c r="Y196" s="63">
        <f>I196+L196+O196+R196</f>
      </c>
      <c r="Z196" s="63">
        <f>J196+M196+P196+S196</f>
      </c>
      <c r="AA196" s="63">
        <f>K196+N196+Q196+T196</f>
      </c>
      <c r="AB196" s="303"/>
      <c r="AC196" s="303"/>
      <c r="AD196" s="303"/>
      <c r="AE196" s="124"/>
      <c r="AF196" s="142"/>
      <c r="AG196" s="142"/>
      <c r="AH196" s="142"/>
      <c r="AI196" s="142"/>
      <c r="AJ196" s="142"/>
      <c r="AK196" s="142"/>
      <c r="AL196" s="142"/>
      <c r="AM196" s="142"/>
      <c r="AN196" s="142"/>
      <c r="AO196" s="142"/>
      <c r="AP196" s="142"/>
      <c r="AQ196" s="142"/>
      <c r="AR196" s="134"/>
      <c r="AS196" s="3"/>
      <c r="AT196" s="3"/>
      <c r="AU196" s="3"/>
      <c r="AV196" s="3"/>
      <c r="AW196" s="3"/>
      <c r="AX196" s="3"/>
      <c r="AY196" s="3"/>
      <c r="AZ196" s="3"/>
      <c r="BA196" s="3"/>
      <c r="BB196" s="3"/>
      <c r="BC196" s="3"/>
      <c r="BD196" s="3"/>
      <c r="BE196" s="3"/>
      <c r="BF196" s="3"/>
      <c r="BG196" s="3"/>
      <c r="BH196" s="2"/>
      <c r="BI196" s="2"/>
      <c r="BJ196" s="3"/>
      <c r="BK196" s="3"/>
      <c r="BL196" s="3"/>
      <c r="BM196" s="3"/>
      <c r="BN196" s="3"/>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row>
    <row x14ac:dyDescent="0.25" r="197" customHeight="1" ht="13.5">
      <c r="A197" s="2"/>
      <c r="B197" s="200"/>
      <c r="C197" s="2"/>
      <c r="D197" s="123" t="s">
        <v>247</v>
      </c>
      <c r="E197" s="297">
        <f>OCPMarketShares!O151</f>
      </c>
      <c r="F197" s="120">
        <f>E116</f>
      </c>
      <c r="G197" s="120">
        <f>F116</f>
      </c>
      <c r="H197" s="349">
        <f>G116</f>
      </c>
      <c r="I197" s="303">
        <f>IF($E197="Yes",H116,0)</f>
      </c>
      <c r="J197" s="303">
        <f>IF($E197="Yes",I116,0)</f>
      </c>
      <c r="K197" s="306">
        <f>IF($E197="Yes",J116,0)</f>
      </c>
      <c r="L197" s="303">
        <f>IF($E197="Yes",K116,0)</f>
      </c>
      <c r="M197" s="303">
        <f>IF($E197="Yes",L116,0)</f>
      </c>
      <c r="N197" s="306">
        <f>IF($E197="Yes",M116,0)</f>
      </c>
      <c r="O197" s="303">
        <f>IF($E197="Yes",N116,0)</f>
      </c>
      <c r="P197" s="303">
        <f>IF($E197="Yes",O116,0)</f>
      </c>
      <c r="Q197" s="306">
        <f>IF($E197="Yes",P116,0)</f>
      </c>
      <c r="R197" s="303">
        <f>IF($E197="Yes",Q116,0)</f>
      </c>
      <c r="S197" s="303">
        <f>IF($E197="Yes",R116,0)</f>
      </c>
      <c r="T197" s="306">
        <f>IF($E197="Yes",S116,0)</f>
      </c>
      <c r="U197" s="303">
        <f>IF($E197="Yes",T116,0)</f>
      </c>
      <c r="V197" s="303">
        <f>IF($E197="Yes",U116,0)</f>
      </c>
      <c r="W197" s="303">
        <f>IF($E197="Yes",V116,0)</f>
      </c>
      <c r="X197" s="350"/>
      <c r="Y197" s="63">
        <f>I197+L197+O197+R197</f>
      </c>
      <c r="Z197" s="63">
        <f>J197+M197+P197+S197</f>
      </c>
      <c r="AA197" s="63">
        <f>K197+N197+Q197+T197</f>
      </c>
      <c r="AB197" s="303"/>
      <c r="AC197" s="303"/>
      <c r="AD197" s="303"/>
      <c r="AE197" s="124"/>
      <c r="AF197" s="142"/>
      <c r="AG197" s="142"/>
      <c r="AH197" s="142"/>
      <c r="AI197" s="142"/>
      <c r="AJ197" s="142"/>
      <c r="AK197" s="142"/>
      <c r="AL197" s="142"/>
      <c r="AM197" s="142"/>
      <c r="AN197" s="142"/>
      <c r="AO197" s="142"/>
      <c r="AP197" s="142"/>
      <c r="AQ197" s="142"/>
      <c r="AR197" s="134"/>
      <c r="AS197" s="3"/>
      <c r="AT197" s="3"/>
      <c r="AU197" s="3"/>
      <c r="AV197" s="3"/>
      <c r="AW197" s="3"/>
      <c r="AX197" s="3"/>
      <c r="AY197" s="3"/>
      <c r="AZ197" s="3"/>
      <c r="BA197" s="3"/>
      <c r="BB197" s="3"/>
      <c r="BC197" s="3"/>
      <c r="BD197" s="3"/>
      <c r="BE197" s="3"/>
      <c r="BF197" s="3"/>
      <c r="BG197" s="3"/>
      <c r="BH197" s="2"/>
      <c r="BI197" s="2"/>
      <c r="BJ197" s="3"/>
      <c r="BK197" s="3"/>
      <c r="BL197" s="3"/>
      <c r="BM197" s="3"/>
      <c r="BN197" s="3"/>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row>
    <row x14ac:dyDescent="0.25" r="198" customHeight="1" ht="13.5">
      <c r="A198" s="2"/>
      <c r="B198" s="200"/>
      <c r="C198" s="2"/>
      <c r="D198" s="123" t="s">
        <v>175</v>
      </c>
      <c r="E198" s="297">
        <f>OCPMarketShares!O152</f>
      </c>
      <c r="F198" s="120">
        <f>E117</f>
      </c>
      <c r="G198" s="120">
        <f>F117</f>
      </c>
      <c r="H198" s="349">
        <f>G117</f>
      </c>
      <c r="I198" s="303">
        <f>IF($E198="Yes",H117,0)</f>
      </c>
      <c r="J198" s="303">
        <f>IF($E198="Yes",I117,0)</f>
      </c>
      <c r="K198" s="306">
        <f>IF($E198="Yes",J117,0)</f>
      </c>
      <c r="L198" s="303">
        <f>IF($E198="Yes",K117,0)</f>
      </c>
      <c r="M198" s="303">
        <f>IF($E198="Yes",L117,0)</f>
      </c>
      <c r="N198" s="306">
        <f>IF($E198="Yes",M117,0)</f>
      </c>
      <c r="O198" s="303">
        <f>IF($E198="Yes",N117,0)</f>
      </c>
      <c r="P198" s="303">
        <f>IF($E198="Yes",O117,0)</f>
      </c>
      <c r="Q198" s="306">
        <f>IF($E198="Yes",P117,0)</f>
      </c>
      <c r="R198" s="303">
        <f>IF($E198="Yes",Q117,0)</f>
      </c>
      <c r="S198" s="303">
        <f>IF($E198="Yes",R117,0)</f>
      </c>
      <c r="T198" s="306">
        <f>IF($E198="Yes",S117,0)</f>
      </c>
      <c r="U198" s="303">
        <f>IF($E198="Yes",T117,0)</f>
      </c>
      <c r="V198" s="303">
        <f>IF($E198="Yes",U117,0)</f>
      </c>
      <c r="W198" s="303">
        <f>IF($E198="Yes",V117,0)</f>
      </c>
      <c r="X198" s="350"/>
      <c r="Y198" s="63">
        <f>I198+L198+O198+R198</f>
      </c>
      <c r="Z198" s="63">
        <f>J198+M198+P198+S198</f>
      </c>
      <c r="AA198" s="63">
        <f>K198+N198+Q198+T198</f>
      </c>
      <c r="AB198" s="303"/>
      <c r="AC198" s="303"/>
      <c r="AD198" s="303"/>
      <c r="AE198" s="124"/>
      <c r="AF198" s="142"/>
      <c r="AG198" s="142"/>
      <c r="AH198" s="142"/>
      <c r="AI198" s="142"/>
      <c r="AJ198" s="142"/>
      <c r="AK198" s="142"/>
      <c r="AL198" s="142"/>
      <c r="AM198" s="142"/>
      <c r="AN198" s="142"/>
      <c r="AO198" s="142"/>
      <c r="AP198" s="142"/>
      <c r="AQ198" s="142"/>
      <c r="AR198" s="134"/>
      <c r="AS198" s="3"/>
      <c r="AT198" s="3"/>
      <c r="AU198" s="3"/>
      <c r="AV198" s="3"/>
      <c r="AW198" s="3"/>
      <c r="AX198" s="3"/>
      <c r="AY198" s="3"/>
      <c r="AZ198" s="3"/>
      <c r="BA198" s="3"/>
      <c r="BB198" s="3"/>
      <c r="BC198" s="3"/>
      <c r="BD198" s="3"/>
      <c r="BE198" s="3"/>
      <c r="BF198" s="3"/>
      <c r="BG198" s="3"/>
      <c r="BH198" s="2"/>
      <c r="BI198" s="2"/>
      <c r="BJ198" s="3"/>
      <c r="BK198" s="3"/>
      <c r="BL198" s="3"/>
      <c r="BM198" s="3"/>
      <c r="BN198" s="3"/>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row>
    <row x14ac:dyDescent="0.25" r="199" customHeight="1" ht="13.5">
      <c r="A199" s="2"/>
      <c r="B199" s="200"/>
      <c r="C199" s="2"/>
      <c r="D199" s="123" t="s">
        <v>131</v>
      </c>
      <c r="E199" s="297">
        <f>OCPMarketShares!O153</f>
      </c>
      <c r="F199" s="120">
        <f>E118</f>
      </c>
      <c r="G199" s="120">
        <f>F118</f>
      </c>
      <c r="H199" s="349">
        <f>G118</f>
      </c>
      <c r="I199" s="303">
        <f>IF($E199="Yes",H118,0)</f>
      </c>
      <c r="J199" s="303">
        <f>IF($E199="Yes",I118,0)</f>
      </c>
      <c r="K199" s="306">
        <f>IF($E199="Yes",J118,0)</f>
      </c>
      <c r="L199" s="303">
        <f>IF($E199="Yes",K118,0)</f>
      </c>
      <c r="M199" s="303">
        <f>IF($E199="Yes",L118,0)</f>
      </c>
      <c r="N199" s="306">
        <f>IF($E199="Yes",M118,0)</f>
      </c>
      <c r="O199" s="303">
        <f>IF($E199="Yes",N118,0)</f>
      </c>
      <c r="P199" s="303">
        <f>IF($E199="Yes",O118,0)</f>
      </c>
      <c r="Q199" s="306">
        <f>IF($E199="Yes",P118,0)</f>
      </c>
      <c r="R199" s="303">
        <f>IF($E199="Yes",Q118,0)</f>
      </c>
      <c r="S199" s="303">
        <f>IF($E199="Yes",R118,0)</f>
      </c>
      <c r="T199" s="306">
        <f>IF($E199="Yes",S118,0)</f>
      </c>
      <c r="U199" s="303">
        <f>IF($E199="Yes",T118,0)</f>
      </c>
      <c r="V199" s="303">
        <f>IF($E199="Yes",U118,0)</f>
      </c>
      <c r="W199" s="303">
        <f>IF($E199="Yes",V118,0)</f>
      </c>
      <c r="X199" s="350"/>
      <c r="Y199" s="63">
        <f>I199+L199+O199+R199</f>
      </c>
      <c r="Z199" s="63">
        <f>J199+M199+P199+S199</f>
      </c>
      <c r="AA199" s="63">
        <f>K199+N199+Q199+T199</f>
      </c>
      <c r="AB199" s="303"/>
      <c r="AC199" s="303"/>
      <c r="AD199" s="303"/>
      <c r="AE199" s="124"/>
      <c r="AF199" s="142"/>
      <c r="AG199" s="142"/>
      <c r="AH199" s="142"/>
      <c r="AI199" s="142"/>
      <c r="AJ199" s="142"/>
      <c r="AK199" s="142"/>
      <c r="AL199" s="142"/>
      <c r="AM199" s="142"/>
      <c r="AN199" s="142"/>
      <c r="AO199" s="142"/>
      <c r="AP199" s="142"/>
      <c r="AQ199" s="142"/>
      <c r="AR199" s="134"/>
      <c r="AS199" s="3"/>
      <c r="AT199" s="3"/>
      <c r="AU199" s="3"/>
      <c r="AV199" s="3"/>
      <c r="AW199" s="3"/>
      <c r="AX199" s="3"/>
      <c r="AY199" s="3"/>
      <c r="AZ199" s="3"/>
      <c r="BA199" s="3"/>
      <c r="BB199" s="3"/>
      <c r="BC199" s="3"/>
      <c r="BD199" s="3"/>
      <c r="BE199" s="3"/>
      <c r="BF199" s="3"/>
      <c r="BG199" s="3"/>
      <c r="BH199" s="2"/>
      <c r="BI199" s="2"/>
      <c r="BJ199" s="3"/>
      <c r="BK199" s="3"/>
      <c r="BL199" s="3"/>
      <c r="BM199" s="3"/>
      <c r="BN199" s="3"/>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row>
    <row x14ac:dyDescent="0.25" r="200" customHeight="1" ht="13.5">
      <c r="A200" s="2"/>
      <c r="B200" s="200"/>
      <c r="C200" s="2"/>
      <c r="D200" s="123" t="s">
        <v>237</v>
      </c>
      <c r="E200" s="297">
        <f>OCPMarketShares!O154</f>
      </c>
      <c r="F200" s="120">
        <f>E119</f>
      </c>
      <c r="G200" s="120">
        <f>F119</f>
      </c>
      <c r="H200" s="349">
        <f>G119</f>
      </c>
      <c r="I200" s="303">
        <f>IF($E200="Yes",H119,0)</f>
      </c>
      <c r="J200" s="303">
        <f>IF($E200="Yes",I119,0)</f>
      </c>
      <c r="K200" s="306">
        <f>IF($E200="Yes",J119,0)</f>
      </c>
      <c r="L200" s="303">
        <f>IF($E200="Yes",K119,0)</f>
      </c>
      <c r="M200" s="303">
        <f>IF($E200="Yes",L119,0)</f>
      </c>
      <c r="N200" s="306">
        <f>IF($E200="Yes",M119,0)</f>
      </c>
      <c r="O200" s="303">
        <f>IF($E200="Yes",N119,0)</f>
      </c>
      <c r="P200" s="303">
        <f>IF($E200="Yes",O119,0)</f>
      </c>
      <c r="Q200" s="306">
        <f>IF($E200="Yes",P119,0)</f>
      </c>
      <c r="R200" s="303">
        <f>IF($E200="Yes",Q119,0)</f>
      </c>
      <c r="S200" s="303">
        <f>IF($E200="Yes",R119,0)</f>
      </c>
      <c r="T200" s="306">
        <f>IF($E200="Yes",S119,0)</f>
      </c>
      <c r="U200" s="303">
        <f>IF($E200="Yes",T119,0)</f>
      </c>
      <c r="V200" s="303">
        <f>IF($E200="Yes",U119,0)</f>
      </c>
      <c r="W200" s="303">
        <f>IF($E200="Yes",V119,0)</f>
      </c>
      <c r="X200" s="350"/>
      <c r="Y200" s="63">
        <f>I200+L200+O200+R200</f>
      </c>
      <c r="Z200" s="63">
        <f>J200+M200+P200+S200</f>
      </c>
      <c r="AA200" s="63">
        <f>K200+N200+Q200+T200</f>
      </c>
      <c r="AB200" s="303"/>
      <c r="AC200" s="303"/>
      <c r="AD200" s="303"/>
      <c r="AE200" s="124"/>
      <c r="AF200" s="142"/>
      <c r="AG200" s="142"/>
      <c r="AH200" s="142"/>
      <c r="AI200" s="142"/>
      <c r="AJ200" s="142"/>
      <c r="AK200" s="142"/>
      <c r="AL200" s="142"/>
      <c r="AM200" s="142"/>
      <c r="AN200" s="142"/>
      <c r="AO200" s="142"/>
      <c r="AP200" s="142"/>
      <c r="AQ200" s="142"/>
      <c r="AR200" s="134"/>
      <c r="AS200" s="3"/>
      <c r="AT200" s="3"/>
      <c r="AU200" s="3"/>
      <c r="AV200" s="3"/>
      <c r="AW200" s="3"/>
      <c r="AX200" s="3"/>
      <c r="AY200" s="3"/>
      <c r="AZ200" s="3"/>
      <c r="BA200" s="3"/>
      <c r="BB200" s="3"/>
      <c r="BC200" s="3"/>
      <c r="BD200" s="3"/>
      <c r="BE200" s="3"/>
      <c r="BF200" s="3"/>
      <c r="BG200" s="3"/>
      <c r="BH200" s="2"/>
      <c r="BI200" s="2"/>
      <c r="BJ200" s="3"/>
      <c r="BK200" s="3"/>
      <c r="BL200" s="3"/>
      <c r="BM200" s="3"/>
      <c r="BN200" s="3"/>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row>
    <row x14ac:dyDescent="0.25" r="201" customHeight="1" ht="13.5">
      <c r="A201" s="2"/>
      <c r="B201" s="200"/>
      <c r="C201" s="2"/>
      <c r="D201" s="123" t="s">
        <v>139</v>
      </c>
      <c r="E201" s="297">
        <f>OCPMarketShares!O155</f>
      </c>
      <c r="F201" s="120">
        <f>E120</f>
      </c>
      <c r="G201" s="120">
        <f>F120</f>
      </c>
      <c r="H201" s="349">
        <f>G120</f>
      </c>
      <c r="I201" s="303">
        <f>IF($E201="Yes",H120,0)</f>
      </c>
      <c r="J201" s="303">
        <f>IF($E201="Yes",I120,0)</f>
      </c>
      <c r="K201" s="306">
        <f>IF($E201="Yes",J120,0)</f>
      </c>
      <c r="L201" s="303">
        <f>IF($E201="Yes",K120,0)</f>
      </c>
      <c r="M201" s="303">
        <f>IF($E201="Yes",L120,0)</f>
      </c>
      <c r="N201" s="306">
        <f>IF($E201="Yes",M120,0)</f>
      </c>
      <c r="O201" s="303">
        <f>IF($E201="Yes",N120,0)</f>
      </c>
      <c r="P201" s="303">
        <f>IF($E201="Yes",O120,0)</f>
      </c>
      <c r="Q201" s="306">
        <f>IF($E201="Yes",P120,0)</f>
      </c>
      <c r="R201" s="303">
        <f>IF($E201="Yes",Q120,0)</f>
      </c>
      <c r="S201" s="303">
        <f>IF($E201="Yes",R120,0)</f>
      </c>
      <c r="T201" s="306">
        <f>IF($E201="Yes",S120,0)</f>
      </c>
      <c r="U201" s="303">
        <f>IF($E201="Yes",T120,0)</f>
      </c>
      <c r="V201" s="303">
        <f>IF($E201="Yes",U120,0)</f>
      </c>
      <c r="W201" s="303">
        <f>IF($E201="Yes",V120,0)</f>
      </c>
      <c r="X201" s="350"/>
      <c r="Y201" s="63">
        <f>I201+L201+O201+R201</f>
      </c>
      <c r="Z201" s="63">
        <f>J201+M201+P201+S201</f>
      </c>
      <c r="AA201" s="63">
        <f>K201+N201+Q201+T201</f>
      </c>
      <c r="AB201" s="303"/>
      <c r="AC201" s="303"/>
      <c r="AD201" s="303"/>
      <c r="AE201" s="124"/>
      <c r="AF201" s="142"/>
      <c r="AG201" s="142"/>
      <c r="AH201" s="142"/>
      <c r="AI201" s="142"/>
      <c r="AJ201" s="142"/>
      <c r="AK201" s="142"/>
      <c r="AL201" s="142"/>
      <c r="AM201" s="142"/>
      <c r="AN201" s="142"/>
      <c r="AO201" s="142"/>
      <c r="AP201" s="142"/>
      <c r="AQ201" s="142"/>
      <c r="AR201" s="134"/>
      <c r="AS201" s="3"/>
      <c r="AT201" s="3"/>
      <c r="AU201" s="3"/>
      <c r="AV201" s="3"/>
      <c r="AW201" s="3"/>
      <c r="AX201" s="3"/>
      <c r="AY201" s="3"/>
      <c r="AZ201" s="3"/>
      <c r="BA201" s="3"/>
      <c r="BB201" s="3"/>
      <c r="BC201" s="3"/>
      <c r="BD201" s="3"/>
      <c r="BE201" s="3"/>
      <c r="BF201" s="3"/>
      <c r="BG201" s="3"/>
      <c r="BH201" s="2"/>
      <c r="BI201" s="2"/>
      <c r="BJ201" s="3"/>
      <c r="BK201" s="3"/>
      <c r="BL201" s="3"/>
      <c r="BM201" s="3"/>
      <c r="BN201" s="3"/>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row>
    <row x14ac:dyDescent="0.25" r="202" customHeight="1" ht="13.5">
      <c r="A202" s="2"/>
      <c r="B202" s="200"/>
      <c r="C202" s="2"/>
      <c r="D202" s="123" t="s">
        <v>241</v>
      </c>
      <c r="E202" s="297">
        <f>OCPMarketShares!O156</f>
      </c>
      <c r="F202" s="120">
        <f>E121</f>
      </c>
      <c r="G202" s="120">
        <f>F121</f>
      </c>
      <c r="H202" s="349">
        <f>G121</f>
      </c>
      <c r="I202" s="303">
        <f>IF($E202="Yes",H121,0)</f>
      </c>
      <c r="J202" s="303">
        <f>IF($E202="Yes",I121,0)</f>
      </c>
      <c r="K202" s="306">
        <f>IF($E202="Yes",J121,0)</f>
      </c>
      <c r="L202" s="303">
        <f>IF($E202="Yes",K121,0)</f>
      </c>
      <c r="M202" s="303">
        <f>IF($E202="Yes",L121,0)</f>
      </c>
      <c r="N202" s="306">
        <f>IF($E202="Yes",M121,0)</f>
      </c>
      <c r="O202" s="303">
        <f>IF($E202="Yes",N121,0)</f>
      </c>
      <c r="P202" s="303">
        <f>IF($E202="Yes",O121,0)</f>
      </c>
      <c r="Q202" s="306">
        <f>IF($E202="Yes",P121,0)</f>
      </c>
      <c r="R202" s="303">
        <f>IF($E202="Yes",Q121,0)</f>
      </c>
      <c r="S202" s="303">
        <f>IF($E202="Yes",R121,0)</f>
      </c>
      <c r="T202" s="306">
        <f>IF($E202="Yes",S121,0)</f>
      </c>
      <c r="U202" s="303">
        <f>IF($E202="Yes",T121,0)</f>
      </c>
      <c r="V202" s="303">
        <f>IF($E202="Yes",U121,0)</f>
      </c>
      <c r="W202" s="303">
        <f>IF($E202="Yes",V121,0)</f>
      </c>
      <c r="X202" s="350"/>
      <c r="Y202" s="63">
        <f>I202+L202+O202+R202</f>
      </c>
      <c r="Z202" s="63">
        <f>J202+M202+P202+S202</f>
      </c>
      <c r="AA202" s="63">
        <f>K202+N202+Q202+T202</f>
      </c>
      <c r="AB202" s="303"/>
      <c r="AC202" s="303"/>
      <c r="AD202" s="303"/>
      <c r="AE202" s="124"/>
      <c r="AF202" s="142"/>
      <c r="AG202" s="142"/>
      <c r="AH202" s="142"/>
      <c r="AI202" s="142"/>
      <c r="AJ202" s="142"/>
      <c r="AK202" s="142"/>
      <c r="AL202" s="142"/>
      <c r="AM202" s="142"/>
      <c r="AN202" s="142"/>
      <c r="AO202" s="142"/>
      <c r="AP202" s="142"/>
      <c r="AQ202" s="142"/>
      <c r="AR202" s="134"/>
      <c r="AS202" s="3"/>
      <c r="AT202" s="3"/>
      <c r="AU202" s="3"/>
      <c r="AV202" s="3"/>
      <c r="AW202" s="3"/>
      <c r="AX202" s="3"/>
      <c r="AY202" s="3"/>
      <c r="AZ202" s="3"/>
      <c r="BA202" s="3"/>
      <c r="BB202" s="3"/>
      <c r="BC202" s="3"/>
      <c r="BD202" s="3"/>
      <c r="BE202" s="3"/>
      <c r="BF202" s="3"/>
      <c r="BG202" s="3"/>
      <c r="BH202" s="2"/>
      <c r="BI202" s="2"/>
      <c r="BJ202" s="3"/>
      <c r="BK202" s="3"/>
      <c r="BL202" s="3"/>
      <c r="BM202" s="3"/>
      <c r="BN202" s="3"/>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row>
    <row x14ac:dyDescent="0.25" r="203" customHeight="1" ht="13.5">
      <c r="A203" s="2"/>
      <c r="B203" s="200"/>
      <c r="C203" s="2"/>
      <c r="D203" s="123" t="s">
        <v>249</v>
      </c>
      <c r="E203" s="297">
        <f>OCPMarketShares!O157</f>
      </c>
      <c r="F203" s="120">
        <f>E122</f>
      </c>
      <c r="G203" s="120">
        <f>F122</f>
      </c>
      <c r="H203" s="349">
        <f>G122</f>
      </c>
      <c r="I203" s="303">
        <f>IF($E203="Yes",H122,0)</f>
      </c>
      <c r="J203" s="303">
        <f>IF($E203="Yes",I122,0)</f>
      </c>
      <c r="K203" s="306">
        <f>IF($E203="Yes",J122,0)</f>
      </c>
      <c r="L203" s="303">
        <f>IF($E203="Yes",K122,0)</f>
      </c>
      <c r="M203" s="303">
        <f>IF($E203="Yes",L122,0)</f>
      </c>
      <c r="N203" s="306">
        <f>IF($E203="Yes",M122,0)</f>
      </c>
      <c r="O203" s="303">
        <f>IF($E203="Yes",N122,0)</f>
      </c>
      <c r="P203" s="303">
        <f>IF($E203="Yes",O122,0)</f>
      </c>
      <c r="Q203" s="306">
        <f>IF($E203="Yes",P122,0)</f>
      </c>
      <c r="R203" s="303">
        <f>IF($E203="Yes",Q122,0)</f>
      </c>
      <c r="S203" s="303">
        <f>IF($E203="Yes",R122,0)</f>
      </c>
      <c r="T203" s="306">
        <f>IF($E203="Yes",S122,0)</f>
      </c>
      <c r="U203" s="303">
        <f>IF($E203="Yes",T122,0)</f>
      </c>
      <c r="V203" s="303">
        <f>IF($E203="Yes",U122,0)</f>
      </c>
      <c r="W203" s="303">
        <f>IF($E203="Yes",V122,0)</f>
      </c>
      <c r="X203" s="350"/>
      <c r="Y203" s="63">
        <f>I203+L203+O203+R203</f>
      </c>
      <c r="Z203" s="63">
        <f>J203+M203+P203+S203</f>
      </c>
      <c r="AA203" s="63">
        <f>K203+N203+Q203+T203</f>
      </c>
      <c r="AB203" s="303"/>
      <c r="AC203" s="303"/>
      <c r="AD203" s="303"/>
      <c r="AE203" s="124"/>
      <c r="AF203" s="142"/>
      <c r="AG203" s="142"/>
      <c r="AH203" s="142"/>
      <c r="AI203" s="142"/>
      <c r="AJ203" s="142"/>
      <c r="AK203" s="142"/>
      <c r="AL203" s="142"/>
      <c r="AM203" s="142"/>
      <c r="AN203" s="142"/>
      <c r="AO203" s="142"/>
      <c r="AP203" s="142"/>
      <c r="AQ203" s="142"/>
      <c r="AR203" s="134"/>
      <c r="AS203" s="3"/>
      <c r="AT203" s="3"/>
      <c r="AU203" s="3"/>
      <c r="AV203" s="3"/>
      <c r="AW203" s="3"/>
      <c r="AX203" s="3"/>
      <c r="AY203" s="3"/>
      <c r="AZ203" s="3"/>
      <c r="BA203" s="3"/>
      <c r="BB203" s="3"/>
      <c r="BC203" s="3"/>
      <c r="BD203" s="3"/>
      <c r="BE203" s="3"/>
      <c r="BF203" s="3"/>
      <c r="BG203" s="3"/>
      <c r="BH203" s="2"/>
      <c r="BI203" s="2"/>
      <c r="BJ203" s="3"/>
      <c r="BK203" s="3"/>
      <c r="BL203" s="3"/>
      <c r="BM203" s="3"/>
      <c r="BN203" s="3"/>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row>
    <row x14ac:dyDescent="0.25" r="204" customHeight="1" ht="13.5">
      <c r="A204" s="2"/>
      <c r="B204" s="200"/>
      <c r="C204" s="2"/>
      <c r="D204" s="123" t="s">
        <v>235</v>
      </c>
      <c r="E204" s="297">
        <f>OCPMarketShares!O158</f>
      </c>
      <c r="F204" s="120">
        <f>E123</f>
      </c>
      <c r="G204" s="120">
        <f>F123</f>
      </c>
      <c r="H204" s="349">
        <f>G123</f>
      </c>
      <c r="I204" s="303">
        <f>IF($E204="Yes",H123,0)</f>
      </c>
      <c r="J204" s="303">
        <f>IF($E204="Yes",I123,0)</f>
      </c>
      <c r="K204" s="306">
        <f>IF($E204="Yes",J123,0)</f>
      </c>
      <c r="L204" s="303">
        <f>IF($E204="Yes",K123,0)</f>
      </c>
      <c r="M204" s="303">
        <f>IF($E204="Yes",L123,0)</f>
      </c>
      <c r="N204" s="306">
        <f>IF($E204="Yes",M123,0)</f>
      </c>
      <c r="O204" s="303">
        <f>IF($E204="Yes",N123,0)</f>
      </c>
      <c r="P204" s="303">
        <f>IF($E204="Yes",O123,0)</f>
      </c>
      <c r="Q204" s="306">
        <f>IF($E204="Yes",P123,0)</f>
      </c>
      <c r="R204" s="303">
        <f>IF($E204="Yes",Q123,0)</f>
      </c>
      <c r="S204" s="303">
        <f>IF($E204="Yes",R123,0)</f>
      </c>
      <c r="T204" s="306">
        <f>IF($E204="Yes",S123,0)</f>
      </c>
      <c r="U204" s="303">
        <f>IF($E204="Yes",T123,0)</f>
      </c>
      <c r="V204" s="303">
        <f>IF($E204="Yes",U123,0)</f>
      </c>
      <c r="W204" s="303">
        <f>IF($E204="Yes",V123,0)</f>
      </c>
      <c r="X204" s="350"/>
      <c r="Y204" s="63">
        <f>I204+L204+O204+R204</f>
      </c>
      <c r="Z204" s="63">
        <f>J204+M204+P204+S204</f>
      </c>
      <c r="AA204" s="63">
        <f>K204+N204+Q204+T204</f>
      </c>
      <c r="AB204" s="303"/>
      <c r="AC204" s="303"/>
      <c r="AD204" s="303"/>
      <c r="AE204" s="124"/>
      <c r="AF204" s="142"/>
      <c r="AG204" s="142"/>
      <c r="AH204" s="142"/>
      <c r="AI204" s="142"/>
      <c r="AJ204" s="142"/>
      <c r="AK204" s="142"/>
      <c r="AL204" s="142"/>
      <c r="AM204" s="142"/>
      <c r="AN204" s="142"/>
      <c r="AO204" s="142"/>
      <c r="AP204" s="142"/>
      <c r="AQ204" s="142"/>
      <c r="AR204" s="134"/>
      <c r="AS204" s="3"/>
      <c r="AT204" s="3"/>
      <c r="AU204" s="3"/>
      <c r="AV204" s="3"/>
      <c r="AW204" s="3"/>
      <c r="AX204" s="3"/>
      <c r="AY204" s="3"/>
      <c r="AZ204" s="3"/>
      <c r="BA204" s="3"/>
      <c r="BB204" s="3"/>
      <c r="BC204" s="3"/>
      <c r="BD204" s="3"/>
      <c r="BE204" s="3"/>
      <c r="BF204" s="3"/>
      <c r="BG204" s="3"/>
      <c r="BH204" s="2"/>
      <c r="BI204" s="2"/>
      <c r="BJ204" s="3"/>
      <c r="BK204" s="3"/>
      <c r="BL204" s="3"/>
      <c r="BM204" s="3"/>
      <c r="BN204" s="3"/>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row>
    <row x14ac:dyDescent="0.25" r="205" customHeight="1" ht="13.5">
      <c r="A205" s="2"/>
      <c r="B205" s="200"/>
      <c r="C205" s="2"/>
      <c r="D205" s="123" t="s">
        <v>125</v>
      </c>
      <c r="E205" s="297">
        <f>OCPMarketShares!O159</f>
      </c>
      <c r="F205" s="120">
        <f>E124</f>
      </c>
      <c r="G205" s="120">
        <f>F124</f>
      </c>
      <c r="H205" s="349">
        <f>G124</f>
      </c>
      <c r="I205" s="303">
        <f>IF($E205="Yes",H124,0)</f>
      </c>
      <c r="J205" s="303">
        <f>IF($E205="Yes",I124,0)</f>
      </c>
      <c r="K205" s="306">
        <f>IF($E205="Yes",J124,0)</f>
      </c>
      <c r="L205" s="303">
        <f>IF($E205="Yes",K124,0)</f>
      </c>
      <c r="M205" s="303">
        <f>IF($E205="Yes",L124,0)</f>
      </c>
      <c r="N205" s="306">
        <f>IF($E205="Yes",M124,0)</f>
      </c>
      <c r="O205" s="303">
        <f>IF($E205="Yes",N124,0)</f>
      </c>
      <c r="P205" s="303">
        <f>IF($E205="Yes",O124,0)</f>
      </c>
      <c r="Q205" s="306">
        <f>IF($E205="Yes",P124,0)</f>
      </c>
      <c r="R205" s="303">
        <f>IF($E205="Yes",Q124,0)</f>
      </c>
      <c r="S205" s="303">
        <f>IF($E205="Yes",R124,0)</f>
      </c>
      <c r="T205" s="306">
        <f>IF($E205="Yes",S124,0)</f>
      </c>
      <c r="U205" s="303">
        <f>IF($E205="Yes",T124,0)</f>
      </c>
      <c r="V205" s="303">
        <f>IF($E205="Yes",U124,0)</f>
      </c>
      <c r="W205" s="303">
        <f>IF($E205="Yes",V124,0)</f>
      </c>
      <c r="X205" s="350"/>
      <c r="Y205" s="63">
        <f>I205+L205+O205+R205</f>
      </c>
      <c r="Z205" s="63">
        <f>J205+M205+P205+S205</f>
      </c>
      <c r="AA205" s="63">
        <f>K205+N205+Q205+T205</f>
      </c>
      <c r="AB205" s="303"/>
      <c r="AC205" s="303"/>
      <c r="AD205" s="303"/>
      <c r="AE205" s="124"/>
      <c r="AF205" s="142"/>
      <c r="AG205" s="142"/>
      <c r="AH205" s="142"/>
      <c r="AI205" s="142"/>
      <c r="AJ205" s="142"/>
      <c r="AK205" s="142"/>
      <c r="AL205" s="142"/>
      <c r="AM205" s="142"/>
      <c r="AN205" s="142"/>
      <c r="AO205" s="142"/>
      <c r="AP205" s="142"/>
      <c r="AQ205" s="142"/>
      <c r="AR205" s="134"/>
      <c r="AS205" s="3"/>
      <c r="AT205" s="3"/>
      <c r="AU205" s="3"/>
      <c r="AV205" s="3"/>
      <c r="AW205" s="3"/>
      <c r="AX205" s="3"/>
      <c r="AY205" s="3"/>
      <c r="AZ205" s="3"/>
      <c r="BA205" s="3"/>
      <c r="BB205" s="3"/>
      <c r="BC205" s="3"/>
      <c r="BD205" s="3"/>
      <c r="BE205" s="3"/>
      <c r="BF205" s="3"/>
      <c r="BG205" s="3"/>
      <c r="BH205" s="2"/>
      <c r="BI205" s="2"/>
      <c r="BJ205" s="3"/>
      <c r="BK205" s="3"/>
      <c r="BL205" s="3"/>
      <c r="BM205" s="3"/>
      <c r="BN205" s="3"/>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row>
    <row x14ac:dyDescent="0.25" r="206" customHeight="1" ht="13.5">
      <c r="A206" s="2"/>
      <c r="B206" s="200"/>
      <c r="C206" s="2"/>
      <c r="D206" s="123" t="s">
        <v>209</v>
      </c>
      <c r="E206" s="297">
        <f>OCPMarketShares!O160</f>
      </c>
      <c r="F206" s="120">
        <f>E125</f>
      </c>
      <c r="G206" s="120">
        <f>F125</f>
      </c>
      <c r="H206" s="349">
        <f>G125</f>
      </c>
      <c r="I206" s="303">
        <f>IF($E206="Yes",H125,0)</f>
      </c>
      <c r="J206" s="303">
        <f>IF($E206="Yes",I125,0)</f>
      </c>
      <c r="K206" s="306">
        <f>IF($E206="Yes",J125,0)</f>
      </c>
      <c r="L206" s="303">
        <f>IF($E206="Yes",K125,0)</f>
      </c>
      <c r="M206" s="303">
        <f>IF($E206="Yes",L125,0)</f>
      </c>
      <c r="N206" s="306">
        <f>IF($E206="Yes",M125,0)</f>
      </c>
      <c r="O206" s="303">
        <f>IF($E206="Yes",N125,0)</f>
      </c>
      <c r="P206" s="303">
        <f>IF($E206="Yes",O125,0)</f>
      </c>
      <c r="Q206" s="306">
        <f>IF($E206="Yes",P125,0)</f>
      </c>
      <c r="R206" s="303">
        <f>IF($E206="Yes",Q125,0)</f>
      </c>
      <c r="S206" s="303">
        <f>IF($E206="Yes",R125,0)</f>
      </c>
      <c r="T206" s="306">
        <f>IF($E206="Yes",S125,0)</f>
      </c>
      <c r="U206" s="303">
        <f>IF($E206="Yes",T125,0)</f>
      </c>
      <c r="V206" s="303">
        <f>IF($E206="Yes",U125,0)</f>
      </c>
      <c r="W206" s="303">
        <f>IF($E206="Yes",V125,0)</f>
      </c>
      <c r="X206" s="350"/>
      <c r="Y206" s="63">
        <f>I206+L206+O206+R206</f>
      </c>
      <c r="Z206" s="63">
        <f>J206+M206+P206+S206</f>
      </c>
      <c r="AA206" s="63">
        <f>K206+N206+Q206+T206</f>
      </c>
      <c r="AB206" s="303"/>
      <c r="AC206" s="303"/>
      <c r="AD206" s="303"/>
      <c r="AE206" s="124"/>
      <c r="AF206" s="142"/>
      <c r="AG206" s="142"/>
      <c r="AH206" s="142"/>
      <c r="AI206" s="142"/>
      <c r="AJ206" s="142"/>
      <c r="AK206" s="142"/>
      <c r="AL206" s="142"/>
      <c r="AM206" s="142"/>
      <c r="AN206" s="142"/>
      <c r="AO206" s="142"/>
      <c r="AP206" s="142"/>
      <c r="AQ206" s="142"/>
      <c r="AR206" s="134"/>
      <c r="AS206" s="3"/>
      <c r="AT206" s="3"/>
      <c r="AU206" s="3"/>
      <c r="AV206" s="3"/>
      <c r="AW206" s="3"/>
      <c r="AX206" s="3"/>
      <c r="AY206" s="3"/>
      <c r="AZ206" s="3"/>
      <c r="BA206" s="3"/>
      <c r="BB206" s="3"/>
      <c r="BC206" s="3"/>
      <c r="BD206" s="3"/>
      <c r="BE206" s="3"/>
      <c r="BF206" s="3"/>
      <c r="BG206" s="3"/>
      <c r="BH206" s="2"/>
      <c r="BI206" s="2"/>
      <c r="BJ206" s="3"/>
      <c r="BK206" s="3"/>
      <c r="BL206" s="3"/>
      <c r="BM206" s="3"/>
      <c r="BN206" s="3"/>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row>
    <row x14ac:dyDescent="0.25" r="207" customHeight="1" ht="13.5">
      <c r="A207" s="2"/>
      <c r="B207" s="200"/>
      <c r="C207" s="2"/>
      <c r="D207" s="123" t="s">
        <v>223</v>
      </c>
      <c r="E207" s="297">
        <f>OCPMarketShares!O161</f>
      </c>
      <c r="F207" s="120">
        <f>E126</f>
      </c>
      <c r="G207" s="120">
        <f>F126</f>
      </c>
      <c r="H207" s="349">
        <f>G126</f>
      </c>
      <c r="I207" s="303">
        <f>IF($E207="Yes",H126,0)</f>
      </c>
      <c r="J207" s="303">
        <f>IF($E207="Yes",I126,0)</f>
      </c>
      <c r="K207" s="306">
        <f>IF($E207="Yes",J126,0)</f>
      </c>
      <c r="L207" s="303">
        <f>IF($E207="Yes",K126,0)</f>
      </c>
      <c r="M207" s="303">
        <f>IF($E207="Yes",L126,0)</f>
      </c>
      <c r="N207" s="306">
        <f>IF($E207="Yes",M126,0)</f>
      </c>
      <c r="O207" s="303">
        <f>IF($E207="Yes",N126,0)</f>
      </c>
      <c r="P207" s="303">
        <f>IF($E207="Yes",O126,0)</f>
      </c>
      <c r="Q207" s="306">
        <f>IF($E207="Yes",P126,0)</f>
      </c>
      <c r="R207" s="303">
        <f>IF($E207="Yes",Q126,0)</f>
      </c>
      <c r="S207" s="303">
        <f>IF($E207="Yes",R126,0)</f>
      </c>
      <c r="T207" s="306">
        <f>IF($E207="Yes",S126,0)</f>
      </c>
      <c r="U207" s="303">
        <f>IF($E207="Yes",T126,0)</f>
      </c>
      <c r="V207" s="303">
        <f>IF($E207="Yes",U126,0)</f>
      </c>
      <c r="W207" s="303">
        <f>IF($E207="Yes",V126,0)</f>
      </c>
      <c r="X207" s="350"/>
      <c r="Y207" s="63">
        <f>I207+L207+O207+R207</f>
      </c>
      <c r="Z207" s="63">
        <f>J207+M207+P207+S207</f>
      </c>
      <c r="AA207" s="63">
        <f>K207+N207+Q207+T207</f>
      </c>
      <c r="AB207" s="303"/>
      <c r="AC207" s="303"/>
      <c r="AD207" s="303"/>
      <c r="AE207" s="124"/>
      <c r="AF207" s="142"/>
      <c r="AG207" s="142"/>
      <c r="AH207" s="142"/>
      <c r="AI207" s="142"/>
      <c r="AJ207" s="142"/>
      <c r="AK207" s="142"/>
      <c r="AL207" s="142"/>
      <c r="AM207" s="142"/>
      <c r="AN207" s="142"/>
      <c r="AO207" s="142"/>
      <c r="AP207" s="142"/>
      <c r="AQ207" s="142"/>
      <c r="AR207" s="134"/>
      <c r="AS207" s="3"/>
      <c r="AT207" s="3"/>
      <c r="AU207" s="3"/>
      <c r="AV207" s="3"/>
      <c r="AW207" s="3"/>
      <c r="AX207" s="3"/>
      <c r="AY207" s="3"/>
      <c r="AZ207" s="3"/>
      <c r="BA207" s="3"/>
      <c r="BB207" s="3"/>
      <c r="BC207" s="3"/>
      <c r="BD207" s="3"/>
      <c r="BE207" s="3"/>
      <c r="BF207" s="3"/>
      <c r="BG207" s="3"/>
      <c r="BH207" s="2"/>
      <c r="BI207" s="2"/>
      <c r="BJ207" s="3"/>
      <c r="BK207" s="3"/>
      <c r="BL207" s="3"/>
      <c r="BM207" s="3"/>
      <c r="BN207" s="3"/>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row>
    <row x14ac:dyDescent="0.25" r="208" customHeight="1" ht="13.5">
      <c r="A208" s="2"/>
      <c r="B208" s="200"/>
      <c r="C208" s="2"/>
      <c r="D208" s="123" t="s">
        <v>183</v>
      </c>
      <c r="E208" s="297">
        <f>OCPMarketShares!O162</f>
      </c>
      <c r="F208" s="120">
        <f>E127</f>
      </c>
      <c r="G208" s="120">
        <f>F127</f>
      </c>
      <c r="H208" s="349">
        <f>G127</f>
      </c>
      <c r="I208" s="303">
        <f>IF($E208="Yes",H127,0)</f>
      </c>
      <c r="J208" s="303">
        <f>IF($E208="Yes",I127,0)</f>
      </c>
      <c r="K208" s="306">
        <f>IF($E208="Yes",J127,0)</f>
      </c>
      <c r="L208" s="303">
        <f>IF($E208="Yes",K127,0)</f>
      </c>
      <c r="M208" s="303">
        <f>IF($E208="Yes",L127,0)</f>
      </c>
      <c r="N208" s="306">
        <f>IF($E208="Yes",M127,0)</f>
      </c>
      <c r="O208" s="303">
        <f>IF($E208="Yes",N127,0)</f>
      </c>
      <c r="P208" s="303">
        <f>IF($E208="Yes",O127,0)</f>
      </c>
      <c r="Q208" s="306">
        <f>IF($E208="Yes",P127,0)</f>
      </c>
      <c r="R208" s="303">
        <f>IF($E208="Yes",Q127,0)</f>
      </c>
      <c r="S208" s="303">
        <f>IF($E208="Yes",R127,0)</f>
      </c>
      <c r="T208" s="306">
        <f>IF($E208="Yes",S127,0)</f>
      </c>
      <c r="U208" s="303">
        <f>IF($E208="Yes",T127,0)</f>
      </c>
      <c r="V208" s="303">
        <f>IF($E208="Yes",U127,0)</f>
      </c>
      <c r="W208" s="303">
        <f>IF($E208="Yes",V127,0)</f>
      </c>
      <c r="X208" s="350"/>
      <c r="Y208" s="63">
        <f>I208+L208+O208+R208</f>
      </c>
      <c r="Z208" s="63">
        <f>J208+M208+P208+S208</f>
      </c>
      <c r="AA208" s="63">
        <f>K208+N208+Q208+T208</f>
      </c>
      <c r="AB208" s="303"/>
      <c r="AC208" s="303"/>
      <c r="AD208" s="303"/>
      <c r="AE208" s="124"/>
      <c r="AF208" s="142"/>
      <c r="AG208" s="142"/>
      <c r="AH208" s="142"/>
      <c r="AI208" s="142"/>
      <c r="AJ208" s="142"/>
      <c r="AK208" s="142"/>
      <c r="AL208" s="142"/>
      <c r="AM208" s="142"/>
      <c r="AN208" s="142"/>
      <c r="AO208" s="142"/>
      <c r="AP208" s="142"/>
      <c r="AQ208" s="142"/>
      <c r="AR208" s="134"/>
      <c r="AS208" s="3"/>
      <c r="AT208" s="3"/>
      <c r="AU208" s="3"/>
      <c r="AV208" s="3"/>
      <c r="AW208" s="3"/>
      <c r="AX208" s="3"/>
      <c r="AY208" s="3"/>
      <c r="AZ208" s="3"/>
      <c r="BA208" s="3"/>
      <c r="BB208" s="3"/>
      <c r="BC208" s="3"/>
      <c r="BD208" s="3"/>
      <c r="BE208" s="3"/>
      <c r="BF208" s="3"/>
      <c r="BG208" s="3"/>
      <c r="BH208" s="2"/>
      <c r="BI208" s="2"/>
      <c r="BJ208" s="3"/>
      <c r="BK208" s="3"/>
      <c r="BL208" s="3"/>
      <c r="BM208" s="3"/>
      <c r="BN208" s="3"/>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row>
    <row x14ac:dyDescent="0.25" r="209" customHeight="1" ht="13.5">
      <c r="A209" s="2"/>
      <c r="B209" s="200"/>
      <c r="C209" s="2"/>
      <c r="D209" s="123" t="s">
        <v>161</v>
      </c>
      <c r="E209" s="297">
        <f>OCPMarketShares!O163</f>
      </c>
      <c r="F209" s="120">
        <f>E128</f>
      </c>
      <c r="G209" s="120">
        <f>F128</f>
      </c>
      <c r="H209" s="349">
        <f>G128</f>
      </c>
      <c r="I209" s="303">
        <f>IF($E209="Yes",H128,0)</f>
      </c>
      <c r="J209" s="303">
        <f>IF($E209="Yes",I128,0)</f>
      </c>
      <c r="K209" s="306">
        <f>IF($E209="Yes",J128,0)</f>
      </c>
      <c r="L209" s="303">
        <f>IF($E209="Yes",K128,0)</f>
      </c>
      <c r="M209" s="303">
        <f>IF($E209="Yes",L128,0)</f>
      </c>
      <c r="N209" s="306">
        <f>IF($E209="Yes",M128,0)</f>
      </c>
      <c r="O209" s="303">
        <f>IF($E209="Yes",N128,0)</f>
      </c>
      <c r="P209" s="303">
        <f>IF($E209="Yes",O128,0)</f>
      </c>
      <c r="Q209" s="306">
        <f>IF($E209="Yes",P128,0)</f>
      </c>
      <c r="R209" s="303">
        <f>IF($E209="Yes",T128,0)</f>
      </c>
      <c r="S209" s="303">
        <f>IF($E209="Yes",U128,0)</f>
      </c>
      <c r="T209" s="306">
        <f>IF($E209="Yes",V128,0)</f>
      </c>
      <c r="U209" s="303">
        <f>IF($E209="Yes",T128,0)</f>
      </c>
      <c r="V209" s="303">
        <f>IF($E209="Yes",U128,0)</f>
      </c>
      <c r="W209" s="303">
        <f>IF($E209="Yes",V128,0)</f>
      </c>
      <c r="X209" s="350"/>
      <c r="Y209" s="63">
        <f>I209+L209+O209+R209</f>
      </c>
      <c r="Z209" s="63">
        <f>J209+M209+P209+S209</f>
      </c>
      <c r="AA209" s="63">
        <f>K209+N209+Q209+T209</f>
      </c>
      <c r="AB209" s="303"/>
      <c r="AC209" s="303"/>
      <c r="AD209" s="303"/>
      <c r="AE209" s="124"/>
      <c r="AF209" s="142"/>
      <c r="AG209" s="142"/>
      <c r="AH209" s="142"/>
      <c r="AI209" s="142"/>
      <c r="AJ209" s="142"/>
      <c r="AK209" s="142"/>
      <c r="AL209" s="142"/>
      <c r="AM209" s="142"/>
      <c r="AN209" s="142"/>
      <c r="AO209" s="142"/>
      <c r="AP209" s="142"/>
      <c r="AQ209" s="142"/>
      <c r="AR209" s="134"/>
      <c r="AS209" s="3"/>
      <c r="AT209" s="3"/>
      <c r="AU209" s="3"/>
      <c r="AV209" s="3"/>
      <c r="AW209" s="3"/>
      <c r="AX209" s="3"/>
      <c r="AY209" s="3"/>
      <c r="AZ209" s="3"/>
      <c r="BA209" s="3"/>
      <c r="BB209" s="3"/>
      <c r="BC209" s="3"/>
      <c r="BD209" s="3"/>
      <c r="BE209" s="3"/>
      <c r="BF209" s="3"/>
      <c r="BG209" s="3"/>
      <c r="BH209" s="2"/>
      <c r="BI209" s="2"/>
      <c r="BJ209" s="3"/>
      <c r="BK209" s="3"/>
      <c r="BL209" s="3"/>
      <c r="BM209" s="3"/>
      <c r="BN209" s="3"/>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row>
    <row x14ac:dyDescent="0.25" r="210" customHeight="1" ht="13.5">
      <c r="A210" s="2"/>
      <c r="B210" s="200"/>
      <c r="C210" s="2"/>
      <c r="D210" s="123" t="s">
        <v>219</v>
      </c>
      <c r="E210" s="297">
        <f>OCPMarketShares!O164</f>
      </c>
      <c r="F210" s="120">
        <f>E129</f>
      </c>
      <c r="G210" s="120">
        <f>F129</f>
      </c>
      <c r="H210" s="349">
        <f>G129</f>
      </c>
      <c r="I210" s="303">
        <f>IF($E210="Yes",H129,0)</f>
      </c>
      <c r="J210" s="303">
        <f>IF($E210="Yes",I129,0)</f>
      </c>
      <c r="K210" s="306">
        <f>IF($E210="Yes",J129,0)</f>
      </c>
      <c r="L210" s="303">
        <f>IF($E210="Yes",K129,0)</f>
      </c>
      <c r="M210" s="303">
        <f>IF($E210="Yes",L129,0)</f>
      </c>
      <c r="N210" s="306">
        <f>IF($E210="Yes",M129,0)</f>
      </c>
      <c r="O210" s="303">
        <f>IF($E210="Yes",N129,0)</f>
      </c>
      <c r="P210" s="303">
        <f>IF($E210="Yes",O129,0)</f>
      </c>
      <c r="Q210" s="306">
        <f>IF($E210="Yes",P129,0)</f>
      </c>
      <c r="R210" s="303">
        <f>IF($E210="Yes",Q129,0)</f>
      </c>
      <c r="S210" s="303">
        <f>IF($E210="Yes",R129,0)</f>
      </c>
      <c r="T210" s="306">
        <f>IF($E210="Yes",S129,0)</f>
      </c>
      <c r="U210" s="303">
        <f>IF($E210="Yes",T129,0)</f>
      </c>
      <c r="V210" s="303">
        <f>IF($E210="Yes",U129,0)</f>
      </c>
      <c r="W210" s="303">
        <f>IF($E210="Yes",V129,0)</f>
      </c>
      <c r="X210" s="350"/>
      <c r="Y210" s="63">
        <f>I210+L210+O210+R210</f>
      </c>
      <c r="Z210" s="63">
        <f>J210+M210+P210+S210</f>
      </c>
      <c r="AA210" s="63">
        <f>K210+N210+Q210+T210</f>
      </c>
      <c r="AB210" s="303"/>
      <c r="AC210" s="303"/>
      <c r="AD210" s="303"/>
      <c r="AE210" s="124"/>
      <c r="AF210" s="142"/>
      <c r="AG210" s="142"/>
      <c r="AH210" s="142"/>
      <c r="AI210" s="142"/>
      <c r="AJ210" s="142"/>
      <c r="AK210" s="142"/>
      <c r="AL210" s="142"/>
      <c r="AM210" s="142"/>
      <c r="AN210" s="142"/>
      <c r="AO210" s="142"/>
      <c r="AP210" s="142"/>
      <c r="AQ210" s="142"/>
      <c r="AR210" s="134"/>
      <c r="AS210" s="3"/>
      <c r="AT210" s="3"/>
      <c r="AU210" s="3"/>
      <c r="AV210" s="3"/>
      <c r="AW210" s="3"/>
      <c r="AX210" s="3"/>
      <c r="AY210" s="3"/>
      <c r="AZ210" s="3"/>
      <c r="BA210" s="3"/>
      <c r="BB210" s="3"/>
      <c r="BC210" s="3"/>
      <c r="BD210" s="3"/>
      <c r="BE210" s="3"/>
      <c r="BF210" s="3"/>
      <c r="BG210" s="3"/>
      <c r="BH210" s="2"/>
      <c r="BI210" s="2"/>
      <c r="BJ210" s="3"/>
      <c r="BK210" s="3"/>
      <c r="BL210" s="3"/>
      <c r="BM210" s="3"/>
      <c r="BN210" s="3"/>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row>
    <row x14ac:dyDescent="0.25" r="211" customHeight="1" ht="13.5">
      <c r="A211" s="2"/>
      <c r="B211" s="200"/>
      <c r="C211" s="2"/>
      <c r="D211" s="123" t="s">
        <v>159</v>
      </c>
      <c r="E211" s="297">
        <f>OCPMarketShares!O165</f>
      </c>
      <c r="F211" s="120">
        <f>E130</f>
      </c>
      <c r="G211" s="120">
        <f>F130</f>
      </c>
      <c r="H211" s="349">
        <f>G130</f>
      </c>
      <c r="I211" s="303">
        <f>IF($E211="Yes",H130,0)</f>
      </c>
      <c r="J211" s="303">
        <f>IF($E211="Yes",I130,0)</f>
      </c>
      <c r="K211" s="306">
        <f>IF($E211="Yes",J130,0)</f>
      </c>
      <c r="L211" s="303">
        <f>IF($E211="Yes",K130,0)</f>
      </c>
      <c r="M211" s="303">
        <f>IF($E211="Yes",L130,0)</f>
      </c>
      <c r="N211" s="306">
        <f>IF($E211="Yes",M130,0)</f>
      </c>
      <c r="O211" s="303">
        <f>IF($E211="Yes",N130,0)</f>
      </c>
      <c r="P211" s="303">
        <f>IF($E211="Yes",O130,0)</f>
      </c>
      <c r="Q211" s="306">
        <f>IF($E211="Yes",P130,0)</f>
      </c>
      <c r="R211" s="303">
        <f>IF($E211="Yes",Q130,0)</f>
      </c>
      <c r="S211" s="303">
        <f>IF($E211="Yes",R130,0)</f>
      </c>
      <c r="T211" s="306">
        <f>IF($E211="Yes",S130,0)</f>
      </c>
      <c r="U211" s="303">
        <f>IF($E211="Yes",T130,0)</f>
      </c>
      <c r="V211" s="303">
        <f>IF($E211="Yes",U130,0)</f>
      </c>
      <c r="W211" s="303">
        <f>IF($E211="Yes",V130,0)</f>
      </c>
      <c r="X211" s="350"/>
      <c r="Y211" s="63">
        <f>I211+L211+O211+R211</f>
      </c>
      <c r="Z211" s="63">
        <f>J211+M211+P211+S211</f>
      </c>
      <c r="AA211" s="63">
        <f>K211+N211+Q211+T211</f>
      </c>
      <c r="AB211" s="303"/>
      <c r="AC211" s="303"/>
      <c r="AD211" s="303"/>
      <c r="AE211" s="124"/>
      <c r="AF211" s="142"/>
      <c r="AG211" s="142"/>
      <c r="AH211" s="142"/>
      <c r="AI211" s="142"/>
      <c r="AJ211" s="142"/>
      <c r="AK211" s="142"/>
      <c r="AL211" s="142"/>
      <c r="AM211" s="142"/>
      <c r="AN211" s="142"/>
      <c r="AO211" s="142"/>
      <c r="AP211" s="142"/>
      <c r="AQ211" s="142"/>
      <c r="AR211" s="134"/>
      <c r="AS211" s="3"/>
      <c r="AT211" s="3"/>
      <c r="AU211" s="3"/>
      <c r="AV211" s="3"/>
      <c r="AW211" s="3"/>
      <c r="AX211" s="3"/>
      <c r="AY211" s="3"/>
      <c r="AZ211" s="3"/>
      <c r="BA211" s="3"/>
      <c r="BB211" s="3"/>
      <c r="BC211" s="3"/>
      <c r="BD211" s="3"/>
      <c r="BE211" s="3"/>
      <c r="BF211" s="3"/>
      <c r="BG211" s="3"/>
      <c r="BH211" s="2"/>
      <c r="BI211" s="2"/>
      <c r="BJ211" s="3"/>
      <c r="BK211" s="3"/>
      <c r="BL211" s="3"/>
      <c r="BM211" s="3"/>
      <c r="BN211" s="3"/>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row>
    <row x14ac:dyDescent="0.25" r="212" customHeight="1" ht="13.5">
      <c r="A212" s="2"/>
      <c r="B212" s="200"/>
      <c r="C212" s="2"/>
      <c r="D212" s="123" t="s">
        <v>163</v>
      </c>
      <c r="E212" s="297">
        <f>OCPMarketShares!O166</f>
      </c>
      <c r="F212" s="120">
        <f>E131</f>
      </c>
      <c r="G212" s="120">
        <f>F131</f>
      </c>
      <c r="H212" s="349">
        <f>G131</f>
      </c>
      <c r="I212" s="303">
        <f>IF($E212="Yes",H131,0)</f>
      </c>
      <c r="J212" s="303">
        <f>IF($E212="Yes",I131,0)</f>
      </c>
      <c r="K212" s="306">
        <f>IF($E212="Yes",J131,0)</f>
      </c>
      <c r="L212" s="303">
        <f>IF($E212="Yes",K131,0)</f>
      </c>
      <c r="M212" s="303">
        <f>IF($E212="Yes",L131,0)</f>
      </c>
      <c r="N212" s="306">
        <f>IF($E212="Yes",M131,0)</f>
      </c>
      <c r="O212" s="303">
        <f>IF($E212="Yes",N131,0)</f>
      </c>
      <c r="P212" s="303">
        <f>IF($E212="Yes",O131,0)</f>
      </c>
      <c r="Q212" s="306">
        <f>IF($E212="Yes",P131,0)</f>
      </c>
      <c r="R212" s="303">
        <f>IF($E212="Yes",Q131,0)</f>
      </c>
      <c r="S212" s="303">
        <f>IF($E212="Yes",R131,0)</f>
      </c>
      <c r="T212" s="306">
        <f>IF($E212="Yes",S131,0)</f>
      </c>
      <c r="U212" s="303">
        <f>IF($E212="Yes",T131,0)</f>
      </c>
      <c r="V212" s="303">
        <f>IF($E212="Yes",U131,0)</f>
      </c>
      <c r="W212" s="303">
        <f>IF($E212="Yes",V131,0)</f>
      </c>
      <c r="X212" s="350"/>
      <c r="Y212" s="63">
        <f>I212+L212+O212+R212</f>
      </c>
      <c r="Z212" s="63">
        <f>J212+M212+P212+S212</f>
      </c>
      <c r="AA212" s="63">
        <f>K212+N212+Q212+T212</f>
      </c>
      <c r="AB212" s="303"/>
      <c r="AC212" s="303"/>
      <c r="AD212" s="303"/>
      <c r="AE212" s="124"/>
      <c r="AF212" s="142"/>
      <c r="AG212" s="142"/>
      <c r="AH212" s="142"/>
      <c r="AI212" s="142"/>
      <c r="AJ212" s="142"/>
      <c r="AK212" s="142"/>
      <c r="AL212" s="142"/>
      <c r="AM212" s="142"/>
      <c r="AN212" s="142"/>
      <c r="AO212" s="142"/>
      <c r="AP212" s="142"/>
      <c r="AQ212" s="142"/>
      <c r="AR212" s="134"/>
      <c r="AS212" s="3"/>
      <c r="AT212" s="3"/>
      <c r="AU212" s="3"/>
      <c r="AV212" s="3"/>
      <c r="AW212" s="3"/>
      <c r="AX212" s="3"/>
      <c r="AY212" s="3"/>
      <c r="AZ212" s="3"/>
      <c r="BA212" s="3"/>
      <c r="BB212" s="3"/>
      <c r="BC212" s="3"/>
      <c r="BD212" s="3"/>
      <c r="BE212" s="3"/>
      <c r="BF212" s="3"/>
      <c r="BG212" s="3"/>
      <c r="BH212" s="2"/>
      <c r="BI212" s="2"/>
      <c r="BJ212" s="3"/>
      <c r="BK212" s="3"/>
      <c r="BL212" s="3"/>
      <c r="BM212" s="3"/>
      <c r="BN212" s="3"/>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row>
    <row x14ac:dyDescent="0.25" r="213" customHeight="1" ht="13.5">
      <c r="A213" s="2"/>
      <c r="B213" s="200"/>
      <c r="C213" s="2"/>
      <c r="D213" s="123" t="s">
        <v>227</v>
      </c>
      <c r="E213" s="297">
        <f>OCPMarketShares!O167</f>
      </c>
      <c r="F213" s="120">
        <f>E132</f>
      </c>
      <c r="G213" s="120">
        <f>F132</f>
      </c>
      <c r="H213" s="349">
        <f>G132</f>
      </c>
      <c r="I213" s="303">
        <f>IF($E213="Yes",H132,0)</f>
      </c>
      <c r="J213" s="303">
        <f>IF($E213="Yes",I132,0)</f>
      </c>
      <c r="K213" s="306">
        <f>IF($E213="Yes",J132,0)</f>
      </c>
      <c r="L213" s="303">
        <f>IF($E213="Yes",K132,0)</f>
      </c>
      <c r="M213" s="303">
        <f>IF($E213="Yes",L132,0)</f>
      </c>
      <c r="N213" s="306">
        <f>IF($E213="Yes",M132,0)</f>
      </c>
      <c r="O213" s="303">
        <f>IF($E213="Yes",N132,0)</f>
      </c>
      <c r="P213" s="303">
        <f>IF($E213="Yes",O132,0)</f>
      </c>
      <c r="Q213" s="306">
        <f>IF($E213="Yes",P132,0)</f>
      </c>
      <c r="R213" s="303">
        <f>IF($E213="Yes",Q132,0)</f>
      </c>
      <c r="S213" s="303">
        <f>IF($E213="Yes",R132,0)</f>
      </c>
      <c r="T213" s="306">
        <f>IF($E213="Yes",S132,0)</f>
      </c>
      <c r="U213" s="303">
        <f>IF($E213="Yes",T132,0)</f>
      </c>
      <c r="V213" s="303">
        <f>IF($E213="Yes",U132,0)</f>
      </c>
      <c r="W213" s="303">
        <f>IF($E213="Yes",V132,0)</f>
      </c>
      <c r="X213" s="350"/>
      <c r="Y213" s="63">
        <f>I213+L213+O213+R213</f>
      </c>
      <c r="Z213" s="63">
        <f>J213+M213+P213+S213</f>
      </c>
      <c r="AA213" s="63">
        <f>K213+N213+Q213+T213</f>
      </c>
      <c r="AB213" s="303"/>
      <c r="AC213" s="303"/>
      <c r="AD213" s="303"/>
      <c r="AE213" s="124"/>
      <c r="AF213" s="142"/>
      <c r="AG213" s="142"/>
      <c r="AH213" s="142"/>
      <c r="AI213" s="142"/>
      <c r="AJ213" s="142"/>
      <c r="AK213" s="142"/>
      <c r="AL213" s="142"/>
      <c r="AM213" s="142"/>
      <c r="AN213" s="142"/>
      <c r="AO213" s="142"/>
      <c r="AP213" s="142"/>
      <c r="AQ213" s="142"/>
      <c r="AR213" s="134"/>
      <c r="AS213" s="3"/>
      <c r="AT213" s="3"/>
      <c r="AU213" s="3"/>
      <c r="AV213" s="3"/>
      <c r="AW213" s="3"/>
      <c r="AX213" s="3"/>
      <c r="AY213" s="3"/>
      <c r="AZ213" s="3"/>
      <c r="BA213" s="3"/>
      <c r="BB213" s="3"/>
      <c r="BC213" s="3"/>
      <c r="BD213" s="3"/>
      <c r="BE213" s="3"/>
      <c r="BF213" s="3"/>
      <c r="BG213" s="3"/>
      <c r="BH213" s="2"/>
      <c r="BI213" s="2"/>
      <c r="BJ213" s="3"/>
      <c r="BK213" s="3"/>
      <c r="BL213" s="3"/>
      <c r="BM213" s="3"/>
      <c r="BN213" s="3"/>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row>
    <row x14ac:dyDescent="0.25" r="214" customHeight="1" ht="13.5">
      <c r="A214" s="2"/>
      <c r="B214" s="200"/>
      <c r="C214" s="2"/>
      <c r="D214" s="123" t="s">
        <v>255</v>
      </c>
      <c r="E214" s="297">
        <f>OCPMarketShares!O168</f>
      </c>
      <c r="F214" s="120">
        <f>E133</f>
      </c>
      <c r="G214" s="120">
        <f>F133</f>
      </c>
      <c r="H214" s="349">
        <f>G133</f>
      </c>
      <c r="I214" s="303">
        <f>IF($E214="Yes",H133,0)</f>
      </c>
      <c r="J214" s="303">
        <f>IF($E214="Yes",I133,0)</f>
      </c>
      <c r="K214" s="306">
        <f>IF($E214="Yes",J133,0)</f>
      </c>
      <c r="L214" s="303">
        <f>IF($E214="Yes",K133,0)</f>
      </c>
      <c r="M214" s="303">
        <f>IF($E214="Yes",L133,0)</f>
      </c>
      <c r="N214" s="306">
        <f>IF($E214="Yes",M133,0)</f>
      </c>
      <c r="O214" s="303">
        <f>IF($E214="Yes",N133,0)</f>
      </c>
      <c r="P214" s="303">
        <f>IF($E214="Yes",O133,0)</f>
      </c>
      <c r="Q214" s="306">
        <f>IF($E214="Yes",P133,0)</f>
      </c>
      <c r="R214" s="303">
        <f>IF($E214="Yes",Q133,0)</f>
      </c>
      <c r="S214" s="303">
        <f>IF($E214="Yes",R133,0)</f>
      </c>
      <c r="T214" s="306">
        <f>IF($E214="Yes",S133,0)</f>
      </c>
      <c r="U214" s="303">
        <f>IF($E214="Yes",T133,0)</f>
      </c>
      <c r="V214" s="303">
        <f>IF($E214="Yes",U133,0)</f>
      </c>
      <c r="W214" s="303">
        <f>IF($E214="Yes",V133,0)</f>
      </c>
      <c r="X214" s="350"/>
      <c r="Y214" s="63">
        <f>I214+L214+O214+R214</f>
      </c>
      <c r="Z214" s="63">
        <f>J214+M214+P214+S214</f>
      </c>
      <c r="AA214" s="63">
        <f>K214+N214+Q214+T214</f>
      </c>
      <c r="AB214" s="303"/>
      <c r="AC214" s="303"/>
      <c r="AD214" s="303"/>
      <c r="AE214" s="124"/>
      <c r="AF214" s="142"/>
      <c r="AG214" s="142"/>
      <c r="AH214" s="142"/>
      <c r="AI214" s="142"/>
      <c r="AJ214" s="142"/>
      <c r="AK214" s="142"/>
      <c r="AL214" s="142"/>
      <c r="AM214" s="142"/>
      <c r="AN214" s="142"/>
      <c r="AO214" s="142"/>
      <c r="AP214" s="142"/>
      <c r="AQ214" s="142"/>
      <c r="AR214" s="134"/>
      <c r="AS214" s="3"/>
      <c r="AT214" s="3"/>
      <c r="AU214" s="3"/>
      <c r="AV214" s="3"/>
      <c r="AW214" s="3"/>
      <c r="AX214" s="3"/>
      <c r="AY214" s="3"/>
      <c r="AZ214" s="3"/>
      <c r="BA214" s="3"/>
      <c r="BB214" s="3"/>
      <c r="BC214" s="3"/>
      <c r="BD214" s="3"/>
      <c r="BE214" s="3"/>
      <c r="BF214" s="3"/>
      <c r="BG214" s="3"/>
      <c r="BH214" s="2"/>
      <c r="BI214" s="2"/>
      <c r="BJ214" s="3"/>
      <c r="BK214" s="3"/>
      <c r="BL214" s="3"/>
      <c r="BM214" s="3"/>
      <c r="BN214" s="3"/>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row>
    <row x14ac:dyDescent="0.25" r="215" customHeight="1" ht="13.5">
      <c r="A215" s="2"/>
      <c r="B215" s="200"/>
      <c r="C215" s="2"/>
      <c r="D215" s="276"/>
      <c r="E215" s="142"/>
      <c r="F215" s="108"/>
      <c r="G215" s="108"/>
      <c r="H215" s="108"/>
      <c r="I215" s="108"/>
      <c r="J215" s="108"/>
      <c r="K215" s="108"/>
      <c r="L215" s="108"/>
      <c r="M215" s="108"/>
      <c r="N215" s="309"/>
      <c r="O215" s="108"/>
      <c r="P215" s="108"/>
      <c r="Q215" s="309"/>
      <c r="R215" s="108"/>
      <c r="S215" s="108"/>
      <c r="T215" s="309"/>
      <c r="U215" s="108"/>
      <c r="V215" s="108"/>
      <c r="W215" s="108"/>
      <c r="X215" s="3"/>
      <c r="Y215" s="124"/>
      <c r="Z215" s="350"/>
      <c r="AA215" s="124"/>
      <c r="AB215" s="303"/>
      <c r="AC215" s="303"/>
      <c r="AD215" s="303"/>
      <c r="AE215" s="124"/>
      <c r="AF215" s="142"/>
      <c r="AG215" s="142"/>
      <c r="AH215" s="142"/>
      <c r="AI215" s="142"/>
      <c r="AJ215" s="142"/>
      <c r="AK215" s="142"/>
      <c r="AL215" s="142"/>
      <c r="AM215" s="142"/>
      <c r="AN215" s="142"/>
      <c r="AO215" s="142"/>
      <c r="AP215" s="142"/>
      <c r="AQ215" s="142"/>
      <c r="AR215" s="134"/>
      <c r="AS215" s="3"/>
      <c r="AT215" s="3"/>
      <c r="AU215" s="3"/>
      <c r="AV215" s="3"/>
      <c r="AW215" s="3"/>
      <c r="AX215" s="3"/>
      <c r="AY215" s="3"/>
      <c r="AZ215" s="3"/>
      <c r="BA215" s="3"/>
      <c r="BB215" s="3"/>
      <c r="BC215" s="3"/>
      <c r="BD215" s="3"/>
      <c r="BE215" s="3"/>
      <c r="BF215" s="3"/>
      <c r="BG215" s="3"/>
      <c r="BH215" s="2"/>
      <c r="BI215" s="2"/>
      <c r="BJ215" s="3"/>
      <c r="BK215" s="3"/>
      <c r="BL215" s="3"/>
      <c r="BM215" s="3"/>
      <c r="BN215" s="3"/>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row>
    <row x14ac:dyDescent="0.25" r="216" customHeight="1" ht="13.5">
      <c r="A216" s="2"/>
      <c r="B216" s="200"/>
      <c r="C216" s="2"/>
      <c r="D216" s="276"/>
      <c r="E216" s="142"/>
      <c r="F216" s="108"/>
      <c r="G216" s="108"/>
      <c r="H216" s="108"/>
      <c r="I216" s="108"/>
      <c r="J216" s="108"/>
      <c r="K216" s="108"/>
      <c r="L216" s="108"/>
      <c r="M216" s="108"/>
      <c r="N216" s="108"/>
      <c r="O216" s="108"/>
      <c r="P216" s="108"/>
      <c r="Q216" s="108"/>
      <c r="R216" s="108"/>
      <c r="S216" s="108"/>
      <c r="T216" s="309"/>
      <c r="U216" s="108"/>
      <c r="V216" s="108"/>
      <c r="W216" s="108"/>
      <c r="X216" s="3"/>
      <c r="Y216" s="297"/>
      <c r="Z216" s="124"/>
      <c r="AA216" s="124"/>
      <c r="AB216" s="124"/>
      <c r="AC216" s="124"/>
      <c r="AD216" s="124"/>
      <c r="AE216" s="124"/>
      <c r="AF216" s="142"/>
      <c r="AG216" s="142"/>
      <c r="AH216" s="142"/>
      <c r="AI216" s="142"/>
      <c r="AJ216" s="142"/>
      <c r="AK216" s="142"/>
      <c r="AL216" s="142"/>
      <c r="AM216" s="142"/>
      <c r="AN216" s="142"/>
      <c r="AO216" s="142"/>
      <c r="AP216" s="142"/>
      <c r="AQ216" s="142"/>
      <c r="AR216" s="134"/>
      <c r="AS216" s="3"/>
      <c r="AT216" s="3"/>
      <c r="AU216" s="3"/>
      <c r="AV216" s="3"/>
      <c r="AW216" s="3"/>
      <c r="AX216" s="3"/>
      <c r="AY216" s="3"/>
      <c r="AZ216" s="3"/>
      <c r="BA216" s="3"/>
      <c r="BB216" s="3"/>
      <c r="BC216" s="3"/>
      <c r="BD216" s="3"/>
      <c r="BE216" s="3"/>
      <c r="BF216" s="3"/>
      <c r="BG216" s="3"/>
      <c r="BH216" s="2"/>
      <c r="BI216" s="2"/>
      <c r="BJ216" s="3"/>
      <c r="BK216" s="3"/>
      <c r="BL216" s="3"/>
      <c r="BM216" s="3"/>
      <c r="BN216" s="3"/>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row>
    <row x14ac:dyDescent="0.25" r="217" customHeight="1" ht="13.5">
      <c r="A217" s="2"/>
      <c r="B217" s="200"/>
      <c r="C217" s="2"/>
      <c r="D217" s="240" t="s">
        <v>467</v>
      </c>
      <c r="E217" s="142"/>
      <c r="F217" s="108"/>
      <c r="G217" s="108"/>
      <c r="H217" s="108"/>
      <c r="I217" s="108"/>
      <c r="J217" s="108"/>
      <c r="K217" s="108"/>
      <c r="L217" s="108"/>
      <c r="M217" s="108"/>
      <c r="N217" s="108"/>
      <c r="O217" s="108"/>
      <c r="P217" s="108"/>
      <c r="Q217" s="108"/>
      <c r="R217" s="108"/>
      <c r="S217" s="108"/>
      <c r="T217" s="108"/>
      <c r="U217" s="108"/>
      <c r="V217" s="108"/>
      <c r="W217" s="108"/>
      <c r="X217" s="3"/>
      <c r="Y217" s="279" t="s">
        <v>467</v>
      </c>
      <c r="Z217" s="108"/>
      <c r="AA217" s="108"/>
      <c r="AB217" s="108"/>
      <c r="AC217" s="142"/>
      <c r="AD217" s="142"/>
      <c r="AE217" s="142"/>
      <c r="AF217" s="142"/>
      <c r="AG217" s="142"/>
      <c r="AH217" s="142"/>
      <c r="AI217" s="142"/>
      <c r="AJ217" s="142"/>
      <c r="AK217" s="142"/>
      <c r="AL217" s="142"/>
      <c r="AM217" s="142"/>
      <c r="AN217" s="142"/>
      <c r="AO217" s="142"/>
      <c r="AP217" s="142"/>
      <c r="AQ217" s="142"/>
      <c r="AR217" s="134"/>
      <c r="AS217" s="3"/>
      <c r="AT217" s="3"/>
      <c r="AU217" s="3"/>
      <c r="AV217" s="3"/>
      <c r="AW217" s="3"/>
      <c r="AX217" s="3"/>
      <c r="AY217" s="3"/>
      <c r="AZ217" s="3"/>
      <c r="BA217" s="3"/>
      <c r="BB217" s="3"/>
      <c r="BC217" s="3"/>
      <c r="BD217" s="3"/>
      <c r="BE217" s="3"/>
      <c r="BF217" s="3"/>
      <c r="BG217" s="3"/>
      <c r="BH217" s="2"/>
      <c r="BI217" s="2"/>
      <c r="BJ217" s="3"/>
      <c r="BK217" s="3"/>
      <c r="BL217" s="3"/>
      <c r="BM217" s="3"/>
      <c r="BN217" s="3"/>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row>
    <row x14ac:dyDescent="0.25" r="218" customHeight="1" ht="13.5">
      <c r="A218" s="2"/>
      <c r="B218" s="200"/>
      <c r="C218" s="2"/>
      <c r="D218" s="241" t="s">
        <v>468</v>
      </c>
      <c r="E218" s="142"/>
      <c r="F218" s="140" t="s">
        <v>492</v>
      </c>
      <c r="G218" s="108"/>
      <c r="H218" s="309"/>
      <c r="I218" s="212" t="s">
        <v>469</v>
      </c>
      <c r="J218" s="108"/>
      <c r="K218" s="309"/>
      <c r="L218" s="212" t="s">
        <v>443</v>
      </c>
      <c r="M218" s="108"/>
      <c r="N218" s="309"/>
      <c r="O218" s="212" t="s">
        <v>25</v>
      </c>
      <c r="P218" s="108"/>
      <c r="Q218" s="309"/>
      <c r="R218" s="212" t="s">
        <v>444</v>
      </c>
      <c r="S218" s="108"/>
      <c r="T218" s="309"/>
      <c r="U218" s="212" t="s">
        <v>29</v>
      </c>
      <c r="V218" s="108"/>
      <c r="W218" s="309"/>
      <c r="X218" s="3"/>
      <c r="Y218" s="242" t="s">
        <v>470</v>
      </c>
      <c r="Z218" s="140" t="s">
        <v>492</v>
      </c>
      <c r="AA218" s="108"/>
      <c r="AB218" s="108"/>
      <c r="AC218" s="212" t="s">
        <v>469</v>
      </c>
      <c r="AD218" s="142"/>
      <c r="AE218" s="142"/>
      <c r="AF218" s="212" t="s">
        <v>443</v>
      </c>
      <c r="AG218" s="142"/>
      <c r="AH218" s="142"/>
      <c r="AI218" s="212" t="s">
        <v>25</v>
      </c>
      <c r="AJ218" s="142"/>
      <c r="AK218" s="142"/>
      <c r="AL218" s="212" t="s">
        <v>444</v>
      </c>
      <c r="AM218" s="142"/>
      <c r="AN218" s="142"/>
      <c r="AO218" s="212" t="s">
        <v>29</v>
      </c>
      <c r="AP218" s="142"/>
      <c r="AQ218" s="142"/>
      <c r="AR218" s="134"/>
      <c r="AS218" s="3"/>
      <c r="AT218" s="3"/>
      <c r="AU218" s="3"/>
      <c r="AV218" s="3"/>
      <c r="AW218" s="3"/>
      <c r="AX218" s="3"/>
      <c r="AY218" s="3"/>
      <c r="AZ218" s="3"/>
      <c r="BA218" s="3"/>
      <c r="BB218" s="3"/>
      <c r="BC218" s="3"/>
      <c r="BD218" s="3"/>
      <c r="BE218" s="3"/>
      <c r="BF218" s="3"/>
      <c r="BG218" s="3"/>
      <c r="BH218" s="2"/>
      <c r="BI218" s="2"/>
      <c r="BJ218" s="3"/>
      <c r="BK218" s="3"/>
      <c r="BL218" s="3"/>
      <c r="BM218" s="3"/>
      <c r="BN218" s="3"/>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row>
    <row x14ac:dyDescent="0.25" r="219" customHeight="1" ht="13.5">
      <c r="A219" s="2"/>
      <c r="B219" s="200"/>
      <c r="C219" s="2"/>
      <c r="D219" s="246" t="s">
        <v>445</v>
      </c>
      <c r="E219" s="351"/>
      <c r="F219" s="257">
        <v>2023</v>
      </c>
      <c r="G219" s="257">
        <v>2024</v>
      </c>
      <c r="H219" s="302">
        <v>2025</v>
      </c>
      <c r="I219" s="257">
        <v>2023</v>
      </c>
      <c r="J219" s="257">
        <v>2024</v>
      </c>
      <c r="K219" s="302">
        <v>2025</v>
      </c>
      <c r="L219" s="257">
        <v>2023</v>
      </c>
      <c r="M219" s="257">
        <v>2024</v>
      </c>
      <c r="N219" s="302">
        <v>2025</v>
      </c>
      <c r="O219" s="257">
        <v>2023</v>
      </c>
      <c r="P219" s="257">
        <v>2024</v>
      </c>
      <c r="Q219" s="302">
        <v>2025</v>
      </c>
      <c r="R219" s="257">
        <v>2023</v>
      </c>
      <c r="S219" s="257">
        <v>2024</v>
      </c>
      <c r="T219" s="302">
        <v>2025</v>
      </c>
      <c r="U219" s="257">
        <v>2023</v>
      </c>
      <c r="V219" s="257">
        <v>2024</v>
      </c>
      <c r="W219" s="302">
        <v>2025</v>
      </c>
      <c r="X219" s="3"/>
      <c r="Y219" s="280" t="s">
        <v>445</v>
      </c>
      <c r="Z219" s="257">
        <v>2023</v>
      </c>
      <c r="AA219" s="257">
        <v>2024</v>
      </c>
      <c r="AB219" s="302">
        <v>2025</v>
      </c>
      <c r="AC219" s="257">
        <v>2023</v>
      </c>
      <c r="AD219" s="257">
        <v>2024</v>
      </c>
      <c r="AE219" s="257">
        <v>2025</v>
      </c>
      <c r="AF219" s="257">
        <v>2023</v>
      </c>
      <c r="AG219" s="257">
        <v>2024</v>
      </c>
      <c r="AH219" s="257">
        <v>2025</v>
      </c>
      <c r="AI219" s="257">
        <v>2023</v>
      </c>
      <c r="AJ219" s="257">
        <v>2024</v>
      </c>
      <c r="AK219" s="257">
        <v>2025</v>
      </c>
      <c r="AL219" s="257">
        <v>2023</v>
      </c>
      <c r="AM219" s="257">
        <v>2024</v>
      </c>
      <c r="AN219" s="302">
        <v>2025</v>
      </c>
      <c r="AO219" s="257">
        <v>2023</v>
      </c>
      <c r="AP219" s="257">
        <v>2024</v>
      </c>
      <c r="AQ219" s="257">
        <v>2025</v>
      </c>
      <c r="AR219" s="134"/>
      <c r="AS219" s="3"/>
      <c r="AT219" s="3"/>
      <c r="AU219" s="3"/>
      <c r="AV219" s="3"/>
      <c r="AW219" s="3"/>
      <c r="AX219" s="3"/>
      <c r="AY219" s="3"/>
      <c r="AZ219" s="3"/>
      <c r="BA219" s="3"/>
      <c r="BB219" s="3"/>
      <c r="BC219" s="3"/>
      <c r="BD219" s="3"/>
      <c r="BE219" s="3"/>
      <c r="BF219" s="3"/>
      <c r="BG219" s="3"/>
      <c r="BH219" s="2"/>
      <c r="BI219" s="2"/>
      <c r="BJ219" s="3"/>
      <c r="BK219" s="3"/>
      <c r="BL219" s="3"/>
      <c r="BM219" s="3"/>
      <c r="BN219" s="3"/>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row>
    <row x14ac:dyDescent="0.25" r="220" customHeight="1" ht="13.5">
      <c r="A220" s="2"/>
      <c r="B220" s="200"/>
      <c r="C220" s="2"/>
      <c r="D220" s="123" t="s">
        <v>179</v>
      </c>
      <c r="E220" s="142"/>
      <c r="F220" s="293">
        <f>OCPMarketShares!K148</f>
      </c>
      <c r="G220" s="293">
        <f>OCPMarketShares!L148</f>
      </c>
      <c r="H220" s="319">
        <f>OCPMarketShares!M148</f>
      </c>
      <c r="I220" s="293">
        <f>I194*F220</f>
      </c>
      <c r="J220" s="293">
        <f>J194*G220</f>
      </c>
      <c r="K220" s="319">
        <f>K194*H220</f>
      </c>
      <c r="L220" s="293">
        <f>L194*F220</f>
      </c>
      <c r="M220" s="293">
        <f>M194*G220</f>
      </c>
      <c r="N220" s="319">
        <f>N194*H220</f>
      </c>
      <c r="O220" s="293">
        <f>O194*F220</f>
      </c>
      <c r="P220" s="293">
        <f>P194*G220</f>
      </c>
      <c r="Q220" s="319">
        <f>Q194*H220</f>
      </c>
      <c r="R220" s="293">
        <f>R194*F220</f>
      </c>
      <c r="S220" s="293">
        <f>S194*G220</f>
      </c>
      <c r="T220" s="319">
        <f>T194*H220</f>
      </c>
      <c r="U220" s="293">
        <f>U194*I220</f>
      </c>
      <c r="V220" s="293">
        <f>V194*J220</f>
      </c>
      <c r="W220" s="293">
        <f>W194*K220</f>
      </c>
      <c r="X220" s="3"/>
      <c r="Y220" s="140" t="s">
        <v>179</v>
      </c>
      <c r="Z220" s="293">
        <f>AC220+AF220+AI220+AL220</f>
      </c>
      <c r="AA220" s="293">
        <f>AD220+AG220+AJ220+AM220</f>
      </c>
      <c r="AB220" s="319">
        <f>AE220+AH220+AK220+AN220</f>
      </c>
      <c r="AC220" s="293">
        <f>I220/$E$10</f>
      </c>
      <c r="AD220" s="293">
        <f>J220/$E$10</f>
      </c>
      <c r="AE220" s="319">
        <f>K220/$E$10</f>
      </c>
      <c r="AF220" s="293">
        <f>L220/$E$11</f>
      </c>
      <c r="AG220" s="293">
        <f>M220/$E$11</f>
      </c>
      <c r="AH220" s="319">
        <f>N220/$E$11</f>
      </c>
      <c r="AI220" s="293">
        <f>O220/$E$12</f>
      </c>
      <c r="AJ220" s="293">
        <f>P220/$E$12</f>
      </c>
      <c r="AK220" s="319">
        <f>Q220/$E$12</f>
      </c>
      <c r="AL220" s="293">
        <f>R220/$E$13</f>
      </c>
      <c r="AM220" s="293">
        <f>S220/$E$13</f>
      </c>
      <c r="AN220" s="319">
        <f>T220/$E$13</f>
      </c>
      <c r="AO220" s="293">
        <f>U220/$E$14</f>
      </c>
      <c r="AP220" s="293">
        <f>V220/$E$14</f>
      </c>
      <c r="AQ220" s="319">
        <f>W220/$E$14</f>
      </c>
      <c r="AR220" s="134"/>
      <c r="AS220" s="3"/>
      <c r="AT220" s="3"/>
      <c r="AU220" s="3"/>
      <c r="AV220" s="3"/>
      <c r="AW220" s="3"/>
      <c r="AX220" s="3"/>
      <c r="AY220" s="3"/>
      <c r="AZ220" s="3"/>
      <c r="BA220" s="3"/>
      <c r="BB220" s="3"/>
      <c r="BC220" s="3"/>
      <c r="BD220" s="3"/>
      <c r="BE220" s="3"/>
      <c r="BF220" s="3"/>
      <c r="BG220" s="3"/>
      <c r="BH220" s="2"/>
      <c r="BI220" s="2"/>
      <c r="BJ220" s="3"/>
      <c r="BK220" s="3"/>
      <c r="BL220" s="3"/>
      <c r="BM220" s="3"/>
      <c r="BN220" s="3"/>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row>
    <row x14ac:dyDescent="0.25" r="221" customHeight="1" ht="13.5">
      <c r="A221" s="2"/>
      <c r="B221" s="200"/>
      <c r="C221" s="2"/>
      <c r="D221" s="123" t="s">
        <v>231</v>
      </c>
      <c r="E221" s="142"/>
      <c r="F221" s="293">
        <f>OCPMarketShares!K149</f>
      </c>
      <c r="G221" s="293">
        <f>OCPMarketShares!L149</f>
      </c>
      <c r="H221" s="319">
        <f>OCPMarketShares!M149</f>
      </c>
      <c r="I221" s="293">
        <f>I195*F221</f>
      </c>
      <c r="J221" s="293">
        <f>J195*G221</f>
      </c>
      <c r="K221" s="319">
        <f>K195*H221</f>
      </c>
      <c r="L221" s="293">
        <f>L195*F221</f>
      </c>
      <c r="M221" s="293">
        <f>M195*G221</f>
      </c>
      <c r="N221" s="319">
        <f>N195*H221</f>
      </c>
      <c r="O221" s="293">
        <f>O195*F221</f>
      </c>
      <c r="P221" s="293">
        <f>P195*G221</f>
      </c>
      <c r="Q221" s="319">
        <f>Q195*H221</f>
      </c>
      <c r="R221" s="293">
        <f>R195*F221</f>
      </c>
      <c r="S221" s="293">
        <f>S195*G221</f>
      </c>
      <c r="T221" s="319">
        <f>T195*H221</f>
      </c>
      <c r="U221" s="293">
        <f>U195*I221</f>
      </c>
      <c r="V221" s="293">
        <f>V195*J221</f>
      </c>
      <c r="W221" s="293">
        <f>W195*K221</f>
      </c>
      <c r="X221" s="3"/>
      <c r="Y221" s="140" t="s">
        <v>231</v>
      </c>
      <c r="Z221" s="293">
        <f>AC221+AF221+AI221+AL221</f>
      </c>
      <c r="AA221" s="293">
        <f>AD221+AG221+AJ221+AM221</f>
      </c>
      <c r="AB221" s="319">
        <f>AE221+AH221+AK221+AN221</f>
      </c>
      <c r="AC221" s="293">
        <f>I221/$E$10</f>
      </c>
      <c r="AD221" s="293">
        <f>J221/$E$10</f>
      </c>
      <c r="AE221" s="319">
        <f>K221/$E$10</f>
      </c>
      <c r="AF221" s="293">
        <f>L221/$E$11</f>
      </c>
      <c r="AG221" s="293">
        <f>M221/$E$11</f>
      </c>
      <c r="AH221" s="319">
        <f>N221/$E$11</f>
      </c>
      <c r="AI221" s="293">
        <f>O221/$E$12</f>
      </c>
      <c r="AJ221" s="293">
        <f>P221/$E$12</f>
      </c>
      <c r="AK221" s="319">
        <f>Q221/$E$12</f>
      </c>
      <c r="AL221" s="293">
        <f>R221/$E$13</f>
      </c>
      <c r="AM221" s="293">
        <f>S221/$E$13</f>
      </c>
      <c r="AN221" s="319">
        <f>T221/$E$13</f>
      </c>
      <c r="AO221" s="293">
        <f>U221/$E$14</f>
      </c>
      <c r="AP221" s="293">
        <f>V221/$E$14</f>
      </c>
      <c r="AQ221" s="319">
        <f>W221/$E$14</f>
      </c>
      <c r="AR221" s="134"/>
      <c r="AS221" s="3"/>
      <c r="AT221" s="3"/>
      <c r="AU221" s="3"/>
      <c r="AV221" s="3"/>
      <c r="AW221" s="3"/>
      <c r="AX221" s="3"/>
      <c r="AY221" s="3"/>
      <c r="AZ221" s="3"/>
      <c r="BA221" s="3"/>
      <c r="BB221" s="3"/>
      <c r="BC221" s="3"/>
      <c r="BD221" s="3"/>
      <c r="BE221" s="3"/>
      <c r="BF221" s="3"/>
      <c r="BG221" s="3"/>
      <c r="BH221" s="2"/>
      <c r="BI221" s="2"/>
      <c r="BJ221" s="3"/>
      <c r="BK221" s="3"/>
      <c r="BL221" s="3"/>
      <c r="BM221" s="3"/>
      <c r="BN221" s="3"/>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row>
    <row x14ac:dyDescent="0.25" r="222" customHeight="1" ht="13.5">
      <c r="A222" s="2"/>
      <c r="B222" s="200"/>
      <c r="C222" s="2"/>
      <c r="D222" s="123" t="s">
        <v>141</v>
      </c>
      <c r="E222" s="142"/>
      <c r="F222" s="293">
        <f>OCPMarketShares!K150</f>
      </c>
      <c r="G222" s="293">
        <f>OCPMarketShares!L150</f>
      </c>
      <c r="H222" s="319">
        <f>OCPMarketShares!M150</f>
      </c>
      <c r="I222" s="293">
        <f>I196*F222</f>
      </c>
      <c r="J222" s="293">
        <f>J196*G222</f>
      </c>
      <c r="K222" s="319">
        <f>K196*H222</f>
      </c>
      <c r="L222" s="293">
        <f>L196*F222</f>
      </c>
      <c r="M222" s="293">
        <f>M196*G222</f>
      </c>
      <c r="N222" s="319">
        <f>N196*H222</f>
      </c>
      <c r="O222" s="293">
        <f>O196*F222</f>
      </c>
      <c r="P222" s="293">
        <f>P196*G222</f>
      </c>
      <c r="Q222" s="319">
        <f>Q196*H222</f>
      </c>
      <c r="R222" s="293">
        <f>R196*F222</f>
      </c>
      <c r="S222" s="293">
        <f>S196*G222</f>
      </c>
      <c r="T222" s="319">
        <f>T196*H222</f>
      </c>
      <c r="U222" s="293">
        <f>U196*I222</f>
      </c>
      <c r="V222" s="293">
        <f>V196*J222</f>
      </c>
      <c r="W222" s="293">
        <f>W196*K222</f>
      </c>
      <c r="X222" s="3"/>
      <c r="Y222" s="140" t="s">
        <v>141</v>
      </c>
      <c r="Z222" s="293">
        <f>AC222+AF222+AI222+AL222</f>
      </c>
      <c r="AA222" s="293">
        <f>AD222+AG222+AJ222+AM222</f>
      </c>
      <c r="AB222" s="319">
        <f>AE222+AH222+AK222+AN222</f>
      </c>
      <c r="AC222" s="293">
        <f>I222/$E$10</f>
      </c>
      <c r="AD222" s="293">
        <f>J222/$E$10</f>
      </c>
      <c r="AE222" s="319">
        <f>K222/$E$10</f>
      </c>
      <c r="AF222" s="293">
        <f>L222/$E$11</f>
      </c>
      <c r="AG222" s="293">
        <f>M222/$E$11</f>
      </c>
      <c r="AH222" s="319">
        <f>N222/$E$11</f>
      </c>
      <c r="AI222" s="293">
        <f>O222/$E$12</f>
      </c>
      <c r="AJ222" s="293">
        <f>P222/$E$12</f>
      </c>
      <c r="AK222" s="319">
        <f>Q222/$E$12</f>
      </c>
      <c r="AL222" s="293">
        <f>R222/$E$13</f>
      </c>
      <c r="AM222" s="293">
        <f>S222/$E$13</f>
      </c>
      <c r="AN222" s="319">
        <f>T222/$E$13</f>
      </c>
      <c r="AO222" s="293">
        <f>U222/$E$14</f>
      </c>
      <c r="AP222" s="293">
        <f>V222/$E$14</f>
      </c>
      <c r="AQ222" s="319">
        <f>W222/$E$14</f>
      </c>
      <c r="AR222" s="134"/>
      <c r="AS222" s="3"/>
      <c r="AT222" s="3"/>
      <c r="AU222" s="3"/>
      <c r="AV222" s="3"/>
      <c r="AW222" s="3"/>
      <c r="AX222" s="3"/>
      <c r="AY222" s="3"/>
      <c r="AZ222" s="3"/>
      <c r="BA222" s="3"/>
      <c r="BB222" s="3"/>
      <c r="BC222" s="3"/>
      <c r="BD222" s="3"/>
      <c r="BE222" s="3"/>
      <c r="BF222" s="3"/>
      <c r="BG222" s="3"/>
      <c r="BH222" s="2"/>
      <c r="BI222" s="2"/>
      <c r="BJ222" s="3"/>
      <c r="BK222" s="3"/>
      <c r="BL222" s="3"/>
      <c r="BM222" s="3"/>
      <c r="BN222" s="3"/>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row>
    <row x14ac:dyDescent="0.25" r="223" customHeight="1" ht="13.5">
      <c r="A223" s="2"/>
      <c r="B223" s="200"/>
      <c r="C223" s="2"/>
      <c r="D223" s="123" t="s">
        <v>247</v>
      </c>
      <c r="E223" s="142"/>
      <c r="F223" s="293">
        <f>OCPMarketShares!K151</f>
      </c>
      <c r="G223" s="293">
        <f>OCPMarketShares!L151</f>
      </c>
      <c r="H223" s="319">
        <f>OCPMarketShares!M151</f>
      </c>
      <c r="I223" s="293">
        <f>I197*F223</f>
      </c>
      <c r="J223" s="293">
        <f>J197*G223</f>
      </c>
      <c r="K223" s="319">
        <f>K197*H223</f>
      </c>
      <c r="L223" s="293">
        <f>L197*F223</f>
      </c>
      <c r="M223" s="293">
        <f>M197*G223</f>
      </c>
      <c r="N223" s="319">
        <f>N197*H223</f>
      </c>
      <c r="O223" s="293">
        <f>O197*F223</f>
      </c>
      <c r="P223" s="293">
        <f>P197*G223</f>
      </c>
      <c r="Q223" s="319">
        <f>Q197*H223</f>
      </c>
      <c r="R223" s="293">
        <f>R197*F223</f>
      </c>
      <c r="S223" s="293">
        <f>S197*G223</f>
      </c>
      <c r="T223" s="319">
        <f>T197*H223</f>
      </c>
      <c r="U223" s="293">
        <f>U197*I223</f>
      </c>
      <c r="V223" s="293">
        <f>V197*J223</f>
      </c>
      <c r="W223" s="293">
        <f>W197*K223</f>
      </c>
      <c r="X223" s="3"/>
      <c r="Y223" s="140" t="s">
        <v>247</v>
      </c>
      <c r="Z223" s="293">
        <f>AC223+AF223+AI223+AL223</f>
      </c>
      <c r="AA223" s="293">
        <f>AD223+AG223+AJ223+AM223</f>
      </c>
      <c r="AB223" s="319">
        <f>AE223+AH223+AK223+AN223</f>
      </c>
      <c r="AC223" s="293">
        <f>I223/$E$10</f>
      </c>
      <c r="AD223" s="293">
        <f>J223/$E$10</f>
      </c>
      <c r="AE223" s="319">
        <f>K223/$E$10</f>
      </c>
      <c r="AF223" s="293">
        <f>L223/$E$11</f>
      </c>
      <c r="AG223" s="293">
        <f>M223/$E$11</f>
      </c>
      <c r="AH223" s="319">
        <f>N223/$E$11</f>
      </c>
      <c r="AI223" s="293">
        <f>O223/$E$12</f>
      </c>
      <c r="AJ223" s="293">
        <f>P223/$E$12</f>
      </c>
      <c r="AK223" s="319">
        <f>Q223/$E$12</f>
      </c>
      <c r="AL223" s="293">
        <f>R223/$E$13</f>
      </c>
      <c r="AM223" s="293">
        <f>S223/$E$13</f>
      </c>
      <c r="AN223" s="319">
        <f>T223/$E$13</f>
      </c>
      <c r="AO223" s="293">
        <f>U223/$E$14</f>
      </c>
      <c r="AP223" s="293">
        <f>V223/$E$14</f>
      </c>
      <c r="AQ223" s="319">
        <f>W223/$E$14</f>
      </c>
      <c r="AR223" s="134"/>
      <c r="AS223" s="3"/>
      <c r="AT223" s="3"/>
      <c r="AU223" s="3"/>
      <c r="AV223" s="3"/>
      <c r="AW223" s="3"/>
      <c r="AX223" s="3"/>
      <c r="AY223" s="3"/>
      <c r="AZ223" s="3"/>
      <c r="BA223" s="3"/>
      <c r="BB223" s="3"/>
      <c r="BC223" s="3"/>
      <c r="BD223" s="3"/>
      <c r="BE223" s="3"/>
      <c r="BF223" s="3"/>
      <c r="BG223" s="3"/>
      <c r="BH223" s="2"/>
      <c r="BI223" s="2"/>
      <c r="BJ223" s="3"/>
      <c r="BK223" s="3"/>
      <c r="BL223" s="3"/>
      <c r="BM223" s="3"/>
      <c r="BN223" s="3"/>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row>
    <row x14ac:dyDescent="0.25" r="224" customHeight="1" ht="13.5">
      <c r="A224" s="2"/>
      <c r="B224" s="200"/>
      <c r="C224" s="2"/>
      <c r="D224" s="123" t="s">
        <v>175</v>
      </c>
      <c r="E224" s="142"/>
      <c r="F224" s="293">
        <f>OCPMarketShares!K152</f>
      </c>
      <c r="G224" s="293">
        <f>OCPMarketShares!L152</f>
      </c>
      <c r="H224" s="319">
        <f>OCPMarketShares!M152</f>
      </c>
      <c r="I224" s="293">
        <f>I198*F224</f>
      </c>
      <c r="J224" s="293">
        <f>J198*G224</f>
      </c>
      <c r="K224" s="319">
        <f>K198*H224</f>
      </c>
      <c r="L224" s="293">
        <f>L198*F224</f>
      </c>
      <c r="M224" s="293">
        <f>M198*G224</f>
      </c>
      <c r="N224" s="319">
        <f>N198*H224</f>
      </c>
      <c r="O224" s="293">
        <f>O198*F224</f>
      </c>
      <c r="P224" s="293">
        <f>P198*G224</f>
      </c>
      <c r="Q224" s="319">
        <f>Q198*H224</f>
      </c>
      <c r="R224" s="293">
        <f>R198*F224</f>
      </c>
      <c r="S224" s="293">
        <f>S198*G224</f>
      </c>
      <c r="T224" s="319">
        <f>T198*H224</f>
      </c>
      <c r="U224" s="293">
        <f>U198*I224</f>
      </c>
      <c r="V224" s="293">
        <f>V198*J224</f>
      </c>
      <c r="W224" s="293">
        <f>W198*K224</f>
      </c>
      <c r="X224" s="3"/>
      <c r="Y224" s="140" t="s">
        <v>175</v>
      </c>
      <c r="Z224" s="293">
        <f>AC224+AF224+AI224+AL224</f>
      </c>
      <c r="AA224" s="293">
        <f>AD224+AG224+AJ224+AM224</f>
      </c>
      <c r="AB224" s="319">
        <f>AE224+AH224+AK224+AN224</f>
      </c>
      <c r="AC224" s="293">
        <f>I224/$E$10</f>
      </c>
      <c r="AD224" s="293">
        <f>J224/$E$10</f>
      </c>
      <c r="AE224" s="319">
        <f>K224/$E$10</f>
      </c>
      <c r="AF224" s="293">
        <f>L224/$E$11</f>
      </c>
      <c r="AG224" s="293">
        <f>M224/$E$11</f>
      </c>
      <c r="AH224" s="319">
        <f>N224/$E$11</f>
      </c>
      <c r="AI224" s="293">
        <f>O224/$E$12</f>
      </c>
      <c r="AJ224" s="293">
        <f>P224/$E$12</f>
      </c>
      <c r="AK224" s="319">
        <f>Q224/$E$12</f>
      </c>
      <c r="AL224" s="293">
        <f>R224/$E$13</f>
      </c>
      <c r="AM224" s="293">
        <f>S224/$E$13</f>
      </c>
      <c r="AN224" s="319">
        <f>T224/$E$13</f>
      </c>
      <c r="AO224" s="293">
        <f>U224/$E$14</f>
      </c>
      <c r="AP224" s="293">
        <f>V224/$E$14</f>
      </c>
      <c r="AQ224" s="319">
        <f>W224/$E$14</f>
      </c>
      <c r="AR224" s="134"/>
      <c r="AS224" s="3"/>
      <c r="AT224" s="3"/>
      <c r="AU224" s="3"/>
      <c r="AV224" s="3"/>
      <c r="AW224" s="3"/>
      <c r="AX224" s="3"/>
      <c r="AY224" s="3"/>
      <c r="AZ224" s="3"/>
      <c r="BA224" s="3"/>
      <c r="BB224" s="3"/>
      <c r="BC224" s="3"/>
      <c r="BD224" s="3"/>
      <c r="BE224" s="3"/>
      <c r="BF224" s="3"/>
      <c r="BG224" s="3"/>
      <c r="BH224" s="2"/>
      <c r="BI224" s="2"/>
      <c r="BJ224" s="3"/>
      <c r="BK224" s="3"/>
      <c r="BL224" s="3"/>
      <c r="BM224" s="3"/>
      <c r="BN224" s="3"/>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row>
    <row x14ac:dyDescent="0.25" r="225" customHeight="1" ht="13.5">
      <c r="A225" s="2"/>
      <c r="B225" s="200"/>
      <c r="C225" s="2"/>
      <c r="D225" s="123" t="s">
        <v>131</v>
      </c>
      <c r="E225" s="142"/>
      <c r="F225" s="293">
        <f>OCPMarketShares!K153</f>
      </c>
      <c r="G225" s="293">
        <f>OCPMarketShares!L153</f>
      </c>
      <c r="H225" s="319">
        <f>OCPMarketShares!M153</f>
      </c>
      <c r="I225" s="293">
        <f>I199*F225</f>
      </c>
      <c r="J225" s="293">
        <f>J199*G225</f>
      </c>
      <c r="K225" s="319">
        <f>K199*H225</f>
      </c>
      <c r="L225" s="293">
        <f>L199*F225</f>
      </c>
      <c r="M225" s="293">
        <f>M199*G225</f>
      </c>
      <c r="N225" s="319">
        <f>N199*H225</f>
      </c>
      <c r="O225" s="293">
        <f>O199*F225</f>
      </c>
      <c r="P225" s="293">
        <f>P199*G225</f>
      </c>
      <c r="Q225" s="319">
        <f>Q199*H225</f>
      </c>
      <c r="R225" s="293">
        <f>R199*F225</f>
      </c>
      <c r="S225" s="293">
        <f>S199*G225</f>
      </c>
      <c r="T225" s="319">
        <f>T199*H225</f>
      </c>
      <c r="U225" s="293">
        <f>U199*I225</f>
      </c>
      <c r="V225" s="293">
        <f>V199*J225</f>
      </c>
      <c r="W225" s="293">
        <f>W199*K225</f>
      </c>
      <c r="X225" s="3"/>
      <c r="Y225" s="140" t="s">
        <v>131</v>
      </c>
      <c r="Z225" s="293">
        <f>AC225+AF225+AI225+AL225</f>
      </c>
      <c r="AA225" s="293">
        <f>AD225+AG225+AJ225+AM225</f>
      </c>
      <c r="AB225" s="319">
        <f>AE225+AH225+AK225+AN225</f>
      </c>
      <c r="AC225" s="293">
        <f>I225/$E$10</f>
      </c>
      <c r="AD225" s="293">
        <f>J225/$E$10</f>
      </c>
      <c r="AE225" s="319">
        <f>K225/$E$10</f>
      </c>
      <c r="AF225" s="293">
        <f>L225/$E$11</f>
      </c>
      <c r="AG225" s="293">
        <f>M225/$E$11</f>
      </c>
      <c r="AH225" s="319">
        <f>N225/$E$11</f>
      </c>
      <c r="AI225" s="293">
        <f>O225/$E$12</f>
      </c>
      <c r="AJ225" s="293">
        <f>P225/$E$12</f>
      </c>
      <c r="AK225" s="319">
        <f>Q225/$E$12</f>
      </c>
      <c r="AL225" s="293">
        <f>R225/$E$13</f>
      </c>
      <c r="AM225" s="293">
        <f>S225/$E$13</f>
      </c>
      <c r="AN225" s="319">
        <f>T225/$E$13</f>
      </c>
      <c r="AO225" s="293">
        <f>U225/$E$14</f>
      </c>
      <c r="AP225" s="293">
        <f>V225/$E$14</f>
      </c>
      <c r="AQ225" s="319">
        <f>W225/$E$14</f>
      </c>
      <c r="AR225" s="134"/>
      <c r="AS225" s="3"/>
      <c r="AT225" s="3"/>
      <c r="AU225" s="3"/>
      <c r="AV225" s="3"/>
      <c r="AW225" s="3"/>
      <c r="AX225" s="3"/>
      <c r="AY225" s="3"/>
      <c r="AZ225" s="3"/>
      <c r="BA225" s="3"/>
      <c r="BB225" s="3"/>
      <c r="BC225" s="3"/>
      <c r="BD225" s="3"/>
      <c r="BE225" s="3"/>
      <c r="BF225" s="3"/>
      <c r="BG225" s="3"/>
      <c r="BH225" s="2"/>
      <c r="BI225" s="2"/>
      <c r="BJ225" s="3"/>
      <c r="BK225" s="3"/>
      <c r="BL225" s="3"/>
      <c r="BM225" s="3"/>
      <c r="BN225" s="3"/>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row>
    <row x14ac:dyDescent="0.25" r="226" customHeight="1" ht="13.5">
      <c r="A226" s="2"/>
      <c r="B226" s="200"/>
      <c r="C226" s="2"/>
      <c r="D226" s="123" t="s">
        <v>237</v>
      </c>
      <c r="E226" s="142"/>
      <c r="F226" s="293">
        <f>OCPMarketShares!K154</f>
      </c>
      <c r="G226" s="293">
        <f>OCPMarketShares!L154</f>
      </c>
      <c r="H226" s="319">
        <f>OCPMarketShares!M154</f>
      </c>
      <c r="I226" s="293">
        <f>I200*F226</f>
      </c>
      <c r="J226" s="293">
        <f>J200*G226</f>
      </c>
      <c r="K226" s="319">
        <f>K200*H226</f>
      </c>
      <c r="L226" s="293">
        <f>L200*F226</f>
      </c>
      <c r="M226" s="293">
        <f>M200*G226</f>
      </c>
      <c r="N226" s="319">
        <f>N200*H226</f>
      </c>
      <c r="O226" s="293">
        <f>O200*F226</f>
      </c>
      <c r="P226" s="293">
        <f>P200*G226</f>
      </c>
      <c r="Q226" s="319">
        <f>Q200*H226</f>
      </c>
      <c r="R226" s="293">
        <f>R200*F226</f>
      </c>
      <c r="S226" s="293">
        <f>S200*G226</f>
      </c>
      <c r="T226" s="319">
        <f>T200*H226</f>
      </c>
      <c r="U226" s="293">
        <f>U200*I226</f>
      </c>
      <c r="V226" s="293">
        <f>V200*J226</f>
      </c>
      <c r="W226" s="293">
        <f>W200*K226</f>
      </c>
      <c r="X226" s="3"/>
      <c r="Y226" s="140" t="s">
        <v>237</v>
      </c>
      <c r="Z226" s="293">
        <f>AC226+AF226+AI226+AL226</f>
      </c>
      <c r="AA226" s="293">
        <f>AD226+AG226+AJ226+AM226</f>
      </c>
      <c r="AB226" s="319">
        <f>AE226+AH226+AK226+AN226</f>
      </c>
      <c r="AC226" s="293">
        <f>I226/$E$10</f>
      </c>
      <c r="AD226" s="293">
        <f>J226/$E$10</f>
      </c>
      <c r="AE226" s="319">
        <f>K226/$E$10</f>
      </c>
      <c r="AF226" s="293">
        <f>L226/$E$11</f>
      </c>
      <c r="AG226" s="293">
        <f>M226/$E$11</f>
      </c>
      <c r="AH226" s="319">
        <f>N226/$E$11</f>
      </c>
      <c r="AI226" s="293">
        <f>O226/$E$12</f>
      </c>
      <c r="AJ226" s="293">
        <f>P226/$E$12</f>
      </c>
      <c r="AK226" s="319">
        <f>Q226/$E$12</f>
      </c>
      <c r="AL226" s="293">
        <f>R226/$E$13</f>
      </c>
      <c r="AM226" s="293">
        <f>S226/$E$13</f>
      </c>
      <c r="AN226" s="319">
        <f>T226/$E$13</f>
      </c>
      <c r="AO226" s="293">
        <f>U226/$E$14</f>
      </c>
      <c r="AP226" s="293">
        <f>V226/$E$14</f>
      </c>
      <c r="AQ226" s="319">
        <f>W226/$E$14</f>
      </c>
      <c r="AR226" s="134"/>
      <c r="AS226" s="3"/>
      <c r="AT226" s="3"/>
      <c r="AU226" s="3"/>
      <c r="AV226" s="3"/>
      <c r="AW226" s="3"/>
      <c r="AX226" s="3"/>
      <c r="AY226" s="3"/>
      <c r="AZ226" s="3"/>
      <c r="BA226" s="3"/>
      <c r="BB226" s="3"/>
      <c r="BC226" s="3"/>
      <c r="BD226" s="3"/>
      <c r="BE226" s="3"/>
      <c r="BF226" s="3"/>
      <c r="BG226" s="3"/>
      <c r="BH226" s="2"/>
      <c r="BI226" s="2"/>
      <c r="BJ226" s="3"/>
      <c r="BK226" s="3"/>
      <c r="BL226" s="3"/>
      <c r="BM226" s="3"/>
      <c r="BN226" s="3"/>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row>
    <row x14ac:dyDescent="0.25" r="227" customHeight="1" ht="13.5">
      <c r="A227" s="2"/>
      <c r="B227" s="200"/>
      <c r="C227" s="2"/>
      <c r="D227" s="123" t="s">
        <v>139</v>
      </c>
      <c r="E227" s="142"/>
      <c r="F227" s="293">
        <f>OCPMarketShares!K155</f>
      </c>
      <c r="G227" s="293">
        <f>OCPMarketShares!L155</f>
      </c>
      <c r="H227" s="319">
        <f>OCPMarketShares!M155</f>
      </c>
      <c r="I227" s="293">
        <f>I201*F227</f>
      </c>
      <c r="J227" s="293">
        <f>J201*G227</f>
      </c>
      <c r="K227" s="319">
        <f>K201*H227</f>
      </c>
      <c r="L227" s="293">
        <f>L201*F227</f>
      </c>
      <c r="M227" s="293">
        <f>M201*G227</f>
      </c>
      <c r="N227" s="319">
        <f>N201*H227</f>
      </c>
      <c r="O227" s="293">
        <f>O201*F227</f>
      </c>
      <c r="P227" s="293">
        <f>P201*G227</f>
      </c>
      <c r="Q227" s="319">
        <f>Q201*H227</f>
      </c>
      <c r="R227" s="293">
        <f>R201*F227</f>
      </c>
      <c r="S227" s="293">
        <f>S201*G227</f>
      </c>
      <c r="T227" s="319">
        <f>T201*H227</f>
      </c>
      <c r="U227" s="293">
        <f>U201*I227</f>
      </c>
      <c r="V227" s="293">
        <f>V201*J227</f>
      </c>
      <c r="W227" s="293">
        <f>W201*K227</f>
      </c>
      <c r="X227" s="3"/>
      <c r="Y227" s="140" t="s">
        <v>139</v>
      </c>
      <c r="Z227" s="293">
        <f>AC227+AF227+AI227+AL227</f>
      </c>
      <c r="AA227" s="293">
        <f>AD227+AG227+AJ227+AM227</f>
      </c>
      <c r="AB227" s="319">
        <f>AE227+AH227+AK227+AN227</f>
      </c>
      <c r="AC227" s="293">
        <f>I227/$E$10</f>
      </c>
      <c r="AD227" s="293">
        <f>J227/$E$10</f>
      </c>
      <c r="AE227" s="319">
        <f>K227/$E$10</f>
      </c>
      <c r="AF227" s="293">
        <f>L227/$E$11</f>
      </c>
      <c r="AG227" s="293">
        <f>M227/$E$11</f>
      </c>
      <c r="AH227" s="319">
        <f>N227/$E$11</f>
      </c>
      <c r="AI227" s="293">
        <f>O227/$E$12</f>
      </c>
      <c r="AJ227" s="293">
        <f>P227/$E$12</f>
      </c>
      <c r="AK227" s="319">
        <f>Q227/$E$12</f>
      </c>
      <c r="AL227" s="293">
        <f>R227/$E$13</f>
      </c>
      <c r="AM227" s="293">
        <f>S227/$E$13</f>
      </c>
      <c r="AN227" s="319">
        <f>T227/$E$13</f>
      </c>
      <c r="AO227" s="293">
        <f>U227/$E$14</f>
      </c>
      <c r="AP227" s="293">
        <f>V227/$E$14</f>
      </c>
      <c r="AQ227" s="319">
        <f>W227/$E$14</f>
      </c>
      <c r="AR227" s="134"/>
      <c r="AS227" s="3"/>
      <c r="AT227" s="3"/>
      <c r="AU227" s="3"/>
      <c r="AV227" s="3"/>
      <c r="AW227" s="3"/>
      <c r="AX227" s="3"/>
      <c r="AY227" s="3"/>
      <c r="AZ227" s="3"/>
      <c r="BA227" s="3"/>
      <c r="BB227" s="3"/>
      <c r="BC227" s="3"/>
      <c r="BD227" s="3"/>
      <c r="BE227" s="3"/>
      <c r="BF227" s="3"/>
      <c r="BG227" s="3"/>
      <c r="BH227" s="2"/>
      <c r="BI227" s="2"/>
      <c r="BJ227" s="3"/>
      <c r="BK227" s="3"/>
      <c r="BL227" s="3"/>
      <c r="BM227" s="3"/>
      <c r="BN227" s="3"/>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row>
    <row x14ac:dyDescent="0.25" r="228" customHeight="1" ht="13.5">
      <c r="A228" s="2"/>
      <c r="B228" s="200"/>
      <c r="C228" s="2"/>
      <c r="D228" s="123" t="s">
        <v>241</v>
      </c>
      <c r="E228" s="142"/>
      <c r="F228" s="293">
        <f>OCPMarketShares!K156</f>
      </c>
      <c r="G228" s="293">
        <f>OCPMarketShares!L156</f>
      </c>
      <c r="H228" s="319">
        <f>OCPMarketShares!M156</f>
      </c>
      <c r="I228" s="293">
        <f>I202*F228</f>
      </c>
      <c r="J228" s="293">
        <f>J202*G228</f>
      </c>
      <c r="K228" s="319">
        <f>K202*H228</f>
      </c>
      <c r="L228" s="293">
        <f>L202*F228</f>
      </c>
      <c r="M228" s="293">
        <f>M202*G228</f>
      </c>
      <c r="N228" s="319">
        <f>N202*H228</f>
      </c>
      <c r="O228" s="293">
        <f>O202*F228</f>
      </c>
      <c r="P228" s="293">
        <f>P202*G228</f>
      </c>
      <c r="Q228" s="319">
        <f>Q202*H228</f>
      </c>
      <c r="R228" s="293">
        <f>R202*F228</f>
      </c>
      <c r="S228" s="293">
        <f>S202*G228</f>
      </c>
      <c r="T228" s="319">
        <f>T202*H228</f>
      </c>
      <c r="U228" s="293">
        <f>U202*I228</f>
      </c>
      <c r="V228" s="293">
        <f>V202*J228</f>
      </c>
      <c r="W228" s="293">
        <f>W202*K228</f>
      </c>
      <c r="X228" s="3"/>
      <c r="Y228" s="140" t="s">
        <v>241</v>
      </c>
      <c r="Z228" s="293">
        <f>AC228+AF228+AI228+AL228</f>
      </c>
      <c r="AA228" s="293">
        <f>AD228+AG228+AJ228+AM228</f>
      </c>
      <c r="AB228" s="319">
        <f>AE228+AH228+AK228+AN228</f>
      </c>
      <c r="AC228" s="293">
        <f>I228/$E$10</f>
      </c>
      <c r="AD228" s="293">
        <f>J228/$E$10</f>
      </c>
      <c r="AE228" s="319">
        <f>K228/$E$10</f>
      </c>
      <c r="AF228" s="293">
        <f>L228/$E$11</f>
      </c>
      <c r="AG228" s="293">
        <f>M228/$E$11</f>
      </c>
      <c r="AH228" s="319">
        <f>N228/$E$11</f>
      </c>
      <c r="AI228" s="293">
        <f>O228/$E$12</f>
      </c>
      <c r="AJ228" s="293">
        <f>P228/$E$12</f>
      </c>
      <c r="AK228" s="319">
        <f>Q228/$E$12</f>
      </c>
      <c r="AL228" s="293">
        <f>R228/$E$13</f>
      </c>
      <c r="AM228" s="293">
        <f>S228/$E$13</f>
      </c>
      <c r="AN228" s="319">
        <f>T228/$E$13</f>
      </c>
      <c r="AO228" s="293">
        <f>U228/$E$14</f>
      </c>
      <c r="AP228" s="293">
        <f>V228/$E$14</f>
      </c>
      <c r="AQ228" s="319">
        <f>W228/$E$14</f>
      </c>
      <c r="AR228" s="134"/>
      <c r="AS228" s="3"/>
      <c r="AT228" s="3"/>
      <c r="AU228" s="3"/>
      <c r="AV228" s="3"/>
      <c r="AW228" s="3"/>
      <c r="AX228" s="3"/>
      <c r="AY228" s="3"/>
      <c r="AZ228" s="3"/>
      <c r="BA228" s="3"/>
      <c r="BB228" s="3"/>
      <c r="BC228" s="3"/>
      <c r="BD228" s="3"/>
      <c r="BE228" s="3"/>
      <c r="BF228" s="3"/>
      <c r="BG228" s="3"/>
      <c r="BH228" s="2"/>
      <c r="BI228" s="2"/>
      <c r="BJ228" s="3"/>
      <c r="BK228" s="3"/>
      <c r="BL228" s="3"/>
      <c r="BM228" s="3"/>
      <c r="BN228" s="3"/>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row>
    <row x14ac:dyDescent="0.25" r="229" customHeight="1" ht="13.5">
      <c r="A229" s="2"/>
      <c r="B229" s="200"/>
      <c r="C229" s="2"/>
      <c r="D229" s="123" t="s">
        <v>249</v>
      </c>
      <c r="E229" s="142"/>
      <c r="F229" s="293">
        <f>OCPMarketShares!K157</f>
      </c>
      <c r="G229" s="293">
        <f>OCPMarketShares!L157</f>
      </c>
      <c r="H229" s="319">
        <f>OCPMarketShares!M157</f>
      </c>
      <c r="I229" s="293">
        <f>I203*F229</f>
      </c>
      <c r="J229" s="293">
        <f>J203*G229</f>
      </c>
      <c r="K229" s="319">
        <f>K203*H229</f>
      </c>
      <c r="L229" s="293">
        <f>L203*F229</f>
      </c>
      <c r="M229" s="293">
        <f>M203*G229</f>
      </c>
      <c r="N229" s="319">
        <f>N203*H229</f>
      </c>
      <c r="O229" s="293">
        <f>O203*F229</f>
      </c>
      <c r="P229" s="293">
        <f>P203*G229</f>
      </c>
      <c r="Q229" s="319">
        <f>Q203*H229</f>
      </c>
      <c r="R229" s="293">
        <f>R203*F229</f>
      </c>
      <c r="S229" s="293">
        <f>S203*G229</f>
      </c>
      <c r="T229" s="319">
        <f>T203*H229</f>
      </c>
      <c r="U229" s="293">
        <f>U203*I229</f>
      </c>
      <c r="V229" s="293">
        <f>V203*J229</f>
      </c>
      <c r="W229" s="293">
        <f>W203*K229</f>
      </c>
      <c r="X229" s="3"/>
      <c r="Y229" s="140" t="s">
        <v>249</v>
      </c>
      <c r="Z229" s="293">
        <f>AC229+AF229+AI229+AL229</f>
      </c>
      <c r="AA229" s="293">
        <f>AD229+AG229+AJ229+AM229</f>
      </c>
      <c r="AB229" s="319">
        <f>AE229+AH229+AK229+AN229</f>
      </c>
      <c r="AC229" s="293">
        <f>I229/$E$10</f>
      </c>
      <c r="AD229" s="293">
        <f>J229/$E$10</f>
      </c>
      <c r="AE229" s="319">
        <f>K229/$E$10</f>
      </c>
      <c r="AF229" s="293">
        <f>L229/$E$11</f>
      </c>
      <c r="AG229" s="293">
        <f>M229/$E$11</f>
      </c>
      <c r="AH229" s="319">
        <f>N229/$E$11</f>
      </c>
      <c r="AI229" s="293">
        <f>O229/$E$12</f>
      </c>
      <c r="AJ229" s="293">
        <f>P229/$E$12</f>
      </c>
      <c r="AK229" s="319">
        <f>Q229/$E$12</f>
      </c>
      <c r="AL229" s="293">
        <f>R229/$E$13</f>
      </c>
      <c r="AM229" s="293">
        <f>S229/$E$13</f>
      </c>
      <c r="AN229" s="319">
        <f>T229/$E$13</f>
      </c>
      <c r="AO229" s="293">
        <f>U229/$E$14</f>
      </c>
      <c r="AP229" s="293">
        <f>V229/$E$14</f>
      </c>
      <c r="AQ229" s="319">
        <f>W229/$E$14</f>
      </c>
      <c r="AR229" s="134"/>
      <c r="AS229" s="3"/>
      <c r="AT229" s="3"/>
      <c r="AU229" s="3"/>
      <c r="AV229" s="3"/>
      <c r="AW229" s="3"/>
      <c r="AX229" s="3"/>
      <c r="AY229" s="3"/>
      <c r="AZ229" s="3"/>
      <c r="BA229" s="3"/>
      <c r="BB229" s="3"/>
      <c r="BC229" s="3"/>
      <c r="BD229" s="3"/>
      <c r="BE229" s="3"/>
      <c r="BF229" s="3"/>
      <c r="BG229" s="3"/>
      <c r="BH229" s="2"/>
      <c r="BI229" s="2"/>
      <c r="BJ229" s="3"/>
      <c r="BK229" s="3"/>
      <c r="BL229" s="3"/>
      <c r="BM229" s="3"/>
      <c r="BN229" s="3"/>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row>
    <row x14ac:dyDescent="0.25" r="230" customHeight="1" ht="13.5">
      <c r="A230" s="2"/>
      <c r="B230" s="200"/>
      <c r="C230" s="2"/>
      <c r="D230" s="123" t="s">
        <v>235</v>
      </c>
      <c r="E230" s="142"/>
      <c r="F230" s="293">
        <f>OCPMarketShares!K158</f>
      </c>
      <c r="G230" s="293">
        <f>OCPMarketShares!L158</f>
      </c>
      <c r="H230" s="319">
        <f>OCPMarketShares!M158</f>
      </c>
      <c r="I230" s="293">
        <f>I204*F230</f>
      </c>
      <c r="J230" s="293">
        <f>J204*G230</f>
      </c>
      <c r="K230" s="319">
        <f>K204*H230</f>
      </c>
      <c r="L230" s="293">
        <f>L204*F230</f>
      </c>
      <c r="M230" s="293">
        <f>M204*G230</f>
      </c>
      <c r="N230" s="319">
        <f>N204*H230</f>
      </c>
      <c r="O230" s="293">
        <f>O204*F230</f>
      </c>
      <c r="P230" s="293">
        <f>P204*G230</f>
      </c>
      <c r="Q230" s="319">
        <f>Q204*H230</f>
      </c>
      <c r="R230" s="293">
        <f>R204*F230</f>
      </c>
      <c r="S230" s="293">
        <f>S204*G230</f>
      </c>
      <c r="T230" s="319">
        <f>T204*H230</f>
      </c>
      <c r="U230" s="293">
        <f>U204*I230</f>
      </c>
      <c r="V230" s="293">
        <f>V204*J230</f>
      </c>
      <c r="W230" s="293">
        <f>W204*K230</f>
      </c>
      <c r="X230" s="3"/>
      <c r="Y230" s="140" t="s">
        <v>235</v>
      </c>
      <c r="Z230" s="293">
        <f>AC230+AF230+AI230+AL230</f>
      </c>
      <c r="AA230" s="293">
        <f>AD230+AG230+AJ230+AM230</f>
      </c>
      <c r="AB230" s="319">
        <f>AE230+AH230+AK230+AN230</f>
      </c>
      <c r="AC230" s="293">
        <f>I230/$E$10</f>
      </c>
      <c r="AD230" s="293">
        <f>J230/$E$10</f>
      </c>
      <c r="AE230" s="319">
        <f>K230/$E$10</f>
      </c>
      <c r="AF230" s="293">
        <f>L230/$E$11</f>
      </c>
      <c r="AG230" s="293">
        <f>M230/$E$11</f>
      </c>
      <c r="AH230" s="319">
        <f>N230/$E$11</f>
      </c>
      <c r="AI230" s="293">
        <f>O230/$E$12</f>
      </c>
      <c r="AJ230" s="293">
        <f>P230/$E$12</f>
      </c>
      <c r="AK230" s="319">
        <f>Q230/$E$12</f>
      </c>
      <c r="AL230" s="293">
        <f>R230/$E$13</f>
      </c>
      <c r="AM230" s="293">
        <f>S230/$E$13</f>
      </c>
      <c r="AN230" s="319">
        <f>T230/$E$13</f>
      </c>
      <c r="AO230" s="293">
        <f>U230/$E$14</f>
      </c>
      <c r="AP230" s="293">
        <f>V230/$E$14</f>
      </c>
      <c r="AQ230" s="319">
        <f>W230/$E$14</f>
      </c>
      <c r="AR230" s="134"/>
      <c r="AS230" s="3"/>
      <c r="AT230" s="3"/>
      <c r="AU230" s="3"/>
      <c r="AV230" s="3"/>
      <c r="AW230" s="3"/>
      <c r="AX230" s="3"/>
      <c r="AY230" s="3"/>
      <c r="AZ230" s="3"/>
      <c r="BA230" s="3"/>
      <c r="BB230" s="3"/>
      <c r="BC230" s="3"/>
      <c r="BD230" s="3"/>
      <c r="BE230" s="3"/>
      <c r="BF230" s="3"/>
      <c r="BG230" s="3"/>
      <c r="BH230" s="2"/>
      <c r="BI230" s="2"/>
      <c r="BJ230" s="3"/>
      <c r="BK230" s="3"/>
      <c r="BL230" s="3"/>
      <c r="BM230" s="3"/>
      <c r="BN230" s="3"/>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row>
    <row x14ac:dyDescent="0.25" r="231" customHeight="1" ht="13.5">
      <c r="A231" s="2"/>
      <c r="B231" s="200"/>
      <c r="C231" s="2"/>
      <c r="D231" s="123" t="s">
        <v>125</v>
      </c>
      <c r="E231" s="142"/>
      <c r="F231" s="293">
        <f>OCPMarketShares!K159</f>
      </c>
      <c r="G231" s="293">
        <f>OCPMarketShares!L159</f>
      </c>
      <c r="H231" s="319">
        <f>OCPMarketShares!M159</f>
      </c>
      <c r="I231" s="293">
        <f>I205*F231</f>
      </c>
      <c r="J231" s="293">
        <f>J205*G231</f>
      </c>
      <c r="K231" s="319">
        <f>K205*H231</f>
      </c>
      <c r="L231" s="293">
        <f>L205*F231</f>
      </c>
      <c r="M231" s="293">
        <f>M205*G231</f>
      </c>
      <c r="N231" s="319">
        <f>N205*H231</f>
      </c>
      <c r="O231" s="293">
        <f>O205*F231</f>
      </c>
      <c r="P231" s="293">
        <f>P205*G231</f>
      </c>
      <c r="Q231" s="319">
        <f>Q205*H231</f>
      </c>
      <c r="R231" s="293">
        <f>R205*F231</f>
      </c>
      <c r="S231" s="293">
        <f>S205*G231</f>
      </c>
      <c r="T231" s="319">
        <f>T205*H231</f>
      </c>
      <c r="U231" s="293">
        <f>U205*I231</f>
      </c>
      <c r="V231" s="293">
        <f>V205*J231</f>
      </c>
      <c r="W231" s="293">
        <f>W205*K231</f>
      </c>
      <c r="X231" s="3"/>
      <c r="Y231" s="140" t="s">
        <v>125</v>
      </c>
      <c r="Z231" s="293">
        <f>AC231+AF231+AI231+AL231</f>
      </c>
      <c r="AA231" s="293">
        <f>AD231+AG231+AJ231+AM231</f>
      </c>
      <c r="AB231" s="319">
        <f>AE231+AH231+AK231+AN231</f>
      </c>
      <c r="AC231" s="293">
        <f>I231/$E$10</f>
      </c>
      <c r="AD231" s="293">
        <f>J231/$E$10</f>
      </c>
      <c r="AE231" s="319">
        <f>K231/$E$10</f>
      </c>
      <c r="AF231" s="293">
        <f>L231/$E$11</f>
      </c>
      <c r="AG231" s="293">
        <f>M231/$E$11</f>
      </c>
      <c r="AH231" s="319">
        <f>N231/$E$11</f>
      </c>
      <c r="AI231" s="293">
        <f>O231/$E$12</f>
      </c>
      <c r="AJ231" s="293">
        <f>P231/$E$12</f>
      </c>
      <c r="AK231" s="319">
        <f>Q231/$E$12</f>
      </c>
      <c r="AL231" s="293">
        <f>R231/$E$13</f>
      </c>
      <c r="AM231" s="293">
        <f>S231/$E$13</f>
      </c>
      <c r="AN231" s="319">
        <f>T231/$E$13</f>
      </c>
      <c r="AO231" s="293">
        <f>U231/$E$14</f>
      </c>
      <c r="AP231" s="293">
        <f>V231/$E$14</f>
      </c>
      <c r="AQ231" s="319">
        <f>W231/$E$14</f>
      </c>
      <c r="AR231" s="134"/>
      <c r="AS231" s="3"/>
      <c r="AT231" s="3"/>
      <c r="AU231" s="3"/>
      <c r="AV231" s="3"/>
      <c r="AW231" s="3"/>
      <c r="AX231" s="3"/>
      <c r="AY231" s="3"/>
      <c r="AZ231" s="3"/>
      <c r="BA231" s="3"/>
      <c r="BB231" s="3"/>
      <c r="BC231" s="3"/>
      <c r="BD231" s="3"/>
      <c r="BE231" s="3"/>
      <c r="BF231" s="3"/>
      <c r="BG231" s="3"/>
      <c r="BH231" s="2"/>
      <c r="BI231" s="2"/>
      <c r="BJ231" s="3"/>
      <c r="BK231" s="3"/>
      <c r="BL231" s="3"/>
      <c r="BM231" s="3"/>
      <c r="BN231" s="3"/>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row>
    <row x14ac:dyDescent="0.25" r="232" customHeight="1" ht="13.5">
      <c r="A232" s="2"/>
      <c r="B232" s="200"/>
      <c r="C232" s="2"/>
      <c r="D232" s="123" t="s">
        <v>209</v>
      </c>
      <c r="E232" s="142"/>
      <c r="F232" s="293">
        <f>OCPMarketShares!K160</f>
      </c>
      <c r="G232" s="293">
        <f>OCPMarketShares!L160</f>
      </c>
      <c r="H232" s="319">
        <f>OCPMarketShares!M160</f>
      </c>
      <c r="I232" s="293">
        <f>I206*F232</f>
      </c>
      <c r="J232" s="293">
        <f>J206*G232</f>
      </c>
      <c r="K232" s="319">
        <f>K206*H232</f>
      </c>
      <c r="L232" s="293">
        <f>L206*F232</f>
      </c>
      <c r="M232" s="293">
        <f>M206*G232</f>
      </c>
      <c r="N232" s="319">
        <f>N206*H232</f>
      </c>
      <c r="O232" s="293">
        <f>O206*F232</f>
      </c>
      <c r="P232" s="293">
        <f>P206*G232</f>
      </c>
      <c r="Q232" s="319">
        <f>Q206*H232</f>
      </c>
      <c r="R232" s="293">
        <f>R206*F232</f>
      </c>
      <c r="S232" s="293">
        <f>S206*G232</f>
      </c>
      <c r="T232" s="319">
        <f>T206*H232</f>
      </c>
      <c r="U232" s="293">
        <f>U206*I232</f>
      </c>
      <c r="V232" s="293">
        <f>V206*J232</f>
      </c>
      <c r="W232" s="293">
        <f>W206*K232</f>
      </c>
      <c r="X232" s="3"/>
      <c r="Y232" s="140" t="s">
        <v>209</v>
      </c>
      <c r="Z232" s="293">
        <f>AC232+AF232+AI232+AL232</f>
      </c>
      <c r="AA232" s="293">
        <f>AD232+AG232+AJ232+AM232</f>
      </c>
      <c r="AB232" s="319">
        <f>AE232+AH232+AK232+AN232</f>
      </c>
      <c r="AC232" s="293">
        <f>I232/$E$10</f>
      </c>
      <c r="AD232" s="293">
        <f>J232/$E$10</f>
      </c>
      <c r="AE232" s="319">
        <f>K232/$E$10</f>
      </c>
      <c r="AF232" s="293">
        <f>L232/$E$11</f>
      </c>
      <c r="AG232" s="293">
        <f>M232/$E$11</f>
      </c>
      <c r="AH232" s="319">
        <f>N232/$E$11</f>
      </c>
      <c r="AI232" s="293">
        <f>O232/$E$12</f>
      </c>
      <c r="AJ232" s="293">
        <f>P232/$E$12</f>
      </c>
      <c r="AK232" s="319">
        <f>Q232/$E$12</f>
      </c>
      <c r="AL232" s="293">
        <f>R232/$E$13</f>
      </c>
      <c r="AM232" s="293">
        <f>S232/$E$13</f>
      </c>
      <c r="AN232" s="319">
        <f>T232/$E$13</f>
      </c>
      <c r="AO232" s="293">
        <f>U232/$E$14</f>
      </c>
      <c r="AP232" s="293">
        <f>V232/$E$14</f>
      </c>
      <c r="AQ232" s="319">
        <f>W232/$E$14</f>
      </c>
      <c r="AR232" s="134"/>
      <c r="AS232" s="3"/>
      <c r="AT232" s="3"/>
      <c r="AU232" s="3"/>
      <c r="AV232" s="3"/>
      <c r="AW232" s="3"/>
      <c r="AX232" s="3"/>
      <c r="AY232" s="3"/>
      <c r="AZ232" s="3"/>
      <c r="BA232" s="3"/>
      <c r="BB232" s="3"/>
      <c r="BC232" s="3"/>
      <c r="BD232" s="3"/>
      <c r="BE232" s="3"/>
      <c r="BF232" s="3"/>
      <c r="BG232" s="3"/>
      <c r="BH232" s="2"/>
      <c r="BI232" s="2"/>
      <c r="BJ232" s="3"/>
      <c r="BK232" s="3"/>
      <c r="BL232" s="3"/>
      <c r="BM232" s="3"/>
      <c r="BN232" s="3"/>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row>
    <row x14ac:dyDescent="0.25" r="233" customHeight="1" ht="13.5">
      <c r="A233" s="2"/>
      <c r="B233" s="200"/>
      <c r="C233" s="2"/>
      <c r="D233" s="123" t="s">
        <v>223</v>
      </c>
      <c r="E233" s="142"/>
      <c r="F233" s="293">
        <f>OCPMarketShares!K161</f>
      </c>
      <c r="G233" s="293">
        <f>OCPMarketShares!L161</f>
      </c>
      <c r="H233" s="319">
        <f>OCPMarketShares!M161</f>
      </c>
      <c r="I233" s="293">
        <f>I207*F233</f>
      </c>
      <c r="J233" s="293">
        <f>J207*G233</f>
      </c>
      <c r="K233" s="319">
        <f>K207*H233</f>
      </c>
      <c r="L233" s="293">
        <f>L207*F233</f>
      </c>
      <c r="M233" s="293">
        <f>M207*G233</f>
      </c>
      <c r="N233" s="319">
        <f>N207*H233</f>
      </c>
      <c r="O233" s="293">
        <f>O207*F233</f>
      </c>
      <c r="P233" s="293">
        <f>P207*G233</f>
      </c>
      <c r="Q233" s="319">
        <f>Q207*H233</f>
      </c>
      <c r="R233" s="293">
        <f>R207*F233</f>
      </c>
      <c r="S233" s="293">
        <f>S207*G233</f>
      </c>
      <c r="T233" s="319">
        <f>T207*H233</f>
      </c>
      <c r="U233" s="293">
        <f>U207*I233</f>
      </c>
      <c r="V233" s="293">
        <f>V207*J233</f>
      </c>
      <c r="W233" s="293">
        <f>W207*K233</f>
      </c>
      <c r="X233" s="3"/>
      <c r="Y233" s="140" t="s">
        <v>223</v>
      </c>
      <c r="Z233" s="293">
        <f>AC233+AF233+AI233+AL233</f>
      </c>
      <c r="AA233" s="293">
        <f>AD233+AG233+AJ233+AM233</f>
      </c>
      <c r="AB233" s="319">
        <f>AE233+AH233+AK233+AN233</f>
      </c>
      <c r="AC233" s="293">
        <f>I233/$E$10</f>
      </c>
      <c r="AD233" s="293">
        <f>J233/$E$10</f>
      </c>
      <c r="AE233" s="319">
        <f>K233/$E$10</f>
      </c>
      <c r="AF233" s="293">
        <f>L233/$E$11</f>
      </c>
      <c r="AG233" s="293">
        <f>M233/$E$11</f>
      </c>
      <c r="AH233" s="319">
        <f>N233/$E$11</f>
      </c>
      <c r="AI233" s="293">
        <f>O233/$E$12</f>
      </c>
      <c r="AJ233" s="293">
        <f>P233/$E$12</f>
      </c>
      <c r="AK233" s="319">
        <f>Q233/$E$12</f>
      </c>
      <c r="AL233" s="293">
        <f>R233/$E$13</f>
      </c>
      <c r="AM233" s="293">
        <f>S233/$E$13</f>
      </c>
      <c r="AN233" s="319">
        <f>T233/$E$13</f>
      </c>
      <c r="AO233" s="293">
        <f>U233/$E$14</f>
      </c>
      <c r="AP233" s="293">
        <f>V233/$E$14</f>
      </c>
      <c r="AQ233" s="319">
        <f>W233/$E$14</f>
      </c>
      <c r="AR233" s="134"/>
      <c r="AS233" s="3"/>
      <c r="AT233" s="3"/>
      <c r="AU233" s="3"/>
      <c r="AV233" s="3"/>
      <c r="AW233" s="3"/>
      <c r="AX233" s="3"/>
      <c r="AY233" s="3"/>
      <c r="AZ233" s="3"/>
      <c r="BA233" s="3"/>
      <c r="BB233" s="3"/>
      <c r="BC233" s="3"/>
      <c r="BD233" s="3"/>
      <c r="BE233" s="3"/>
      <c r="BF233" s="3"/>
      <c r="BG233" s="3"/>
      <c r="BH233" s="2"/>
      <c r="BI233" s="2"/>
      <c r="BJ233" s="3"/>
      <c r="BK233" s="3"/>
      <c r="BL233" s="3"/>
      <c r="BM233" s="3"/>
      <c r="BN233" s="3"/>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row>
    <row x14ac:dyDescent="0.25" r="234" customHeight="1" ht="13.5">
      <c r="A234" s="2"/>
      <c r="B234" s="200"/>
      <c r="C234" s="2"/>
      <c r="D234" s="123" t="s">
        <v>183</v>
      </c>
      <c r="E234" s="142"/>
      <c r="F234" s="293">
        <f>OCPMarketShares!K162</f>
      </c>
      <c r="G234" s="293">
        <f>OCPMarketShares!L162</f>
      </c>
      <c r="H234" s="319">
        <f>OCPMarketShares!M162</f>
      </c>
      <c r="I234" s="293">
        <f>I208*F234</f>
      </c>
      <c r="J234" s="293">
        <f>J208*G234</f>
      </c>
      <c r="K234" s="319">
        <f>K208*H234</f>
      </c>
      <c r="L234" s="293">
        <f>L208*F234</f>
      </c>
      <c r="M234" s="293">
        <f>M208*G234</f>
      </c>
      <c r="N234" s="319">
        <f>N208*H234</f>
      </c>
      <c r="O234" s="293">
        <f>O208*F234</f>
      </c>
      <c r="P234" s="293">
        <f>P208*G234</f>
      </c>
      <c r="Q234" s="319">
        <f>Q208*H234</f>
      </c>
      <c r="R234" s="293">
        <f>R208*F234</f>
      </c>
      <c r="S234" s="293">
        <f>S208*G234</f>
      </c>
      <c r="T234" s="319">
        <f>T208*H234</f>
      </c>
      <c r="U234" s="293">
        <f>U208*I234</f>
      </c>
      <c r="V234" s="293">
        <f>V208*J234</f>
      </c>
      <c r="W234" s="293">
        <f>W208*K234</f>
      </c>
      <c r="X234" s="3"/>
      <c r="Y234" s="140" t="s">
        <v>183</v>
      </c>
      <c r="Z234" s="293">
        <f>AC234+AF234+AI234+AL234</f>
      </c>
      <c r="AA234" s="293">
        <f>AD234+AG234+AJ234+AM234</f>
      </c>
      <c r="AB234" s="319">
        <f>AE234+AH234+AK234+AN234</f>
      </c>
      <c r="AC234" s="293">
        <f>I234/$E$10</f>
      </c>
      <c r="AD234" s="293">
        <f>J234/$E$10</f>
      </c>
      <c r="AE234" s="319">
        <f>K234/$E$10</f>
      </c>
      <c r="AF234" s="293">
        <f>L234/$E$11</f>
      </c>
      <c r="AG234" s="293">
        <f>M234/$E$11</f>
      </c>
      <c r="AH234" s="319">
        <f>N234/$E$11</f>
      </c>
      <c r="AI234" s="293">
        <f>O234/$E$12</f>
      </c>
      <c r="AJ234" s="293">
        <f>P234/$E$12</f>
      </c>
      <c r="AK234" s="319">
        <f>Q234/$E$12</f>
      </c>
      <c r="AL234" s="293">
        <f>R234/$E$13</f>
      </c>
      <c r="AM234" s="293">
        <f>S234/$E$13</f>
      </c>
      <c r="AN234" s="319">
        <f>T234/$E$13</f>
      </c>
      <c r="AO234" s="293">
        <f>U234/$E$14</f>
      </c>
      <c r="AP234" s="293">
        <f>V234/$E$14</f>
      </c>
      <c r="AQ234" s="319">
        <f>W234/$E$14</f>
      </c>
      <c r="AR234" s="134"/>
      <c r="AS234" s="3"/>
      <c r="AT234" s="3"/>
      <c r="AU234" s="3"/>
      <c r="AV234" s="3"/>
      <c r="AW234" s="3"/>
      <c r="AX234" s="3"/>
      <c r="AY234" s="3"/>
      <c r="AZ234" s="3"/>
      <c r="BA234" s="3"/>
      <c r="BB234" s="3"/>
      <c r="BC234" s="3"/>
      <c r="BD234" s="3"/>
      <c r="BE234" s="3"/>
      <c r="BF234" s="3"/>
      <c r="BG234" s="3"/>
      <c r="BH234" s="2"/>
      <c r="BI234" s="2"/>
      <c r="BJ234" s="3"/>
      <c r="BK234" s="3"/>
      <c r="BL234" s="3"/>
      <c r="BM234" s="3"/>
      <c r="BN234" s="3"/>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row>
    <row x14ac:dyDescent="0.25" r="235" customHeight="1" ht="13.5">
      <c r="A235" s="2"/>
      <c r="B235" s="200"/>
      <c r="C235" s="2"/>
      <c r="D235" s="123" t="s">
        <v>161</v>
      </c>
      <c r="E235" s="142"/>
      <c r="F235" s="293">
        <f>OCPMarketShares!K163</f>
      </c>
      <c r="G235" s="293">
        <f>OCPMarketShares!L163</f>
      </c>
      <c r="H235" s="319">
        <f>OCPMarketShares!M163</f>
      </c>
      <c r="I235" s="293">
        <f>I209*F235</f>
      </c>
      <c r="J235" s="293">
        <f>J209*G235</f>
      </c>
      <c r="K235" s="319">
        <f>K209*H235</f>
      </c>
      <c r="L235" s="293">
        <f>L209*F235</f>
      </c>
      <c r="M235" s="293">
        <f>M209*G235</f>
      </c>
      <c r="N235" s="319">
        <f>N209*H235</f>
      </c>
      <c r="O235" s="293">
        <f>O209*F235</f>
      </c>
      <c r="P235" s="293">
        <f>P209*G235</f>
      </c>
      <c r="Q235" s="319">
        <f>Q209*H235</f>
      </c>
      <c r="R235" s="293">
        <f>R209*F235</f>
      </c>
      <c r="S235" s="293">
        <f>S209*G235</f>
      </c>
      <c r="T235" s="319">
        <f>T209*H235</f>
      </c>
      <c r="U235" s="293">
        <f>U209*I235</f>
      </c>
      <c r="V235" s="293">
        <f>V209*J235</f>
      </c>
      <c r="W235" s="293">
        <f>W209*K235</f>
      </c>
      <c r="X235" s="3"/>
      <c r="Y235" s="140" t="s">
        <v>161</v>
      </c>
      <c r="Z235" s="293">
        <f>AC235+AF235+AI235+AL235</f>
      </c>
      <c r="AA235" s="293">
        <f>AD235+AG235+AJ235+AM235</f>
      </c>
      <c r="AB235" s="319">
        <f>AE235+AH235+AK235+AN235</f>
      </c>
      <c r="AC235" s="293">
        <f>I235/$E$10</f>
      </c>
      <c r="AD235" s="293">
        <f>J235/$E$10</f>
      </c>
      <c r="AE235" s="319">
        <f>K235/$E$10</f>
      </c>
      <c r="AF235" s="293">
        <f>L235/$E$11</f>
      </c>
      <c r="AG235" s="293">
        <f>M235/$E$11</f>
      </c>
      <c r="AH235" s="319">
        <f>N235/$E$11</f>
      </c>
      <c r="AI235" s="293">
        <f>O235/$E$12</f>
      </c>
      <c r="AJ235" s="293">
        <f>P235/$E$12</f>
      </c>
      <c r="AK235" s="319">
        <f>Q235/$E$12</f>
      </c>
      <c r="AL235" s="293">
        <f>R235/$E$13</f>
      </c>
      <c r="AM235" s="293">
        <f>S235/$E$13</f>
      </c>
      <c r="AN235" s="319">
        <f>T235/$E$13</f>
      </c>
      <c r="AO235" s="293">
        <f>U235/$E$14</f>
      </c>
      <c r="AP235" s="293">
        <f>V235/$E$14</f>
      </c>
      <c r="AQ235" s="319">
        <f>W235/$E$14</f>
      </c>
      <c r="AR235" s="134"/>
      <c r="AS235" s="3"/>
      <c r="AT235" s="3"/>
      <c r="AU235" s="3"/>
      <c r="AV235" s="3"/>
      <c r="AW235" s="3"/>
      <c r="AX235" s="3"/>
      <c r="AY235" s="3"/>
      <c r="AZ235" s="3"/>
      <c r="BA235" s="3"/>
      <c r="BB235" s="3"/>
      <c r="BC235" s="3"/>
      <c r="BD235" s="3"/>
      <c r="BE235" s="3"/>
      <c r="BF235" s="3"/>
      <c r="BG235" s="3"/>
      <c r="BH235" s="2"/>
      <c r="BI235" s="2"/>
      <c r="BJ235" s="3"/>
      <c r="BK235" s="3"/>
      <c r="BL235" s="3"/>
      <c r="BM235" s="3"/>
      <c r="BN235" s="3"/>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row>
    <row x14ac:dyDescent="0.25" r="236" customHeight="1" ht="13.5">
      <c r="A236" s="2"/>
      <c r="B236" s="200"/>
      <c r="C236" s="2"/>
      <c r="D236" s="123" t="s">
        <v>219</v>
      </c>
      <c r="E236" s="142"/>
      <c r="F236" s="293">
        <f>OCPMarketShares!K164</f>
      </c>
      <c r="G236" s="293">
        <f>OCPMarketShares!L164</f>
      </c>
      <c r="H236" s="319">
        <f>OCPMarketShares!M164</f>
      </c>
      <c r="I236" s="293">
        <f>I210*F236</f>
      </c>
      <c r="J236" s="293">
        <f>J210*G236</f>
      </c>
      <c r="K236" s="319">
        <f>K210*H236</f>
      </c>
      <c r="L236" s="293">
        <f>L210*F236</f>
      </c>
      <c r="M236" s="293">
        <f>M210*G236</f>
      </c>
      <c r="N236" s="319">
        <f>N210*H236</f>
      </c>
      <c r="O236" s="293">
        <f>O210*F236</f>
      </c>
      <c r="P236" s="293">
        <f>P210*G236</f>
      </c>
      <c r="Q236" s="319">
        <f>Q210*H236</f>
      </c>
      <c r="R236" s="293">
        <f>R210*F236</f>
      </c>
      <c r="S236" s="293">
        <f>S210*G236</f>
      </c>
      <c r="T236" s="319">
        <f>T210*H236</f>
      </c>
      <c r="U236" s="293">
        <f>U210*I236</f>
      </c>
      <c r="V236" s="293">
        <f>V210*J236</f>
      </c>
      <c r="W236" s="293">
        <f>W210*K236</f>
      </c>
      <c r="X236" s="3"/>
      <c r="Y236" s="140" t="s">
        <v>219</v>
      </c>
      <c r="Z236" s="293">
        <f>AC236+AF236+AI236+AL236</f>
      </c>
      <c r="AA236" s="293">
        <f>AD236+AG236+AJ236+AM236</f>
      </c>
      <c r="AB236" s="319">
        <f>AE236+AH236+AK236+AN236</f>
      </c>
      <c r="AC236" s="293">
        <f>I236/$E$10</f>
      </c>
      <c r="AD236" s="293">
        <f>J236/$E$10</f>
      </c>
      <c r="AE236" s="319">
        <f>K236/$E$10</f>
      </c>
      <c r="AF236" s="293">
        <f>L236/$E$11</f>
      </c>
      <c r="AG236" s="293">
        <f>M236/$E$11</f>
      </c>
      <c r="AH236" s="319">
        <f>N236/$E$11</f>
      </c>
      <c r="AI236" s="293">
        <f>O236/$E$12</f>
      </c>
      <c r="AJ236" s="293">
        <f>P236/$E$12</f>
      </c>
      <c r="AK236" s="319">
        <f>Q236/$E$12</f>
      </c>
      <c r="AL236" s="293">
        <f>R236/$E$13</f>
      </c>
      <c r="AM236" s="293">
        <f>S236/$E$13</f>
      </c>
      <c r="AN236" s="319">
        <f>T236/$E$13</f>
      </c>
      <c r="AO236" s="293">
        <f>U236/$E$14</f>
      </c>
      <c r="AP236" s="293">
        <f>V236/$E$14</f>
      </c>
      <c r="AQ236" s="319">
        <f>W236/$E$14</f>
      </c>
      <c r="AR236" s="134"/>
      <c r="AS236" s="3"/>
      <c r="AT236" s="3"/>
      <c r="AU236" s="3"/>
      <c r="AV236" s="3"/>
      <c r="AW236" s="3"/>
      <c r="AX236" s="3"/>
      <c r="AY236" s="3"/>
      <c r="AZ236" s="3"/>
      <c r="BA236" s="3"/>
      <c r="BB236" s="3"/>
      <c r="BC236" s="3"/>
      <c r="BD236" s="3"/>
      <c r="BE236" s="3"/>
      <c r="BF236" s="3"/>
      <c r="BG236" s="3"/>
      <c r="BH236" s="2"/>
      <c r="BI236" s="2"/>
      <c r="BJ236" s="3"/>
      <c r="BK236" s="3"/>
      <c r="BL236" s="3"/>
      <c r="BM236" s="3"/>
      <c r="BN236" s="3"/>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row>
    <row x14ac:dyDescent="0.25" r="237" customHeight="1" ht="13.5">
      <c r="A237" s="2"/>
      <c r="B237" s="200"/>
      <c r="C237" s="2"/>
      <c r="D237" s="123" t="s">
        <v>159</v>
      </c>
      <c r="E237" s="142"/>
      <c r="F237" s="293">
        <f>OCPMarketShares!K165</f>
      </c>
      <c r="G237" s="293">
        <f>OCPMarketShares!L165</f>
      </c>
      <c r="H237" s="319">
        <f>OCPMarketShares!M165</f>
      </c>
      <c r="I237" s="293">
        <f>I211*F237</f>
      </c>
      <c r="J237" s="293">
        <f>J211*G237</f>
      </c>
      <c r="K237" s="319">
        <f>K211*H237</f>
      </c>
      <c r="L237" s="293">
        <f>L211*F237</f>
      </c>
      <c r="M237" s="293">
        <f>M211*G237</f>
      </c>
      <c r="N237" s="319">
        <f>N211*H237</f>
      </c>
      <c r="O237" s="293">
        <f>O211*F237</f>
      </c>
      <c r="P237" s="293">
        <f>P211*G237</f>
      </c>
      <c r="Q237" s="319">
        <f>Q211*H237</f>
      </c>
      <c r="R237" s="293">
        <f>R211*F237</f>
      </c>
      <c r="S237" s="293">
        <f>S211*G237</f>
      </c>
      <c r="T237" s="319">
        <f>T211*H237</f>
      </c>
      <c r="U237" s="293">
        <f>U211*I237</f>
      </c>
      <c r="V237" s="293">
        <f>V211*J237</f>
      </c>
      <c r="W237" s="293">
        <f>W211*K237</f>
      </c>
      <c r="X237" s="3"/>
      <c r="Y237" s="140" t="s">
        <v>159</v>
      </c>
      <c r="Z237" s="293">
        <f>AC237+AF237+AI237+AL237</f>
      </c>
      <c r="AA237" s="293">
        <f>AD237+AG237+AJ237+AM237</f>
      </c>
      <c r="AB237" s="319">
        <f>AE237+AH237+AK237+AN237</f>
      </c>
      <c r="AC237" s="293">
        <f>I237/$E$10</f>
      </c>
      <c r="AD237" s="293">
        <f>J237/$E$10</f>
      </c>
      <c r="AE237" s="319">
        <f>K237/$E$10</f>
      </c>
      <c r="AF237" s="293">
        <f>L237/$E$11</f>
      </c>
      <c r="AG237" s="293">
        <f>M237/$E$11</f>
      </c>
      <c r="AH237" s="319">
        <f>N237/$E$11</f>
      </c>
      <c r="AI237" s="293">
        <f>O237/$E$12</f>
      </c>
      <c r="AJ237" s="293">
        <f>P237/$E$12</f>
      </c>
      <c r="AK237" s="319">
        <f>Q237/$E$12</f>
      </c>
      <c r="AL237" s="293">
        <f>R237/$E$13</f>
      </c>
      <c r="AM237" s="293">
        <f>S237/$E$13</f>
      </c>
      <c r="AN237" s="319">
        <f>T237/$E$13</f>
      </c>
      <c r="AO237" s="293">
        <f>U237/$E$14</f>
      </c>
      <c r="AP237" s="293">
        <f>V237/$E$14</f>
      </c>
      <c r="AQ237" s="319">
        <f>W237/$E$14</f>
      </c>
      <c r="AR237" s="134"/>
      <c r="AS237" s="3"/>
      <c r="AT237" s="3"/>
      <c r="AU237" s="3"/>
      <c r="AV237" s="3"/>
      <c r="AW237" s="3"/>
      <c r="AX237" s="3"/>
      <c r="AY237" s="3"/>
      <c r="AZ237" s="3"/>
      <c r="BA237" s="3"/>
      <c r="BB237" s="3"/>
      <c r="BC237" s="3"/>
      <c r="BD237" s="3"/>
      <c r="BE237" s="3"/>
      <c r="BF237" s="3"/>
      <c r="BG237" s="3"/>
      <c r="BH237" s="2"/>
      <c r="BI237" s="2"/>
      <c r="BJ237" s="3"/>
      <c r="BK237" s="3"/>
      <c r="BL237" s="3"/>
      <c r="BM237" s="3"/>
      <c r="BN237" s="3"/>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row>
    <row x14ac:dyDescent="0.25" r="238" customHeight="1" ht="13.5">
      <c r="A238" s="2"/>
      <c r="B238" s="200"/>
      <c r="C238" s="2"/>
      <c r="D238" s="123" t="s">
        <v>163</v>
      </c>
      <c r="E238" s="142"/>
      <c r="F238" s="293">
        <f>OCPMarketShares!K166</f>
      </c>
      <c r="G238" s="293">
        <f>OCPMarketShares!L166</f>
      </c>
      <c r="H238" s="319">
        <f>OCPMarketShares!M166</f>
      </c>
      <c r="I238" s="293">
        <f>I212*F238</f>
      </c>
      <c r="J238" s="293">
        <f>J212*G238</f>
      </c>
      <c r="K238" s="319">
        <f>K212*H238</f>
      </c>
      <c r="L238" s="293">
        <f>L212*F238</f>
      </c>
      <c r="M238" s="293">
        <f>M212*G238</f>
      </c>
      <c r="N238" s="319">
        <f>N212*H238</f>
      </c>
      <c r="O238" s="293">
        <f>O212*F238</f>
      </c>
      <c r="P238" s="293">
        <f>P212*G238</f>
      </c>
      <c r="Q238" s="319">
        <f>Q212*H238</f>
      </c>
      <c r="R238" s="293">
        <f>R212*F238</f>
      </c>
      <c r="S238" s="293">
        <f>S212*G238</f>
      </c>
      <c r="T238" s="319">
        <f>T212*H238</f>
      </c>
      <c r="U238" s="293">
        <f>U212*I238</f>
      </c>
      <c r="V238" s="293">
        <f>V212*J238</f>
      </c>
      <c r="W238" s="293">
        <f>W212*K238</f>
      </c>
      <c r="X238" s="3"/>
      <c r="Y238" s="140" t="s">
        <v>163</v>
      </c>
      <c r="Z238" s="293">
        <f>AC238+AF238+AI238+AL238</f>
      </c>
      <c r="AA238" s="293">
        <f>AD238+AG238+AJ238+AM238</f>
      </c>
      <c r="AB238" s="319">
        <f>AE238+AH238+AK238+AN238</f>
      </c>
      <c r="AC238" s="293">
        <f>I238/$E$10</f>
      </c>
      <c r="AD238" s="293">
        <f>J238/$E$10</f>
      </c>
      <c r="AE238" s="319">
        <f>K238/$E$10</f>
      </c>
      <c r="AF238" s="293">
        <f>L238/$E$11</f>
      </c>
      <c r="AG238" s="293">
        <f>M238/$E$11</f>
      </c>
      <c r="AH238" s="319">
        <f>N238/$E$11</f>
      </c>
      <c r="AI238" s="293">
        <f>O238/$E$12</f>
      </c>
      <c r="AJ238" s="293">
        <f>P238/$E$12</f>
      </c>
      <c r="AK238" s="319">
        <f>Q238/$E$12</f>
      </c>
      <c r="AL238" s="293">
        <f>R238/$E$13</f>
      </c>
      <c r="AM238" s="293">
        <f>S238/$E$13</f>
      </c>
      <c r="AN238" s="319">
        <f>T238/$E$13</f>
      </c>
      <c r="AO238" s="293">
        <f>U238/$E$14</f>
      </c>
      <c r="AP238" s="293">
        <f>V238/$E$14</f>
      </c>
      <c r="AQ238" s="319">
        <f>W238/$E$14</f>
      </c>
      <c r="AR238" s="134"/>
      <c r="AS238" s="3"/>
      <c r="AT238" s="3"/>
      <c r="AU238" s="3"/>
      <c r="AV238" s="3"/>
      <c r="AW238" s="3"/>
      <c r="AX238" s="3"/>
      <c r="AY238" s="3"/>
      <c r="AZ238" s="3"/>
      <c r="BA238" s="3"/>
      <c r="BB238" s="3"/>
      <c r="BC238" s="3"/>
      <c r="BD238" s="3"/>
      <c r="BE238" s="3"/>
      <c r="BF238" s="3"/>
      <c r="BG238" s="3"/>
      <c r="BH238" s="2"/>
      <c r="BI238" s="2"/>
      <c r="BJ238" s="3"/>
      <c r="BK238" s="3"/>
      <c r="BL238" s="3"/>
      <c r="BM238" s="3"/>
      <c r="BN238" s="3"/>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row>
    <row x14ac:dyDescent="0.25" r="239" customHeight="1" ht="13.5">
      <c r="A239" s="2"/>
      <c r="B239" s="200"/>
      <c r="C239" s="2"/>
      <c r="D239" s="123" t="s">
        <v>227</v>
      </c>
      <c r="E239" s="142"/>
      <c r="F239" s="293">
        <f>OCPMarketShares!K167</f>
      </c>
      <c r="G239" s="293">
        <f>OCPMarketShares!L167</f>
      </c>
      <c r="H239" s="319">
        <f>OCPMarketShares!M167</f>
      </c>
      <c r="I239" s="293">
        <f>I213*F239</f>
      </c>
      <c r="J239" s="293">
        <f>J213*G239</f>
      </c>
      <c r="K239" s="319">
        <f>K213*H239</f>
      </c>
      <c r="L239" s="293">
        <f>L213*F239</f>
      </c>
      <c r="M239" s="293">
        <f>M213*G239</f>
      </c>
      <c r="N239" s="319">
        <f>N213*H239</f>
      </c>
      <c r="O239" s="293">
        <f>O213*F239</f>
      </c>
      <c r="P239" s="293">
        <f>P213*G239</f>
      </c>
      <c r="Q239" s="319">
        <f>Q213*H239</f>
      </c>
      <c r="R239" s="293">
        <f>R213*F239</f>
      </c>
      <c r="S239" s="293">
        <f>S213*G239</f>
      </c>
      <c r="T239" s="319">
        <f>T213*H239</f>
      </c>
      <c r="U239" s="293">
        <f>U213*I239</f>
      </c>
      <c r="V239" s="293">
        <f>V213*J239</f>
      </c>
      <c r="W239" s="293">
        <f>W213*K239</f>
      </c>
      <c r="X239" s="3"/>
      <c r="Y239" s="140" t="s">
        <v>227</v>
      </c>
      <c r="Z239" s="293">
        <f>AC239+AF239+AI239+AL239</f>
      </c>
      <c r="AA239" s="293">
        <f>AD239+AG239+AJ239+AM239</f>
      </c>
      <c r="AB239" s="319">
        <f>AE239+AH239+AK239+AN239</f>
      </c>
      <c r="AC239" s="293">
        <f>I239/$E$10</f>
      </c>
      <c r="AD239" s="293">
        <f>J239/$E$10</f>
      </c>
      <c r="AE239" s="319">
        <f>K239/$E$10</f>
      </c>
      <c r="AF239" s="293">
        <f>L239/$E$11</f>
      </c>
      <c r="AG239" s="293">
        <f>M239/$E$11</f>
      </c>
      <c r="AH239" s="319">
        <f>N239/$E$11</f>
      </c>
      <c r="AI239" s="293">
        <f>O239/$E$12</f>
      </c>
      <c r="AJ239" s="293">
        <f>P239/$E$12</f>
      </c>
      <c r="AK239" s="319">
        <f>Q239/$E$12</f>
      </c>
      <c r="AL239" s="293">
        <f>R239/$E$13</f>
      </c>
      <c r="AM239" s="293">
        <f>S239/$E$13</f>
      </c>
      <c r="AN239" s="319">
        <f>T239/$E$13</f>
      </c>
      <c r="AO239" s="293">
        <f>U239/$E$14</f>
      </c>
      <c r="AP239" s="293">
        <f>V239/$E$14</f>
      </c>
      <c r="AQ239" s="319">
        <f>W239/$E$14</f>
      </c>
      <c r="AR239" s="134"/>
      <c r="AS239" s="3"/>
      <c r="AT239" s="3"/>
      <c r="AU239" s="3"/>
      <c r="AV239" s="3"/>
      <c r="AW239" s="3"/>
      <c r="AX239" s="3"/>
      <c r="AY239" s="3"/>
      <c r="AZ239" s="3"/>
      <c r="BA239" s="3"/>
      <c r="BB239" s="3"/>
      <c r="BC239" s="3"/>
      <c r="BD239" s="3"/>
      <c r="BE239" s="3"/>
      <c r="BF239" s="3"/>
      <c r="BG239" s="3"/>
      <c r="BH239" s="2"/>
      <c r="BI239" s="2"/>
      <c r="BJ239" s="3"/>
      <c r="BK239" s="3"/>
      <c r="BL239" s="3"/>
      <c r="BM239" s="3"/>
      <c r="BN239" s="3"/>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row>
    <row x14ac:dyDescent="0.25" r="240" customHeight="1" ht="13.5">
      <c r="A240" s="2"/>
      <c r="B240" s="200"/>
      <c r="C240" s="2"/>
      <c r="D240" s="123" t="s">
        <v>255</v>
      </c>
      <c r="E240" s="284"/>
      <c r="F240" s="294">
        <f>OCPMarketShares!K168</f>
      </c>
      <c r="G240" s="294">
        <f>OCPMarketShares!L168</f>
      </c>
      <c r="H240" s="323">
        <f>OCPMarketShares!M168</f>
      </c>
      <c r="I240" s="294">
        <f>I214*F240</f>
      </c>
      <c r="J240" s="294">
        <f>J214*G240</f>
      </c>
      <c r="K240" s="323">
        <f>K214*H240</f>
      </c>
      <c r="L240" s="294">
        <f>L214*F240</f>
      </c>
      <c r="M240" s="294">
        <f>M214*G240</f>
      </c>
      <c r="N240" s="323">
        <f>N214*H240</f>
      </c>
      <c r="O240" s="294">
        <f>O214*F240</f>
      </c>
      <c r="P240" s="294">
        <f>P214*G240</f>
      </c>
      <c r="Q240" s="323">
        <f>Q214*H240</f>
      </c>
      <c r="R240" s="294">
        <f>R214*F240</f>
      </c>
      <c r="S240" s="294">
        <f>S214*G240</f>
      </c>
      <c r="T240" s="323">
        <f>T214*H240</f>
      </c>
      <c r="U240" s="324">
        <f>U214*I240</f>
      </c>
      <c r="V240" s="294">
        <f>V214*J240</f>
      </c>
      <c r="W240" s="294">
        <f>W214*K240</f>
      </c>
      <c r="X240" s="3"/>
      <c r="Y240" s="325" t="s">
        <v>255</v>
      </c>
      <c r="Z240" s="294">
        <f>AC240+AF240+AI240+AL240</f>
      </c>
      <c r="AA240" s="294">
        <f>AD240+AG240+AJ240+AM240</f>
      </c>
      <c r="AB240" s="323">
        <f>AE240+AH240+AK240+AN240</f>
      </c>
      <c r="AC240" s="294">
        <f>I240/$E$10</f>
      </c>
      <c r="AD240" s="294">
        <f>J240/$E$10</f>
      </c>
      <c r="AE240" s="323">
        <f>K240/$E$10</f>
      </c>
      <c r="AF240" s="294">
        <f>L240/$E$11</f>
      </c>
      <c r="AG240" s="294">
        <f>M240/$E$11</f>
      </c>
      <c r="AH240" s="323">
        <f>N240/$E$11</f>
      </c>
      <c r="AI240" s="294">
        <f>O240/$E$12</f>
      </c>
      <c r="AJ240" s="294">
        <f>P240/$E$12</f>
      </c>
      <c r="AK240" s="323">
        <f>Q240/$E$12</f>
      </c>
      <c r="AL240" s="294">
        <f>R240/$E$13</f>
      </c>
      <c r="AM240" s="294">
        <f>S240/$E$13</f>
      </c>
      <c r="AN240" s="323">
        <f>T240/$E$13</f>
      </c>
      <c r="AO240" s="294">
        <f>U240/$E$14</f>
      </c>
      <c r="AP240" s="294">
        <f>V240/$E$14</f>
      </c>
      <c r="AQ240" s="323">
        <f>W240/$E$14</f>
      </c>
      <c r="AR240" s="134"/>
      <c r="AS240" s="3"/>
      <c r="AT240" s="3"/>
      <c r="AU240" s="3"/>
      <c r="AV240" s="3"/>
      <c r="AW240" s="3"/>
      <c r="AX240" s="3"/>
      <c r="AY240" s="3"/>
      <c r="AZ240" s="3"/>
      <c r="BA240" s="3"/>
      <c r="BB240" s="3"/>
      <c r="BC240" s="3"/>
      <c r="BD240" s="3"/>
      <c r="BE240" s="3"/>
      <c r="BF240" s="3"/>
      <c r="BG240" s="3"/>
      <c r="BH240" s="2"/>
      <c r="BI240" s="2"/>
      <c r="BJ240" s="3"/>
      <c r="BK240" s="3"/>
      <c r="BL240" s="3"/>
      <c r="BM240" s="3"/>
      <c r="BN240" s="3"/>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row>
    <row x14ac:dyDescent="0.25" r="241" customHeight="1" ht="13.5">
      <c r="A241" s="2"/>
      <c r="B241" s="200"/>
      <c r="C241" s="2"/>
      <c r="D241" s="326" t="s">
        <v>336</v>
      </c>
      <c r="E241" s="284"/>
      <c r="F241" s="284">
        <f>SUM(F220:F240)</f>
      </c>
      <c r="G241" s="284">
        <f>SUM(G220:G240)</f>
      </c>
      <c r="H241" s="352">
        <f>SUM(H220:H240)</f>
      </c>
      <c r="I241" s="294">
        <f>SUM(I220:I240)</f>
      </c>
      <c r="J241" s="294">
        <f>SUM(J220:J240)</f>
      </c>
      <c r="K241" s="323">
        <f>SUM(K220:K240)</f>
      </c>
      <c r="L241" s="294">
        <f>SUM(L220:L240)</f>
      </c>
      <c r="M241" s="294">
        <f>SUM(M220:M240)</f>
      </c>
      <c r="N241" s="323">
        <f>SUM(N220:N240)</f>
      </c>
      <c r="O241" s="294">
        <f>SUM(O220:O240)</f>
      </c>
      <c r="P241" s="294">
        <f>SUM(P220:P240)</f>
      </c>
      <c r="Q241" s="323">
        <f>SUM(Q220:Q240)</f>
      </c>
      <c r="R241" s="294">
        <f>SUM(R220:R240)</f>
      </c>
      <c r="S241" s="294">
        <f>SUM(S220:S240)</f>
      </c>
      <c r="T241" s="323">
        <f>SUM(T220:T240)</f>
      </c>
      <c r="U241" s="324">
        <f>SUM(U220:U240)</f>
      </c>
      <c r="V241" s="324">
        <f>SUM(V220:V240)</f>
      </c>
      <c r="W241" s="324">
        <f>SUM(W220:W240)</f>
      </c>
      <c r="X241" s="3"/>
      <c r="Y241" s="353"/>
      <c r="Z241" s="284">
        <f>SUM(Z220:Z240)</f>
      </c>
      <c r="AA241" s="284">
        <f>SUM(AA220:AA240)</f>
      </c>
      <c r="AB241" s="352">
        <f>SUM(AB220:AB240)</f>
      </c>
      <c r="AC241" s="294">
        <f>SUM(AC220:AC240)</f>
      </c>
      <c r="AD241" s="294">
        <f>SUM(AD220:AD240)</f>
      </c>
      <c r="AE241" s="323">
        <f>SUM(AE220:AE240)</f>
      </c>
      <c r="AF241" s="294">
        <f>SUM(AF220:AF240)</f>
      </c>
      <c r="AG241" s="294">
        <f>SUM(AG220:AG240)</f>
      </c>
      <c r="AH241" s="323">
        <f>SUM(AH220:AH240)</f>
      </c>
      <c r="AI241" s="294">
        <f>SUM(AI220:AI240)</f>
      </c>
      <c r="AJ241" s="294">
        <f>SUM(AJ220:AJ240)</f>
      </c>
      <c r="AK241" s="323">
        <f>SUM(AK220:AK240)</f>
      </c>
      <c r="AL241" s="294">
        <f>SUM(AL220:AL240)</f>
      </c>
      <c r="AM241" s="294">
        <f>SUM(AM220:AM240)</f>
      </c>
      <c r="AN241" s="323">
        <f>SUM(AN220:AN240)</f>
      </c>
      <c r="AO241" s="294">
        <f>SUM(AO220:AO240)</f>
      </c>
      <c r="AP241" s="294">
        <f>SUM(AP220:AP240)</f>
      </c>
      <c r="AQ241" s="323">
        <f>SUM(AQ220:AQ240)</f>
      </c>
      <c r="AR241" s="134"/>
      <c r="AS241" s="3"/>
      <c r="AT241" s="3"/>
      <c r="AU241" s="3"/>
      <c r="AV241" s="3"/>
      <c r="AW241" s="3"/>
      <c r="AX241" s="3"/>
      <c r="AY241" s="3"/>
      <c r="AZ241" s="3"/>
      <c r="BA241" s="3"/>
      <c r="BB241" s="3"/>
      <c r="BC241" s="3"/>
      <c r="BD241" s="3"/>
      <c r="BE241" s="3"/>
      <c r="BF241" s="3"/>
      <c r="BG241" s="3"/>
      <c r="BH241" s="2"/>
      <c r="BI241" s="2"/>
      <c r="BJ241" s="3"/>
      <c r="BK241" s="3"/>
      <c r="BL241" s="3"/>
      <c r="BM241" s="3"/>
      <c r="BN241" s="3"/>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row>
    <row x14ac:dyDescent="0.25" r="242" customHeight="1" ht="13.5">
      <c r="A242" s="2"/>
      <c r="B242" s="200"/>
      <c r="C242" s="2"/>
      <c r="D242" s="276"/>
      <c r="E242" s="142"/>
      <c r="F242" s="108"/>
      <c r="G242" s="108"/>
      <c r="H242" s="108"/>
      <c r="I242" s="108"/>
      <c r="J242" s="108"/>
      <c r="K242" s="108"/>
      <c r="L242" s="108"/>
      <c r="M242" s="108"/>
      <c r="N242" s="108"/>
      <c r="O242" s="108"/>
      <c r="P242" s="108"/>
      <c r="Q242" s="108"/>
      <c r="R242" s="108"/>
      <c r="S242" s="108"/>
      <c r="T242" s="108"/>
      <c r="U242" s="108"/>
      <c r="V242" s="108"/>
      <c r="W242" s="108"/>
      <c r="X242" s="3"/>
      <c r="Y242" s="308"/>
      <c r="Z242" s="108"/>
      <c r="AA242" s="108"/>
      <c r="AB242" s="108"/>
      <c r="AC242" s="142"/>
      <c r="AD242" s="142"/>
      <c r="AE242" s="142"/>
      <c r="AF242" s="142"/>
      <c r="AG242" s="142"/>
      <c r="AH242" s="142"/>
      <c r="AI242" s="142"/>
      <c r="AJ242" s="142"/>
      <c r="AK242" s="142"/>
      <c r="AL242" s="142"/>
      <c r="AM242" s="142"/>
      <c r="AN242" s="142"/>
      <c r="AO242" s="142"/>
      <c r="AP242" s="142"/>
      <c r="AQ242" s="142"/>
      <c r="AR242" s="134"/>
      <c r="AS242" s="3"/>
      <c r="AT242" s="3"/>
      <c r="AU242" s="3"/>
      <c r="AV242" s="3"/>
      <c r="AW242" s="3"/>
      <c r="AX242" s="3"/>
      <c r="AY242" s="3"/>
      <c r="AZ242" s="3"/>
      <c r="BA242" s="3"/>
      <c r="BB242" s="3"/>
      <c r="BC242" s="3"/>
      <c r="BD242" s="3"/>
      <c r="BE242" s="3"/>
      <c r="BF242" s="3"/>
      <c r="BG242" s="3"/>
      <c r="BH242" s="2"/>
      <c r="BI242" s="2"/>
      <c r="BJ242" s="3"/>
      <c r="BK242" s="3"/>
      <c r="BL242" s="3"/>
      <c r="BM242" s="3"/>
      <c r="BN242" s="3"/>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row>
    <row x14ac:dyDescent="0.25" r="243" customHeight="1" ht="13.5">
      <c r="A243" s="2"/>
      <c r="B243" s="200"/>
      <c r="C243" s="2"/>
      <c r="D243" s="240" t="s">
        <v>467</v>
      </c>
      <c r="E243" s="308"/>
      <c r="F243" s="108"/>
      <c r="G243" s="108"/>
      <c r="H243" s="108"/>
      <c r="I243" s="108"/>
      <c r="J243" s="108"/>
      <c r="K243" s="108"/>
      <c r="L243" s="108"/>
      <c r="M243" s="108"/>
      <c r="N243" s="108"/>
      <c r="O243" s="108"/>
      <c r="P243" s="108"/>
      <c r="Q243" s="108"/>
      <c r="R243" s="108"/>
      <c r="S243" s="108"/>
      <c r="T243" s="108"/>
      <c r="U243" s="108"/>
      <c r="V243" s="108"/>
      <c r="W243" s="108"/>
      <c r="X243" s="3"/>
      <c r="Y243" s="279" t="s">
        <v>467</v>
      </c>
      <c r="Z243" s="108"/>
      <c r="AA243" s="108"/>
      <c r="AB243" s="108"/>
      <c r="AC243" s="142"/>
      <c r="AD243" s="142"/>
      <c r="AE243" s="142"/>
      <c r="AF243" s="142"/>
      <c r="AG243" s="142"/>
      <c r="AH243" s="142"/>
      <c r="AI243" s="142"/>
      <c r="AJ243" s="142"/>
      <c r="AK243" s="142"/>
      <c r="AL243" s="142"/>
      <c r="AM243" s="142"/>
      <c r="AN243" s="142"/>
      <c r="AO243" s="142"/>
      <c r="AP243" s="142"/>
      <c r="AQ243" s="142"/>
      <c r="AR243" s="134"/>
      <c r="AS243" s="3"/>
      <c r="AT243" s="3"/>
      <c r="AU243" s="3"/>
      <c r="AV243" s="3"/>
      <c r="AW243" s="3"/>
      <c r="AX243" s="3"/>
      <c r="AY243" s="3"/>
      <c r="AZ243" s="3"/>
      <c r="BA243" s="3"/>
      <c r="BB243" s="3"/>
      <c r="BC243" s="3"/>
      <c r="BD243" s="3"/>
      <c r="BE243" s="3"/>
      <c r="BF243" s="3"/>
      <c r="BG243" s="3"/>
      <c r="BH243" s="2"/>
      <c r="BI243" s="2"/>
      <c r="BJ243" s="3"/>
      <c r="BK243" s="3"/>
      <c r="BL243" s="3"/>
      <c r="BM243" s="3"/>
      <c r="BN243" s="3"/>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row>
    <row x14ac:dyDescent="0.25" r="244" customHeight="1" ht="13.5">
      <c r="A244" s="2"/>
      <c r="B244" s="200"/>
      <c r="C244" s="2"/>
      <c r="D244" s="241" t="s">
        <v>468</v>
      </c>
      <c r="E244" s="347"/>
      <c r="F244" s="140" t="s">
        <v>492</v>
      </c>
      <c r="G244" s="108"/>
      <c r="H244" s="108"/>
      <c r="I244" s="140" t="s">
        <v>469</v>
      </c>
      <c r="J244" s="108"/>
      <c r="K244" s="108"/>
      <c r="L244" s="140" t="s">
        <v>477</v>
      </c>
      <c r="M244" s="108"/>
      <c r="N244" s="108"/>
      <c r="O244" s="140" t="s">
        <v>25</v>
      </c>
      <c r="P244" s="108"/>
      <c r="Q244" s="108"/>
      <c r="R244" s="140" t="s">
        <v>444</v>
      </c>
      <c r="S244" s="108"/>
      <c r="T244" s="309"/>
      <c r="U244" s="212" t="s">
        <v>29</v>
      </c>
      <c r="V244" s="108"/>
      <c r="W244" s="309"/>
      <c r="X244" s="3"/>
      <c r="Y244" s="242" t="s">
        <v>470</v>
      </c>
      <c r="Z244" s="140" t="s">
        <v>492</v>
      </c>
      <c r="AA244" s="108"/>
      <c r="AB244" s="108"/>
      <c r="AC244" s="212" t="s">
        <v>469</v>
      </c>
      <c r="AD244" s="142"/>
      <c r="AE244" s="142"/>
      <c r="AF244" s="212" t="s">
        <v>443</v>
      </c>
      <c r="AG244" s="142"/>
      <c r="AH244" s="142"/>
      <c r="AI244" s="212" t="s">
        <v>25</v>
      </c>
      <c r="AJ244" s="142"/>
      <c r="AK244" s="142"/>
      <c r="AL244" s="212" t="s">
        <v>444</v>
      </c>
      <c r="AM244" s="142"/>
      <c r="AN244" s="309"/>
      <c r="AO244" s="212" t="s">
        <v>29</v>
      </c>
      <c r="AP244" s="142"/>
      <c r="AQ244" s="142"/>
      <c r="AR244" s="134"/>
      <c r="AS244" s="3"/>
      <c r="AT244" s="3"/>
      <c r="AU244" s="3"/>
      <c r="AV244" s="3"/>
      <c r="AW244" s="3"/>
      <c r="AX244" s="3"/>
      <c r="AY244" s="3"/>
      <c r="AZ244" s="3"/>
      <c r="BA244" s="3"/>
      <c r="BB244" s="3"/>
      <c r="BC244" s="3"/>
      <c r="BD244" s="3"/>
      <c r="BE244" s="3"/>
      <c r="BF244" s="3"/>
      <c r="BG244" s="3"/>
      <c r="BH244" s="2"/>
      <c r="BI244" s="2"/>
      <c r="BJ244" s="3"/>
      <c r="BK244" s="3"/>
      <c r="BL244" s="3"/>
      <c r="BM244" s="3"/>
      <c r="BN244" s="3"/>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row>
    <row x14ac:dyDescent="0.25" r="245" customHeight="1" ht="13.5">
      <c r="A245" s="2"/>
      <c r="B245" s="200"/>
      <c r="C245" s="2"/>
      <c r="D245" s="246" t="s">
        <v>475</v>
      </c>
      <c r="E245" s="256"/>
      <c r="F245" s="257">
        <v>2023</v>
      </c>
      <c r="G245" s="257">
        <v>2024</v>
      </c>
      <c r="H245" s="257">
        <v>2025</v>
      </c>
      <c r="I245" s="257">
        <v>2023</v>
      </c>
      <c r="J245" s="257">
        <v>2024</v>
      </c>
      <c r="K245" s="257">
        <v>2025</v>
      </c>
      <c r="L245" s="257">
        <v>2023</v>
      </c>
      <c r="M245" s="257">
        <v>2024</v>
      </c>
      <c r="N245" s="257">
        <v>2025</v>
      </c>
      <c r="O245" s="257">
        <v>2023</v>
      </c>
      <c r="P245" s="257">
        <v>2024</v>
      </c>
      <c r="Q245" s="257">
        <v>2025</v>
      </c>
      <c r="R245" s="257">
        <v>2023</v>
      </c>
      <c r="S245" s="257">
        <v>2024</v>
      </c>
      <c r="T245" s="302">
        <v>2025</v>
      </c>
      <c r="U245" s="257">
        <v>2023</v>
      </c>
      <c r="V245" s="257">
        <v>2024</v>
      </c>
      <c r="W245" s="302">
        <v>2025</v>
      </c>
      <c r="X245" s="3"/>
      <c r="Y245" s="280" t="s">
        <v>475</v>
      </c>
      <c r="Z245" s="257">
        <v>2023</v>
      </c>
      <c r="AA245" s="257">
        <v>2024</v>
      </c>
      <c r="AB245" s="302">
        <v>2025</v>
      </c>
      <c r="AC245" s="257">
        <v>2023</v>
      </c>
      <c r="AD245" s="257">
        <v>2024</v>
      </c>
      <c r="AE245" s="302">
        <v>2025</v>
      </c>
      <c r="AF245" s="257">
        <v>2023</v>
      </c>
      <c r="AG245" s="257">
        <v>2024</v>
      </c>
      <c r="AH245" s="302">
        <v>2025</v>
      </c>
      <c r="AI245" s="257">
        <v>2023</v>
      </c>
      <c r="AJ245" s="257">
        <v>2024</v>
      </c>
      <c r="AK245" s="257">
        <v>2025</v>
      </c>
      <c r="AL245" s="257">
        <v>2023</v>
      </c>
      <c r="AM245" s="257">
        <v>2024</v>
      </c>
      <c r="AN245" s="302">
        <v>2025</v>
      </c>
      <c r="AO245" s="257">
        <v>2023</v>
      </c>
      <c r="AP245" s="257">
        <v>2024</v>
      </c>
      <c r="AQ245" s="257">
        <v>2025</v>
      </c>
      <c r="AR245" s="134"/>
      <c r="AS245" s="3"/>
      <c r="AT245" s="3"/>
      <c r="AU245" s="3"/>
      <c r="AV245" s="3"/>
      <c r="AW245" s="3"/>
      <c r="AX245" s="3"/>
      <c r="AY245" s="3"/>
      <c r="AZ245" s="3"/>
      <c r="BA245" s="3"/>
      <c r="BB245" s="3"/>
      <c r="BC245" s="3"/>
      <c r="BD245" s="3"/>
      <c r="BE245" s="3"/>
      <c r="BF245" s="3"/>
      <c r="BG245" s="3"/>
      <c r="BH245" s="2"/>
      <c r="BI245" s="2"/>
      <c r="BJ245" s="3"/>
      <c r="BK245" s="3"/>
      <c r="BL245" s="3"/>
      <c r="BM245" s="3"/>
      <c r="BN245" s="3"/>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row>
    <row x14ac:dyDescent="0.25" r="246" customHeight="1" ht="13.5">
      <c r="A246" s="2"/>
      <c r="B246" s="200"/>
      <c r="C246" s="2"/>
      <c r="D246" s="123" t="s">
        <v>179</v>
      </c>
      <c r="E246" s="142"/>
      <c r="F246" s="293">
        <f>OCPMarketShares!K176</f>
      </c>
      <c r="G246" s="293">
        <f>OCPMarketShares!L176</f>
      </c>
      <c r="H246" s="293">
        <f>OCPMarketShares!M176</f>
      </c>
      <c r="I246" s="293">
        <f>F246*I194</f>
      </c>
      <c r="J246" s="293">
        <f>G246*J194</f>
      </c>
      <c r="K246" s="293">
        <f>H246*K194</f>
      </c>
      <c r="L246" s="293">
        <f>F246*L194</f>
      </c>
      <c r="M246" s="293">
        <f>G246*M194</f>
      </c>
      <c r="N246" s="293">
        <f>H246*N194</f>
      </c>
      <c r="O246" s="293">
        <f>F246*O194</f>
      </c>
      <c r="P246" s="293">
        <f>G246*P194</f>
      </c>
      <c r="Q246" s="293">
        <f>H246*Q194</f>
      </c>
      <c r="R246" s="293">
        <f>F246*R194</f>
      </c>
      <c r="S246" s="293">
        <f>G246*S194</f>
      </c>
      <c r="T246" s="319">
        <f>H246*T194</f>
      </c>
      <c r="U246" s="293">
        <f>I246*U194</f>
      </c>
      <c r="V246" s="293">
        <f>J246*V194</f>
      </c>
      <c r="W246" s="293">
        <f>K246*W194</f>
      </c>
      <c r="X246" s="3"/>
      <c r="Y246" s="140" t="s">
        <v>179</v>
      </c>
      <c r="Z246" s="293">
        <f>AC246+AF246+AI246+AL246</f>
      </c>
      <c r="AA246" s="293">
        <f>AD246+AG246+AJ246+AM246</f>
      </c>
      <c r="AB246" s="319">
        <f>AE246+AH246+AK246+AN246</f>
      </c>
      <c r="AC246" s="293">
        <f>I246/$E$10</f>
      </c>
      <c r="AD246" s="293">
        <f>J246/$E$10</f>
      </c>
      <c r="AE246" s="319">
        <f>K246/$E$10</f>
      </c>
      <c r="AF246" s="293">
        <f>L246/$E$11</f>
      </c>
      <c r="AG246" s="293">
        <f>M246/$E$11</f>
      </c>
      <c r="AH246" s="319">
        <f>N246/$E$11</f>
      </c>
      <c r="AI246" s="293">
        <f>O246/$E$12</f>
      </c>
      <c r="AJ246" s="293">
        <f>P246/$E$12</f>
      </c>
      <c r="AK246" s="319">
        <f>Q246/$E$12</f>
      </c>
      <c r="AL246" s="293">
        <f>R246/$E$13</f>
      </c>
      <c r="AM246" s="293">
        <f>S246/$E$13</f>
      </c>
      <c r="AN246" s="319">
        <f>T246/$E$13</f>
      </c>
      <c r="AO246" s="293">
        <f>U246/$E$14</f>
      </c>
      <c r="AP246" s="293">
        <f>V246/$E$14</f>
      </c>
      <c r="AQ246" s="319">
        <f>W246/$E$14</f>
      </c>
      <c r="AR246" s="134"/>
      <c r="AS246" s="3"/>
      <c r="AT246" s="3"/>
      <c r="AU246" s="3"/>
      <c r="AV246" s="3"/>
      <c r="AW246" s="3"/>
      <c r="AX246" s="3"/>
      <c r="AY246" s="3"/>
      <c r="AZ246" s="3"/>
      <c r="BA246" s="3"/>
      <c r="BB246" s="3"/>
      <c r="BC246" s="3"/>
      <c r="BD246" s="3"/>
      <c r="BE246" s="3"/>
      <c r="BF246" s="3"/>
      <c r="BG246" s="3"/>
      <c r="BH246" s="2"/>
      <c r="BI246" s="2"/>
      <c r="BJ246" s="3"/>
      <c r="BK246" s="3"/>
      <c r="BL246" s="3"/>
      <c r="BM246" s="3"/>
      <c r="BN246" s="3"/>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row>
    <row x14ac:dyDescent="0.25" r="247" customHeight="1" ht="13.5">
      <c r="A247" s="2"/>
      <c r="B247" s="200"/>
      <c r="C247" s="2"/>
      <c r="D247" s="123" t="s">
        <v>231</v>
      </c>
      <c r="E247" s="142"/>
      <c r="F247" s="293">
        <f>OCPMarketShares!K177</f>
      </c>
      <c r="G247" s="293">
        <f>OCPMarketShares!L177</f>
      </c>
      <c r="H247" s="293">
        <f>OCPMarketShares!M177</f>
      </c>
      <c r="I247" s="293">
        <f>F247*I195</f>
      </c>
      <c r="J247" s="293">
        <f>G247*J195</f>
      </c>
      <c r="K247" s="293">
        <f>H247*K195</f>
      </c>
      <c r="L247" s="293">
        <f>F247*L195</f>
      </c>
      <c r="M247" s="293">
        <f>G247*M195</f>
      </c>
      <c r="N247" s="293">
        <f>H247*N195</f>
      </c>
      <c r="O247" s="293">
        <f>F247*O195</f>
      </c>
      <c r="P247" s="293">
        <f>G247*P195</f>
      </c>
      <c r="Q247" s="293">
        <f>H247*Q195</f>
      </c>
      <c r="R247" s="293">
        <f>F247*R195</f>
      </c>
      <c r="S247" s="293">
        <f>G247*S195</f>
      </c>
      <c r="T247" s="319">
        <f>H247*T195</f>
      </c>
      <c r="U247" s="293">
        <f>I247*U195</f>
      </c>
      <c r="V247" s="293">
        <f>J247*V195</f>
      </c>
      <c r="W247" s="293">
        <f>K247*W195</f>
      </c>
      <c r="X247" s="3"/>
      <c r="Y247" s="140" t="s">
        <v>231</v>
      </c>
      <c r="Z247" s="293">
        <f>AC247+AF247+AI247+AL247</f>
      </c>
      <c r="AA247" s="293">
        <f>AD247+AG247+AJ247+AM247</f>
      </c>
      <c r="AB247" s="319">
        <f>AE247+AH247+AK247+AN247</f>
      </c>
      <c r="AC247" s="293">
        <f>I247/$E$10</f>
      </c>
      <c r="AD247" s="293">
        <f>J247/$E$10</f>
      </c>
      <c r="AE247" s="319">
        <f>K247/$E$10</f>
      </c>
      <c r="AF247" s="293">
        <f>L247/$E$11</f>
      </c>
      <c r="AG247" s="293">
        <f>M247/$E$11</f>
      </c>
      <c r="AH247" s="319">
        <f>N247/$E$11</f>
      </c>
      <c r="AI247" s="293">
        <f>O247/$E$12</f>
      </c>
      <c r="AJ247" s="293">
        <f>P247/$E$12</f>
      </c>
      <c r="AK247" s="319">
        <f>Q247/$E$12</f>
      </c>
      <c r="AL247" s="293">
        <f>R247/$E$13</f>
      </c>
      <c r="AM247" s="293">
        <f>S247/$E$13</f>
      </c>
      <c r="AN247" s="319">
        <f>T247/$E$13</f>
      </c>
      <c r="AO247" s="293">
        <f>U247/$E$14</f>
      </c>
      <c r="AP247" s="293">
        <f>V247/$E$14</f>
      </c>
      <c r="AQ247" s="319">
        <f>W247/$E$14</f>
      </c>
      <c r="AR247" s="134"/>
      <c r="AS247" s="3"/>
      <c r="AT247" s="3"/>
      <c r="AU247" s="3"/>
      <c r="AV247" s="3"/>
      <c r="AW247" s="3"/>
      <c r="AX247" s="3"/>
      <c r="AY247" s="3"/>
      <c r="AZ247" s="3"/>
      <c r="BA247" s="3"/>
      <c r="BB247" s="3"/>
      <c r="BC247" s="3"/>
      <c r="BD247" s="3"/>
      <c r="BE247" s="3"/>
      <c r="BF247" s="3"/>
      <c r="BG247" s="3"/>
      <c r="BH247" s="2"/>
      <c r="BI247" s="2"/>
      <c r="BJ247" s="3"/>
      <c r="BK247" s="3"/>
      <c r="BL247" s="3"/>
      <c r="BM247" s="3"/>
      <c r="BN247" s="3"/>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row>
    <row x14ac:dyDescent="0.25" r="248" customHeight="1" ht="13.5">
      <c r="A248" s="2"/>
      <c r="B248" s="200"/>
      <c r="C248" s="2"/>
      <c r="D248" s="123" t="s">
        <v>141</v>
      </c>
      <c r="E248" s="142"/>
      <c r="F248" s="293">
        <f>OCPMarketShares!K178</f>
      </c>
      <c r="G248" s="293">
        <f>OCPMarketShares!L178</f>
      </c>
      <c r="H248" s="293">
        <f>OCPMarketShares!M178</f>
      </c>
      <c r="I248" s="293">
        <f>F248*I196</f>
      </c>
      <c r="J248" s="293">
        <f>G248*J196</f>
      </c>
      <c r="K248" s="293">
        <f>H248*K196</f>
      </c>
      <c r="L248" s="293">
        <f>F248*L196</f>
      </c>
      <c r="M248" s="293">
        <f>G248*M196</f>
      </c>
      <c r="N248" s="293">
        <f>H248*N196</f>
      </c>
      <c r="O248" s="293">
        <f>F248*O196</f>
      </c>
      <c r="P248" s="293">
        <f>G248*P196</f>
      </c>
      <c r="Q248" s="293">
        <f>H248*Q196</f>
      </c>
      <c r="R248" s="293">
        <f>F248*R196</f>
      </c>
      <c r="S248" s="293">
        <f>G248*S196</f>
      </c>
      <c r="T248" s="319">
        <f>H248*T196</f>
      </c>
      <c r="U248" s="293">
        <f>I248*U196</f>
      </c>
      <c r="V248" s="293">
        <f>J248*V196</f>
      </c>
      <c r="W248" s="293">
        <f>K248*W196</f>
      </c>
      <c r="X248" s="3"/>
      <c r="Y248" s="140" t="s">
        <v>141</v>
      </c>
      <c r="Z248" s="293">
        <f>AC248+AF248+AI248+AL248</f>
      </c>
      <c r="AA248" s="293">
        <f>AD248+AG248+AJ248+AM248</f>
      </c>
      <c r="AB248" s="319">
        <f>AE248+AH248+AK248+AN248</f>
      </c>
      <c r="AC248" s="293">
        <f>I248/$E$10</f>
      </c>
      <c r="AD248" s="293">
        <f>J248/$E$10</f>
      </c>
      <c r="AE248" s="319">
        <f>K248/$E$10</f>
      </c>
      <c r="AF248" s="293">
        <f>L248/$E$11</f>
      </c>
      <c r="AG248" s="293">
        <f>M248/$E$11</f>
      </c>
      <c r="AH248" s="319">
        <f>N248/$E$11</f>
      </c>
      <c r="AI248" s="293">
        <f>O248/$E$12</f>
      </c>
      <c r="AJ248" s="293">
        <f>P248/$E$12</f>
      </c>
      <c r="AK248" s="319">
        <f>Q248/$E$12</f>
      </c>
      <c r="AL248" s="293">
        <f>R248/$E$13</f>
      </c>
      <c r="AM248" s="293">
        <f>S248/$E$13</f>
      </c>
      <c r="AN248" s="319">
        <f>T248/$E$13</f>
      </c>
      <c r="AO248" s="293">
        <f>U248/$E$14</f>
      </c>
      <c r="AP248" s="293">
        <f>V248/$E$14</f>
      </c>
      <c r="AQ248" s="319">
        <f>W248/$E$14</f>
      </c>
      <c r="AR248" s="134"/>
      <c r="AS248" s="3"/>
      <c r="AT248" s="3"/>
      <c r="AU248" s="3"/>
      <c r="AV248" s="3"/>
      <c r="AW248" s="3"/>
      <c r="AX248" s="3"/>
      <c r="AY248" s="3"/>
      <c r="AZ248" s="3"/>
      <c r="BA248" s="3"/>
      <c r="BB248" s="3"/>
      <c r="BC248" s="3"/>
      <c r="BD248" s="3"/>
      <c r="BE248" s="3"/>
      <c r="BF248" s="3"/>
      <c r="BG248" s="3"/>
      <c r="BH248" s="2"/>
      <c r="BI248" s="2"/>
      <c r="BJ248" s="3"/>
      <c r="BK248" s="3"/>
      <c r="BL248" s="3"/>
      <c r="BM248" s="3"/>
      <c r="BN248" s="3"/>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row>
    <row x14ac:dyDescent="0.25" r="249" customHeight="1" ht="13.5">
      <c r="A249" s="2"/>
      <c r="B249" s="200"/>
      <c r="C249" s="2"/>
      <c r="D249" s="123" t="s">
        <v>247</v>
      </c>
      <c r="E249" s="142"/>
      <c r="F249" s="293">
        <f>OCPMarketShares!K179</f>
      </c>
      <c r="G249" s="293">
        <f>OCPMarketShares!L179</f>
      </c>
      <c r="H249" s="293">
        <f>OCPMarketShares!M179</f>
      </c>
      <c r="I249" s="293">
        <f>F249*I197</f>
      </c>
      <c r="J249" s="293">
        <f>G249*J197</f>
      </c>
      <c r="K249" s="293">
        <f>H249*K197</f>
      </c>
      <c r="L249" s="293">
        <f>F249*L197</f>
      </c>
      <c r="M249" s="293">
        <f>G249*M197</f>
      </c>
      <c r="N249" s="293">
        <f>H249*N197</f>
      </c>
      <c r="O249" s="293">
        <f>F249*O197</f>
      </c>
      <c r="P249" s="293">
        <f>G249*P197</f>
      </c>
      <c r="Q249" s="293">
        <f>H249*Q197</f>
      </c>
      <c r="R249" s="293">
        <f>F249*R197</f>
      </c>
      <c r="S249" s="293">
        <f>G249*S197</f>
      </c>
      <c r="T249" s="319">
        <f>H249*T197</f>
      </c>
      <c r="U249" s="293">
        <f>I249*U197</f>
      </c>
      <c r="V249" s="293">
        <f>J249*V197</f>
      </c>
      <c r="W249" s="293">
        <f>K249*W197</f>
      </c>
      <c r="X249" s="3"/>
      <c r="Y249" s="140" t="s">
        <v>247</v>
      </c>
      <c r="Z249" s="293">
        <f>AC249+AF249+AI249+AL249</f>
      </c>
      <c r="AA249" s="293">
        <f>AD249+AG249+AJ249+AM249</f>
      </c>
      <c r="AB249" s="319">
        <f>AE249+AH249+AK249+AN249</f>
      </c>
      <c r="AC249" s="293">
        <f>I249/$E$10</f>
      </c>
      <c r="AD249" s="293">
        <f>J249/$E$10</f>
      </c>
      <c r="AE249" s="319">
        <f>K249/$E$10</f>
      </c>
      <c r="AF249" s="293">
        <f>L249/$E$11</f>
      </c>
      <c r="AG249" s="293">
        <f>M249/$E$11</f>
      </c>
      <c r="AH249" s="319">
        <f>N249/$E$11</f>
      </c>
      <c r="AI249" s="293">
        <f>O249/$E$12</f>
      </c>
      <c r="AJ249" s="293">
        <f>P249/$E$12</f>
      </c>
      <c r="AK249" s="319">
        <f>Q249/$E$12</f>
      </c>
      <c r="AL249" s="293">
        <f>R249/$E$13</f>
      </c>
      <c r="AM249" s="293">
        <f>S249/$E$13</f>
      </c>
      <c r="AN249" s="319">
        <f>T249/$E$13</f>
      </c>
      <c r="AO249" s="293">
        <f>U249/$E$14</f>
      </c>
      <c r="AP249" s="293">
        <f>V249/$E$14</f>
      </c>
      <c r="AQ249" s="319">
        <f>W249/$E$14</f>
      </c>
      <c r="AR249" s="134"/>
      <c r="AS249" s="3"/>
      <c r="AT249" s="3"/>
      <c r="AU249" s="3"/>
      <c r="AV249" s="3"/>
      <c r="AW249" s="3"/>
      <c r="AX249" s="3"/>
      <c r="AY249" s="3"/>
      <c r="AZ249" s="3"/>
      <c r="BA249" s="3"/>
      <c r="BB249" s="3"/>
      <c r="BC249" s="3"/>
      <c r="BD249" s="3"/>
      <c r="BE249" s="3"/>
      <c r="BF249" s="3"/>
      <c r="BG249" s="3"/>
      <c r="BH249" s="2"/>
      <c r="BI249" s="2"/>
      <c r="BJ249" s="3"/>
      <c r="BK249" s="3"/>
      <c r="BL249" s="3"/>
      <c r="BM249" s="3"/>
      <c r="BN249" s="3"/>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row>
    <row x14ac:dyDescent="0.25" r="250" customHeight="1" ht="13.5">
      <c r="A250" s="2"/>
      <c r="B250" s="200"/>
      <c r="C250" s="2"/>
      <c r="D250" s="123" t="s">
        <v>175</v>
      </c>
      <c r="E250" s="142"/>
      <c r="F250" s="293">
        <f>OCPMarketShares!K180</f>
      </c>
      <c r="G250" s="293">
        <f>OCPMarketShares!L180</f>
      </c>
      <c r="H250" s="293">
        <f>OCPMarketShares!M180</f>
      </c>
      <c r="I250" s="293">
        <f>F250*I198</f>
      </c>
      <c r="J250" s="293">
        <f>G250*J198</f>
      </c>
      <c r="K250" s="293">
        <f>H250*K198</f>
      </c>
      <c r="L250" s="293">
        <f>F250*L198</f>
      </c>
      <c r="M250" s="293">
        <f>G250*M198</f>
      </c>
      <c r="N250" s="293">
        <f>H250*N198</f>
      </c>
      <c r="O250" s="293">
        <f>F250*O198</f>
      </c>
      <c r="P250" s="293">
        <f>G250*P198</f>
      </c>
      <c r="Q250" s="293">
        <f>H250*Q198</f>
      </c>
      <c r="R250" s="293">
        <f>F250*R198</f>
      </c>
      <c r="S250" s="293">
        <f>G250*S198</f>
      </c>
      <c r="T250" s="319">
        <f>H250*T198</f>
      </c>
      <c r="U250" s="293">
        <f>I250*U198</f>
      </c>
      <c r="V250" s="293">
        <f>J250*V198</f>
      </c>
      <c r="W250" s="293">
        <f>K250*W198</f>
      </c>
      <c r="X250" s="3"/>
      <c r="Y250" s="140" t="s">
        <v>175</v>
      </c>
      <c r="Z250" s="293">
        <f>AC250+AF250+AI250+AL250</f>
      </c>
      <c r="AA250" s="293">
        <f>AD250+AG250+AJ250+AM250</f>
      </c>
      <c r="AB250" s="319">
        <f>AE250+AH250+AK250+AN250</f>
      </c>
      <c r="AC250" s="293">
        <f>I250/$E$10</f>
      </c>
      <c r="AD250" s="293">
        <f>J250/$E$10</f>
      </c>
      <c r="AE250" s="319">
        <f>K250/$E$10</f>
      </c>
      <c r="AF250" s="293">
        <f>L250/$E$11</f>
      </c>
      <c r="AG250" s="293">
        <f>M250/$E$11</f>
      </c>
      <c r="AH250" s="319">
        <f>N250/$E$11</f>
      </c>
      <c r="AI250" s="293">
        <f>O250/$E$12</f>
      </c>
      <c r="AJ250" s="293">
        <f>P250/$E$12</f>
      </c>
      <c r="AK250" s="319">
        <f>Q250/$E$12</f>
      </c>
      <c r="AL250" s="293">
        <f>R250/$E$13</f>
      </c>
      <c r="AM250" s="293">
        <f>S250/$E$13</f>
      </c>
      <c r="AN250" s="319">
        <f>T250/$E$13</f>
      </c>
      <c r="AO250" s="293">
        <f>U250/$E$14</f>
      </c>
      <c r="AP250" s="293">
        <f>V250/$E$14</f>
      </c>
      <c r="AQ250" s="319">
        <f>W250/$E$14</f>
      </c>
      <c r="AR250" s="134"/>
      <c r="AS250" s="3"/>
      <c r="AT250" s="3"/>
      <c r="AU250" s="3"/>
      <c r="AV250" s="3"/>
      <c r="AW250" s="3"/>
      <c r="AX250" s="3"/>
      <c r="AY250" s="3"/>
      <c r="AZ250" s="3"/>
      <c r="BA250" s="3"/>
      <c r="BB250" s="3"/>
      <c r="BC250" s="3"/>
      <c r="BD250" s="3"/>
      <c r="BE250" s="3"/>
      <c r="BF250" s="3"/>
      <c r="BG250" s="3"/>
      <c r="BH250" s="2"/>
      <c r="BI250" s="2"/>
      <c r="BJ250" s="3"/>
      <c r="BK250" s="3"/>
      <c r="BL250" s="3"/>
      <c r="BM250" s="3"/>
      <c r="BN250" s="3"/>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row>
    <row x14ac:dyDescent="0.25" r="251" customHeight="1" ht="13.5">
      <c r="A251" s="2"/>
      <c r="B251" s="200"/>
      <c r="C251" s="2"/>
      <c r="D251" s="123" t="s">
        <v>131</v>
      </c>
      <c r="E251" s="142"/>
      <c r="F251" s="293">
        <f>OCPMarketShares!K181</f>
      </c>
      <c r="G251" s="293">
        <f>OCPMarketShares!L181</f>
      </c>
      <c r="H251" s="293">
        <f>OCPMarketShares!M181</f>
      </c>
      <c r="I251" s="293">
        <f>F251*I199</f>
      </c>
      <c r="J251" s="293">
        <f>G251*J199</f>
      </c>
      <c r="K251" s="293">
        <f>H251*K199</f>
      </c>
      <c r="L251" s="293">
        <f>F251*L199</f>
      </c>
      <c r="M251" s="293">
        <f>G251*M199</f>
      </c>
      <c r="N251" s="293">
        <f>H251*N199</f>
      </c>
      <c r="O251" s="293">
        <f>F251*O199</f>
      </c>
      <c r="P251" s="293">
        <f>G251*P199</f>
      </c>
      <c r="Q251" s="293">
        <f>H251*Q199</f>
      </c>
      <c r="R251" s="293">
        <f>F251*R199</f>
      </c>
      <c r="S251" s="293">
        <f>G251*S199</f>
      </c>
      <c r="T251" s="319">
        <f>H251*T199</f>
      </c>
      <c r="U251" s="293">
        <f>I251*U199</f>
      </c>
      <c r="V251" s="293">
        <f>J251*V199</f>
      </c>
      <c r="W251" s="293">
        <f>K251*W199</f>
      </c>
      <c r="X251" s="3"/>
      <c r="Y251" s="140" t="s">
        <v>131</v>
      </c>
      <c r="Z251" s="293">
        <f>AC251+AF251+AI251+AL251</f>
      </c>
      <c r="AA251" s="293">
        <f>AD251+AG251+AJ251+AM251</f>
      </c>
      <c r="AB251" s="319">
        <f>AE251+AH251+AK251+AN251</f>
      </c>
      <c r="AC251" s="293">
        <f>I251/$E$10</f>
      </c>
      <c r="AD251" s="293">
        <f>J251/$E$10</f>
      </c>
      <c r="AE251" s="319">
        <f>K251/$E$10</f>
      </c>
      <c r="AF251" s="293">
        <f>L251/$E$11</f>
      </c>
      <c r="AG251" s="293">
        <f>M251/$E$11</f>
      </c>
      <c r="AH251" s="319">
        <f>N251/$E$11</f>
      </c>
      <c r="AI251" s="293">
        <f>O251/$E$12</f>
      </c>
      <c r="AJ251" s="293">
        <f>P251/$E$12</f>
      </c>
      <c r="AK251" s="319">
        <f>Q251/$E$12</f>
      </c>
      <c r="AL251" s="293">
        <f>R251/$E$13</f>
      </c>
      <c r="AM251" s="293">
        <f>S251/$E$13</f>
      </c>
      <c r="AN251" s="319">
        <f>T251/$E$13</f>
      </c>
      <c r="AO251" s="293">
        <f>U251/$E$14</f>
      </c>
      <c r="AP251" s="293">
        <f>V251/$E$14</f>
      </c>
      <c r="AQ251" s="319">
        <f>W251/$E$14</f>
      </c>
      <c r="AR251" s="134"/>
      <c r="AS251" s="3"/>
      <c r="AT251" s="3"/>
      <c r="AU251" s="3"/>
      <c r="AV251" s="3"/>
      <c r="AW251" s="3"/>
      <c r="AX251" s="3"/>
      <c r="AY251" s="3"/>
      <c r="AZ251" s="3"/>
      <c r="BA251" s="3"/>
      <c r="BB251" s="3"/>
      <c r="BC251" s="3"/>
      <c r="BD251" s="3"/>
      <c r="BE251" s="3"/>
      <c r="BF251" s="3"/>
      <c r="BG251" s="3"/>
      <c r="BH251" s="2"/>
      <c r="BI251" s="2"/>
      <c r="BJ251" s="3"/>
      <c r="BK251" s="3"/>
      <c r="BL251" s="3"/>
      <c r="BM251" s="3"/>
      <c r="BN251" s="3"/>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row>
    <row x14ac:dyDescent="0.25" r="252" customHeight="1" ht="13.5">
      <c r="A252" s="2"/>
      <c r="B252" s="200"/>
      <c r="C252" s="2"/>
      <c r="D252" s="123" t="s">
        <v>237</v>
      </c>
      <c r="E252" s="142"/>
      <c r="F252" s="293">
        <f>OCPMarketShares!K182</f>
      </c>
      <c r="G252" s="293">
        <f>OCPMarketShares!L182</f>
      </c>
      <c r="H252" s="293">
        <f>OCPMarketShares!M182</f>
      </c>
      <c r="I252" s="293">
        <f>F252*I200</f>
      </c>
      <c r="J252" s="293">
        <f>G252*J200</f>
      </c>
      <c r="K252" s="293">
        <f>H252*K200</f>
      </c>
      <c r="L252" s="293">
        <f>F252*L200</f>
      </c>
      <c r="M252" s="293">
        <f>G252*M200</f>
      </c>
      <c r="N252" s="293">
        <f>H252*N200</f>
      </c>
      <c r="O252" s="293">
        <f>F252*O200</f>
      </c>
      <c r="P252" s="293">
        <f>G252*P200</f>
      </c>
      <c r="Q252" s="293">
        <f>H252*Q200</f>
      </c>
      <c r="R252" s="293">
        <f>F252*R200</f>
      </c>
      <c r="S252" s="293">
        <f>G252*S200</f>
      </c>
      <c r="T252" s="319">
        <f>H252*T200</f>
      </c>
      <c r="U252" s="293">
        <f>I252*U200</f>
      </c>
      <c r="V252" s="293">
        <f>J252*V200</f>
      </c>
      <c r="W252" s="293">
        <f>K252*W200</f>
      </c>
      <c r="X252" s="3"/>
      <c r="Y252" s="140" t="s">
        <v>237</v>
      </c>
      <c r="Z252" s="293">
        <f>AC252+AF252+AI252+AL252</f>
      </c>
      <c r="AA252" s="293">
        <f>AD252+AG252+AJ252+AM252</f>
      </c>
      <c r="AB252" s="319">
        <f>AE252+AH252+AK252+AN252</f>
      </c>
      <c r="AC252" s="293">
        <f>I252/$E$10</f>
      </c>
      <c r="AD252" s="293">
        <f>J252/$E$10</f>
      </c>
      <c r="AE252" s="319">
        <f>K252/$E$10</f>
      </c>
      <c r="AF252" s="293">
        <f>L252/$E$11</f>
      </c>
      <c r="AG252" s="293">
        <f>M252/$E$11</f>
      </c>
      <c r="AH252" s="319">
        <f>N252/$E$11</f>
      </c>
      <c r="AI252" s="293">
        <f>O252/$E$12</f>
      </c>
      <c r="AJ252" s="293">
        <f>P252/$E$12</f>
      </c>
      <c r="AK252" s="319">
        <f>Q252/$E$12</f>
      </c>
      <c r="AL252" s="293">
        <f>R252/$E$13</f>
      </c>
      <c r="AM252" s="293">
        <f>S252/$E$13</f>
      </c>
      <c r="AN252" s="319">
        <f>T252/$E$13</f>
      </c>
      <c r="AO252" s="293">
        <f>U252/$E$14</f>
      </c>
      <c r="AP252" s="293">
        <f>V252/$E$14</f>
      </c>
      <c r="AQ252" s="319">
        <f>W252/$E$14</f>
      </c>
      <c r="AR252" s="134"/>
      <c r="AS252" s="3"/>
      <c r="AT252" s="3"/>
      <c r="AU252" s="3"/>
      <c r="AV252" s="3"/>
      <c r="AW252" s="3"/>
      <c r="AX252" s="3"/>
      <c r="AY252" s="3"/>
      <c r="AZ252" s="3"/>
      <c r="BA252" s="3"/>
      <c r="BB252" s="3"/>
      <c r="BC252" s="3"/>
      <c r="BD252" s="3"/>
      <c r="BE252" s="3"/>
      <c r="BF252" s="3"/>
      <c r="BG252" s="3"/>
      <c r="BH252" s="2"/>
      <c r="BI252" s="2"/>
      <c r="BJ252" s="3"/>
      <c r="BK252" s="3"/>
      <c r="BL252" s="3"/>
      <c r="BM252" s="3"/>
      <c r="BN252" s="3"/>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row>
    <row x14ac:dyDescent="0.25" r="253" customHeight="1" ht="13.5">
      <c r="A253" s="2"/>
      <c r="B253" s="200"/>
      <c r="C253" s="2"/>
      <c r="D253" s="123" t="s">
        <v>139</v>
      </c>
      <c r="E253" s="142"/>
      <c r="F253" s="293">
        <f>OCPMarketShares!K183</f>
      </c>
      <c r="G253" s="293">
        <f>OCPMarketShares!L183</f>
      </c>
      <c r="H253" s="293">
        <f>OCPMarketShares!M183</f>
      </c>
      <c r="I253" s="293">
        <f>F253*I201</f>
      </c>
      <c r="J253" s="293">
        <f>G253*J201</f>
      </c>
      <c r="K253" s="293">
        <f>H253*K201</f>
      </c>
      <c r="L253" s="293">
        <f>F253*L201</f>
      </c>
      <c r="M253" s="293">
        <f>G253*M201</f>
      </c>
      <c r="N253" s="293">
        <f>H253*N201</f>
      </c>
      <c r="O253" s="293">
        <f>F253*O201</f>
      </c>
      <c r="P253" s="293">
        <f>G253*P201</f>
      </c>
      <c r="Q253" s="293">
        <f>H253*Q201</f>
      </c>
      <c r="R253" s="293">
        <f>F253*R201</f>
      </c>
      <c r="S253" s="293">
        <f>G253*S201</f>
      </c>
      <c r="T253" s="319">
        <f>H253*T201</f>
      </c>
      <c r="U253" s="293">
        <f>I253*U201</f>
      </c>
      <c r="V253" s="293">
        <f>J253*V201</f>
      </c>
      <c r="W253" s="293">
        <f>K253*W201</f>
      </c>
      <c r="X253" s="3"/>
      <c r="Y253" s="140" t="s">
        <v>139</v>
      </c>
      <c r="Z253" s="293">
        <f>AC253+AF253+AI253+AL253</f>
      </c>
      <c r="AA253" s="293">
        <f>AD253+AG253+AJ253+AM253</f>
      </c>
      <c r="AB253" s="319">
        <f>AE253+AH253+AK253+AN253</f>
      </c>
      <c r="AC253" s="293">
        <f>I253/$E$10</f>
      </c>
      <c r="AD253" s="293">
        <f>J253/$E$10</f>
      </c>
      <c r="AE253" s="319">
        <f>K253/$E$10</f>
      </c>
      <c r="AF253" s="293">
        <f>L253/$E$11</f>
      </c>
      <c r="AG253" s="293">
        <f>M253/$E$11</f>
      </c>
      <c r="AH253" s="319">
        <f>N253/$E$11</f>
      </c>
      <c r="AI253" s="293">
        <f>O253/$E$12</f>
      </c>
      <c r="AJ253" s="293">
        <f>P253/$E$12</f>
      </c>
      <c r="AK253" s="319">
        <f>Q253/$E$12</f>
      </c>
      <c r="AL253" s="293">
        <f>R253/$E$13</f>
      </c>
      <c r="AM253" s="293">
        <f>S253/$E$13</f>
      </c>
      <c r="AN253" s="319">
        <f>T253/$E$13</f>
      </c>
      <c r="AO253" s="293">
        <f>U253/$E$14</f>
      </c>
      <c r="AP253" s="293">
        <f>V253/$E$14</f>
      </c>
      <c r="AQ253" s="319">
        <f>W253/$E$14</f>
      </c>
      <c r="AR253" s="134"/>
      <c r="AS253" s="3"/>
      <c r="AT253" s="3"/>
      <c r="AU253" s="3"/>
      <c r="AV253" s="3"/>
      <c r="AW253" s="3"/>
      <c r="AX253" s="3"/>
      <c r="AY253" s="3"/>
      <c r="AZ253" s="3"/>
      <c r="BA253" s="3"/>
      <c r="BB253" s="3"/>
      <c r="BC253" s="3"/>
      <c r="BD253" s="3"/>
      <c r="BE253" s="3"/>
      <c r="BF253" s="3"/>
      <c r="BG253" s="3"/>
      <c r="BH253" s="2"/>
      <c r="BI253" s="2"/>
      <c r="BJ253" s="3"/>
      <c r="BK253" s="3"/>
      <c r="BL253" s="3"/>
      <c r="BM253" s="3"/>
      <c r="BN253" s="3"/>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row>
    <row x14ac:dyDescent="0.25" r="254" customHeight="1" ht="13.5">
      <c r="A254" s="2"/>
      <c r="B254" s="200"/>
      <c r="C254" s="2"/>
      <c r="D254" s="123" t="s">
        <v>241</v>
      </c>
      <c r="E254" s="142"/>
      <c r="F254" s="293">
        <f>OCPMarketShares!K184</f>
      </c>
      <c r="G254" s="293">
        <f>OCPMarketShares!L184</f>
      </c>
      <c r="H254" s="293">
        <f>OCPMarketShares!M184</f>
      </c>
      <c r="I254" s="293">
        <f>F254*I202</f>
      </c>
      <c r="J254" s="293">
        <f>G254*J202</f>
      </c>
      <c r="K254" s="293">
        <f>H254*K202</f>
      </c>
      <c r="L254" s="293">
        <f>F254*L202</f>
      </c>
      <c r="M254" s="293">
        <f>G254*M202</f>
      </c>
      <c r="N254" s="293">
        <f>H254*N202</f>
      </c>
      <c r="O254" s="293">
        <f>F254*O202</f>
      </c>
      <c r="P254" s="293">
        <f>G254*P202</f>
      </c>
      <c r="Q254" s="293">
        <f>H254*Q202</f>
      </c>
      <c r="R254" s="293">
        <f>F254*R202</f>
      </c>
      <c r="S254" s="293">
        <f>G254*S202</f>
      </c>
      <c r="T254" s="319">
        <f>H254*T202</f>
      </c>
      <c r="U254" s="293">
        <f>I254*U202</f>
      </c>
      <c r="V254" s="293">
        <f>J254*V202</f>
      </c>
      <c r="W254" s="293">
        <f>K254*W202</f>
      </c>
      <c r="X254" s="3"/>
      <c r="Y254" s="140" t="s">
        <v>241</v>
      </c>
      <c r="Z254" s="293">
        <f>AC254+AF254+AI254+AL254</f>
      </c>
      <c r="AA254" s="293">
        <f>AD254+AG254+AJ254+AM254</f>
      </c>
      <c r="AB254" s="319">
        <f>AE254+AH254+AK254+AN254</f>
      </c>
      <c r="AC254" s="293">
        <f>I254/$E$10</f>
      </c>
      <c r="AD254" s="293">
        <f>J254/$E$10</f>
      </c>
      <c r="AE254" s="319">
        <f>K254/$E$10</f>
      </c>
      <c r="AF254" s="293">
        <f>L254/$E$11</f>
      </c>
      <c r="AG254" s="293">
        <f>M254/$E$11</f>
      </c>
      <c r="AH254" s="319">
        <f>N254/$E$11</f>
      </c>
      <c r="AI254" s="293">
        <f>O254/$E$12</f>
      </c>
      <c r="AJ254" s="293">
        <f>P254/$E$12</f>
      </c>
      <c r="AK254" s="319">
        <f>Q254/$E$12</f>
      </c>
      <c r="AL254" s="293">
        <f>R254/$E$13</f>
      </c>
      <c r="AM254" s="293">
        <f>S254/$E$13</f>
      </c>
      <c r="AN254" s="319">
        <f>T254/$E$13</f>
      </c>
      <c r="AO254" s="293">
        <f>U254/$E$14</f>
      </c>
      <c r="AP254" s="293">
        <f>V254/$E$14</f>
      </c>
      <c r="AQ254" s="319">
        <f>W254/$E$14</f>
      </c>
      <c r="AR254" s="134"/>
      <c r="AS254" s="3"/>
      <c r="AT254" s="3"/>
      <c r="AU254" s="3"/>
      <c r="AV254" s="3"/>
      <c r="AW254" s="3"/>
      <c r="AX254" s="3"/>
      <c r="AY254" s="3"/>
      <c r="AZ254" s="3"/>
      <c r="BA254" s="3"/>
      <c r="BB254" s="3"/>
      <c r="BC254" s="3"/>
      <c r="BD254" s="3"/>
      <c r="BE254" s="3"/>
      <c r="BF254" s="3"/>
      <c r="BG254" s="3"/>
      <c r="BH254" s="2"/>
      <c r="BI254" s="2"/>
      <c r="BJ254" s="3"/>
      <c r="BK254" s="3"/>
      <c r="BL254" s="3"/>
      <c r="BM254" s="3"/>
      <c r="BN254" s="3"/>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row>
    <row x14ac:dyDescent="0.25" r="255" customHeight="1" ht="13.5">
      <c r="A255" s="2"/>
      <c r="B255" s="200"/>
      <c r="C255" s="2"/>
      <c r="D255" s="123" t="s">
        <v>249</v>
      </c>
      <c r="E255" s="142"/>
      <c r="F255" s="293">
        <f>OCPMarketShares!K185</f>
      </c>
      <c r="G255" s="293">
        <f>OCPMarketShares!L185</f>
      </c>
      <c r="H255" s="293">
        <f>OCPMarketShares!M185</f>
      </c>
      <c r="I255" s="293">
        <f>F255*I203</f>
      </c>
      <c r="J255" s="293">
        <f>G255*J203</f>
      </c>
      <c r="K255" s="293">
        <f>H255*K203</f>
      </c>
      <c r="L255" s="293">
        <f>F255*L203</f>
      </c>
      <c r="M255" s="293">
        <f>G255*M203</f>
      </c>
      <c r="N255" s="293">
        <f>H255*N203</f>
      </c>
      <c r="O255" s="293">
        <f>F255*O203</f>
      </c>
      <c r="P255" s="293">
        <f>G255*P203</f>
      </c>
      <c r="Q255" s="293">
        <f>H255*Q203</f>
      </c>
      <c r="R255" s="293">
        <f>F255*R203</f>
      </c>
      <c r="S255" s="293">
        <f>G255*S203</f>
      </c>
      <c r="T255" s="319">
        <f>H255*T203</f>
      </c>
      <c r="U255" s="293">
        <f>I255*U203</f>
      </c>
      <c r="V255" s="293">
        <f>J255*V203</f>
      </c>
      <c r="W255" s="293">
        <f>K255*W203</f>
      </c>
      <c r="X255" s="3"/>
      <c r="Y255" s="140" t="s">
        <v>249</v>
      </c>
      <c r="Z255" s="293">
        <f>AC255+AF255+AI255+AL255</f>
      </c>
      <c r="AA255" s="293">
        <f>AD255+AG255+AJ255+AM255</f>
      </c>
      <c r="AB255" s="319">
        <f>AE255+AH255+AK255+AN255</f>
      </c>
      <c r="AC255" s="293">
        <f>I255/$E$10</f>
      </c>
      <c r="AD255" s="293">
        <f>J255/$E$10</f>
      </c>
      <c r="AE255" s="319">
        <f>K255/$E$10</f>
      </c>
      <c r="AF255" s="293">
        <f>L255/$E$11</f>
      </c>
      <c r="AG255" s="293">
        <f>M255/$E$11</f>
      </c>
      <c r="AH255" s="319">
        <f>N255/$E$11</f>
      </c>
      <c r="AI255" s="293">
        <f>O255/$E$12</f>
      </c>
      <c r="AJ255" s="293">
        <f>P255/$E$12</f>
      </c>
      <c r="AK255" s="319">
        <f>Q255/$E$12</f>
      </c>
      <c r="AL255" s="293">
        <f>R255/$E$13</f>
      </c>
      <c r="AM255" s="293">
        <f>S255/$E$13</f>
      </c>
      <c r="AN255" s="319">
        <f>T255/$E$13</f>
      </c>
      <c r="AO255" s="293">
        <f>U255/$E$14</f>
      </c>
      <c r="AP255" s="293">
        <f>V255/$E$14</f>
      </c>
      <c r="AQ255" s="319">
        <f>W255/$E$14</f>
      </c>
      <c r="AR255" s="134"/>
      <c r="AS255" s="3"/>
      <c r="AT255" s="3"/>
      <c r="AU255" s="3"/>
      <c r="AV255" s="3"/>
      <c r="AW255" s="3"/>
      <c r="AX255" s="3"/>
      <c r="AY255" s="3"/>
      <c r="AZ255" s="3"/>
      <c r="BA255" s="3"/>
      <c r="BB255" s="3"/>
      <c r="BC255" s="3"/>
      <c r="BD255" s="3"/>
      <c r="BE255" s="3"/>
      <c r="BF255" s="3"/>
      <c r="BG255" s="3"/>
      <c r="BH255" s="2"/>
      <c r="BI255" s="2"/>
      <c r="BJ255" s="3"/>
      <c r="BK255" s="3"/>
      <c r="BL255" s="3"/>
      <c r="BM255" s="3"/>
      <c r="BN255" s="3"/>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row>
    <row x14ac:dyDescent="0.25" r="256" customHeight="1" ht="13.5">
      <c r="A256" s="2"/>
      <c r="B256" s="200"/>
      <c r="C256" s="2"/>
      <c r="D256" s="123" t="s">
        <v>235</v>
      </c>
      <c r="E256" s="142"/>
      <c r="F256" s="293">
        <f>OCPMarketShares!K186</f>
      </c>
      <c r="G256" s="293">
        <f>OCPMarketShares!L186</f>
      </c>
      <c r="H256" s="293">
        <f>OCPMarketShares!M186</f>
      </c>
      <c r="I256" s="293">
        <f>F256*I204</f>
      </c>
      <c r="J256" s="293">
        <f>G256*J204</f>
      </c>
      <c r="K256" s="293">
        <f>H256*K204</f>
      </c>
      <c r="L256" s="293">
        <f>F256*L204</f>
      </c>
      <c r="M256" s="293">
        <f>G256*M204</f>
      </c>
      <c r="N256" s="293">
        <f>H256*N204</f>
      </c>
      <c r="O256" s="293">
        <f>F256*O204</f>
      </c>
      <c r="P256" s="293">
        <f>G256*P204</f>
      </c>
      <c r="Q256" s="293">
        <f>H256*Q204</f>
      </c>
      <c r="R256" s="293">
        <f>F256*R204</f>
      </c>
      <c r="S256" s="293">
        <f>G256*S204</f>
      </c>
      <c r="T256" s="319">
        <f>H256*T204</f>
      </c>
      <c r="U256" s="293">
        <f>I256*U204</f>
      </c>
      <c r="V256" s="293">
        <f>J256*V204</f>
      </c>
      <c r="W256" s="293">
        <f>K256*W204</f>
      </c>
      <c r="X256" s="3"/>
      <c r="Y256" s="140" t="s">
        <v>235</v>
      </c>
      <c r="Z256" s="293">
        <f>AC256+AF256+AI256+AL256</f>
      </c>
      <c r="AA256" s="293">
        <f>AD256+AG256+AJ256+AM256</f>
      </c>
      <c r="AB256" s="319">
        <f>AE256+AH256+AK256+AN256</f>
      </c>
      <c r="AC256" s="293">
        <f>I256/$E$10</f>
      </c>
      <c r="AD256" s="293">
        <f>J256/$E$10</f>
      </c>
      <c r="AE256" s="319">
        <f>K256/$E$10</f>
      </c>
      <c r="AF256" s="293">
        <f>L256/$E$11</f>
      </c>
      <c r="AG256" s="293">
        <f>M256/$E$11</f>
      </c>
      <c r="AH256" s="319">
        <f>N256/$E$11</f>
      </c>
      <c r="AI256" s="293">
        <f>O256/$E$12</f>
      </c>
      <c r="AJ256" s="293">
        <f>P256/$E$12</f>
      </c>
      <c r="AK256" s="319">
        <f>Q256/$E$12</f>
      </c>
      <c r="AL256" s="293">
        <f>R256/$E$13</f>
      </c>
      <c r="AM256" s="293">
        <f>S256/$E$13</f>
      </c>
      <c r="AN256" s="319">
        <f>T256/$E$13</f>
      </c>
      <c r="AO256" s="293">
        <f>U256/$E$14</f>
      </c>
      <c r="AP256" s="293">
        <f>V256/$E$14</f>
      </c>
      <c r="AQ256" s="319">
        <f>W256/$E$14</f>
      </c>
      <c r="AR256" s="134"/>
      <c r="AS256" s="3"/>
      <c r="AT256" s="3"/>
      <c r="AU256" s="3"/>
      <c r="AV256" s="3"/>
      <c r="AW256" s="3"/>
      <c r="AX256" s="3"/>
      <c r="AY256" s="3"/>
      <c r="AZ256" s="3"/>
      <c r="BA256" s="3"/>
      <c r="BB256" s="3"/>
      <c r="BC256" s="3"/>
      <c r="BD256" s="3"/>
      <c r="BE256" s="3"/>
      <c r="BF256" s="3"/>
      <c r="BG256" s="3"/>
      <c r="BH256" s="2"/>
      <c r="BI256" s="2"/>
      <c r="BJ256" s="3"/>
      <c r="BK256" s="3"/>
      <c r="BL256" s="3"/>
      <c r="BM256" s="3"/>
      <c r="BN256" s="3"/>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row>
    <row x14ac:dyDescent="0.25" r="257" customHeight="1" ht="13.5">
      <c r="A257" s="2"/>
      <c r="B257" s="200"/>
      <c r="C257" s="2"/>
      <c r="D257" s="123" t="s">
        <v>125</v>
      </c>
      <c r="E257" s="142"/>
      <c r="F257" s="293">
        <f>OCPMarketShares!K187</f>
      </c>
      <c r="G257" s="293">
        <f>OCPMarketShares!L187</f>
      </c>
      <c r="H257" s="293">
        <f>OCPMarketShares!M187</f>
      </c>
      <c r="I257" s="293">
        <f>F257*I205</f>
      </c>
      <c r="J257" s="293">
        <f>G257*J205</f>
      </c>
      <c r="K257" s="293">
        <f>H257*K205</f>
      </c>
      <c r="L257" s="293">
        <f>F257*L205</f>
      </c>
      <c r="M257" s="293">
        <f>G257*M205</f>
      </c>
      <c r="N257" s="293">
        <f>H257*N205</f>
      </c>
      <c r="O257" s="293">
        <f>F257*O205</f>
      </c>
      <c r="P257" s="293">
        <f>G257*P205</f>
      </c>
      <c r="Q257" s="293">
        <f>H257*Q205</f>
      </c>
      <c r="R257" s="293">
        <f>F257*R205</f>
      </c>
      <c r="S257" s="293">
        <f>G257*S205</f>
      </c>
      <c r="T257" s="319">
        <f>H257*T205</f>
      </c>
      <c r="U257" s="293">
        <f>I257*U205</f>
      </c>
      <c r="V257" s="293">
        <f>J257*V205</f>
      </c>
      <c r="W257" s="293">
        <f>K257*W205</f>
      </c>
      <c r="X257" s="3"/>
      <c r="Y257" s="140" t="s">
        <v>125</v>
      </c>
      <c r="Z257" s="293">
        <f>AC257+AF257+AI257+AL257</f>
      </c>
      <c r="AA257" s="293">
        <f>AD257+AG257+AJ257+AM257</f>
      </c>
      <c r="AB257" s="319">
        <f>AE257+AH257+AK257+AN257</f>
      </c>
      <c r="AC257" s="293">
        <f>I257/$E$10</f>
      </c>
      <c r="AD257" s="293">
        <f>J257/$E$10</f>
      </c>
      <c r="AE257" s="319">
        <f>K257/$E$10</f>
      </c>
      <c r="AF257" s="293">
        <f>L257/$E$11</f>
      </c>
      <c r="AG257" s="293">
        <f>M257/$E$11</f>
      </c>
      <c r="AH257" s="319">
        <f>N257/$E$11</f>
      </c>
      <c r="AI257" s="293">
        <f>O257/$E$12</f>
      </c>
      <c r="AJ257" s="293">
        <f>P257/$E$12</f>
      </c>
      <c r="AK257" s="319">
        <f>Q257/$E$12</f>
      </c>
      <c r="AL257" s="293">
        <f>R257/$E$13</f>
      </c>
      <c r="AM257" s="293">
        <f>S257/$E$13</f>
      </c>
      <c r="AN257" s="319">
        <f>T257/$E$13</f>
      </c>
      <c r="AO257" s="293">
        <f>U257/$E$14</f>
      </c>
      <c r="AP257" s="293">
        <f>V257/$E$14</f>
      </c>
      <c r="AQ257" s="319">
        <f>W257/$E$14</f>
      </c>
      <c r="AR257" s="134"/>
      <c r="AS257" s="3"/>
      <c r="AT257" s="3"/>
      <c r="AU257" s="3"/>
      <c r="AV257" s="3"/>
      <c r="AW257" s="3"/>
      <c r="AX257" s="3"/>
      <c r="AY257" s="3"/>
      <c r="AZ257" s="3"/>
      <c r="BA257" s="3"/>
      <c r="BB257" s="3"/>
      <c r="BC257" s="3"/>
      <c r="BD257" s="3"/>
      <c r="BE257" s="3"/>
      <c r="BF257" s="3"/>
      <c r="BG257" s="3"/>
      <c r="BH257" s="2"/>
      <c r="BI257" s="2"/>
      <c r="BJ257" s="3"/>
      <c r="BK257" s="3"/>
      <c r="BL257" s="3"/>
      <c r="BM257" s="3"/>
      <c r="BN257" s="3"/>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row>
    <row x14ac:dyDescent="0.25" r="258" customHeight="1" ht="13.5">
      <c r="A258" s="2"/>
      <c r="B258" s="200"/>
      <c r="C258" s="2"/>
      <c r="D258" s="123" t="s">
        <v>209</v>
      </c>
      <c r="E258" s="142"/>
      <c r="F258" s="293">
        <f>OCPMarketShares!K188</f>
      </c>
      <c r="G258" s="293">
        <f>OCPMarketShares!L188</f>
      </c>
      <c r="H258" s="293">
        <f>OCPMarketShares!M188</f>
      </c>
      <c r="I258" s="293">
        <f>F258*I206</f>
      </c>
      <c r="J258" s="293">
        <f>G258*J206</f>
      </c>
      <c r="K258" s="293">
        <f>H258*K206</f>
      </c>
      <c r="L258" s="293">
        <f>F258*L206</f>
      </c>
      <c r="M258" s="293">
        <f>G258*M206</f>
      </c>
      <c r="N258" s="293">
        <f>H258*N206</f>
      </c>
      <c r="O258" s="293">
        <f>F258*O206</f>
      </c>
      <c r="P258" s="293">
        <f>G258*P206</f>
      </c>
      <c r="Q258" s="293">
        <f>H258*Q206</f>
      </c>
      <c r="R258" s="293">
        <f>F258*R206</f>
      </c>
      <c r="S258" s="293">
        <f>G258*S206</f>
      </c>
      <c r="T258" s="319">
        <f>H258*T206</f>
      </c>
      <c r="U258" s="293">
        <f>I258*U206</f>
      </c>
      <c r="V258" s="293">
        <f>J258*V206</f>
      </c>
      <c r="W258" s="293">
        <f>K258*W206</f>
      </c>
      <c r="X258" s="3"/>
      <c r="Y258" s="140" t="s">
        <v>209</v>
      </c>
      <c r="Z258" s="293">
        <f>AC258+AF258+AI258+AL258</f>
      </c>
      <c r="AA258" s="293">
        <f>AD258+AG258+AJ258+AM258</f>
      </c>
      <c r="AB258" s="319">
        <f>AE258+AH258+AK258+AN258</f>
      </c>
      <c r="AC258" s="293">
        <f>I258/$E$10</f>
      </c>
      <c r="AD258" s="293">
        <f>J258/$E$10</f>
      </c>
      <c r="AE258" s="319">
        <f>K258/$E$10</f>
      </c>
      <c r="AF258" s="293">
        <f>L258/$E$11</f>
      </c>
      <c r="AG258" s="293">
        <f>M258/$E$11</f>
      </c>
      <c r="AH258" s="319">
        <f>N258/$E$11</f>
      </c>
      <c r="AI258" s="293">
        <f>O258/$E$12</f>
      </c>
      <c r="AJ258" s="293">
        <f>P258/$E$12</f>
      </c>
      <c r="AK258" s="319">
        <f>Q258/$E$12</f>
      </c>
      <c r="AL258" s="293">
        <f>R258/$E$13</f>
      </c>
      <c r="AM258" s="293">
        <f>S258/$E$13</f>
      </c>
      <c r="AN258" s="319">
        <f>T258/$E$13</f>
      </c>
      <c r="AO258" s="293">
        <f>U258/$E$14</f>
      </c>
      <c r="AP258" s="293">
        <f>V258/$E$14</f>
      </c>
      <c r="AQ258" s="319">
        <f>W258/$E$14</f>
      </c>
      <c r="AR258" s="134"/>
      <c r="AS258" s="3"/>
      <c r="AT258" s="3"/>
      <c r="AU258" s="3"/>
      <c r="AV258" s="3"/>
      <c r="AW258" s="3"/>
      <c r="AX258" s="3"/>
      <c r="AY258" s="3"/>
      <c r="AZ258" s="3"/>
      <c r="BA258" s="3"/>
      <c r="BB258" s="3"/>
      <c r="BC258" s="3"/>
      <c r="BD258" s="3"/>
      <c r="BE258" s="3"/>
      <c r="BF258" s="3"/>
      <c r="BG258" s="3"/>
      <c r="BH258" s="2"/>
      <c r="BI258" s="2"/>
      <c r="BJ258" s="3"/>
      <c r="BK258" s="3"/>
      <c r="BL258" s="3"/>
      <c r="BM258" s="3"/>
      <c r="BN258" s="3"/>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row>
    <row x14ac:dyDescent="0.25" r="259" customHeight="1" ht="13.5">
      <c r="A259" s="2"/>
      <c r="B259" s="200"/>
      <c r="C259" s="2"/>
      <c r="D259" s="123" t="s">
        <v>223</v>
      </c>
      <c r="E259" s="142"/>
      <c r="F259" s="293">
        <f>OCPMarketShares!K189</f>
      </c>
      <c r="G259" s="293">
        <f>OCPMarketShares!L189</f>
      </c>
      <c r="H259" s="293">
        <f>OCPMarketShares!M189</f>
      </c>
      <c r="I259" s="293">
        <f>F259*I207</f>
      </c>
      <c r="J259" s="293">
        <f>G259*J207</f>
      </c>
      <c r="K259" s="293">
        <f>H259*K207</f>
      </c>
      <c r="L259" s="293">
        <f>F259*L207</f>
      </c>
      <c r="M259" s="293">
        <f>G259*M207</f>
      </c>
      <c r="N259" s="293">
        <f>H259*N207</f>
      </c>
      <c r="O259" s="293">
        <f>F259*O207</f>
      </c>
      <c r="P259" s="293">
        <f>G259*P207</f>
      </c>
      <c r="Q259" s="293">
        <f>H259*Q207</f>
      </c>
      <c r="R259" s="293">
        <f>F259*R207</f>
      </c>
      <c r="S259" s="293">
        <f>G259*S207</f>
      </c>
      <c r="T259" s="319">
        <f>H259*T207</f>
      </c>
      <c r="U259" s="293">
        <f>I259*U207</f>
      </c>
      <c r="V259" s="293">
        <f>J259*V207</f>
      </c>
      <c r="W259" s="293">
        <f>K259*W207</f>
      </c>
      <c r="X259" s="3"/>
      <c r="Y259" s="140" t="s">
        <v>223</v>
      </c>
      <c r="Z259" s="293">
        <f>AC259+AF259+AI259+AL259</f>
      </c>
      <c r="AA259" s="293">
        <f>AD259+AG259+AJ259+AM259</f>
      </c>
      <c r="AB259" s="319">
        <f>AE259+AH259+AK259+AN259</f>
      </c>
      <c r="AC259" s="293">
        <f>I259/$E$10</f>
      </c>
      <c r="AD259" s="293">
        <f>J259/$E$10</f>
      </c>
      <c r="AE259" s="319">
        <f>K259/$E$10</f>
      </c>
      <c r="AF259" s="293">
        <f>L259/$E$11</f>
      </c>
      <c r="AG259" s="293">
        <f>M259/$E$11</f>
      </c>
      <c r="AH259" s="319">
        <f>N259/$E$11</f>
      </c>
      <c r="AI259" s="293">
        <f>O259/$E$12</f>
      </c>
      <c r="AJ259" s="293">
        <f>P259/$E$12</f>
      </c>
      <c r="AK259" s="319">
        <f>Q259/$E$12</f>
      </c>
      <c r="AL259" s="293">
        <f>R259/$E$13</f>
      </c>
      <c r="AM259" s="293">
        <f>S259/$E$13</f>
      </c>
      <c r="AN259" s="319">
        <f>T259/$E$13</f>
      </c>
      <c r="AO259" s="293">
        <f>U259/$E$14</f>
      </c>
      <c r="AP259" s="293">
        <f>V259/$E$14</f>
      </c>
      <c r="AQ259" s="319">
        <f>W259/$E$14</f>
      </c>
      <c r="AR259" s="134"/>
      <c r="AS259" s="3"/>
      <c r="AT259" s="3"/>
      <c r="AU259" s="3"/>
      <c r="AV259" s="3"/>
      <c r="AW259" s="3"/>
      <c r="AX259" s="3"/>
      <c r="AY259" s="3"/>
      <c r="AZ259" s="3"/>
      <c r="BA259" s="3"/>
      <c r="BB259" s="3"/>
      <c r="BC259" s="3"/>
      <c r="BD259" s="3"/>
      <c r="BE259" s="3"/>
      <c r="BF259" s="3"/>
      <c r="BG259" s="3"/>
      <c r="BH259" s="2"/>
      <c r="BI259" s="2"/>
      <c r="BJ259" s="3"/>
      <c r="BK259" s="3"/>
      <c r="BL259" s="3"/>
      <c r="BM259" s="3"/>
      <c r="BN259" s="3"/>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row>
    <row x14ac:dyDescent="0.25" r="260" customHeight="1" ht="13.5">
      <c r="A260" s="2"/>
      <c r="B260" s="200"/>
      <c r="C260" s="2"/>
      <c r="D260" s="123" t="s">
        <v>183</v>
      </c>
      <c r="E260" s="142"/>
      <c r="F260" s="293">
        <f>OCPMarketShares!K190</f>
      </c>
      <c r="G260" s="293">
        <f>OCPMarketShares!L190</f>
      </c>
      <c r="H260" s="293">
        <f>OCPMarketShares!M190</f>
      </c>
      <c r="I260" s="293">
        <f>F260*I208</f>
      </c>
      <c r="J260" s="293">
        <f>G260*J208</f>
      </c>
      <c r="K260" s="293">
        <f>H260*K208</f>
      </c>
      <c r="L260" s="293">
        <f>F260*L208</f>
      </c>
      <c r="M260" s="293">
        <f>G260*M208</f>
      </c>
      <c r="N260" s="293">
        <f>H260*N208</f>
      </c>
      <c r="O260" s="293">
        <f>F260*O208</f>
      </c>
      <c r="P260" s="293">
        <f>G260*P208</f>
      </c>
      <c r="Q260" s="293">
        <f>H260*Q208</f>
      </c>
      <c r="R260" s="293">
        <f>F260*R208</f>
      </c>
      <c r="S260" s="293">
        <f>G260*S208</f>
      </c>
      <c r="T260" s="319">
        <f>H260*T208</f>
      </c>
      <c r="U260" s="293">
        <f>I260*U208</f>
      </c>
      <c r="V260" s="293">
        <f>J260*V208</f>
      </c>
      <c r="W260" s="293">
        <f>K260*W208</f>
      </c>
      <c r="X260" s="3"/>
      <c r="Y260" s="140" t="s">
        <v>183</v>
      </c>
      <c r="Z260" s="293">
        <f>AC260+AF260+AI260+AL260</f>
      </c>
      <c r="AA260" s="293">
        <f>AD260+AG260+AJ260+AM260</f>
      </c>
      <c r="AB260" s="319">
        <f>AE260+AH260+AK260+AN260</f>
      </c>
      <c r="AC260" s="293">
        <f>I260/$E$10</f>
      </c>
      <c r="AD260" s="293">
        <f>J260/$E$10</f>
      </c>
      <c r="AE260" s="319">
        <f>K260/$E$10</f>
      </c>
      <c r="AF260" s="293">
        <f>L260/$E$11</f>
      </c>
      <c r="AG260" s="293">
        <f>M260/$E$11</f>
      </c>
      <c r="AH260" s="319">
        <f>N260/$E$11</f>
      </c>
      <c r="AI260" s="293">
        <f>O260/$E$12</f>
      </c>
      <c r="AJ260" s="293">
        <f>P260/$E$12</f>
      </c>
      <c r="AK260" s="319">
        <f>Q260/$E$12</f>
      </c>
      <c r="AL260" s="293">
        <f>R260/$E$13</f>
      </c>
      <c r="AM260" s="293">
        <f>S260/$E$13</f>
      </c>
      <c r="AN260" s="319">
        <f>T260/$E$13</f>
      </c>
      <c r="AO260" s="293">
        <f>U260/$E$14</f>
      </c>
      <c r="AP260" s="293">
        <f>V260/$E$14</f>
      </c>
      <c r="AQ260" s="319">
        <f>W260/$E$14</f>
      </c>
      <c r="AR260" s="134"/>
      <c r="AS260" s="3"/>
      <c r="AT260" s="3"/>
      <c r="AU260" s="3"/>
      <c r="AV260" s="3"/>
      <c r="AW260" s="3"/>
      <c r="AX260" s="3"/>
      <c r="AY260" s="3"/>
      <c r="AZ260" s="3"/>
      <c r="BA260" s="3"/>
      <c r="BB260" s="3"/>
      <c r="BC260" s="3"/>
      <c r="BD260" s="3"/>
      <c r="BE260" s="3"/>
      <c r="BF260" s="3"/>
      <c r="BG260" s="3"/>
      <c r="BH260" s="2"/>
      <c r="BI260" s="2"/>
      <c r="BJ260" s="3"/>
      <c r="BK260" s="3"/>
      <c r="BL260" s="3"/>
      <c r="BM260" s="3"/>
      <c r="BN260" s="3"/>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row>
    <row x14ac:dyDescent="0.25" r="261" customHeight="1" ht="13.5">
      <c r="A261" s="2"/>
      <c r="B261" s="200"/>
      <c r="C261" s="2"/>
      <c r="D261" s="123" t="s">
        <v>161</v>
      </c>
      <c r="E261" s="142"/>
      <c r="F261" s="293">
        <f>OCPMarketShares!K191</f>
      </c>
      <c r="G261" s="293">
        <f>OCPMarketShares!L191</f>
      </c>
      <c r="H261" s="293">
        <f>OCPMarketShares!M191</f>
      </c>
      <c r="I261" s="293">
        <f>F261*I209</f>
      </c>
      <c r="J261" s="293">
        <f>G261*J209</f>
      </c>
      <c r="K261" s="293">
        <f>H261*K209</f>
      </c>
      <c r="L261" s="293">
        <f>F261*L209</f>
      </c>
      <c r="M261" s="293">
        <f>G261*M209</f>
      </c>
      <c r="N261" s="293">
        <f>H261*N209</f>
      </c>
      <c r="O261" s="293">
        <f>F261*O209</f>
      </c>
      <c r="P261" s="293">
        <f>G261*P209</f>
      </c>
      <c r="Q261" s="293">
        <f>H261*Q209</f>
      </c>
      <c r="R261" s="293">
        <f>F261*R209</f>
      </c>
      <c r="S261" s="293">
        <f>G261*S209</f>
      </c>
      <c r="T261" s="319">
        <f>H261*T209</f>
      </c>
      <c r="U261" s="293">
        <f>I261*U209</f>
      </c>
      <c r="V261" s="293">
        <f>J261*V209</f>
      </c>
      <c r="W261" s="293">
        <f>K261*W209</f>
      </c>
      <c r="X261" s="3"/>
      <c r="Y261" s="140" t="s">
        <v>161</v>
      </c>
      <c r="Z261" s="293">
        <f>AC261+AF261+AI261+AL261</f>
      </c>
      <c r="AA261" s="293">
        <f>AD261+AG261+AJ261+AM261</f>
      </c>
      <c r="AB261" s="319">
        <f>AE261+AH261+AK261+AN261</f>
      </c>
      <c r="AC261" s="293">
        <f>I261/$E$10</f>
      </c>
      <c r="AD261" s="293">
        <f>J261/$E$10</f>
      </c>
      <c r="AE261" s="319">
        <f>K261/$E$10</f>
      </c>
      <c r="AF261" s="293">
        <f>L261/$E$11</f>
      </c>
      <c r="AG261" s="293">
        <f>M261/$E$11</f>
      </c>
      <c r="AH261" s="319">
        <f>N261/$E$11</f>
      </c>
      <c r="AI261" s="293">
        <f>O261/$E$12</f>
      </c>
      <c r="AJ261" s="293">
        <f>P261/$E$12</f>
      </c>
      <c r="AK261" s="319">
        <f>Q261/$E$12</f>
      </c>
      <c r="AL261" s="293">
        <f>R261/$E$13</f>
      </c>
      <c r="AM261" s="293">
        <f>S261/$E$13</f>
      </c>
      <c r="AN261" s="319">
        <f>T261/$E$13</f>
      </c>
      <c r="AO261" s="293">
        <f>U261/$E$14</f>
      </c>
      <c r="AP261" s="293">
        <f>V261/$E$14</f>
      </c>
      <c r="AQ261" s="319">
        <f>W261/$E$14</f>
      </c>
      <c r="AR261" s="134"/>
      <c r="AS261" s="3"/>
      <c r="AT261" s="3"/>
      <c r="AU261" s="3"/>
      <c r="AV261" s="3"/>
      <c r="AW261" s="3"/>
      <c r="AX261" s="3"/>
      <c r="AY261" s="3"/>
      <c r="AZ261" s="3"/>
      <c r="BA261" s="3"/>
      <c r="BB261" s="3"/>
      <c r="BC261" s="3"/>
      <c r="BD261" s="3"/>
      <c r="BE261" s="3"/>
      <c r="BF261" s="3"/>
      <c r="BG261" s="3"/>
      <c r="BH261" s="2"/>
      <c r="BI261" s="2"/>
      <c r="BJ261" s="3"/>
      <c r="BK261" s="3"/>
      <c r="BL261" s="3"/>
      <c r="BM261" s="3"/>
      <c r="BN261" s="3"/>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row>
    <row x14ac:dyDescent="0.25" r="262" customHeight="1" ht="13.5">
      <c r="A262" s="2"/>
      <c r="B262" s="200"/>
      <c r="C262" s="2"/>
      <c r="D262" s="123" t="s">
        <v>219</v>
      </c>
      <c r="E262" s="142"/>
      <c r="F262" s="293">
        <f>OCPMarketShares!K192</f>
      </c>
      <c r="G262" s="293">
        <f>OCPMarketShares!L192</f>
      </c>
      <c r="H262" s="293">
        <f>OCPMarketShares!M192</f>
      </c>
      <c r="I262" s="293">
        <f>F262*I210</f>
      </c>
      <c r="J262" s="293">
        <f>G262*J210</f>
      </c>
      <c r="K262" s="293">
        <f>H262*K210</f>
      </c>
      <c r="L262" s="293">
        <f>F262*L210</f>
      </c>
      <c r="M262" s="293">
        <f>G262*M210</f>
      </c>
      <c r="N262" s="293">
        <f>H262*N210</f>
      </c>
      <c r="O262" s="293">
        <f>F262*O210</f>
      </c>
      <c r="P262" s="293">
        <f>G262*P210</f>
      </c>
      <c r="Q262" s="293">
        <f>H262*Q210</f>
      </c>
      <c r="R262" s="293">
        <f>F262*R210</f>
      </c>
      <c r="S262" s="293">
        <f>G262*S210</f>
      </c>
      <c r="T262" s="319">
        <f>H262*T210</f>
      </c>
      <c r="U262" s="293">
        <f>I262*U210</f>
      </c>
      <c r="V262" s="293">
        <f>J262*V210</f>
      </c>
      <c r="W262" s="293">
        <f>K262*W210</f>
      </c>
      <c r="X262" s="3"/>
      <c r="Y262" s="140" t="s">
        <v>219</v>
      </c>
      <c r="Z262" s="293">
        <f>AC262+AF262+AI262+AL262</f>
      </c>
      <c r="AA262" s="293">
        <f>AD262+AG262+AJ262+AM262</f>
      </c>
      <c r="AB262" s="319">
        <f>AE262+AH262+AK262+AN262</f>
      </c>
      <c r="AC262" s="293">
        <f>I262/$E$10</f>
      </c>
      <c r="AD262" s="293">
        <f>J262/$E$10</f>
      </c>
      <c r="AE262" s="319">
        <f>K262/$E$10</f>
      </c>
      <c r="AF262" s="293">
        <f>L262/$E$11</f>
      </c>
      <c r="AG262" s="293">
        <f>M262/$E$11</f>
      </c>
      <c r="AH262" s="319">
        <f>N262/$E$11</f>
      </c>
      <c r="AI262" s="293">
        <f>O262/$E$12</f>
      </c>
      <c r="AJ262" s="293">
        <f>P262/$E$12</f>
      </c>
      <c r="AK262" s="319">
        <f>Q262/$E$12</f>
      </c>
      <c r="AL262" s="293">
        <f>R262/$E$13</f>
      </c>
      <c r="AM262" s="293">
        <f>S262/$E$13</f>
      </c>
      <c r="AN262" s="319">
        <f>T262/$E$13</f>
      </c>
      <c r="AO262" s="293">
        <f>U262/$E$14</f>
      </c>
      <c r="AP262" s="293">
        <f>V262/$E$14</f>
      </c>
      <c r="AQ262" s="319">
        <f>W262/$E$14</f>
      </c>
      <c r="AR262" s="134"/>
      <c r="AS262" s="3"/>
      <c r="AT262" s="3"/>
      <c r="AU262" s="3"/>
      <c r="AV262" s="3"/>
      <c r="AW262" s="3"/>
      <c r="AX262" s="3"/>
      <c r="AY262" s="3"/>
      <c r="AZ262" s="3"/>
      <c r="BA262" s="3"/>
      <c r="BB262" s="3"/>
      <c r="BC262" s="3"/>
      <c r="BD262" s="3"/>
      <c r="BE262" s="3"/>
      <c r="BF262" s="3"/>
      <c r="BG262" s="3"/>
      <c r="BH262" s="2"/>
      <c r="BI262" s="2"/>
      <c r="BJ262" s="3"/>
      <c r="BK262" s="3"/>
      <c r="BL262" s="3"/>
      <c r="BM262" s="3"/>
      <c r="BN262" s="3"/>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row>
    <row x14ac:dyDescent="0.25" r="263" customHeight="1" ht="13.5">
      <c r="A263" s="2"/>
      <c r="B263" s="200"/>
      <c r="C263" s="2"/>
      <c r="D263" s="123" t="s">
        <v>159</v>
      </c>
      <c r="E263" s="142"/>
      <c r="F263" s="293">
        <f>OCPMarketShares!K193</f>
      </c>
      <c r="G263" s="293">
        <f>OCPMarketShares!L193</f>
      </c>
      <c r="H263" s="293">
        <f>OCPMarketShares!M193</f>
      </c>
      <c r="I263" s="293">
        <f>F263*I211</f>
      </c>
      <c r="J263" s="293">
        <f>G263*J211</f>
      </c>
      <c r="K263" s="293">
        <f>H263*K211</f>
      </c>
      <c r="L263" s="293">
        <f>F263*L211</f>
      </c>
      <c r="M263" s="293">
        <f>G263*M211</f>
      </c>
      <c r="N263" s="293">
        <f>H263*N211</f>
      </c>
      <c r="O263" s="293">
        <f>F263*O211</f>
      </c>
      <c r="P263" s="293">
        <f>G263*P211</f>
      </c>
      <c r="Q263" s="293">
        <f>H263*Q211</f>
      </c>
      <c r="R263" s="293">
        <f>F263*R211</f>
      </c>
      <c r="S263" s="293">
        <f>G263*S211</f>
      </c>
      <c r="T263" s="319">
        <f>H263*T211</f>
      </c>
      <c r="U263" s="293">
        <f>I263*U211</f>
      </c>
      <c r="V263" s="293">
        <f>J263*V211</f>
      </c>
      <c r="W263" s="293">
        <f>K263*W211</f>
      </c>
      <c r="X263" s="3"/>
      <c r="Y263" s="140" t="s">
        <v>159</v>
      </c>
      <c r="Z263" s="293">
        <f>AC263+AF263+AI263+AL263</f>
      </c>
      <c r="AA263" s="293">
        <f>AD263+AG263+AJ263+AM263</f>
      </c>
      <c r="AB263" s="319">
        <f>AE263+AH263+AK263+AN263</f>
      </c>
      <c r="AC263" s="293">
        <f>I263/$E$10</f>
      </c>
      <c r="AD263" s="293">
        <f>J263/$E$10</f>
      </c>
      <c r="AE263" s="319">
        <f>K263/$E$10</f>
      </c>
      <c r="AF263" s="293">
        <f>L263/$E$11</f>
      </c>
      <c r="AG263" s="293">
        <f>M263/$E$11</f>
      </c>
      <c r="AH263" s="319">
        <f>N263/$E$11</f>
      </c>
      <c r="AI263" s="293">
        <f>O263/$E$12</f>
      </c>
      <c r="AJ263" s="293">
        <f>P263/$E$12</f>
      </c>
      <c r="AK263" s="319">
        <f>Q263/$E$12</f>
      </c>
      <c r="AL263" s="293">
        <f>R263/$E$13</f>
      </c>
      <c r="AM263" s="293">
        <f>S263/$E$13</f>
      </c>
      <c r="AN263" s="319">
        <f>T263/$E$13</f>
      </c>
      <c r="AO263" s="293">
        <f>U263/$E$14</f>
      </c>
      <c r="AP263" s="293">
        <f>V263/$E$14</f>
      </c>
      <c r="AQ263" s="319">
        <f>W263/$E$14</f>
      </c>
      <c r="AR263" s="134"/>
      <c r="AS263" s="3"/>
      <c r="AT263" s="3"/>
      <c r="AU263" s="3"/>
      <c r="AV263" s="3"/>
      <c r="AW263" s="3"/>
      <c r="AX263" s="3"/>
      <c r="AY263" s="3"/>
      <c r="AZ263" s="3"/>
      <c r="BA263" s="3"/>
      <c r="BB263" s="3"/>
      <c r="BC263" s="3"/>
      <c r="BD263" s="3"/>
      <c r="BE263" s="3"/>
      <c r="BF263" s="3"/>
      <c r="BG263" s="3"/>
      <c r="BH263" s="2"/>
      <c r="BI263" s="2"/>
      <c r="BJ263" s="3"/>
      <c r="BK263" s="3"/>
      <c r="BL263" s="3"/>
      <c r="BM263" s="3"/>
      <c r="BN263" s="3"/>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row>
    <row x14ac:dyDescent="0.25" r="264" customHeight="1" ht="13.5">
      <c r="A264" s="2"/>
      <c r="B264" s="200"/>
      <c r="C264" s="2"/>
      <c r="D264" s="123" t="s">
        <v>163</v>
      </c>
      <c r="E264" s="142"/>
      <c r="F264" s="293">
        <f>OCPMarketShares!K194</f>
      </c>
      <c r="G264" s="293">
        <f>OCPMarketShares!L194</f>
      </c>
      <c r="H264" s="293">
        <f>OCPMarketShares!M194</f>
      </c>
      <c r="I264" s="293">
        <f>F264*I212</f>
      </c>
      <c r="J264" s="293">
        <f>G264*J212</f>
      </c>
      <c r="K264" s="293">
        <f>H264*K212</f>
      </c>
      <c r="L264" s="293">
        <f>F264*L212</f>
      </c>
      <c r="M264" s="293">
        <f>G264*M212</f>
      </c>
      <c r="N264" s="293">
        <f>H264*N212</f>
      </c>
      <c r="O264" s="293">
        <f>F264*O212</f>
      </c>
      <c r="P264" s="293">
        <f>G264*P212</f>
      </c>
      <c r="Q264" s="293">
        <f>H264*Q212</f>
      </c>
      <c r="R264" s="293">
        <f>F264*R212</f>
      </c>
      <c r="S264" s="293">
        <f>G264*S212</f>
      </c>
      <c r="T264" s="319">
        <f>H264*T212</f>
      </c>
      <c r="U264" s="293">
        <f>I264*U212</f>
      </c>
      <c r="V264" s="293">
        <f>J264*V212</f>
      </c>
      <c r="W264" s="293">
        <f>K264*W212</f>
      </c>
      <c r="X264" s="3"/>
      <c r="Y264" s="140" t="s">
        <v>163</v>
      </c>
      <c r="Z264" s="293">
        <f>AC264+AF264+AI264+AL264</f>
      </c>
      <c r="AA264" s="293">
        <f>AD264+AG264+AJ264+AM264</f>
      </c>
      <c r="AB264" s="319">
        <f>AE264+AH264+AK264+AN264</f>
      </c>
      <c r="AC264" s="293">
        <f>I264/$E$10</f>
      </c>
      <c r="AD264" s="293">
        <f>J264/$E$10</f>
      </c>
      <c r="AE264" s="319">
        <f>K264/$E$10</f>
      </c>
      <c r="AF264" s="293">
        <f>L264/$E$11</f>
      </c>
      <c r="AG264" s="293">
        <f>M264/$E$11</f>
      </c>
      <c r="AH264" s="319">
        <f>N264/$E$11</f>
      </c>
      <c r="AI264" s="293">
        <f>O264/$E$12</f>
      </c>
      <c r="AJ264" s="293">
        <f>P264/$E$12</f>
      </c>
      <c r="AK264" s="319">
        <f>Q264/$E$12</f>
      </c>
      <c r="AL264" s="293">
        <f>R264/$E$13</f>
      </c>
      <c r="AM264" s="293">
        <f>S264/$E$13</f>
      </c>
      <c r="AN264" s="319">
        <f>T264/$E$13</f>
      </c>
      <c r="AO264" s="293">
        <f>U264/$E$14</f>
      </c>
      <c r="AP264" s="293">
        <f>V264/$E$14</f>
      </c>
      <c r="AQ264" s="319">
        <f>W264/$E$14</f>
      </c>
      <c r="AR264" s="134"/>
      <c r="AS264" s="3"/>
      <c r="AT264" s="3"/>
      <c r="AU264" s="3"/>
      <c r="AV264" s="3"/>
      <c r="AW264" s="3"/>
      <c r="AX264" s="3"/>
      <c r="AY264" s="3"/>
      <c r="AZ264" s="3"/>
      <c r="BA264" s="3"/>
      <c r="BB264" s="3"/>
      <c r="BC264" s="3"/>
      <c r="BD264" s="3"/>
      <c r="BE264" s="3"/>
      <c r="BF264" s="3"/>
      <c r="BG264" s="3"/>
      <c r="BH264" s="2"/>
      <c r="BI264" s="2"/>
      <c r="BJ264" s="3"/>
      <c r="BK264" s="3"/>
      <c r="BL264" s="3"/>
      <c r="BM264" s="3"/>
      <c r="BN264" s="3"/>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row>
    <row x14ac:dyDescent="0.25" r="265" customHeight="1" ht="13.5">
      <c r="A265" s="2"/>
      <c r="B265" s="200"/>
      <c r="C265" s="2"/>
      <c r="D265" s="123" t="s">
        <v>227</v>
      </c>
      <c r="E265" s="142"/>
      <c r="F265" s="293">
        <f>OCPMarketShares!K195</f>
      </c>
      <c r="G265" s="293">
        <f>OCPMarketShares!L195</f>
      </c>
      <c r="H265" s="293">
        <f>OCPMarketShares!M195</f>
      </c>
      <c r="I265" s="293">
        <f>F265*I213</f>
      </c>
      <c r="J265" s="293">
        <f>G265*J213</f>
      </c>
      <c r="K265" s="293">
        <f>H265*K213</f>
      </c>
      <c r="L265" s="293">
        <f>F265*L213</f>
      </c>
      <c r="M265" s="293">
        <f>G265*M213</f>
      </c>
      <c r="N265" s="293">
        <f>H265*N213</f>
      </c>
      <c r="O265" s="293">
        <f>F265*O213</f>
      </c>
      <c r="P265" s="293">
        <f>G265*P213</f>
      </c>
      <c r="Q265" s="293">
        <f>H265*Q213</f>
      </c>
      <c r="R265" s="293">
        <f>F265*R213</f>
      </c>
      <c r="S265" s="293">
        <f>G265*S213</f>
      </c>
      <c r="T265" s="319">
        <f>H265*T213</f>
      </c>
      <c r="U265" s="293">
        <f>I265*U213</f>
      </c>
      <c r="V265" s="293">
        <f>J265*V213</f>
      </c>
      <c r="W265" s="293">
        <f>K265*W213</f>
      </c>
      <c r="X265" s="3"/>
      <c r="Y265" s="140" t="s">
        <v>227</v>
      </c>
      <c r="Z265" s="293">
        <f>AC265+AF265+AI265+AL265</f>
      </c>
      <c r="AA265" s="293">
        <f>AD265+AG265+AJ265+AM265</f>
      </c>
      <c r="AB265" s="319">
        <f>AE265+AH265+AK265+AN265</f>
      </c>
      <c r="AC265" s="293">
        <f>I265/$E$10</f>
      </c>
      <c r="AD265" s="293">
        <f>J265/$E$10</f>
      </c>
      <c r="AE265" s="319">
        <f>K265/$E$10</f>
      </c>
      <c r="AF265" s="293">
        <f>L265/$E$11</f>
      </c>
      <c r="AG265" s="293">
        <f>M265/$E$11</f>
      </c>
      <c r="AH265" s="319">
        <f>N265/$E$11</f>
      </c>
      <c r="AI265" s="293">
        <f>O265/$E$12</f>
      </c>
      <c r="AJ265" s="293">
        <f>P265/$E$12</f>
      </c>
      <c r="AK265" s="319">
        <f>Q265/$E$12</f>
      </c>
      <c r="AL265" s="293">
        <f>R265/$E$13</f>
      </c>
      <c r="AM265" s="293">
        <f>S265/$E$13</f>
      </c>
      <c r="AN265" s="319">
        <f>T265/$E$13</f>
      </c>
      <c r="AO265" s="293">
        <f>U265/$E$14</f>
      </c>
      <c r="AP265" s="293">
        <f>V265/$E$14</f>
      </c>
      <c r="AQ265" s="319">
        <f>W265/$E$14</f>
      </c>
      <c r="AR265" s="134"/>
      <c r="AS265" s="3"/>
      <c r="AT265" s="3"/>
      <c r="AU265" s="3"/>
      <c r="AV265" s="3"/>
      <c r="AW265" s="3"/>
      <c r="AX265" s="3"/>
      <c r="AY265" s="3"/>
      <c r="AZ265" s="3"/>
      <c r="BA265" s="3"/>
      <c r="BB265" s="3"/>
      <c r="BC265" s="3"/>
      <c r="BD265" s="3"/>
      <c r="BE265" s="3"/>
      <c r="BF265" s="3"/>
      <c r="BG265" s="3"/>
      <c r="BH265" s="2"/>
      <c r="BI265" s="2"/>
      <c r="BJ265" s="3"/>
      <c r="BK265" s="3"/>
      <c r="BL265" s="3"/>
      <c r="BM265" s="3"/>
      <c r="BN265" s="3"/>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row>
    <row x14ac:dyDescent="0.25" r="266" customHeight="1" ht="13.5">
      <c r="A266" s="2"/>
      <c r="B266" s="200"/>
      <c r="C266" s="2"/>
      <c r="D266" s="123" t="s">
        <v>255</v>
      </c>
      <c r="E266" s="284"/>
      <c r="F266" s="294">
        <f>OCPMarketShares!K196</f>
      </c>
      <c r="G266" s="294">
        <f>OCPMarketShares!L196</f>
      </c>
      <c r="H266" s="294">
        <f>OCPMarketShares!M196</f>
      </c>
      <c r="I266" s="294">
        <f>F266*I214</f>
      </c>
      <c r="J266" s="294">
        <f>G266*J214</f>
      </c>
      <c r="K266" s="294">
        <f>H266*K214</f>
      </c>
      <c r="L266" s="294">
        <f>F266*L214</f>
      </c>
      <c r="M266" s="294">
        <f>G266*M214</f>
      </c>
      <c r="N266" s="294">
        <f>H266*N214</f>
      </c>
      <c r="O266" s="294">
        <f>F266*O214</f>
      </c>
      <c r="P266" s="294">
        <f>G266*P214</f>
      </c>
      <c r="Q266" s="294">
        <f>H266*Q214</f>
      </c>
      <c r="R266" s="294">
        <f>F266*R214</f>
      </c>
      <c r="S266" s="294">
        <f>G266*S214</f>
      </c>
      <c r="T266" s="323">
        <f>H266*T214</f>
      </c>
      <c r="U266" s="324">
        <f>I266*U214</f>
      </c>
      <c r="V266" s="294">
        <f>J266*V214</f>
      </c>
      <c r="W266" s="294">
        <f>K266*W214</f>
      </c>
      <c r="X266" s="3"/>
      <c r="Y266" s="325" t="s">
        <v>255</v>
      </c>
      <c r="Z266" s="294">
        <f>AC266+AF266+AI266+AL266</f>
      </c>
      <c r="AA266" s="294">
        <f>AD266+AG266+AJ266+AM266</f>
      </c>
      <c r="AB266" s="323">
        <f>AE266+AH266+AK266+AN266</f>
      </c>
      <c r="AC266" s="294">
        <f>I266/$E$10</f>
      </c>
      <c r="AD266" s="294">
        <f>J266/$E$10</f>
      </c>
      <c r="AE266" s="323">
        <f>K266/$E$10</f>
      </c>
      <c r="AF266" s="294">
        <f>L266/$E$11</f>
      </c>
      <c r="AG266" s="294">
        <f>M266/$E$11</f>
      </c>
      <c r="AH266" s="323">
        <f>N266/$E$11</f>
      </c>
      <c r="AI266" s="294">
        <f>O266/$E$12</f>
      </c>
      <c r="AJ266" s="294">
        <f>P266/$E$12</f>
      </c>
      <c r="AK266" s="323">
        <f>Q266/$E$12</f>
      </c>
      <c r="AL266" s="294">
        <f>R266/$E$13</f>
      </c>
      <c r="AM266" s="294">
        <f>S266/$E$13</f>
      </c>
      <c r="AN266" s="323">
        <f>T266/$E$13</f>
      </c>
      <c r="AO266" s="294">
        <f>U266/$E$14</f>
      </c>
      <c r="AP266" s="294">
        <f>V266/$E$14</f>
      </c>
      <c r="AQ266" s="323">
        <f>W266/$E$14</f>
      </c>
      <c r="AR266" s="134"/>
      <c r="AS266" s="3"/>
      <c r="AT266" s="3"/>
      <c r="AU266" s="3"/>
      <c r="AV266" s="3"/>
      <c r="AW266" s="3"/>
      <c r="AX266" s="3"/>
      <c r="AY266" s="3"/>
      <c r="AZ266" s="3"/>
      <c r="BA266" s="3"/>
      <c r="BB266" s="3"/>
      <c r="BC266" s="3"/>
      <c r="BD266" s="3"/>
      <c r="BE266" s="3"/>
      <c r="BF266" s="3"/>
      <c r="BG266" s="3"/>
      <c r="BH266" s="2"/>
      <c r="BI266" s="2"/>
      <c r="BJ266" s="3"/>
      <c r="BK266" s="3"/>
      <c r="BL266" s="3"/>
      <c r="BM266" s="3"/>
      <c r="BN266" s="3"/>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row>
    <row x14ac:dyDescent="0.25" r="267" customHeight="1" ht="13.5">
      <c r="A267" s="2"/>
      <c r="B267" s="200"/>
      <c r="C267" s="2"/>
      <c r="D267" s="326" t="s">
        <v>336</v>
      </c>
      <c r="E267" s="354"/>
      <c r="F267" s="284">
        <f>SUM(F246:F266)</f>
      </c>
      <c r="G267" s="284">
        <f>SUM(G246:G266)</f>
      </c>
      <c r="H267" s="284">
        <f>SUM(H246:H266)</f>
      </c>
      <c r="I267" s="284">
        <f>SUM(I246:I266)</f>
      </c>
      <c r="J267" s="284">
        <f>SUM(J246:J266)</f>
      </c>
      <c r="K267" s="284">
        <f>SUM(K246:K266)</f>
      </c>
      <c r="L267" s="284">
        <f>SUM(L246:L266)</f>
      </c>
      <c r="M267" s="284">
        <f>SUM(M246:M266)</f>
      </c>
      <c r="N267" s="284">
        <f>SUM(N246:N266)</f>
      </c>
      <c r="O267" s="284">
        <f>SUM(O246:O266)</f>
      </c>
      <c r="P267" s="284">
        <f>SUM(P246:P266)</f>
      </c>
      <c r="Q267" s="284">
        <f>SUM(Q246:Q266)</f>
      </c>
      <c r="R267" s="284">
        <f>SUM(R246:R266)</f>
      </c>
      <c r="S267" s="284">
        <f>SUM(S246:S266)</f>
      </c>
      <c r="T267" s="352">
        <f>SUM(T246:T266)</f>
      </c>
      <c r="U267" s="352">
        <f>SUM(U246:U266)</f>
      </c>
      <c r="V267" s="352">
        <f>SUM(V246:V266)</f>
      </c>
      <c r="W267" s="352">
        <f>SUM(W246:W266)</f>
      </c>
      <c r="X267" s="3"/>
      <c r="Y267" s="353"/>
      <c r="Z267" s="284">
        <f>SUM(Z246:Z266)</f>
      </c>
      <c r="AA267" s="284">
        <f>SUM(AA246:AA266)</f>
      </c>
      <c r="AB267" s="352">
        <f>SUM(AB246:AB266)</f>
      </c>
      <c r="AC267" s="294">
        <f>SUM(AC246:AC266)</f>
      </c>
      <c r="AD267" s="294">
        <f>SUM(AD246:AD266)</f>
      </c>
      <c r="AE267" s="323">
        <f>SUM(AE246:AE266)</f>
      </c>
      <c r="AF267" s="294">
        <f>SUM(AF246:AF266)</f>
      </c>
      <c r="AG267" s="294">
        <f>SUM(AG246:AG266)</f>
      </c>
      <c r="AH267" s="323">
        <f>SUM(AH246:AH266)</f>
      </c>
      <c r="AI267" s="294">
        <f>SUM(AI246:AI266)</f>
      </c>
      <c r="AJ267" s="294">
        <f>SUM(AJ246:AJ266)</f>
      </c>
      <c r="AK267" s="323">
        <f>SUM(AK246:AK266)</f>
      </c>
      <c r="AL267" s="294">
        <f>SUM(AL246:AL266)</f>
      </c>
      <c r="AM267" s="294">
        <f>SUM(AM246:AM266)</f>
      </c>
      <c r="AN267" s="323">
        <f>SUM(AN246:AN266)</f>
      </c>
      <c r="AO267" s="294">
        <f>SUM(AO246:AO266)</f>
      </c>
      <c r="AP267" s="294">
        <f>SUM(AP246:AP266)</f>
      </c>
      <c r="AQ267" s="323">
        <f>SUM(AQ246:AQ266)</f>
      </c>
      <c r="AR267" s="134"/>
      <c r="AS267" s="3"/>
      <c r="AT267" s="3"/>
      <c r="AU267" s="3"/>
      <c r="AV267" s="3"/>
      <c r="AW267" s="3"/>
      <c r="AX267" s="3"/>
      <c r="AY267" s="3"/>
      <c r="AZ267" s="3"/>
      <c r="BA267" s="3"/>
      <c r="BB267" s="3"/>
      <c r="BC267" s="3"/>
      <c r="BD267" s="3"/>
      <c r="BE267" s="3"/>
      <c r="BF267" s="3"/>
      <c r="BG267" s="3"/>
      <c r="BH267" s="2"/>
      <c r="BI267" s="2"/>
      <c r="BJ267" s="3"/>
      <c r="BK267" s="3"/>
      <c r="BL267" s="3"/>
      <c r="BM267" s="3"/>
      <c r="BN267" s="3"/>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row>
    <row x14ac:dyDescent="0.25" r="268" customHeight="1" ht="13.5">
      <c r="A268" s="2"/>
      <c r="B268" s="200"/>
      <c r="C268" s="2"/>
      <c r="D268" s="276"/>
      <c r="E268" s="142"/>
      <c r="F268" s="108"/>
      <c r="G268" s="108"/>
      <c r="H268" s="108"/>
      <c r="I268" s="108"/>
      <c r="J268" s="108"/>
      <c r="K268" s="108"/>
      <c r="L268" s="108"/>
      <c r="M268" s="108"/>
      <c r="N268" s="108"/>
      <c r="O268" s="108"/>
      <c r="P268" s="108"/>
      <c r="Q268" s="108"/>
      <c r="R268" s="108"/>
      <c r="S268" s="108"/>
      <c r="T268" s="108"/>
      <c r="U268" s="108"/>
      <c r="V268" s="108"/>
      <c r="W268" s="108"/>
      <c r="X268" s="3"/>
      <c r="Y268" s="3"/>
      <c r="Z268" s="108"/>
      <c r="AA268" s="108"/>
      <c r="AB268" s="108"/>
      <c r="AC268" s="142"/>
      <c r="AD268" s="142"/>
      <c r="AE268" s="142"/>
      <c r="AF268" s="142"/>
      <c r="AG268" s="142"/>
      <c r="AH268" s="142"/>
      <c r="AI268" s="142"/>
      <c r="AJ268" s="142"/>
      <c r="AK268" s="142"/>
      <c r="AL268" s="142"/>
      <c r="AM268" s="142"/>
      <c r="AN268" s="142"/>
      <c r="AO268" s="142"/>
      <c r="AP268" s="142"/>
      <c r="AQ268" s="142"/>
      <c r="AR268" s="134"/>
      <c r="AS268" s="3"/>
      <c r="AT268" s="3"/>
      <c r="AU268" s="3"/>
      <c r="AV268" s="3"/>
      <c r="AW268" s="3"/>
      <c r="AX268" s="3"/>
      <c r="AY268" s="3"/>
      <c r="AZ268" s="3"/>
      <c r="BA268" s="3"/>
      <c r="BB268" s="3"/>
      <c r="BC268" s="3"/>
      <c r="BD268" s="3"/>
      <c r="BE268" s="3"/>
      <c r="BF268" s="3"/>
      <c r="BG268" s="3"/>
      <c r="BH268" s="2"/>
      <c r="BI268" s="2"/>
      <c r="BJ268" s="3"/>
      <c r="BK268" s="3"/>
      <c r="BL268" s="3"/>
      <c r="BM268" s="3"/>
      <c r="BN268" s="3"/>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row>
    <row x14ac:dyDescent="0.25" r="269" customHeight="1" ht="13.5">
      <c r="A269" s="2"/>
      <c r="B269" s="200"/>
      <c r="C269" s="2"/>
      <c r="D269" s="276"/>
      <c r="E269" s="142"/>
      <c r="F269" s="108"/>
      <c r="G269" s="108"/>
      <c r="H269" s="108"/>
      <c r="I269" s="108"/>
      <c r="J269" s="108"/>
      <c r="K269" s="108"/>
      <c r="L269" s="108"/>
      <c r="M269" s="108"/>
      <c r="N269" s="108"/>
      <c r="O269" s="108"/>
      <c r="P269" s="108"/>
      <c r="Q269" s="108"/>
      <c r="R269" s="108"/>
      <c r="S269" s="108"/>
      <c r="T269" s="108"/>
      <c r="U269" s="108"/>
      <c r="V269" s="108"/>
      <c r="W269" s="108"/>
      <c r="X269" s="3"/>
      <c r="Y269" s="3"/>
      <c r="Z269" s="108"/>
      <c r="AA269" s="108"/>
      <c r="AB269" s="108"/>
      <c r="AC269" s="142"/>
      <c r="AD269" s="142"/>
      <c r="AE269" s="142"/>
      <c r="AF269" s="142"/>
      <c r="AG269" s="142"/>
      <c r="AH269" s="142"/>
      <c r="AI269" s="142"/>
      <c r="AJ269" s="142"/>
      <c r="AK269" s="142"/>
      <c r="AL269" s="142"/>
      <c r="AM269" s="142"/>
      <c r="AN269" s="142"/>
      <c r="AO269" s="142"/>
      <c r="AP269" s="142"/>
      <c r="AQ269" s="142"/>
      <c r="AR269" s="134"/>
      <c r="AS269" s="3"/>
      <c r="AT269" s="3"/>
      <c r="AU269" s="3"/>
      <c r="AV269" s="3"/>
      <c r="AW269" s="3"/>
      <c r="AX269" s="3"/>
      <c r="AY269" s="3"/>
      <c r="AZ269" s="3"/>
      <c r="BA269" s="3"/>
      <c r="BB269" s="3"/>
      <c r="BC269" s="3"/>
      <c r="BD269" s="3"/>
      <c r="BE269" s="3"/>
      <c r="BF269" s="3"/>
      <c r="BG269" s="3"/>
      <c r="BH269" s="2"/>
      <c r="BI269" s="2"/>
      <c r="BJ269" s="3"/>
      <c r="BK269" s="3"/>
      <c r="BL269" s="3"/>
      <c r="BM269" s="3"/>
      <c r="BN269" s="3"/>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row>
    <row x14ac:dyDescent="0.25" r="270" customHeight="1" ht="13.5">
      <c r="A270" s="2"/>
      <c r="B270" s="3"/>
      <c r="C270" s="2"/>
      <c r="D270" s="290"/>
      <c r="E270" s="142"/>
      <c r="F270" s="108"/>
      <c r="G270" s="108"/>
      <c r="H270" s="108"/>
      <c r="I270" s="108"/>
      <c r="J270" s="108"/>
      <c r="K270" s="355"/>
      <c r="L270" s="108"/>
      <c r="M270" s="108"/>
      <c r="N270" s="108"/>
      <c r="O270" s="124"/>
      <c r="P270" s="124"/>
      <c r="Q270" s="124"/>
      <c r="R270" s="124"/>
      <c r="S270" s="124"/>
      <c r="T270" s="124"/>
      <c r="U270" s="124"/>
      <c r="V270" s="124"/>
      <c r="W270" s="124"/>
      <c r="X270" s="124"/>
      <c r="Y270" s="124"/>
      <c r="Z270" s="124"/>
      <c r="AA270" s="124"/>
      <c r="AB270" s="124"/>
      <c r="AC270" s="124"/>
      <c r="AD270" s="124"/>
      <c r="AE270" s="124"/>
      <c r="AF270" s="124"/>
      <c r="AG270" s="124"/>
      <c r="AH270" s="124"/>
      <c r="AI270" s="124"/>
      <c r="AJ270" s="124"/>
      <c r="AK270" s="124"/>
      <c r="AL270" s="124"/>
      <c r="AM270" s="124"/>
      <c r="AN270" s="124"/>
      <c r="AO270" s="124"/>
      <c r="AP270" s="124"/>
      <c r="AQ270" s="124"/>
      <c r="AR270" s="124"/>
      <c r="AS270" s="124"/>
      <c r="AT270" s="3"/>
      <c r="AU270" s="3"/>
      <c r="AV270" s="3"/>
      <c r="AW270" s="3"/>
      <c r="AX270" s="3"/>
      <c r="AY270" s="3"/>
      <c r="AZ270" s="3"/>
      <c r="BA270" s="3"/>
      <c r="BB270" s="3"/>
      <c r="BC270" s="3"/>
      <c r="BD270" s="3"/>
      <c r="BE270" s="3"/>
      <c r="BF270" s="3"/>
      <c r="BG270" s="3"/>
      <c r="BH270" s="2"/>
      <c r="BI270" s="2"/>
      <c r="BJ270" s="3"/>
      <c r="BK270" s="3"/>
      <c r="BL270" s="3"/>
      <c r="BM270" s="3"/>
      <c r="BN270" s="3"/>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32"/>
  <sheetViews>
    <sheetView workbookViewId="0"/>
  </sheetViews>
  <sheetFormatPr defaultRowHeight="15" x14ac:dyDescent="0.25"/>
  <cols>
    <col min="1" max="1" style="100" width="5.862142857142857" customWidth="1" bestFit="1"/>
    <col min="2" max="2" style="100" width="5.862142857142857" customWidth="1" bestFit="1"/>
    <col min="3" max="3" style="100" width="5.862142857142857" customWidth="1" bestFit="1"/>
    <col min="4" max="4" style="100" width="46.43357142857143" customWidth="1" bestFit="1"/>
    <col min="5" max="5" style="103" width="13.576428571428572" customWidth="1" bestFit="1"/>
    <col min="6" max="6" style="103" width="13.576428571428572" customWidth="1" bestFit="1"/>
    <col min="7" max="7" style="103" width="13.576428571428572" customWidth="1" bestFit="1"/>
    <col min="8" max="8" style="103" width="13.576428571428572" customWidth="1" bestFit="1"/>
    <col min="9" max="9" style="100" width="13.576428571428572" customWidth="1" bestFit="1"/>
    <col min="10" max="10" style="137" width="13.576428571428572" customWidth="1" bestFit="1"/>
  </cols>
  <sheetData>
    <row x14ac:dyDescent="0.25" r="1" customHeight="1" ht="13.5">
      <c r="A1" s="104"/>
      <c r="B1" s="104"/>
      <c r="C1" s="104"/>
      <c r="D1" s="105" t="s">
        <v>451</v>
      </c>
      <c r="E1" s="261"/>
      <c r="F1" s="7"/>
      <c r="G1" s="7"/>
      <c r="H1" s="7"/>
      <c r="I1" s="2"/>
      <c r="J1" s="108"/>
    </row>
    <row x14ac:dyDescent="0.25" r="2" customHeight="1" ht="13.5">
      <c r="A2" s="104"/>
      <c r="B2" s="104"/>
      <c r="C2" s="104"/>
      <c r="D2" s="105"/>
      <c r="E2" s="262" t="s">
        <v>452</v>
      </c>
      <c r="F2" s="7"/>
      <c r="G2" s="7"/>
      <c r="H2" s="7"/>
      <c r="I2" s="2"/>
      <c r="J2" s="108"/>
    </row>
    <row x14ac:dyDescent="0.25" r="3" customHeight="1" ht="13.5">
      <c r="A3" s="104"/>
      <c r="B3" s="104"/>
      <c r="C3" s="104"/>
      <c r="D3" s="105"/>
      <c r="E3" s="263">
        <f>MID(CELL("filename",E3),FIND("]",CELL("filename",E3))+1,256)</f>
      </c>
      <c r="F3" s="7"/>
      <c r="G3" s="7"/>
      <c r="H3" s="7"/>
      <c r="I3" s="2"/>
      <c r="J3" s="108"/>
    </row>
    <row x14ac:dyDescent="0.25" r="4" customHeight="1" ht="13.5">
      <c r="A4" s="104"/>
      <c r="B4" s="104"/>
      <c r="C4" s="104"/>
      <c r="D4" s="105"/>
      <c r="E4" s="261"/>
      <c r="F4" s="7"/>
      <c r="G4" s="7"/>
      <c r="H4" s="7"/>
      <c r="I4" s="2"/>
      <c r="J4" s="108"/>
    </row>
    <row x14ac:dyDescent="0.25" r="5" customHeight="1" ht="13.4">
      <c r="A5" s="112"/>
      <c r="B5" s="112"/>
      <c r="C5" s="112"/>
      <c r="D5" s="113"/>
      <c r="E5" s="114"/>
      <c r="F5" s="7"/>
      <c r="G5" s="7"/>
      <c r="H5" s="7"/>
      <c r="I5" s="2"/>
      <c r="J5" s="108"/>
    </row>
    <row x14ac:dyDescent="0.25" r="6" customHeight="1" ht="13.4">
      <c r="A6" s="264"/>
      <c r="B6" s="264"/>
      <c r="C6" s="264"/>
      <c r="D6" s="265"/>
      <c r="E6" s="266"/>
      <c r="F6" s="7"/>
      <c r="G6" s="7"/>
      <c r="H6" s="7"/>
      <c r="I6" s="2"/>
      <c r="J6" s="108"/>
    </row>
    <row x14ac:dyDescent="0.25" r="7" customHeight="1" ht="13.5">
      <c r="A7" s="2"/>
      <c r="B7" s="2"/>
      <c r="C7" s="2"/>
      <c r="D7" s="240" t="s">
        <v>453</v>
      </c>
      <c r="E7" s="7"/>
      <c r="F7" s="7"/>
      <c r="G7" s="7"/>
      <c r="H7" s="7"/>
      <c r="I7" s="2"/>
      <c r="J7" s="108"/>
    </row>
    <row x14ac:dyDescent="0.25" r="8" customHeight="1" ht="13.5">
      <c r="A8" s="2"/>
      <c r="B8" s="2"/>
      <c r="C8" s="2"/>
      <c r="D8" s="241" t="s">
        <v>454</v>
      </c>
      <c r="E8" s="7"/>
      <c r="F8" s="7"/>
      <c r="G8" s="7"/>
      <c r="H8" s="7"/>
      <c r="I8" s="2"/>
      <c r="J8" s="120" t="s">
        <v>455</v>
      </c>
    </row>
    <row x14ac:dyDescent="0.25" r="9" customHeight="1" ht="13.5">
      <c r="A9" s="2"/>
      <c r="B9" s="2"/>
      <c r="C9" s="2"/>
      <c r="D9" s="256"/>
      <c r="E9" s="258" t="s">
        <v>456</v>
      </c>
      <c r="F9" s="258" t="s">
        <v>457</v>
      </c>
      <c r="G9" s="258" t="s">
        <v>458</v>
      </c>
      <c r="H9" s="258" t="s">
        <v>459</v>
      </c>
      <c r="I9" s="2"/>
      <c r="J9" s="108"/>
    </row>
    <row x14ac:dyDescent="0.25" r="10" customHeight="1" ht="13.5">
      <c r="A10" s="2"/>
      <c r="B10" s="2"/>
      <c r="C10" s="2"/>
      <c r="D10" s="260" t="s">
        <v>25</v>
      </c>
      <c r="E10" s="267">
        <f>EA!F4/1000</f>
      </c>
      <c r="F10" s="267">
        <f>E10-OCP_SalesProduct!AH21+J10</f>
      </c>
      <c r="G10" s="267">
        <f>F10-OCP_SalesProduct!AI21</f>
      </c>
      <c r="H10" s="267">
        <f>G10-OCP_SalesProduct!AJ21</f>
      </c>
      <c r="I10" s="2"/>
      <c r="J10" s="124">
        <f>13594.3/1000</f>
      </c>
    </row>
    <row x14ac:dyDescent="0.25" r="11" customHeight="1" ht="13.5">
      <c r="A11" s="2"/>
      <c r="B11" s="2"/>
      <c r="C11" s="2"/>
      <c r="D11" s="260" t="s">
        <v>460</v>
      </c>
      <c r="E11" s="267">
        <v>0</v>
      </c>
      <c r="F11" s="267">
        <f>E11-OCP_SalesProduct!AE21+J11</f>
      </c>
      <c r="G11" s="267">
        <f>F11-OCP_SalesProduct!AF21</f>
      </c>
      <c r="H11" s="267">
        <f>G11-OCP_SalesProduct!AG21</f>
      </c>
      <c r="I11" s="2"/>
      <c r="J11" s="124">
        <v>0</v>
      </c>
    </row>
    <row x14ac:dyDescent="0.25" r="12" customHeight="1" ht="13.5">
      <c r="A12" s="2"/>
      <c r="B12" s="2"/>
      <c r="C12" s="2"/>
      <c r="D12" s="260" t="s">
        <v>442</v>
      </c>
      <c r="E12" s="267">
        <v>0</v>
      </c>
      <c r="F12" s="267">
        <f>E12-OCP_SalesProduct!AB21+J12</f>
      </c>
      <c r="G12" s="267">
        <f>F12-OCP_SalesProduct!AC21</f>
      </c>
      <c r="H12" s="267">
        <f>G12-OCP_SalesProduct!AD21</f>
      </c>
      <c r="I12" s="2"/>
      <c r="J12" s="124">
        <v>0</v>
      </c>
    </row>
    <row x14ac:dyDescent="0.25" r="13" customHeight="1" ht="13.5">
      <c r="A13" s="2"/>
      <c r="B13" s="2"/>
      <c r="C13" s="2"/>
      <c r="D13" s="260" t="s">
        <v>461</v>
      </c>
      <c r="E13" s="267">
        <f>(EA!F5+EA!F6)/1000</f>
      </c>
      <c r="F13" s="267">
        <f>E13-OCP_SalesProduct!AK21+J13</f>
      </c>
      <c r="G13" s="267">
        <f>F13-OCP_SalesProduct!AL21</f>
      </c>
      <c r="H13" s="267">
        <f>G13-OCP_SalesProduct!AM21</f>
      </c>
      <c r="I13" s="2"/>
      <c r="J13" s="124">
        <f>18565.675/1000</f>
      </c>
    </row>
    <row x14ac:dyDescent="0.25" r="14" customHeight="1" ht="13.5">
      <c r="A14" s="2"/>
      <c r="B14" s="2"/>
      <c r="C14" s="2"/>
      <c r="D14" s="260" t="s">
        <v>71</v>
      </c>
      <c r="E14" s="267">
        <f>(EA!G7+EA!G8)/1000</f>
      </c>
      <c r="F14" s="267">
        <f>E14-OCP_SalesProduct!AN21+J14</f>
      </c>
      <c r="G14" s="267">
        <f>F14-OCP_SalesProduct!AO21+K14</f>
      </c>
      <c r="H14" s="267">
        <f>G14-OCP_SalesProduct!AP21+L14</f>
      </c>
      <c r="I14" s="2"/>
      <c r="J14" s="124">
        <f>1580.55/1000</f>
      </c>
    </row>
    <row x14ac:dyDescent="0.25" r="15" customHeight="1" ht="13.5">
      <c r="A15" s="2"/>
      <c r="B15" s="2"/>
      <c r="C15" s="2"/>
      <c r="D15" s="268" t="s">
        <v>462</v>
      </c>
      <c r="E15" s="269">
        <f>SUM(E10:E14)</f>
      </c>
      <c r="F15" s="269">
        <f>SUM(F10:F14)</f>
      </c>
      <c r="G15" s="269">
        <f>SUM(G10:G14)</f>
      </c>
      <c r="H15" s="269">
        <f>SUM(H10:H14)</f>
      </c>
      <c r="I15" s="2"/>
      <c r="J15" s="108"/>
    </row>
    <row x14ac:dyDescent="0.25" r="16" customHeight="1" ht="13.5">
      <c r="A16" s="2"/>
      <c r="B16" s="2"/>
      <c r="C16" s="2"/>
      <c r="D16" s="270" t="s">
        <v>463</v>
      </c>
      <c r="E16" s="271"/>
      <c r="F16" s="269">
        <f>SUMIF(F10:F14,"&lt;0",F10:F14)*-1</f>
      </c>
      <c r="G16" s="269">
        <f>SUMIF(G10:G14,"&lt;0",G10:G14)*-1</f>
      </c>
      <c r="H16" s="269">
        <f>SUMIF(H10:H14,"&lt;0",H10:H14)*-1</f>
      </c>
      <c r="I16" s="2"/>
      <c r="J16" s="108"/>
    </row>
    <row x14ac:dyDescent="0.25" r="17" customHeight="1" ht="13.5">
      <c r="A17" s="2"/>
      <c r="B17" s="2"/>
      <c r="C17" s="2"/>
      <c r="D17" s="2"/>
      <c r="E17" s="7"/>
      <c r="F17" s="7"/>
      <c r="G17" s="7"/>
      <c r="H17" s="7"/>
      <c r="I17" s="2"/>
      <c r="J17" s="108"/>
    </row>
    <row x14ac:dyDescent="0.25" r="18" customHeight="1" ht="13.5">
      <c r="A18" s="2"/>
      <c r="B18" s="2"/>
      <c r="C18" s="2"/>
      <c r="D18" s="240" t="s">
        <v>464</v>
      </c>
      <c r="E18" s="7"/>
      <c r="F18" s="7"/>
      <c r="G18" s="7"/>
      <c r="H18" s="7"/>
      <c r="I18" s="2"/>
      <c r="J18" s="108"/>
    </row>
    <row x14ac:dyDescent="0.25" r="19" customHeight="1" ht="13.5">
      <c r="A19" s="2"/>
      <c r="B19" s="2"/>
      <c r="C19" s="2"/>
      <c r="D19" s="241" t="s">
        <v>454</v>
      </c>
      <c r="E19" s="7"/>
      <c r="F19" s="7"/>
      <c r="G19" s="7"/>
      <c r="H19" s="7"/>
      <c r="I19" s="2"/>
      <c r="J19" s="120" t="s">
        <v>455</v>
      </c>
    </row>
    <row x14ac:dyDescent="0.25" r="20" customHeight="1" ht="13.5">
      <c r="A20" s="2"/>
      <c r="B20" s="2"/>
      <c r="C20" s="2"/>
      <c r="D20" s="256"/>
      <c r="E20" s="258" t="s">
        <v>456</v>
      </c>
      <c r="F20" s="258" t="s">
        <v>457</v>
      </c>
      <c r="G20" s="258" t="s">
        <v>458</v>
      </c>
      <c r="H20" s="258" t="s">
        <v>459</v>
      </c>
      <c r="I20" s="2"/>
      <c r="J20" s="108"/>
    </row>
    <row x14ac:dyDescent="0.25" r="21" customHeight="1" ht="13.5">
      <c r="A21" s="2"/>
      <c r="B21" s="2"/>
      <c r="C21" s="2"/>
      <c r="D21" s="260" t="s">
        <v>25</v>
      </c>
      <c r="E21" s="267">
        <f>E10</f>
      </c>
      <c r="F21" s="267">
        <f>E21-OCP_SalesProduct!AH29+J21</f>
      </c>
      <c r="G21" s="267">
        <f>F21-OCP_SalesProduct!AI29+K21</f>
      </c>
      <c r="H21" s="267">
        <f>G21-OCP_SalesProduct!AJ29+L21</f>
      </c>
      <c r="I21" s="2"/>
      <c r="J21" s="124">
        <f>J10</f>
      </c>
    </row>
    <row x14ac:dyDescent="0.25" r="22" customHeight="1" ht="13.5">
      <c r="A22" s="2"/>
      <c r="B22" s="2"/>
      <c r="C22" s="2"/>
      <c r="D22" s="260" t="s">
        <v>460</v>
      </c>
      <c r="E22" s="267">
        <f>E11</f>
      </c>
      <c r="F22" s="267">
        <f>E22-OCP_SalesProduct!AE29+J22</f>
      </c>
      <c r="G22" s="267">
        <f>F22-OCP_SalesProduct!AF29</f>
      </c>
      <c r="H22" s="267">
        <f>G22-OCP_SalesProduct!AG29</f>
      </c>
      <c r="I22" s="2"/>
      <c r="J22" s="124">
        <f>J11</f>
      </c>
    </row>
    <row x14ac:dyDescent="0.25" r="23" customHeight="1" ht="13.5">
      <c r="A23" s="2"/>
      <c r="B23" s="2"/>
      <c r="C23" s="2"/>
      <c r="D23" s="260" t="s">
        <v>442</v>
      </c>
      <c r="E23" s="267">
        <f>E12</f>
      </c>
      <c r="F23" s="267">
        <f>E23-OCP_SalesProduct!AB29+J23</f>
      </c>
      <c r="G23" s="267">
        <f>F23-OCP_SalesProduct!AC29</f>
      </c>
      <c r="H23" s="267">
        <f>G23-OCP_SalesProduct!AD29</f>
      </c>
      <c r="I23" s="2"/>
      <c r="J23" s="124">
        <f>J12</f>
      </c>
    </row>
    <row x14ac:dyDescent="0.25" r="24" customHeight="1" ht="13.5">
      <c r="A24" s="2"/>
      <c r="B24" s="2"/>
      <c r="C24" s="2"/>
      <c r="D24" s="260" t="s">
        <v>37</v>
      </c>
      <c r="E24" s="267">
        <f>E13</f>
      </c>
      <c r="F24" s="267">
        <f>E24-OCP_SalesProduct!AK29+J24</f>
      </c>
      <c r="G24" s="267">
        <f>F24-OCP_SalesProduct!AL29</f>
      </c>
      <c r="H24" s="267">
        <f>G24-OCP_SalesProduct!AM29</f>
      </c>
      <c r="I24" s="2"/>
      <c r="J24" s="124">
        <f>J13</f>
      </c>
    </row>
    <row x14ac:dyDescent="0.25" r="25" customHeight="1" ht="13.5">
      <c r="A25" s="2"/>
      <c r="B25" s="2"/>
      <c r="C25" s="2"/>
      <c r="D25" s="260" t="s">
        <v>71</v>
      </c>
      <c r="E25" s="267">
        <f>E14</f>
      </c>
      <c r="F25" s="267">
        <f>E25-OCP_SalesProduct!AN29+J25</f>
      </c>
      <c r="G25" s="267">
        <f>F25-OCP_SalesProduct!AO29+K25</f>
      </c>
      <c r="H25" s="267">
        <f>G25-OCP_SalesProduct!AP29+L25</f>
      </c>
      <c r="I25" s="2"/>
      <c r="J25" s="124">
        <f>J14</f>
      </c>
    </row>
    <row x14ac:dyDescent="0.25" r="26" customHeight="1" ht="13.5">
      <c r="A26" s="2"/>
      <c r="B26" s="2"/>
      <c r="C26" s="2"/>
      <c r="D26" s="268" t="s">
        <v>462</v>
      </c>
      <c r="E26" s="269">
        <f>SUM(E21:E25)</f>
      </c>
      <c r="F26" s="269">
        <f>SUM(F21:F25)</f>
      </c>
      <c r="G26" s="269">
        <f>SUM(G21:G25)</f>
      </c>
      <c r="H26" s="269">
        <f>SUM(H21:H25)</f>
      </c>
      <c r="I26" s="2"/>
      <c r="J26" s="108"/>
    </row>
    <row x14ac:dyDescent="0.25" r="27" customHeight="1" ht="13.5">
      <c r="A27" s="2"/>
      <c r="B27" s="2"/>
      <c r="C27" s="2"/>
      <c r="D27" s="270" t="s">
        <v>463</v>
      </c>
      <c r="E27" s="271"/>
      <c r="F27" s="269">
        <f>SUMIF(F21:F25,"&lt;0",F21:F25)*-1</f>
      </c>
      <c r="G27" s="269">
        <f>SUMIF(G21:G25,"&lt;0",G21:G25)*-1</f>
      </c>
      <c r="H27" s="269">
        <f>SUMIF(H21:H25,"&lt;0",H21:H25)*-1</f>
      </c>
      <c r="I27" s="2"/>
      <c r="J27" s="108"/>
    </row>
    <row x14ac:dyDescent="0.25" r="28" customHeight="1" ht="13.5">
      <c r="A28" s="2"/>
      <c r="B28" s="2"/>
      <c r="C28" s="2"/>
      <c r="D28" s="2"/>
      <c r="E28" s="7"/>
      <c r="F28" s="7"/>
      <c r="G28" s="7"/>
      <c r="H28" s="7"/>
      <c r="I28" s="2"/>
      <c r="J28" s="108"/>
    </row>
    <row x14ac:dyDescent="0.25" r="29" customHeight="1" ht="13.5">
      <c r="A29" s="2"/>
      <c r="B29" s="2"/>
      <c r="C29" s="2"/>
      <c r="D29" s="2"/>
      <c r="E29" s="7"/>
      <c r="F29" s="7"/>
      <c r="G29" s="7"/>
      <c r="H29" s="7"/>
      <c r="I29" s="2"/>
      <c r="J29" s="108"/>
    </row>
    <row x14ac:dyDescent="0.25" r="30" customHeight="1" ht="13.4">
      <c r="A30" s="2"/>
      <c r="B30" s="2"/>
      <c r="C30" s="2"/>
      <c r="D30" s="2"/>
      <c r="E30" s="7"/>
      <c r="F30" s="7"/>
      <c r="G30" s="7"/>
      <c r="H30" s="7"/>
      <c r="I30" s="2"/>
      <c r="J30" s="108"/>
    </row>
    <row x14ac:dyDescent="0.25" r="31" customHeight="1" ht="13.5">
      <c r="A31" s="2"/>
      <c r="B31" s="2"/>
      <c r="C31" s="2"/>
      <c r="D31" s="2"/>
      <c r="E31" s="7"/>
      <c r="F31" s="7"/>
      <c r="G31" s="7"/>
      <c r="H31" s="7"/>
      <c r="I31" s="2"/>
      <c r="J31" s="108"/>
    </row>
    <row x14ac:dyDescent="0.25" r="32" customHeight="1" ht="13.5">
      <c r="A32" s="2"/>
      <c r="B32" s="2"/>
      <c r="C32" s="2"/>
      <c r="D32" s="2"/>
      <c r="E32" s="7"/>
      <c r="F32" s="7"/>
      <c r="G32" s="7"/>
      <c r="H32" s="7"/>
      <c r="I32" s="2"/>
      <c r="J32" s="10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86"/>
  <sheetViews>
    <sheetView workbookViewId="0" tabSelected="1"/>
  </sheetViews>
  <sheetFormatPr defaultRowHeight="15" x14ac:dyDescent="0.25"/>
  <cols>
    <col min="1" max="1" style="100" width="13.576428571428572" customWidth="1" bestFit="1"/>
    <col min="2" max="2" style="100" width="26.14785714285714" customWidth="1" bestFit="1"/>
    <col min="3" max="3" style="101" width="13.576428571428572" customWidth="1" bestFit="1"/>
    <col min="4" max="4" style="103" width="14.576428571428572" customWidth="1" bestFit="1"/>
    <col min="5" max="5" style="103" width="14.43357142857143" customWidth="1" bestFit="1"/>
    <col min="6" max="6" style="103" width="12.719285714285713" customWidth="1" bestFit="1"/>
    <col min="7" max="7" style="103" width="13.576428571428572" customWidth="1" bestFit="1"/>
    <col min="8" max="8" style="137" width="13.576428571428572" customWidth="1" bestFit="1"/>
    <col min="9" max="9" style="101" width="13.576428571428572" customWidth="1" bestFit="1"/>
    <col min="10" max="10" style="137" width="12.719285714285713" customWidth="1" bestFit="1"/>
    <col min="11" max="11" style="137" width="13.576428571428572" customWidth="1" bestFit="1"/>
    <col min="12" max="12" style="137" width="13.576428571428572" customWidth="1" bestFit="1"/>
    <col min="13" max="13" style="137" width="13.576428571428572" customWidth="1" bestFit="1"/>
  </cols>
  <sheetData>
    <row x14ac:dyDescent="0.25" r="1" customHeight="1" ht="18.75">
      <c r="A1" s="2"/>
      <c r="B1" s="2"/>
      <c r="C1" s="7"/>
      <c r="D1" s="7"/>
      <c r="E1" s="7"/>
      <c r="F1" s="7"/>
      <c r="G1" s="7"/>
      <c r="H1" s="108"/>
      <c r="I1" s="108"/>
      <c r="J1" s="108"/>
      <c r="K1" s="108"/>
      <c r="L1" s="108"/>
      <c r="M1" s="108"/>
    </row>
    <row x14ac:dyDescent="0.25" r="2" customHeight="1" ht="18.75">
      <c r="A2" s="2"/>
      <c r="B2" s="2"/>
      <c r="C2" s="7"/>
      <c r="D2" s="7"/>
      <c r="E2" s="7"/>
      <c r="F2" s="7"/>
      <c r="G2" s="7"/>
      <c r="H2" s="108"/>
      <c r="I2" s="108"/>
      <c r="J2" s="108"/>
      <c r="K2" s="108"/>
      <c r="L2" s="108"/>
      <c r="M2" s="108"/>
    </row>
    <row x14ac:dyDescent="0.25" r="3" customHeight="1" ht="19.5">
      <c r="A3" s="2"/>
      <c r="B3" s="240" t="s">
        <v>439</v>
      </c>
      <c r="C3" s="124"/>
      <c r="D3" s="124"/>
      <c r="E3" s="124"/>
      <c r="F3" s="124"/>
      <c r="G3" s="124"/>
      <c r="H3" s="124"/>
      <c r="I3" s="124"/>
      <c r="J3" s="124"/>
      <c r="K3" s="124"/>
      <c r="L3" s="108"/>
      <c r="M3" s="108"/>
    </row>
    <row x14ac:dyDescent="0.25" r="4" customHeight="1" ht="19.5">
      <c r="A4" s="2"/>
      <c r="B4" s="241" t="s">
        <v>440</v>
      </c>
      <c r="C4" s="124"/>
      <c r="D4" s="124"/>
      <c r="E4" s="124"/>
      <c r="F4" s="124"/>
      <c r="G4" s="124"/>
      <c r="H4" s="124"/>
      <c r="I4" s="242" t="s">
        <v>441</v>
      </c>
      <c r="J4" s="124"/>
      <c r="K4" s="124"/>
      <c r="L4" s="108"/>
      <c r="M4" s="108"/>
    </row>
    <row x14ac:dyDescent="0.25" r="5" customHeight="1" ht="19.5">
      <c r="A5" s="2"/>
      <c r="B5" s="124"/>
      <c r="C5" s="243" t="s">
        <v>25</v>
      </c>
      <c r="D5" s="244" t="s">
        <v>442</v>
      </c>
      <c r="E5" s="244" t="s">
        <v>443</v>
      </c>
      <c r="F5" s="244" t="s">
        <v>444</v>
      </c>
      <c r="G5" s="244" t="s">
        <v>29</v>
      </c>
      <c r="H5" s="124"/>
      <c r="I5" s="243" t="s">
        <v>25</v>
      </c>
      <c r="J5" s="245" t="s">
        <v>442</v>
      </c>
      <c r="K5" s="245" t="s">
        <v>443</v>
      </c>
      <c r="L5" s="245" t="s">
        <v>444</v>
      </c>
      <c r="M5" s="245" t="s">
        <v>29</v>
      </c>
    </row>
    <row x14ac:dyDescent="0.25" r="6" customHeight="1" ht="19.5">
      <c r="A6" s="2"/>
      <c r="B6" s="246" t="s">
        <v>445</v>
      </c>
      <c r="C6" s="247">
        <v>2025</v>
      </c>
      <c r="D6" s="248"/>
      <c r="E6" s="248"/>
      <c r="F6" s="248"/>
      <c r="G6" s="248"/>
      <c r="H6" s="124"/>
      <c r="I6" s="247">
        <v>2025</v>
      </c>
      <c r="J6" s="249"/>
      <c r="K6" s="249"/>
      <c r="L6" s="249"/>
      <c r="M6" s="249"/>
    </row>
    <row x14ac:dyDescent="0.25" r="7" customHeight="1" ht="19.5">
      <c r="A7" s="2"/>
      <c r="B7" s="250">
        <f>ProjectedP205_Consumption!D72</f>
      </c>
      <c r="C7" s="251">
        <f>OCP_SalesProduct!AK139+OCP_SalesProduct!AK220</f>
      </c>
      <c r="D7" s="251">
        <f>OCP_SalesProduct!AE139+OCP_SalesProduct!AE220</f>
      </c>
      <c r="E7" s="251">
        <f>OCP_SalesProduct!AH139+OCP_SalesProduct!AH220</f>
      </c>
      <c r="F7" s="251">
        <f>OCP_SalesProduct!AN139+OCP_SalesProduct!AN220</f>
      </c>
      <c r="G7" s="251">
        <f>OCP_SalesProduct!AQ139+OCP_SalesProduct!AQ220</f>
      </c>
      <c r="H7" s="124"/>
      <c r="I7" s="251">
        <f>IFERROR(C7/SUM($C7:$G7),"-")</f>
      </c>
      <c r="J7" s="251">
        <f>IFERROR(D7/SUM($C7:$G7),"-")</f>
      </c>
      <c r="K7" s="251">
        <f>IFERROR(E7/SUM($C7:$G7),"-")</f>
      </c>
      <c r="L7" s="251">
        <f>IFERROR(F7/SUM($C7:$G7),"-")</f>
      </c>
      <c r="M7" s="251">
        <f>IFERROR(G7/SUM($C7:$G7),"-")</f>
      </c>
    </row>
    <row x14ac:dyDescent="0.25" r="8" customHeight="1" ht="19.5">
      <c r="A8" s="2"/>
      <c r="B8" s="250">
        <f>ProjectedP205_Consumption!D73</f>
      </c>
      <c r="C8" s="251">
        <f>OCP_SalesProduct!AK140+OCP_SalesProduct!AK221</f>
      </c>
      <c r="D8" s="251">
        <f>OCP_SalesProduct!AE140+OCP_SalesProduct!AE221</f>
      </c>
      <c r="E8" s="251">
        <f>OCP_SalesProduct!AH140+OCP_SalesProduct!AH221</f>
      </c>
      <c r="F8" s="251">
        <f>OCP_SalesProduct!AN140+OCP_SalesProduct!AN221</f>
      </c>
      <c r="G8" s="251">
        <f>OCP_SalesProduct!AQ140+OCP_SalesProduct!AQ221</f>
      </c>
      <c r="H8" s="124"/>
      <c r="I8" s="251">
        <f>IFERROR(C8/SUM($C8:$G8),"-")</f>
      </c>
      <c r="J8" s="251">
        <f>IFERROR(D8/SUM($C8:$G8),"-")</f>
      </c>
      <c r="K8" s="251">
        <f>IFERROR(E8/SUM($C8:$G8),"-")</f>
      </c>
      <c r="L8" s="251">
        <f>IFERROR(F8/SUM($C8:$G8),"-")</f>
      </c>
      <c r="M8" s="251">
        <f>IFERROR(G8/SUM($C8:$G8),"-")</f>
      </c>
    </row>
    <row x14ac:dyDescent="0.25" r="9" customHeight="1" ht="19.5">
      <c r="A9" s="2"/>
      <c r="B9" s="250">
        <f>ProjectedP205_Consumption!D74</f>
      </c>
      <c r="C9" s="251">
        <f>OCP_SalesProduct!AK141+OCP_SalesProduct!AK222</f>
      </c>
      <c r="D9" s="251">
        <f>OCP_SalesProduct!AE141+OCP_SalesProduct!AE222</f>
      </c>
      <c r="E9" s="251">
        <f>OCP_SalesProduct!AH141+OCP_SalesProduct!AH222</f>
      </c>
      <c r="F9" s="251">
        <f>OCP_SalesProduct!AN141+OCP_SalesProduct!AN222</f>
      </c>
      <c r="G9" s="251">
        <f>OCP_SalesProduct!AQ141+OCP_SalesProduct!AQ222</f>
      </c>
      <c r="H9" s="124"/>
      <c r="I9" s="251">
        <f>IFERROR(C9/SUM($C9:$G9),"-")</f>
      </c>
      <c r="J9" s="251">
        <f>IFERROR(D9/SUM($C9:$G9),"-")</f>
      </c>
      <c r="K9" s="251">
        <f>IFERROR(E9/SUM($C9:$G9),"-")</f>
      </c>
      <c r="L9" s="251">
        <f>IFERROR(F9/SUM($C9:$G9),"-")</f>
      </c>
      <c r="M9" s="251">
        <f>IFERROR(G9/SUM($C9:$G9),"-")</f>
      </c>
    </row>
    <row x14ac:dyDescent="0.25" r="10" customHeight="1" ht="19.5">
      <c r="A10" s="2"/>
      <c r="B10" s="250">
        <f>ProjectedP205_Consumption!D75</f>
      </c>
      <c r="C10" s="251">
        <f>OCP_SalesProduct!AK142+OCP_SalesProduct!AK223</f>
      </c>
      <c r="D10" s="251">
        <f>OCP_SalesProduct!AE142+OCP_SalesProduct!AE223</f>
      </c>
      <c r="E10" s="251">
        <f>OCP_SalesProduct!AH142+OCP_SalesProduct!AH223</f>
      </c>
      <c r="F10" s="251">
        <f>OCP_SalesProduct!AN142+OCP_SalesProduct!AN223</f>
      </c>
      <c r="G10" s="251">
        <f>OCP_SalesProduct!AQ142+OCP_SalesProduct!AQ223</f>
      </c>
      <c r="H10" s="124"/>
      <c r="I10" s="251">
        <f>IFERROR(C10/SUM($C10:$G10),"-")</f>
      </c>
      <c r="J10" s="251">
        <f>IFERROR(D10/SUM($C10:$G10),"-")</f>
      </c>
      <c r="K10" s="251">
        <f>IFERROR(E10/SUM($C10:$G10),"-")</f>
      </c>
      <c r="L10" s="251">
        <f>IFERROR(F10/SUM($C10:$G10),"-")</f>
      </c>
      <c r="M10" s="251">
        <f>IFERROR(G10/SUM($C10:$G10),"-")</f>
      </c>
    </row>
    <row x14ac:dyDescent="0.25" r="11" customHeight="1" ht="19.5">
      <c r="A11" s="2"/>
      <c r="B11" s="250">
        <f>ProjectedP205_Consumption!D76</f>
      </c>
      <c r="C11" s="251">
        <f>OCP_SalesProduct!AK143+OCP_SalesProduct!AK224</f>
      </c>
      <c r="D11" s="251">
        <f>OCP_SalesProduct!AE143+OCP_SalesProduct!AE224</f>
      </c>
      <c r="E11" s="251">
        <f>OCP_SalesProduct!AH143+OCP_SalesProduct!AH224</f>
      </c>
      <c r="F11" s="251">
        <f>OCP_SalesProduct!AN143+OCP_SalesProduct!AN224</f>
      </c>
      <c r="G11" s="251">
        <f>OCP_SalesProduct!AQ143+OCP_SalesProduct!AQ224</f>
      </c>
      <c r="H11" s="124"/>
      <c r="I11" s="251">
        <f>IFERROR(C11/SUM($C11:$G11),"-")</f>
      </c>
      <c r="J11" s="251">
        <f>IFERROR(D11/SUM($C11:$G11),"-")</f>
      </c>
      <c r="K11" s="251">
        <f>IFERROR(E11/SUM($C11:$G11),"-")</f>
      </c>
      <c r="L11" s="251">
        <f>IFERROR(F11/SUM($C11:$G11),"-")</f>
      </c>
      <c r="M11" s="251">
        <f>IFERROR(G11/SUM($C11:$G11),"-")</f>
      </c>
    </row>
    <row x14ac:dyDescent="0.25" r="12" customHeight="1" ht="19.5">
      <c r="A12" s="2"/>
      <c r="B12" s="250">
        <f>ProjectedP205_Consumption!D77</f>
      </c>
      <c r="C12" s="251">
        <f>OCP_SalesProduct!AK144+OCP_SalesProduct!AK225</f>
      </c>
      <c r="D12" s="251">
        <f>OCP_SalesProduct!AE144+OCP_SalesProduct!AE225</f>
      </c>
      <c r="E12" s="251">
        <f>OCP_SalesProduct!AH144+OCP_SalesProduct!AH225</f>
      </c>
      <c r="F12" s="251">
        <f>OCP_SalesProduct!AN144+OCP_SalesProduct!AN225</f>
      </c>
      <c r="G12" s="251">
        <f>OCP_SalesProduct!AQ144+OCP_SalesProduct!AQ225</f>
      </c>
      <c r="H12" s="124"/>
      <c r="I12" s="251">
        <f>IFERROR(C12/SUM($C12:$G12),"-")</f>
      </c>
      <c r="J12" s="251">
        <f>IFERROR(D12/SUM($C12:$G12),"-")</f>
      </c>
      <c r="K12" s="251">
        <f>IFERROR(E12/SUM($C12:$G12),"-")</f>
      </c>
      <c r="L12" s="251">
        <f>IFERROR(F12/SUM($C12:$G12),"-")</f>
      </c>
      <c r="M12" s="251">
        <f>IFERROR(G12/SUM($C12:$G12),"-")</f>
      </c>
    </row>
    <row x14ac:dyDescent="0.25" r="13" customHeight="1" ht="19.5">
      <c r="A13" s="2"/>
      <c r="B13" s="250">
        <f>ProjectedP205_Consumption!D78</f>
      </c>
      <c r="C13" s="251">
        <f>OCP_SalesProduct!AK145+OCP_SalesProduct!AK226</f>
      </c>
      <c r="D13" s="251">
        <f>OCP_SalesProduct!AE145+OCP_SalesProduct!AE226</f>
      </c>
      <c r="E13" s="251">
        <f>OCP_SalesProduct!AH145+OCP_SalesProduct!AH226</f>
      </c>
      <c r="F13" s="251">
        <f>OCP_SalesProduct!AN145+OCP_SalesProduct!AN226</f>
      </c>
      <c r="G13" s="251">
        <f>OCP_SalesProduct!AQ145+OCP_SalesProduct!AQ226</f>
      </c>
      <c r="H13" s="124"/>
      <c r="I13" s="251">
        <f>IFERROR(C13/SUM($C13:$G13),"-")</f>
      </c>
      <c r="J13" s="251">
        <f>IFERROR(D13/SUM($C13:$G13),"-")</f>
      </c>
      <c r="K13" s="251">
        <f>IFERROR(E13/SUM($C13:$G13),"-")</f>
      </c>
      <c r="L13" s="251">
        <f>IFERROR(F13/SUM($C13:$G13),"-")</f>
      </c>
      <c r="M13" s="251">
        <f>IFERROR(G13/SUM($C13:$G13),"-")</f>
      </c>
    </row>
    <row x14ac:dyDescent="0.25" r="14" customHeight="1" ht="19.5">
      <c r="A14" s="2"/>
      <c r="B14" s="250">
        <f>ProjectedP205_Consumption!D79</f>
      </c>
      <c r="C14" s="251">
        <f>OCP_SalesProduct!AK146+OCP_SalesProduct!AK227</f>
      </c>
      <c r="D14" s="251">
        <f>OCP_SalesProduct!AE146+OCP_SalesProduct!AE227</f>
      </c>
      <c r="E14" s="251">
        <f>OCP_SalesProduct!AH146+OCP_SalesProduct!AH227</f>
      </c>
      <c r="F14" s="251">
        <f>OCP_SalesProduct!AN146+OCP_SalesProduct!AN227</f>
      </c>
      <c r="G14" s="251">
        <f>OCP_SalesProduct!AQ146+OCP_SalesProduct!AQ227</f>
      </c>
      <c r="H14" s="124"/>
      <c r="I14" s="251">
        <f>IFERROR(C14/SUM($C14:$G14),"-")</f>
      </c>
      <c r="J14" s="251">
        <f>IFERROR(D14/SUM($C14:$G14),"-")</f>
      </c>
      <c r="K14" s="251">
        <f>IFERROR(E14/SUM($C14:$G14),"-")</f>
      </c>
      <c r="L14" s="251">
        <f>IFERROR(F14/SUM($C14:$G14),"-")</f>
      </c>
      <c r="M14" s="251">
        <f>IFERROR(G14/SUM($C14:$G14),"-")</f>
      </c>
    </row>
    <row x14ac:dyDescent="0.25" r="15" customHeight="1" ht="19.5">
      <c r="A15" s="2"/>
      <c r="B15" s="250">
        <f>ProjectedP205_Consumption!D80</f>
      </c>
      <c r="C15" s="251">
        <f>OCP_SalesProduct!AK147+OCP_SalesProduct!AK228</f>
      </c>
      <c r="D15" s="251">
        <f>OCP_SalesProduct!AE147+OCP_SalesProduct!AE228</f>
      </c>
      <c r="E15" s="251">
        <f>OCP_SalesProduct!AH147+OCP_SalesProduct!AH228</f>
      </c>
      <c r="F15" s="251">
        <f>OCP_SalesProduct!AN147+OCP_SalesProduct!AN228</f>
      </c>
      <c r="G15" s="251">
        <f>OCP_SalesProduct!AQ147+OCP_SalesProduct!AQ228</f>
      </c>
      <c r="H15" s="124"/>
      <c r="I15" s="251">
        <f>IFERROR(C15/SUM($C15:$G15),"-")</f>
      </c>
      <c r="J15" s="251">
        <f>IFERROR(D15/SUM($C15:$G15),"-")</f>
      </c>
      <c r="K15" s="251">
        <f>IFERROR(E15/SUM($C15:$G15),"-")</f>
      </c>
      <c r="L15" s="251">
        <f>IFERROR(F15/SUM($C15:$G15),"-")</f>
      </c>
      <c r="M15" s="251">
        <f>IFERROR(G15/SUM($C15:$G15),"-")</f>
      </c>
    </row>
    <row x14ac:dyDescent="0.25" r="16" customHeight="1" ht="19.5">
      <c r="A16" s="2"/>
      <c r="B16" s="250">
        <f>ProjectedP205_Consumption!D81</f>
      </c>
      <c r="C16" s="251">
        <f>OCP_SalesProduct!AK148+OCP_SalesProduct!AK229</f>
      </c>
      <c r="D16" s="251">
        <f>OCP_SalesProduct!AE148+OCP_SalesProduct!AE229</f>
      </c>
      <c r="E16" s="251">
        <f>OCP_SalesProduct!AH148+OCP_SalesProduct!AH229</f>
      </c>
      <c r="F16" s="251">
        <f>OCP_SalesProduct!AN148+OCP_SalesProduct!AN229</f>
      </c>
      <c r="G16" s="251">
        <f>OCP_SalesProduct!AQ148+OCP_SalesProduct!AQ229</f>
      </c>
      <c r="H16" s="124"/>
      <c r="I16" s="251">
        <f>IFERROR(C16/SUM($C16:$G16),"-")</f>
      </c>
      <c r="J16" s="251">
        <f>IFERROR(D16/SUM($C16:$G16),"-")</f>
      </c>
      <c r="K16" s="251">
        <f>IFERROR(E16/SUM($C16:$G16),"-")</f>
      </c>
      <c r="L16" s="251">
        <f>IFERROR(F16/SUM($C16:$G16),"-")</f>
      </c>
      <c r="M16" s="251">
        <f>IFERROR(G16/SUM($C16:$G16),"-")</f>
      </c>
    </row>
    <row x14ac:dyDescent="0.25" r="17" customHeight="1" ht="19.5">
      <c r="A17" s="2"/>
      <c r="B17" s="250">
        <f>ProjectedP205_Consumption!D82</f>
      </c>
      <c r="C17" s="251">
        <f>OCP_SalesProduct!AK149+OCP_SalesProduct!AK230</f>
      </c>
      <c r="D17" s="251">
        <f>OCP_SalesProduct!AE149+OCP_SalesProduct!AE230</f>
      </c>
      <c r="E17" s="251">
        <f>OCP_SalesProduct!AH149+OCP_SalesProduct!AH230</f>
      </c>
      <c r="F17" s="251">
        <f>OCP_SalesProduct!AN149+OCP_SalesProduct!AN230</f>
      </c>
      <c r="G17" s="251">
        <f>OCP_SalesProduct!AQ149+OCP_SalesProduct!AQ230</f>
      </c>
      <c r="H17" s="124"/>
      <c r="I17" s="251">
        <f>IFERROR(C17/SUM($C17:$G17),"-")</f>
      </c>
      <c r="J17" s="251">
        <f>IFERROR(D17/SUM($C17:$G17),"-")</f>
      </c>
      <c r="K17" s="251">
        <f>IFERROR(E17/SUM($C17:$G17),"-")</f>
      </c>
      <c r="L17" s="251">
        <f>IFERROR(F17/SUM($C17:$G17),"-")</f>
      </c>
      <c r="M17" s="251">
        <f>IFERROR(G17/SUM($C17:$G17),"-")</f>
      </c>
    </row>
    <row x14ac:dyDescent="0.25" r="18" customHeight="1" ht="19.5">
      <c r="A18" s="2"/>
      <c r="B18" s="250">
        <f>ProjectedP205_Consumption!D83</f>
      </c>
      <c r="C18" s="251">
        <f>OCP_SalesProduct!AK150+OCP_SalesProduct!AK231</f>
      </c>
      <c r="D18" s="251">
        <f>OCP_SalesProduct!AE150+OCP_SalesProduct!AE231</f>
      </c>
      <c r="E18" s="251">
        <f>OCP_SalesProduct!AH150+OCP_SalesProduct!AH231</f>
      </c>
      <c r="F18" s="251">
        <f>OCP_SalesProduct!AN150+OCP_SalesProduct!AN231</f>
      </c>
      <c r="G18" s="251">
        <f>OCP_SalesProduct!AQ150+OCP_SalesProduct!AQ231</f>
      </c>
      <c r="H18" s="124"/>
      <c r="I18" s="251">
        <f>IFERROR(C18/SUM($C18:$G18),"-")</f>
      </c>
      <c r="J18" s="251">
        <f>IFERROR(D18/SUM($C18:$G18),"-")</f>
      </c>
      <c r="K18" s="251">
        <f>IFERROR(E18/SUM($C18:$G18),"-")</f>
      </c>
      <c r="L18" s="251">
        <f>IFERROR(F18/SUM($C18:$G18),"-")</f>
      </c>
      <c r="M18" s="251">
        <f>IFERROR(G18/SUM($C18:$G18),"-")</f>
      </c>
    </row>
    <row x14ac:dyDescent="0.25" r="19" customHeight="1" ht="19.5">
      <c r="A19" s="2"/>
      <c r="B19" s="250">
        <f>ProjectedP205_Consumption!D84</f>
      </c>
      <c r="C19" s="251">
        <f>OCP_SalesProduct!AK151+OCP_SalesProduct!AK232</f>
      </c>
      <c r="D19" s="251">
        <f>OCP_SalesProduct!AE151+OCP_SalesProduct!AE232</f>
      </c>
      <c r="E19" s="251">
        <f>OCP_SalesProduct!AH151+OCP_SalesProduct!AH232</f>
      </c>
      <c r="F19" s="251">
        <f>OCP_SalesProduct!AN151+OCP_SalesProduct!AN232</f>
      </c>
      <c r="G19" s="251">
        <f>OCP_SalesProduct!AQ151+OCP_SalesProduct!AQ232</f>
      </c>
      <c r="H19" s="124"/>
      <c r="I19" s="251">
        <f>IFERROR(C19/SUM($C19:$G19),"-")</f>
      </c>
      <c r="J19" s="251">
        <f>IFERROR(D19/SUM($C19:$G19),"-")</f>
      </c>
      <c r="K19" s="251">
        <f>IFERROR(E19/SUM($C19:$G19),"-")</f>
      </c>
      <c r="L19" s="251">
        <f>IFERROR(F19/SUM($C19:$G19),"-")</f>
      </c>
      <c r="M19" s="251">
        <f>IFERROR(G19/SUM($C19:$G19),"-")</f>
      </c>
    </row>
    <row x14ac:dyDescent="0.25" r="20" customHeight="1" ht="18.75">
      <c r="A20" s="2"/>
      <c r="B20" s="250">
        <f>ProjectedP205_Consumption!D85</f>
      </c>
      <c r="C20" s="251">
        <f>OCP_SalesProduct!AK152+OCP_SalesProduct!AK233</f>
      </c>
      <c r="D20" s="251">
        <f>OCP_SalesProduct!AE152+OCP_SalesProduct!AE233</f>
      </c>
      <c r="E20" s="251">
        <f>OCP_SalesProduct!AH152+OCP_SalesProduct!AH233</f>
      </c>
      <c r="F20" s="251">
        <f>OCP_SalesProduct!AN152+OCP_SalesProduct!AN233</f>
      </c>
      <c r="G20" s="251">
        <f>OCP_SalesProduct!AQ152+OCP_SalesProduct!AQ233</f>
      </c>
      <c r="H20" s="124"/>
      <c r="I20" s="251">
        <f>IFERROR(C20/SUM($C20:$G20),"-")</f>
      </c>
      <c r="J20" s="251">
        <f>IFERROR(D20/SUM($C20:$G20),"-")</f>
      </c>
      <c r="K20" s="251">
        <f>IFERROR(E20/SUM($C20:$G20),"-")</f>
      </c>
      <c r="L20" s="251">
        <f>IFERROR(F20/SUM($C20:$G20),"-")</f>
      </c>
      <c r="M20" s="251">
        <f>IFERROR(G20/SUM($C20:$G20),"-")</f>
      </c>
    </row>
    <row x14ac:dyDescent="0.25" r="21" customHeight="1" ht="18.75">
      <c r="A21" s="2"/>
      <c r="B21" s="250">
        <f>ProjectedP205_Consumption!D86</f>
      </c>
      <c r="C21" s="251">
        <f>OCP_SalesProduct!AK153+OCP_SalesProduct!AK234</f>
      </c>
      <c r="D21" s="251">
        <f>OCP_SalesProduct!AE153+OCP_SalesProduct!AE234</f>
      </c>
      <c r="E21" s="251">
        <f>OCP_SalesProduct!AH153+OCP_SalesProduct!AH234</f>
      </c>
      <c r="F21" s="251">
        <f>OCP_SalesProduct!AN153+OCP_SalesProduct!AN234</f>
      </c>
      <c r="G21" s="251">
        <f>OCP_SalesProduct!AQ153+OCP_SalesProduct!AQ234</f>
      </c>
      <c r="H21" s="124"/>
      <c r="I21" s="251">
        <f>IFERROR(C21/SUM($C21:$G21),"-")</f>
      </c>
      <c r="J21" s="251">
        <f>IFERROR(D21/SUM($C21:$G21),"-")</f>
      </c>
      <c r="K21" s="251">
        <f>IFERROR(E21/SUM($C21:$G21),"-")</f>
      </c>
      <c r="L21" s="251">
        <f>IFERROR(F21/SUM($C21:$G21),"-")</f>
      </c>
      <c r="M21" s="251">
        <f>IFERROR(G21/SUM($C21:$G21),"-")</f>
      </c>
    </row>
    <row x14ac:dyDescent="0.25" r="22" customHeight="1" ht="18.75">
      <c r="A22" s="2"/>
      <c r="B22" s="250">
        <f>ProjectedP205_Consumption!D87</f>
      </c>
      <c r="C22" s="251">
        <f>OCP_SalesProduct!AK154+OCP_SalesProduct!AK235</f>
      </c>
      <c r="D22" s="251">
        <f>OCP_SalesProduct!AE154+OCP_SalesProduct!AE235</f>
      </c>
      <c r="E22" s="251">
        <f>OCP_SalesProduct!AH154+OCP_SalesProduct!AH235</f>
      </c>
      <c r="F22" s="251">
        <f>OCP_SalesProduct!AN154+OCP_SalesProduct!AN235</f>
      </c>
      <c r="G22" s="251">
        <f>OCP_SalesProduct!AQ154+OCP_SalesProduct!AQ235</f>
      </c>
      <c r="H22" s="124"/>
      <c r="I22" s="251">
        <f>IFERROR(C22/SUM($C22:$G22),"-")</f>
      </c>
      <c r="J22" s="251">
        <f>IFERROR(D22/SUM($C22:$G22),"-")</f>
      </c>
      <c r="K22" s="251">
        <f>IFERROR(E22/SUM($C22:$G22),"-")</f>
      </c>
      <c r="L22" s="251">
        <f>IFERROR(F22/SUM($C22:$G22),"-")</f>
      </c>
      <c r="M22" s="251">
        <f>IFERROR(G22/SUM($C22:$G22),"-")</f>
      </c>
    </row>
    <row x14ac:dyDescent="0.25" r="23" customHeight="1" ht="18.75">
      <c r="A23" s="2"/>
      <c r="B23" s="250">
        <f>ProjectedP205_Consumption!D88</f>
      </c>
      <c r="C23" s="251">
        <f>OCP_SalesProduct!AK155+OCP_SalesProduct!AK236</f>
      </c>
      <c r="D23" s="251">
        <f>OCP_SalesProduct!AE155+OCP_SalesProduct!AE236</f>
      </c>
      <c r="E23" s="251">
        <f>OCP_SalesProduct!AH155+OCP_SalesProduct!AH236</f>
      </c>
      <c r="F23" s="251">
        <f>OCP_SalesProduct!AN155+OCP_SalesProduct!AN236</f>
      </c>
      <c r="G23" s="251">
        <f>OCP_SalesProduct!AQ155+OCP_SalesProduct!AQ236</f>
      </c>
      <c r="H23" s="124"/>
      <c r="I23" s="251">
        <f>IFERROR(C23/SUM($C23:$G23),"-")</f>
      </c>
      <c r="J23" s="251">
        <f>IFERROR(D23/SUM($C23:$G23),"-")</f>
      </c>
      <c r="K23" s="251">
        <f>IFERROR(E23/SUM($C23:$G23),"-")</f>
      </c>
      <c r="L23" s="251">
        <f>IFERROR(F23/SUM($C23:$G23),"-")</f>
      </c>
      <c r="M23" s="251">
        <f>IFERROR(G23/SUM($C23:$G23),"-")</f>
      </c>
    </row>
    <row x14ac:dyDescent="0.25" r="24" customHeight="1" ht="18.75">
      <c r="A24" s="2"/>
      <c r="B24" s="250">
        <f>ProjectedP205_Consumption!D89</f>
      </c>
      <c r="C24" s="251">
        <f>OCP_SalesProduct!AK156+OCP_SalesProduct!AK237</f>
      </c>
      <c r="D24" s="251">
        <f>OCP_SalesProduct!AE156+OCP_SalesProduct!AE237</f>
      </c>
      <c r="E24" s="251">
        <f>OCP_SalesProduct!AH156+OCP_SalesProduct!AH237</f>
      </c>
      <c r="F24" s="251">
        <f>OCP_SalesProduct!AN156+OCP_SalesProduct!AN237</f>
      </c>
      <c r="G24" s="251">
        <f>OCP_SalesProduct!AQ156+OCP_SalesProduct!AQ237</f>
      </c>
      <c r="H24" s="124"/>
      <c r="I24" s="251">
        <f>IFERROR(C24/SUM($C24:$G24),"-")</f>
      </c>
      <c r="J24" s="251">
        <f>IFERROR(D24/SUM($C24:$G24),"-")</f>
      </c>
      <c r="K24" s="251">
        <f>IFERROR(E24/SUM($C24:$G24),"-")</f>
      </c>
      <c r="L24" s="251">
        <f>IFERROR(F24/SUM($C24:$G24),"-")</f>
      </c>
      <c r="M24" s="251">
        <f>IFERROR(G24/SUM($C24:$G24),"-")</f>
      </c>
    </row>
    <row x14ac:dyDescent="0.25" r="25" customHeight="1" ht="18.75">
      <c r="A25" s="2"/>
      <c r="B25" s="250">
        <f>ProjectedP205_Consumption!D90</f>
      </c>
      <c r="C25" s="251">
        <f>OCP_SalesProduct!AK157+OCP_SalesProduct!AK238</f>
      </c>
      <c r="D25" s="251">
        <f>OCP_SalesProduct!AE157+OCP_SalesProduct!AE238</f>
      </c>
      <c r="E25" s="251">
        <f>OCP_SalesProduct!AH157+OCP_SalesProduct!AH238</f>
      </c>
      <c r="F25" s="251">
        <f>OCP_SalesProduct!AN157+OCP_SalesProduct!AN238</f>
      </c>
      <c r="G25" s="251">
        <f>OCP_SalesProduct!AQ157+OCP_SalesProduct!AQ238</f>
      </c>
      <c r="H25" s="124"/>
      <c r="I25" s="251">
        <f>IFERROR(C25/SUM($C25:$G25),"-")</f>
      </c>
      <c r="J25" s="251">
        <f>IFERROR(D25/SUM($C25:$G25),"-")</f>
      </c>
      <c r="K25" s="251">
        <f>IFERROR(E25/SUM($C25:$G25),"-")</f>
      </c>
      <c r="L25" s="251">
        <f>IFERROR(F25/SUM($C25:$G25),"-")</f>
      </c>
      <c r="M25" s="251">
        <f>IFERROR(G25/SUM($C25:$G25),"-")</f>
      </c>
    </row>
    <row x14ac:dyDescent="0.25" r="26" customHeight="1" ht="18.75">
      <c r="A26" s="2"/>
      <c r="B26" s="250">
        <f>ProjectedP205_Consumption!D91</f>
      </c>
      <c r="C26" s="251">
        <f>OCP_SalesProduct!AK158+OCP_SalesProduct!AK239</f>
      </c>
      <c r="D26" s="251">
        <f>OCP_SalesProduct!AE158+OCP_SalesProduct!AE239</f>
      </c>
      <c r="E26" s="251">
        <f>OCP_SalesProduct!AH158+OCP_SalesProduct!AH239</f>
      </c>
      <c r="F26" s="251">
        <f>OCP_SalesProduct!AN158+OCP_SalesProduct!AN239</f>
      </c>
      <c r="G26" s="251">
        <f>OCP_SalesProduct!AQ158+OCP_SalesProduct!AQ239</f>
      </c>
      <c r="H26" s="124"/>
      <c r="I26" s="251">
        <f>IFERROR(C26/SUM($C26:$G26),"-")</f>
      </c>
      <c r="J26" s="251">
        <f>IFERROR(D26/SUM($C26:$G26),"-")</f>
      </c>
      <c r="K26" s="251">
        <f>IFERROR(E26/SUM($C26:$G26),"-")</f>
      </c>
      <c r="L26" s="251">
        <f>IFERROR(F26/SUM($C26:$G26),"-")</f>
      </c>
      <c r="M26" s="251">
        <f>IFERROR(G26/SUM($C26:$G26),"-")</f>
      </c>
    </row>
    <row x14ac:dyDescent="0.25" r="27" customHeight="1" ht="18.75">
      <c r="A27" s="2"/>
      <c r="B27" s="250">
        <f>ProjectedP205_Consumption!D92</f>
      </c>
      <c r="C27" s="251">
        <f>OCP_SalesProduct!AK159+OCP_SalesProduct!AK240</f>
      </c>
      <c r="D27" s="251">
        <f>OCP_SalesProduct!AE159+OCP_SalesProduct!AE240</f>
      </c>
      <c r="E27" s="251">
        <f>OCP_SalesProduct!AH159+OCP_SalesProduct!AH240</f>
      </c>
      <c r="F27" s="251">
        <f>OCP_SalesProduct!AN159+OCP_SalesProduct!AN240</f>
      </c>
      <c r="G27" s="251">
        <f>OCP_SalesProduct!AQ159+OCP_SalesProduct!AQ240</f>
      </c>
      <c r="H27" s="124"/>
      <c r="I27" s="251">
        <f>IFERROR(C27/SUM($C27:$G27),"-")</f>
      </c>
      <c r="J27" s="251">
        <f>IFERROR(D27/SUM($C27:$G27),"-")</f>
      </c>
      <c r="K27" s="251">
        <f>IFERROR(E27/SUM($C27:$G27),"-")</f>
      </c>
      <c r="L27" s="251">
        <f>IFERROR(F27/SUM($C27:$G27),"-")</f>
      </c>
      <c r="M27" s="251">
        <f>IFERROR(G27/SUM($C27:$G27),"-")</f>
      </c>
    </row>
    <row x14ac:dyDescent="0.25" r="28" customHeight="1" ht="18.75">
      <c r="A28" s="2"/>
      <c r="B28" s="252" t="s">
        <v>446</v>
      </c>
      <c r="C28" s="253">
        <f>SUM(C7:C27)</f>
      </c>
      <c r="D28" s="253">
        <f>SUM(D7:D27)</f>
      </c>
      <c r="E28" s="253">
        <f>SUM(E7:E27)</f>
      </c>
      <c r="F28" s="253">
        <f>SUM(F7:F27)</f>
      </c>
      <c r="G28" s="253">
        <f>SUM(G7:G27)</f>
      </c>
      <c r="H28" s="124"/>
      <c r="I28" s="254">
        <f>C28/SUM($C$28:$G$28)</f>
      </c>
      <c r="J28" s="254">
        <f>D28/SUM($C$28:$G$28)</f>
      </c>
      <c r="K28" s="254">
        <f>E28/SUM($C$28:$G$28)</f>
      </c>
      <c r="L28" s="254">
        <f>F28/SUM($C$28:$G$28)</f>
      </c>
      <c r="M28" s="254">
        <f>G28/SUM($C$28:$G$28)</f>
      </c>
    </row>
    <row x14ac:dyDescent="0.25" r="29" customHeight="1" ht="18.75">
      <c r="A29" s="2"/>
      <c r="B29" s="124"/>
      <c r="C29" s="255"/>
      <c r="D29" s="255"/>
      <c r="E29" s="255"/>
      <c r="F29" s="255"/>
      <c r="G29" s="255"/>
      <c r="H29" s="124"/>
      <c r="I29" s="124"/>
      <c r="J29" s="124"/>
      <c r="K29" s="124"/>
      <c r="L29" s="108"/>
      <c r="M29" s="108"/>
    </row>
    <row x14ac:dyDescent="0.25" r="30" customHeight="1" ht="18.75">
      <c r="A30" s="2"/>
      <c r="B30" s="121"/>
      <c r="C30" s="115"/>
      <c r="D30" s="115"/>
      <c r="E30" s="115"/>
      <c r="F30" s="115"/>
      <c r="G30" s="115"/>
      <c r="H30" s="124"/>
      <c r="I30" s="124"/>
      <c r="J30" s="124"/>
      <c r="K30" s="124"/>
      <c r="L30" s="108"/>
      <c r="M30" s="108"/>
    </row>
    <row x14ac:dyDescent="0.25" r="31" customHeight="1" ht="18.75">
      <c r="A31" s="2"/>
      <c r="B31" s="122"/>
      <c r="C31" s="124"/>
      <c r="D31" s="124"/>
      <c r="E31" s="124"/>
      <c r="F31" s="124"/>
      <c r="G31" s="124"/>
      <c r="H31" s="124"/>
      <c r="I31" s="124"/>
      <c r="J31" s="124"/>
      <c r="K31" s="124"/>
      <c r="L31" s="108"/>
      <c r="M31" s="108"/>
    </row>
    <row x14ac:dyDescent="0.25" r="32" customHeight="1" ht="18.75">
      <c r="A32" s="2"/>
      <c r="B32" s="240" t="s">
        <v>439</v>
      </c>
      <c r="C32" s="124"/>
      <c r="D32" s="124"/>
      <c r="E32" s="124"/>
      <c r="F32" s="124"/>
      <c r="G32" s="124"/>
      <c r="H32" s="124"/>
      <c r="I32" s="124"/>
      <c r="J32" s="124"/>
      <c r="K32" s="124"/>
      <c r="L32" s="108"/>
      <c r="M32" s="108"/>
    </row>
    <row x14ac:dyDescent="0.25" r="33" customHeight="1" ht="18.75">
      <c r="A33" s="2"/>
      <c r="B33" s="241" t="s">
        <v>440</v>
      </c>
      <c r="C33" s="124"/>
      <c r="D33" s="124"/>
      <c r="E33" s="124"/>
      <c r="F33" s="124"/>
      <c r="G33" s="124"/>
      <c r="H33" s="124"/>
      <c r="I33" s="242" t="s">
        <v>441</v>
      </c>
      <c r="J33" s="124"/>
      <c r="K33" s="124"/>
      <c r="L33" s="108"/>
      <c r="M33" s="108"/>
    </row>
    <row x14ac:dyDescent="0.25" r="34" customHeight="1" ht="18.75">
      <c r="A34" s="2"/>
      <c r="B34" s="124"/>
      <c r="C34" s="243" t="s">
        <v>25</v>
      </c>
      <c r="D34" s="244" t="s">
        <v>442</v>
      </c>
      <c r="E34" s="244" t="s">
        <v>443</v>
      </c>
      <c r="F34" s="244" t="s">
        <v>444</v>
      </c>
      <c r="G34" s="244" t="s">
        <v>29</v>
      </c>
      <c r="H34" s="124"/>
      <c r="I34" s="243" t="s">
        <v>25</v>
      </c>
      <c r="J34" s="245" t="s">
        <v>442</v>
      </c>
      <c r="K34" s="245" t="s">
        <v>443</v>
      </c>
      <c r="L34" s="245" t="s">
        <v>444</v>
      </c>
      <c r="M34" s="245" t="s">
        <v>29</v>
      </c>
    </row>
    <row x14ac:dyDescent="0.25" r="35" customHeight="1" ht="18.75">
      <c r="A35" s="2"/>
      <c r="B35" s="246" t="s">
        <v>447</v>
      </c>
      <c r="C35" s="247">
        <v>2025</v>
      </c>
      <c r="D35" s="248"/>
      <c r="E35" s="248"/>
      <c r="F35" s="248"/>
      <c r="G35" s="248"/>
      <c r="H35" s="124"/>
      <c r="I35" s="247">
        <v>2025</v>
      </c>
      <c r="J35" s="249"/>
      <c r="K35" s="249"/>
      <c r="L35" s="249"/>
      <c r="M35" s="249"/>
    </row>
    <row x14ac:dyDescent="0.25" r="36" customHeight="1" ht="18.75">
      <c r="A36" s="2"/>
      <c r="B36" s="250">
        <f>B7</f>
      </c>
      <c r="C36" s="251">
        <f>OCP_SalesProduct!AK166+OCP_SalesProduct!AK246</f>
      </c>
      <c r="D36" s="251">
        <f>OCP_SalesProduct!AE166+OCP_SalesProduct!AE246</f>
      </c>
      <c r="E36" s="251">
        <f>OCP_SalesProduct!AH166+OCP_SalesProduct!AH246</f>
      </c>
      <c r="F36" s="251">
        <f>OCP_SalesProduct!AN166+OCP_SalesProduct!AN246</f>
      </c>
      <c r="G36" s="251">
        <f>OCP_SalesProduct!AQ166+OCP_SalesProduct!AQ246</f>
      </c>
      <c r="H36" s="124"/>
      <c r="I36" s="251">
        <f>IFERROR(C36/SUM($C36:$G36),"-")</f>
      </c>
      <c r="J36" s="251">
        <f>IFERROR(D36/SUM($C36:$G36),"-")</f>
      </c>
      <c r="K36" s="251">
        <f>IFERROR(E36/SUM($C36:$G36),"-")</f>
      </c>
      <c r="L36" s="251">
        <f>IFERROR(F36/SUM($C36:$G36),"-")</f>
      </c>
      <c r="M36" s="251">
        <f>IFERROR(G36/SUM($C36:$G36),"-")</f>
      </c>
    </row>
    <row x14ac:dyDescent="0.25" r="37" customHeight="1" ht="18.75">
      <c r="A37" s="2"/>
      <c r="B37" s="250">
        <f>B8</f>
      </c>
      <c r="C37" s="251">
        <f>OCP_SalesProduct!AK167+OCP_SalesProduct!AK247</f>
      </c>
      <c r="D37" s="251">
        <f>OCP_SalesProduct!AE167+OCP_SalesProduct!AE247</f>
      </c>
      <c r="E37" s="251">
        <f>OCP_SalesProduct!AH167+OCP_SalesProduct!AH247</f>
      </c>
      <c r="F37" s="251">
        <f>OCP_SalesProduct!AN167+OCP_SalesProduct!AN247</f>
      </c>
      <c r="G37" s="251">
        <f>OCP_SalesProduct!AQ167+OCP_SalesProduct!AQ247</f>
      </c>
      <c r="H37" s="124"/>
      <c r="I37" s="251">
        <f>IFERROR(C37/SUM($C37:$G37),"-")</f>
      </c>
      <c r="J37" s="251">
        <f>IFERROR(D37/SUM($C37:$G37),"-")</f>
      </c>
      <c r="K37" s="251">
        <f>IFERROR(E37/SUM($C37:$G37),"-")</f>
      </c>
      <c r="L37" s="251">
        <f>IFERROR(F37/SUM($C37:$G37),"-")</f>
      </c>
      <c r="M37" s="251">
        <f>IFERROR(G37/SUM($C37:$G37),"-")</f>
      </c>
    </row>
    <row x14ac:dyDescent="0.25" r="38" customHeight="1" ht="18.75">
      <c r="A38" s="2"/>
      <c r="B38" s="250">
        <f>B9</f>
      </c>
      <c r="C38" s="251">
        <f>OCP_SalesProduct!AK168+OCP_SalesProduct!AK248</f>
      </c>
      <c r="D38" s="251">
        <f>OCP_SalesProduct!AE168+OCP_SalesProduct!AE248</f>
      </c>
      <c r="E38" s="251">
        <f>OCP_SalesProduct!AH168+OCP_SalesProduct!AH248</f>
      </c>
      <c r="F38" s="251">
        <f>OCP_SalesProduct!AN168+OCP_SalesProduct!AN248</f>
      </c>
      <c r="G38" s="251">
        <f>OCP_SalesProduct!AQ168+OCP_SalesProduct!AQ248</f>
      </c>
      <c r="H38" s="124"/>
      <c r="I38" s="251">
        <f>IFERROR(C38/SUM($C38:$G38),"-")</f>
      </c>
      <c r="J38" s="251">
        <f>IFERROR(D38/SUM($C38:$G38),"-")</f>
      </c>
      <c r="K38" s="251">
        <f>IFERROR(E38/SUM($C38:$G38),"-")</f>
      </c>
      <c r="L38" s="251">
        <f>IFERROR(F38/SUM($C38:$G38),"-")</f>
      </c>
      <c r="M38" s="251">
        <f>IFERROR(G38/SUM($C38:$G38),"-")</f>
      </c>
    </row>
    <row x14ac:dyDescent="0.25" r="39" customHeight="1" ht="18.75">
      <c r="A39" s="2"/>
      <c r="B39" s="250">
        <f>B10</f>
      </c>
      <c r="C39" s="251">
        <f>OCP_SalesProduct!AK169+OCP_SalesProduct!AK249</f>
      </c>
      <c r="D39" s="251">
        <f>OCP_SalesProduct!AE169+OCP_SalesProduct!AE249</f>
      </c>
      <c r="E39" s="251">
        <f>OCP_SalesProduct!AH169+OCP_SalesProduct!AH249</f>
      </c>
      <c r="F39" s="251">
        <f>OCP_SalesProduct!AN169+OCP_SalesProduct!AN249</f>
      </c>
      <c r="G39" s="251">
        <f>OCP_SalesProduct!AQ169+OCP_SalesProduct!AQ249</f>
      </c>
      <c r="H39" s="124"/>
      <c r="I39" s="251">
        <f>IFERROR(C39/SUM($C39:$G39),"-")</f>
      </c>
      <c r="J39" s="251">
        <f>IFERROR(D39/SUM($C39:$G39),"-")</f>
      </c>
      <c r="K39" s="251">
        <f>IFERROR(E39/SUM($C39:$G39),"-")</f>
      </c>
      <c r="L39" s="251">
        <f>IFERROR(F39/SUM($C39:$G39),"-")</f>
      </c>
      <c r="M39" s="251">
        <f>IFERROR(G39/SUM($C39:$G39),"-")</f>
      </c>
    </row>
    <row x14ac:dyDescent="0.25" r="40" customHeight="1" ht="18.75">
      <c r="A40" s="2"/>
      <c r="B40" s="250">
        <f>B11</f>
      </c>
      <c r="C40" s="251">
        <f>OCP_SalesProduct!AK170+OCP_SalesProduct!AK250</f>
      </c>
      <c r="D40" s="251">
        <f>OCP_SalesProduct!AE170+OCP_SalesProduct!AE250</f>
      </c>
      <c r="E40" s="251">
        <f>OCP_SalesProduct!AH170+OCP_SalesProduct!AH250</f>
      </c>
      <c r="F40" s="251">
        <f>OCP_SalesProduct!AN170+OCP_SalesProduct!AN250</f>
      </c>
      <c r="G40" s="251">
        <f>OCP_SalesProduct!AQ170+OCP_SalesProduct!AQ250</f>
      </c>
      <c r="H40" s="124"/>
      <c r="I40" s="251">
        <f>IFERROR(C40/SUM($C40:$G40),"-")</f>
      </c>
      <c r="J40" s="251">
        <f>IFERROR(D40/SUM($C40:$G40),"-")</f>
      </c>
      <c r="K40" s="251">
        <f>IFERROR(E40/SUM($C40:$G40),"-")</f>
      </c>
      <c r="L40" s="251">
        <f>IFERROR(F40/SUM($C40:$G40),"-")</f>
      </c>
      <c r="M40" s="251">
        <f>IFERROR(G40/SUM($C40:$G40),"-")</f>
      </c>
    </row>
    <row x14ac:dyDescent="0.25" r="41" customHeight="1" ht="18.75">
      <c r="A41" s="2"/>
      <c r="B41" s="250">
        <f>B12</f>
      </c>
      <c r="C41" s="251">
        <f>OCP_SalesProduct!AK171+OCP_SalesProduct!AK251</f>
      </c>
      <c r="D41" s="251">
        <f>OCP_SalesProduct!AE171+OCP_SalesProduct!AE251</f>
      </c>
      <c r="E41" s="251">
        <f>OCP_SalesProduct!AH171+OCP_SalesProduct!AH251</f>
      </c>
      <c r="F41" s="251">
        <f>OCP_SalesProduct!AN171+OCP_SalesProduct!AN251</f>
      </c>
      <c r="G41" s="251">
        <f>OCP_SalesProduct!AQ171+OCP_SalesProduct!AQ251</f>
      </c>
      <c r="H41" s="124"/>
      <c r="I41" s="251">
        <f>IFERROR(C41/SUM($C41:$G41),"-")</f>
      </c>
      <c r="J41" s="251">
        <f>IFERROR(D41/SUM($C41:$G41),"-")</f>
      </c>
      <c r="K41" s="251">
        <f>IFERROR(E41/SUM($C41:$G41),"-")</f>
      </c>
      <c r="L41" s="251">
        <f>IFERROR(F41/SUM($C41:$G41),"-")</f>
      </c>
      <c r="M41" s="251">
        <f>IFERROR(G41/SUM($C41:$G41),"-")</f>
      </c>
    </row>
    <row x14ac:dyDescent="0.25" r="42" customHeight="1" ht="18.75">
      <c r="A42" s="2"/>
      <c r="B42" s="250">
        <f>B13</f>
      </c>
      <c r="C42" s="251">
        <f>OCP_SalesProduct!AK172+OCP_SalesProduct!AK252</f>
      </c>
      <c r="D42" s="251">
        <f>OCP_SalesProduct!AE172+OCP_SalesProduct!AE252</f>
      </c>
      <c r="E42" s="251">
        <f>OCP_SalesProduct!AH172+OCP_SalesProduct!AH252</f>
      </c>
      <c r="F42" s="251">
        <f>OCP_SalesProduct!AN172+OCP_SalesProduct!AN252</f>
      </c>
      <c r="G42" s="251">
        <f>OCP_SalesProduct!AQ172+OCP_SalesProduct!AQ252</f>
      </c>
      <c r="H42" s="124"/>
      <c r="I42" s="251">
        <f>IFERROR(C42/SUM($C42:$G42),"-")</f>
      </c>
      <c r="J42" s="251">
        <f>IFERROR(D42/SUM($C42:$G42),"-")</f>
      </c>
      <c r="K42" s="251">
        <f>IFERROR(E42/SUM($C42:$G42),"-")</f>
      </c>
      <c r="L42" s="251">
        <f>IFERROR(F42/SUM($C42:$G42),"-")</f>
      </c>
      <c r="M42" s="251">
        <f>IFERROR(G42/SUM($C42:$G42),"-")</f>
      </c>
    </row>
    <row x14ac:dyDescent="0.25" r="43" customHeight="1" ht="18.75">
      <c r="A43" s="2"/>
      <c r="B43" s="250">
        <f>B14</f>
      </c>
      <c r="C43" s="251">
        <f>OCP_SalesProduct!AK173+OCP_SalesProduct!AK253</f>
      </c>
      <c r="D43" s="251">
        <f>OCP_SalesProduct!AE173+OCP_SalesProduct!AE253</f>
      </c>
      <c r="E43" s="251">
        <f>OCP_SalesProduct!AH173+OCP_SalesProduct!AH253</f>
      </c>
      <c r="F43" s="251">
        <f>OCP_SalesProduct!AN173+OCP_SalesProduct!AN253</f>
      </c>
      <c r="G43" s="251">
        <f>OCP_SalesProduct!AQ173+OCP_SalesProduct!AQ253</f>
      </c>
      <c r="H43" s="124"/>
      <c r="I43" s="251">
        <f>IFERROR(C43/SUM($C43:$G43),"-")</f>
      </c>
      <c r="J43" s="251">
        <f>IFERROR(D43/SUM($C43:$G43),"-")</f>
      </c>
      <c r="K43" s="251">
        <f>IFERROR(E43/SUM($C43:$G43),"-")</f>
      </c>
      <c r="L43" s="251">
        <f>IFERROR(F43/SUM($C43:$G43),"-")</f>
      </c>
      <c r="M43" s="251">
        <f>IFERROR(G43/SUM($C43:$G43),"-")</f>
      </c>
    </row>
    <row x14ac:dyDescent="0.25" r="44" customHeight="1" ht="18.75">
      <c r="A44" s="2"/>
      <c r="B44" s="250">
        <f>B15</f>
      </c>
      <c r="C44" s="251">
        <f>OCP_SalesProduct!AK174+OCP_SalesProduct!AK254</f>
      </c>
      <c r="D44" s="251">
        <f>OCP_SalesProduct!AE174+OCP_SalesProduct!AE254</f>
      </c>
      <c r="E44" s="251">
        <f>OCP_SalesProduct!AH174+OCP_SalesProduct!AH254</f>
      </c>
      <c r="F44" s="251">
        <f>OCP_SalesProduct!AN174+OCP_SalesProduct!AN254</f>
      </c>
      <c r="G44" s="251">
        <f>OCP_SalesProduct!AQ174+OCP_SalesProduct!AQ254</f>
      </c>
      <c r="H44" s="124"/>
      <c r="I44" s="251">
        <f>IFERROR(C44/SUM($C44:$G44),"-")</f>
      </c>
      <c r="J44" s="251">
        <f>IFERROR(D44/SUM($C44:$G44),"-")</f>
      </c>
      <c r="K44" s="251">
        <f>IFERROR(E44/SUM($C44:$G44),"-")</f>
      </c>
      <c r="L44" s="251">
        <f>IFERROR(F44/SUM($C44:$G44),"-")</f>
      </c>
      <c r="M44" s="251">
        <f>IFERROR(G44/SUM($C44:$G44),"-")</f>
      </c>
    </row>
    <row x14ac:dyDescent="0.25" r="45" customHeight="1" ht="18.75">
      <c r="A45" s="2"/>
      <c r="B45" s="250">
        <f>B16</f>
      </c>
      <c r="C45" s="251">
        <f>OCP_SalesProduct!AK175+OCP_SalesProduct!AK255</f>
      </c>
      <c r="D45" s="251">
        <f>OCP_SalesProduct!AE175+OCP_SalesProduct!AE255</f>
      </c>
      <c r="E45" s="251">
        <f>OCP_SalesProduct!AH175+OCP_SalesProduct!AH255</f>
      </c>
      <c r="F45" s="251">
        <f>OCP_SalesProduct!AN175+OCP_SalesProduct!AN255</f>
      </c>
      <c r="G45" s="251">
        <f>OCP_SalesProduct!AQ175+OCP_SalesProduct!AQ255</f>
      </c>
      <c r="H45" s="124"/>
      <c r="I45" s="251">
        <f>IFERROR(C45/SUM($C45:$G45),"-")</f>
      </c>
      <c r="J45" s="251">
        <f>IFERROR(D45/SUM($C45:$G45),"-")</f>
      </c>
      <c r="K45" s="251">
        <f>IFERROR(E45/SUM($C45:$G45),"-")</f>
      </c>
      <c r="L45" s="251">
        <f>IFERROR(F45/SUM($C45:$G45),"-")</f>
      </c>
      <c r="M45" s="251">
        <f>IFERROR(G45/SUM($C45:$G45),"-")</f>
      </c>
    </row>
    <row x14ac:dyDescent="0.25" r="46" customHeight="1" ht="18.75">
      <c r="A46" s="2"/>
      <c r="B46" s="250">
        <f>B17</f>
      </c>
      <c r="C46" s="251">
        <f>OCP_SalesProduct!AK176+OCP_SalesProduct!AK256</f>
      </c>
      <c r="D46" s="251">
        <f>OCP_SalesProduct!AE176+OCP_SalesProduct!AE256</f>
      </c>
      <c r="E46" s="251">
        <f>OCP_SalesProduct!AH176+OCP_SalesProduct!AH256</f>
      </c>
      <c r="F46" s="251">
        <f>OCP_SalesProduct!AN176+OCP_SalesProduct!AN256</f>
      </c>
      <c r="G46" s="251">
        <f>OCP_SalesProduct!AQ176+OCP_SalesProduct!AQ256</f>
      </c>
      <c r="H46" s="124"/>
      <c r="I46" s="251">
        <f>IFERROR(C46/SUM($C46:$G46),"-")</f>
      </c>
      <c r="J46" s="251">
        <f>IFERROR(D46/SUM($C46:$G46),"-")</f>
      </c>
      <c r="K46" s="251">
        <f>IFERROR(E46/SUM($C46:$G46),"-")</f>
      </c>
      <c r="L46" s="251">
        <f>IFERROR(F46/SUM($C46:$G46),"-")</f>
      </c>
      <c r="M46" s="251">
        <f>IFERROR(G46/SUM($C46:$G46),"-")</f>
      </c>
    </row>
    <row x14ac:dyDescent="0.25" r="47" customHeight="1" ht="18.75">
      <c r="A47" s="2"/>
      <c r="B47" s="250">
        <f>B18</f>
      </c>
      <c r="C47" s="251">
        <f>OCP_SalesProduct!AK177+OCP_SalesProduct!AK257</f>
      </c>
      <c r="D47" s="251">
        <f>OCP_SalesProduct!AE177+OCP_SalesProduct!AE257</f>
      </c>
      <c r="E47" s="251">
        <f>OCP_SalesProduct!AH177+OCP_SalesProduct!AH257</f>
      </c>
      <c r="F47" s="251">
        <f>OCP_SalesProduct!AN177+OCP_SalesProduct!AN257</f>
      </c>
      <c r="G47" s="251">
        <f>OCP_SalesProduct!AQ177+OCP_SalesProduct!AQ257</f>
      </c>
      <c r="H47" s="124"/>
      <c r="I47" s="251">
        <f>IFERROR(C47/SUM($C47:$G47),"-")</f>
      </c>
      <c r="J47" s="251">
        <f>IFERROR(D47/SUM($C47:$G47),"-")</f>
      </c>
      <c r="K47" s="251">
        <f>IFERROR(E47/SUM($C47:$G47),"-")</f>
      </c>
      <c r="L47" s="251">
        <f>IFERROR(F47/SUM($C47:$G47),"-")</f>
      </c>
      <c r="M47" s="251">
        <f>IFERROR(G47/SUM($C47:$G47),"-")</f>
      </c>
    </row>
    <row x14ac:dyDescent="0.25" r="48" customHeight="1" ht="18.75">
      <c r="A48" s="2"/>
      <c r="B48" s="250">
        <f>B19</f>
      </c>
      <c r="C48" s="251">
        <f>OCP_SalesProduct!AK178+OCP_SalesProduct!AK258</f>
      </c>
      <c r="D48" s="251">
        <f>OCP_SalesProduct!AE178+OCP_SalesProduct!AE258</f>
      </c>
      <c r="E48" s="251">
        <f>OCP_SalesProduct!AH178+OCP_SalesProduct!AH258</f>
      </c>
      <c r="F48" s="251">
        <f>OCP_SalesProduct!AN178+OCP_SalesProduct!AN258</f>
      </c>
      <c r="G48" s="251">
        <f>OCP_SalesProduct!AQ178+OCP_SalesProduct!AQ258</f>
      </c>
      <c r="H48" s="124"/>
      <c r="I48" s="251">
        <f>IFERROR(C48/SUM($C48:$G48),"-")</f>
      </c>
      <c r="J48" s="251">
        <f>IFERROR(D48/SUM($C48:$G48),"-")</f>
      </c>
      <c r="K48" s="251">
        <f>IFERROR(E48/SUM($C48:$G48),"-")</f>
      </c>
      <c r="L48" s="251">
        <f>IFERROR(F48/SUM($C48:$G48),"-")</f>
      </c>
      <c r="M48" s="251">
        <f>IFERROR(G48/SUM($C48:$G48),"-")</f>
      </c>
    </row>
    <row x14ac:dyDescent="0.25" r="49" customHeight="1" ht="18.75">
      <c r="A49" s="2"/>
      <c r="B49" s="250">
        <f>B20</f>
      </c>
      <c r="C49" s="251">
        <f>OCP_SalesProduct!AK179+OCP_SalesProduct!AK259</f>
      </c>
      <c r="D49" s="251">
        <f>OCP_SalesProduct!AE179+OCP_SalesProduct!AE259</f>
      </c>
      <c r="E49" s="251">
        <f>OCP_SalesProduct!AH179+OCP_SalesProduct!AH259</f>
      </c>
      <c r="F49" s="251">
        <f>OCP_SalesProduct!AN179+OCP_SalesProduct!AN259</f>
      </c>
      <c r="G49" s="251">
        <f>OCP_SalesProduct!AQ179+OCP_SalesProduct!AQ259</f>
      </c>
      <c r="H49" s="124"/>
      <c r="I49" s="251">
        <f>IFERROR(C49/SUM($C49:$G49),"-")</f>
      </c>
      <c r="J49" s="251">
        <f>IFERROR(D49/SUM($C49:$G49),"-")</f>
      </c>
      <c r="K49" s="251">
        <f>IFERROR(E49/SUM($C49:$G49),"-")</f>
      </c>
      <c r="L49" s="251">
        <f>IFERROR(F49/SUM($C49:$G49),"-")</f>
      </c>
      <c r="M49" s="251">
        <f>IFERROR(G49/SUM($C49:$G49),"-")</f>
      </c>
    </row>
    <row x14ac:dyDescent="0.25" r="50" customHeight="1" ht="18.75">
      <c r="A50" s="2"/>
      <c r="B50" s="250">
        <f>B21</f>
      </c>
      <c r="C50" s="251">
        <f>OCP_SalesProduct!AK180+OCP_SalesProduct!AK260</f>
      </c>
      <c r="D50" s="251">
        <f>OCP_SalesProduct!AE180+OCP_SalesProduct!AE260</f>
      </c>
      <c r="E50" s="251">
        <f>OCP_SalesProduct!AH180+OCP_SalesProduct!AH260</f>
      </c>
      <c r="F50" s="251">
        <f>OCP_SalesProduct!AN180+OCP_SalesProduct!AN260</f>
      </c>
      <c r="G50" s="251">
        <f>OCP_SalesProduct!AQ180+OCP_SalesProduct!AQ260</f>
      </c>
      <c r="H50" s="124"/>
      <c r="I50" s="251">
        <f>IFERROR(C50/SUM($C50:$G50),"-")</f>
      </c>
      <c r="J50" s="251">
        <f>IFERROR(D50/SUM($C50:$G50),"-")</f>
      </c>
      <c r="K50" s="251">
        <f>IFERROR(E50/SUM($C50:$G50),"-")</f>
      </c>
      <c r="L50" s="251">
        <f>IFERROR(F50/SUM($C50:$G50),"-")</f>
      </c>
      <c r="M50" s="251">
        <f>IFERROR(G50/SUM($C50:$G50),"-")</f>
      </c>
    </row>
    <row x14ac:dyDescent="0.25" r="51" customHeight="1" ht="18.75">
      <c r="A51" s="2"/>
      <c r="B51" s="250">
        <f>B22</f>
      </c>
      <c r="C51" s="251">
        <f>OCP_SalesProduct!AK181+OCP_SalesProduct!AK261</f>
      </c>
      <c r="D51" s="251">
        <f>OCP_SalesProduct!AE181+OCP_SalesProduct!AE261</f>
      </c>
      <c r="E51" s="251">
        <f>OCP_SalesProduct!AH181+OCP_SalesProduct!AH261</f>
      </c>
      <c r="F51" s="251">
        <f>OCP_SalesProduct!AN181+OCP_SalesProduct!AN261</f>
      </c>
      <c r="G51" s="251">
        <f>OCP_SalesProduct!AQ181+OCP_SalesProduct!AQ261</f>
      </c>
      <c r="H51" s="124"/>
      <c r="I51" s="251">
        <f>IFERROR(C51/SUM($C51:$G51),"-")</f>
      </c>
      <c r="J51" s="251">
        <f>IFERROR(D51/SUM($C51:$G51),"-")</f>
      </c>
      <c r="K51" s="251">
        <f>IFERROR(E51/SUM($C51:$G51),"-")</f>
      </c>
      <c r="L51" s="251">
        <f>IFERROR(F51/SUM($C51:$G51),"-")</f>
      </c>
      <c r="M51" s="251">
        <f>IFERROR(G51/SUM($C51:$G51),"-")</f>
      </c>
    </row>
    <row x14ac:dyDescent="0.25" r="52" customHeight="1" ht="18.75">
      <c r="A52" s="2"/>
      <c r="B52" s="250">
        <f>B23</f>
      </c>
      <c r="C52" s="251">
        <f>OCP_SalesProduct!AK182+OCP_SalesProduct!AK262</f>
      </c>
      <c r="D52" s="251">
        <f>OCP_SalesProduct!AE182+OCP_SalesProduct!AE262</f>
      </c>
      <c r="E52" s="251">
        <f>OCP_SalesProduct!AH182+OCP_SalesProduct!AH262</f>
      </c>
      <c r="F52" s="251">
        <f>OCP_SalesProduct!AN182+OCP_SalesProduct!AN262</f>
      </c>
      <c r="G52" s="251">
        <f>OCP_SalesProduct!AQ182+OCP_SalesProduct!AQ262</f>
      </c>
      <c r="H52" s="124"/>
      <c r="I52" s="251">
        <f>IFERROR(C52/SUM($C52:$G52),"-")</f>
      </c>
      <c r="J52" s="251">
        <f>IFERROR(D52/SUM($C52:$G52),"-")</f>
      </c>
      <c r="K52" s="251">
        <f>IFERROR(E52/SUM($C52:$G52),"-")</f>
      </c>
      <c r="L52" s="251">
        <f>IFERROR(F52/SUM($C52:$G52),"-")</f>
      </c>
      <c r="M52" s="251">
        <f>IFERROR(G52/SUM($C52:$G52),"-")</f>
      </c>
    </row>
    <row x14ac:dyDescent="0.25" r="53" customHeight="1" ht="18.75">
      <c r="A53" s="2"/>
      <c r="B53" s="250">
        <f>B24</f>
      </c>
      <c r="C53" s="251">
        <f>OCP_SalesProduct!AK183+OCP_SalesProduct!AK263</f>
      </c>
      <c r="D53" s="251">
        <f>OCP_SalesProduct!AE183+OCP_SalesProduct!AE263</f>
      </c>
      <c r="E53" s="251">
        <f>OCP_SalesProduct!AH183+OCP_SalesProduct!AH263</f>
      </c>
      <c r="F53" s="251">
        <f>OCP_SalesProduct!AN183+OCP_SalesProduct!AN263</f>
      </c>
      <c r="G53" s="251">
        <f>OCP_SalesProduct!AQ183+OCP_SalesProduct!AQ263</f>
      </c>
      <c r="H53" s="124"/>
      <c r="I53" s="251">
        <f>IFERROR(C53/SUM($C53:$G53),"-")</f>
      </c>
      <c r="J53" s="251">
        <f>IFERROR(D53/SUM($C53:$G53),"-")</f>
      </c>
      <c r="K53" s="251">
        <f>IFERROR(E53/SUM($C53:$G53),"-")</f>
      </c>
      <c r="L53" s="251">
        <f>IFERROR(F53/SUM($C53:$G53),"-")</f>
      </c>
      <c r="M53" s="251">
        <f>IFERROR(G53/SUM($C53:$G53),"-")</f>
      </c>
    </row>
    <row x14ac:dyDescent="0.25" r="54" customHeight="1" ht="18.75">
      <c r="A54" s="2"/>
      <c r="B54" s="250">
        <f>B25</f>
      </c>
      <c r="C54" s="251">
        <f>OCP_SalesProduct!AK184+OCP_SalesProduct!AK264</f>
      </c>
      <c r="D54" s="251">
        <f>OCP_SalesProduct!AE184+OCP_SalesProduct!AE264</f>
      </c>
      <c r="E54" s="251">
        <f>OCP_SalesProduct!AH184+OCP_SalesProduct!AH264</f>
      </c>
      <c r="F54" s="251">
        <f>OCP_SalesProduct!AN184+OCP_SalesProduct!AN264</f>
      </c>
      <c r="G54" s="251">
        <f>OCP_SalesProduct!AQ184+OCP_SalesProduct!AQ264</f>
      </c>
      <c r="H54" s="124"/>
      <c r="I54" s="251">
        <f>IFERROR(C54/SUM($C54:$G54),"-")</f>
      </c>
      <c r="J54" s="251">
        <f>IFERROR(D54/SUM($C54:$G54),"-")</f>
      </c>
      <c r="K54" s="251">
        <f>IFERROR(E54/SUM($C54:$G54),"-")</f>
      </c>
      <c r="L54" s="251">
        <f>IFERROR(F54/SUM($C54:$G54),"-")</f>
      </c>
      <c r="M54" s="251">
        <f>IFERROR(G54/SUM($C54:$G54),"-")</f>
      </c>
    </row>
    <row x14ac:dyDescent="0.25" r="55" customHeight="1" ht="18.75">
      <c r="A55" s="2"/>
      <c r="B55" s="250">
        <f>B26</f>
      </c>
      <c r="C55" s="251">
        <f>OCP_SalesProduct!AK185+OCP_SalesProduct!AK265</f>
      </c>
      <c r="D55" s="251">
        <f>OCP_SalesProduct!AE185+OCP_SalesProduct!AE265</f>
      </c>
      <c r="E55" s="251">
        <f>OCP_SalesProduct!AH185+OCP_SalesProduct!AH265</f>
      </c>
      <c r="F55" s="251">
        <f>OCP_SalesProduct!AN185+OCP_SalesProduct!AN265</f>
      </c>
      <c r="G55" s="251">
        <f>OCP_SalesProduct!AQ185+OCP_SalesProduct!AQ265</f>
      </c>
      <c r="H55" s="124"/>
      <c r="I55" s="251">
        <f>IFERROR(C55/SUM($C55:$G55),"-")</f>
      </c>
      <c r="J55" s="251">
        <f>IFERROR(D55/SUM($C55:$G55),"-")</f>
      </c>
      <c r="K55" s="251">
        <f>IFERROR(E55/SUM($C55:$G55),"-")</f>
      </c>
      <c r="L55" s="251">
        <f>IFERROR(F55/SUM($C55:$G55),"-")</f>
      </c>
      <c r="M55" s="251">
        <f>IFERROR(G55/SUM($C55:$G55),"-")</f>
      </c>
    </row>
    <row x14ac:dyDescent="0.25" r="56" customHeight="1" ht="18.75">
      <c r="A56" s="2"/>
      <c r="B56" s="250">
        <f>B27</f>
      </c>
      <c r="C56" s="251">
        <f>OCP_SalesProduct!AK186+OCP_SalesProduct!AK266</f>
      </c>
      <c r="D56" s="251">
        <f>OCP_SalesProduct!AE186+OCP_SalesProduct!AE266</f>
      </c>
      <c r="E56" s="251">
        <f>OCP_SalesProduct!AH186+OCP_SalesProduct!AH266</f>
      </c>
      <c r="F56" s="251">
        <f>OCP_SalesProduct!AN186+OCP_SalesProduct!AN266</f>
      </c>
      <c r="G56" s="251">
        <f>OCP_SalesProduct!AQ186+OCP_SalesProduct!AQ266</f>
      </c>
      <c r="H56" s="124"/>
      <c r="I56" s="251">
        <f>IFERROR(C56/SUM($C56:$G56),"-")</f>
      </c>
      <c r="J56" s="251">
        <f>IFERROR(D56/SUM($C56:$G56),"-")</f>
      </c>
      <c r="K56" s="251">
        <f>IFERROR(E56/SUM($C56:$G56),"-")</f>
      </c>
      <c r="L56" s="251">
        <f>IFERROR(F56/SUM($C56:$G56),"-")</f>
      </c>
      <c r="M56" s="251">
        <f>IFERROR(G56/SUM($C56:$G56),"-")</f>
      </c>
    </row>
    <row x14ac:dyDescent="0.25" r="57" customHeight="1" ht="18.75">
      <c r="A57" s="2"/>
      <c r="B57" s="252" t="s">
        <v>446</v>
      </c>
      <c r="C57" s="253">
        <f>SUM(C36:C56)</f>
      </c>
      <c r="D57" s="253">
        <f>SUM(D36:D56)</f>
      </c>
      <c r="E57" s="253">
        <f>SUM(E36:E56)</f>
      </c>
      <c r="F57" s="253">
        <f>SUM(F36:F56)</f>
      </c>
      <c r="G57" s="253">
        <f>SUM(G36:G56)</f>
      </c>
      <c r="H57" s="124"/>
      <c r="I57" s="254">
        <f>C57/SUM($C$57:$G$57)</f>
      </c>
      <c r="J57" s="254">
        <f>D57/SUM($C$57:$G$57)</f>
      </c>
      <c r="K57" s="254">
        <f>E57/SUM($C$57:$G$57)</f>
      </c>
      <c r="L57" s="254">
        <f>F57/SUM($C$57:$G$57)</f>
      </c>
      <c r="M57" s="254">
        <f>G57/SUM($C$57:$G$57)</f>
      </c>
    </row>
    <row x14ac:dyDescent="0.25" r="58" customHeight="1" ht="18.75">
      <c r="A58" s="2"/>
      <c r="B58" s="2"/>
      <c r="C58" s="7"/>
      <c r="D58" s="7"/>
      <c r="E58" s="7"/>
      <c r="F58" s="7"/>
      <c r="G58" s="7"/>
      <c r="H58" s="108"/>
      <c r="I58" s="108"/>
      <c r="J58" s="108"/>
      <c r="K58" s="108"/>
      <c r="L58" s="108"/>
      <c r="M58" s="108"/>
    </row>
    <row x14ac:dyDescent="0.25" r="59" customHeight="1" ht="18.75">
      <c r="A59" s="2"/>
      <c r="B59" s="2"/>
      <c r="C59" s="7"/>
      <c r="D59" s="7"/>
      <c r="E59" s="7"/>
      <c r="F59" s="7"/>
      <c r="G59" s="7"/>
      <c r="H59" s="108"/>
      <c r="I59" s="108"/>
      <c r="J59" s="108"/>
      <c r="K59" s="108"/>
      <c r="L59" s="108"/>
      <c r="M59" s="108"/>
    </row>
    <row x14ac:dyDescent="0.25" r="60" customHeight="1" ht="18.75">
      <c r="A60" s="2"/>
      <c r="B60" s="2"/>
      <c r="C60" s="7"/>
      <c r="D60" s="7"/>
      <c r="E60" s="7"/>
      <c r="F60" s="7"/>
      <c r="G60" s="7"/>
      <c r="H60" s="108"/>
      <c r="I60" s="108"/>
      <c r="J60" s="108"/>
      <c r="K60" s="108"/>
      <c r="L60" s="108"/>
      <c r="M60" s="108"/>
    </row>
    <row x14ac:dyDescent="0.25" r="61" customHeight="1" ht="18.75">
      <c r="A61" s="2"/>
      <c r="B61" s="2" t="s">
        <v>448</v>
      </c>
      <c r="C61" s="7"/>
      <c r="D61" s="7"/>
      <c r="E61" s="7"/>
      <c r="F61" s="7"/>
      <c r="G61" s="7"/>
      <c r="H61" s="108"/>
      <c r="I61" s="108"/>
      <c r="J61" s="108"/>
      <c r="K61" s="108"/>
      <c r="L61" s="108"/>
      <c r="M61" s="108"/>
    </row>
    <row x14ac:dyDescent="0.25" r="62" customHeight="1" ht="18.75">
      <c r="A62" s="2"/>
      <c r="B62" s="2"/>
      <c r="C62" s="7"/>
      <c r="D62" s="7"/>
      <c r="E62" s="7"/>
      <c r="F62" s="7"/>
      <c r="G62" s="7"/>
      <c r="H62" s="108"/>
      <c r="I62" s="108"/>
      <c r="J62" s="108"/>
      <c r="K62" s="108"/>
      <c r="L62" s="108"/>
      <c r="M62" s="108"/>
    </row>
    <row x14ac:dyDescent="0.25" r="63" customHeight="1" ht="18.75">
      <c r="A63" s="2"/>
      <c r="B63" s="256"/>
      <c r="C63" s="257" t="s">
        <v>445</v>
      </c>
      <c r="D63" s="258" t="s">
        <v>449</v>
      </c>
      <c r="E63" s="258" t="s">
        <v>450</v>
      </c>
      <c r="F63" s="7"/>
      <c r="G63" s="7"/>
      <c r="H63" s="108"/>
      <c r="I63" s="108"/>
      <c r="J63" s="108"/>
      <c r="K63" s="108"/>
      <c r="L63" s="108"/>
      <c r="M63" s="108"/>
    </row>
    <row x14ac:dyDescent="0.25" r="64" customHeight="1" ht="18.75">
      <c r="A64" s="2"/>
      <c r="B64" s="250">
        <f>B36</f>
      </c>
      <c r="C64" s="124">
        <f>SUM(C7:G7)</f>
      </c>
      <c r="D64" s="124">
        <f>SUM(C36:G36)</f>
      </c>
      <c r="E64" s="259">
        <f>D64-C64</f>
      </c>
      <c r="F64" s="7"/>
      <c r="G64" s="7"/>
      <c r="H64" s="108"/>
      <c r="I64" s="108"/>
      <c r="J64" s="108"/>
      <c r="K64" s="108"/>
      <c r="L64" s="108"/>
      <c r="M64" s="108"/>
    </row>
    <row x14ac:dyDescent="0.25" r="65" customHeight="1" ht="18.75">
      <c r="A65" s="2"/>
      <c r="B65" s="250">
        <f>B37</f>
      </c>
      <c r="C65" s="124">
        <f>SUM(C8:G8)</f>
      </c>
      <c r="D65" s="124">
        <f>SUM(C37:G37)</f>
      </c>
      <c r="E65" s="259">
        <f>D65-C65</f>
      </c>
      <c r="F65" s="7"/>
      <c r="G65" s="7"/>
      <c r="H65" s="108"/>
      <c r="I65" s="108"/>
      <c r="J65" s="108"/>
      <c r="K65" s="108"/>
      <c r="L65" s="108"/>
      <c r="M65" s="108"/>
    </row>
    <row x14ac:dyDescent="0.25" r="66" customHeight="1" ht="18.75">
      <c r="A66" s="2"/>
      <c r="B66" s="250">
        <f>B38</f>
      </c>
      <c r="C66" s="124">
        <f>SUM(C9:G9)</f>
      </c>
      <c r="D66" s="124">
        <f>SUM(C38:G38)</f>
      </c>
      <c r="E66" s="259">
        <f>D66-C66</f>
      </c>
      <c r="F66" s="7"/>
      <c r="G66" s="7"/>
      <c r="H66" s="108"/>
      <c r="I66" s="108"/>
      <c r="J66" s="108"/>
      <c r="K66" s="108"/>
      <c r="L66" s="108"/>
      <c r="M66" s="108"/>
    </row>
    <row x14ac:dyDescent="0.25" r="67" customHeight="1" ht="18.75">
      <c r="A67" s="2"/>
      <c r="B67" s="250">
        <f>B39</f>
      </c>
      <c r="C67" s="124">
        <f>SUM(C10:G10)</f>
      </c>
      <c r="D67" s="124">
        <f>SUM(C39:G39)</f>
      </c>
      <c r="E67" s="259">
        <f>D67-C67</f>
      </c>
      <c r="F67" s="7"/>
      <c r="G67" s="7"/>
      <c r="H67" s="108"/>
      <c r="I67" s="108"/>
      <c r="J67" s="108"/>
      <c r="K67" s="108"/>
      <c r="L67" s="108"/>
      <c r="M67" s="108"/>
    </row>
    <row x14ac:dyDescent="0.25" r="68" customHeight="1" ht="18.75">
      <c r="A68" s="2"/>
      <c r="B68" s="250">
        <f>B40</f>
      </c>
      <c r="C68" s="124">
        <f>SUM(C11:G11)</f>
      </c>
      <c r="D68" s="124">
        <f>SUM(C40:G40)</f>
      </c>
      <c r="E68" s="259">
        <f>D68-C68</f>
      </c>
      <c r="F68" s="7"/>
      <c r="G68" s="7"/>
      <c r="H68" s="108"/>
      <c r="I68" s="108"/>
      <c r="J68" s="108"/>
      <c r="K68" s="108"/>
      <c r="L68" s="108"/>
      <c r="M68" s="108"/>
    </row>
    <row x14ac:dyDescent="0.25" r="69" customHeight="1" ht="18.75">
      <c r="A69" s="2"/>
      <c r="B69" s="250">
        <f>B41</f>
      </c>
      <c r="C69" s="124">
        <f>SUM(C12:G12)</f>
      </c>
      <c r="D69" s="124">
        <f>SUM(C41:G41)</f>
      </c>
      <c r="E69" s="259">
        <f>D69-C69</f>
      </c>
      <c r="F69" s="7"/>
      <c r="G69" s="7"/>
      <c r="H69" s="108"/>
      <c r="I69" s="108"/>
      <c r="J69" s="108"/>
      <c r="K69" s="108"/>
      <c r="L69" s="108"/>
      <c r="M69" s="108"/>
    </row>
    <row x14ac:dyDescent="0.25" r="70" customHeight="1" ht="18.75">
      <c r="A70" s="2"/>
      <c r="B70" s="250">
        <f>B42</f>
      </c>
      <c r="C70" s="124">
        <f>SUM(C13:G13)</f>
      </c>
      <c r="D70" s="124">
        <f>SUM(C42:G42)</f>
      </c>
      <c r="E70" s="259">
        <f>D70-C70</f>
      </c>
      <c r="F70" s="7"/>
      <c r="G70" s="7"/>
      <c r="H70" s="108"/>
      <c r="I70" s="108"/>
      <c r="J70" s="108"/>
      <c r="K70" s="108"/>
      <c r="L70" s="108"/>
      <c r="M70" s="108"/>
    </row>
    <row x14ac:dyDescent="0.25" r="71" customHeight="1" ht="18.75">
      <c r="A71" s="2"/>
      <c r="B71" s="250">
        <f>B43</f>
      </c>
      <c r="C71" s="124">
        <f>SUM(C14:G14)</f>
      </c>
      <c r="D71" s="124">
        <f>SUM(C43:G43)</f>
      </c>
      <c r="E71" s="259">
        <f>D71-C71</f>
      </c>
      <c r="F71" s="7"/>
      <c r="G71" s="7"/>
      <c r="H71" s="108"/>
      <c r="I71" s="108"/>
      <c r="J71" s="108"/>
      <c r="K71" s="108"/>
      <c r="L71" s="108"/>
      <c r="M71" s="108"/>
    </row>
    <row x14ac:dyDescent="0.25" r="72" customHeight="1" ht="18.75">
      <c r="A72" s="2"/>
      <c r="B72" s="250">
        <f>B44</f>
      </c>
      <c r="C72" s="124">
        <f>SUM(C15:G15)</f>
      </c>
      <c r="D72" s="124">
        <f>SUM(C44:G44)</f>
      </c>
      <c r="E72" s="259">
        <f>D72-C72</f>
      </c>
      <c r="F72" s="7"/>
      <c r="G72" s="7"/>
      <c r="H72" s="108"/>
      <c r="I72" s="108"/>
      <c r="J72" s="108"/>
      <c r="K72" s="108"/>
      <c r="L72" s="108"/>
      <c r="M72" s="108"/>
    </row>
    <row x14ac:dyDescent="0.25" r="73" customHeight="1" ht="18.75">
      <c r="A73" s="2"/>
      <c r="B73" s="250">
        <f>B45</f>
      </c>
      <c r="C73" s="124">
        <f>SUM(C16:G16)</f>
      </c>
      <c r="D73" s="124">
        <f>SUM(C45:G45)</f>
      </c>
      <c r="E73" s="259">
        <f>D73-C73</f>
      </c>
      <c r="F73" s="7"/>
      <c r="G73" s="7"/>
      <c r="H73" s="108"/>
      <c r="I73" s="108"/>
      <c r="J73" s="108"/>
      <c r="K73" s="108"/>
      <c r="L73" s="108"/>
      <c r="M73" s="108"/>
    </row>
    <row x14ac:dyDescent="0.25" r="74" customHeight="1" ht="18.75">
      <c r="A74" s="2"/>
      <c r="B74" s="250">
        <f>B46</f>
      </c>
      <c r="C74" s="124">
        <f>SUM(C17:G17)</f>
      </c>
      <c r="D74" s="124">
        <f>SUM(C46:G46)</f>
      </c>
      <c r="E74" s="259">
        <f>D74-C74</f>
      </c>
      <c r="F74" s="7"/>
      <c r="G74" s="7"/>
      <c r="H74" s="108"/>
      <c r="I74" s="108"/>
      <c r="J74" s="108"/>
      <c r="K74" s="108"/>
      <c r="L74" s="108"/>
      <c r="M74" s="108"/>
    </row>
    <row x14ac:dyDescent="0.25" r="75" customHeight="1" ht="18.75">
      <c r="A75" s="2"/>
      <c r="B75" s="250">
        <f>B47</f>
      </c>
      <c r="C75" s="124">
        <f>SUM(C18:G18)</f>
      </c>
      <c r="D75" s="124">
        <f>SUM(C47:G47)</f>
      </c>
      <c r="E75" s="259">
        <f>D75-C75</f>
      </c>
      <c r="F75" s="7"/>
      <c r="G75" s="7"/>
      <c r="H75" s="108"/>
      <c r="I75" s="108"/>
      <c r="J75" s="108"/>
      <c r="K75" s="108"/>
      <c r="L75" s="108"/>
      <c r="M75" s="108"/>
    </row>
    <row x14ac:dyDescent="0.25" r="76" customHeight="1" ht="18.75">
      <c r="A76" s="2"/>
      <c r="B76" s="250">
        <f>B48</f>
      </c>
      <c r="C76" s="124">
        <f>SUM(C19:G19)</f>
      </c>
      <c r="D76" s="124">
        <f>SUM(C48:G48)</f>
      </c>
      <c r="E76" s="259">
        <f>D76-C76</f>
      </c>
      <c r="F76" s="7"/>
      <c r="G76" s="7"/>
      <c r="H76" s="108"/>
      <c r="I76" s="108"/>
      <c r="J76" s="108"/>
      <c r="K76" s="108"/>
      <c r="L76" s="108"/>
      <c r="M76" s="108"/>
    </row>
    <row x14ac:dyDescent="0.25" r="77" customHeight="1" ht="18.75">
      <c r="A77" s="2"/>
      <c r="B77" s="250">
        <f>B49</f>
      </c>
      <c r="C77" s="124">
        <f>SUM(C20:G20)</f>
      </c>
      <c r="D77" s="124">
        <f>SUM(C49:G49)</f>
      </c>
      <c r="E77" s="259">
        <f>D77-C77</f>
      </c>
      <c r="F77" s="7"/>
      <c r="G77" s="7"/>
      <c r="H77" s="108"/>
      <c r="I77" s="108"/>
      <c r="J77" s="108"/>
      <c r="K77" s="108"/>
      <c r="L77" s="108"/>
      <c r="M77" s="108"/>
    </row>
    <row x14ac:dyDescent="0.25" r="78" customHeight="1" ht="18.75">
      <c r="A78" s="2"/>
      <c r="B78" s="250">
        <f>B50</f>
      </c>
      <c r="C78" s="124">
        <f>SUM(C21:G21)</f>
      </c>
      <c r="D78" s="124">
        <f>SUM(C50:G50)</f>
      </c>
      <c r="E78" s="259">
        <f>D78-C78</f>
      </c>
      <c r="F78" s="7"/>
      <c r="G78" s="7"/>
      <c r="H78" s="108"/>
      <c r="I78" s="108"/>
      <c r="J78" s="108"/>
      <c r="K78" s="108"/>
      <c r="L78" s="108"/>
      <c r="M78" s="108"/>
    </row>
    <row x14ac:dyDescent="0.25" r="79" customHeight="1" ht="18.75">
      <c r="A79" s="2"/>
      <c r="B79" s="250">
        <f>B51</f>
      </c>
      <c r="C79" s="124">
        <f>SUM(C22:G22)</f>
      </c>
      <c r="D79" s="124">
        <f>SUM(C51:G51)</f>
      </c>
      <c r="E79" s="259">
        <f>D79-C79</f>
      </c>
      <c r="F79" s="7"/>
      <c r="G79" s="7"/>
      <c r="H79" s="108"/>
      <c r="I79" s="108"/>
      <c r="J79" s="108"/>
      <c r="K79" s="108"/>
      <c r="L79" s="108"/>
      <c r="M79" s="108"/>
    </row>
    <row x14ac:dyDescent="0.25" r="80" customHeight="1" ht="18.75">
      <c r="A80" s="2"/>
      <c r="B80" s="250">
        <f>B52</f>
      </c>
      <c r="C80" s="124">
        <f>SUM(C23:G23)</f>
      </c>
      <c r="D80" s="124">
        <f>SUM(C52:G52)</f>
      </c>
      <c r="E80" s="259">
        <f>D80-C80</f>
      </c>
      <c r="F80" s="7"/>
      <c r="G80" s="7"/>
      <c r="H80" s="108"/>
      <c r="I80" s="108"/>
      <c r="J80" s="108"/>
      <c r="K80" s="108"/>
      <c r="L80" s="108"/>
      <c r="M80" s="108"/>
    </row>
    <row x14ac:dyDescent="0.25" r="81" customHeight="1" ht="18.75">
      <c r="A81" s="2"/>
      <c r="B81" s="250">
        <f>B53</f>
      </c>
      <c r="C81" s="124">
        <f>SUM(C24:G24)</f>
      </c>
      <c r="D81" s="124">
        <f>SUM(C53:G53)</f>
      </c>
      <c r="E81" s="259">
        <f>D81-C81</f>
      </c>
      <c r="F81" s="7"/>
      <c r="G81" s="7"/>
      <c r="H81" s="108"/>
      <c r="I81" s="108"/>
      <c r="J81" s="108"/>
      <c r="K81" s="108"/>
      <c r="L81" s="108"/>
      <c r="M81" s="108"/>
    </row>
    <row x14ac:dyDescent="0.25" r="82" customHeight="1" ht="18.75">
      <c r="A82" s="2"/>
      <c r="B82" s="250">
        <f>B54</f>
      </c>
      <c r="C82" s="124">
        <f>SUM(C25:G25)</f>
      </c>
      <c r="D82" s="124">
        <f>SUM(C54:G54)</f>
      </c>
      <c r="E82" s="259">
        <f>D82-C82</f>
      </c>
      <c r="F82" s="7"/>
      <c r="G82" s="7"/>
      <c r="H82" s="108"/>
      <c r="I82" s="108"/>
      <c r="J82" s="108"/>
      <c r="K82" s="108"/>
      <c r="L82" s="108"/>
      <c r="M82" s="108"/>
    </row>
    <row x14ac:dyDescent="0.25" r="83" customHeight="1" ht="18.75">
      <c r="A83" s="2"/>
      <c r="B83" s="250">
        <f>B55</f>
      </c>
      <c r="C83" s="124">
        <f>SUM(C26:G26)</f>
      </c>
      <c r="D83" s="124">
        <f>SUM(C55:G55)</f>
      </c>
      <c r="E83" s="259">
        <f>D83-C83</f>
      </c>
      <c r="F83" s="7"/>
      <c r="G83" s="7"/>
      <c r="H83" s="108"/>
      <c r="I83" s="108"/>
      <c r="J83" s="108"/>
      <c r="K83" s="108"/>
      <c r="L83" s="108"/>
      <c r="M83" s="108"/>
    </row>
    <row x14ac:dyDescent="0.25" r="84" customHeight="1" ht="18.75">
      <c r="A84" s="2"/>
      <c r="B84" s="250">
        <f>B56</f>
      </c>
      <c r="C84" s="124">
        <f>SUM(C27:G27)</f>
      </c>
      <c r="D84" s="124">
        <f>SUM(C56:G56)</f>
      </c>
      <c r="E84" s="259">
        <f>D84-C84</f>
      </c>
      <c r="F84" s="7"/>
      <c r="G84" s="7"/>
      <c r="H84" s="108"/>
      <c r="I84" s="108"/>
      <c r="J84" s="108"/>
      <c r="K84" s="108"/>
      <c r="L84" s="108"/>
      <c r="M84" s="108"/>
    </row>
    <row x14ac:dyDescent="0.25" r="85" customHeight="1" ht="18.75">
      <c r="A85" s="2"/>
      <c r="B85" s="260" t="s">
        <v>336</v>
      </c>
      <c r="C85" s="253">
        <f>SUM(C64:C84)</f>
      </c>
      <c r="D85" s="253">
        <f>SUM(D64:D84)</f>
      </c>
      <c r="E85" s="253">
        <f>SUM(E64:E84)</f>
      </c>
      <c r="F85" s="7"/>
      <c r="G85" s="7"/>
      <c r="H85" s="108"/>
      <c r="I85" s="108"/>
      <c r="J85" s="108"/>
      <c r="K85" s="108"/>
      <c r="L85" s="108"/>
      <c r="M85" s="108"/>
    </row>
    <row x14ac:dyDescent="0.25" r="86" customHeight="1" ht="18.75">
      <c r="A86" s="2"/>
      <c r="B86" s="2"/>
      <c r="C86" s="7"/>
      <c r="D86" s="7"/>
      <c r="E86" s="7"/>
      <c r="F86" s="7"/>
      <c r="G86" s="7"/>
      <c r="H86" s="108"/>
      <c r="I86" s="108"/>
      <c r="J86" s="108"/>
      <c r="K86" s="108"/>
      <c r="L86" s="108"/>
      <c r="M86" s="10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25"/>
  <sheetViews>
    <sheetView workbookViewId="0">
      <pane state="frozen" activePane="bottomLeft" topLeftCell="A11" ySplit="10" xSplit="0"/>
    </sheetView>
  </sheetViews>
  <sheetFormatPr defaultRowHeight="15" x14ac:dyDescent="0.25"/>
  <cols>
    <col min="1" max="1" style="101" width="4.005" customWidth="1" bestFit="1"/>
    <col min="2" max="2" style="126" width="38.86214285714286" customWidth="1" bestFit="1"/>
    <col min="3" max="3" style="102" width="19.576428571428572" customWidth="1" bestFit="1"/>
    <col min="4" max="4" style="102" width="20.576428571428572" customWidth="1" bestFit="1"/>
    <col min="5" max="5" style="102" width="18.576428571428572" customWidth="1" bestFit="1"/>
    <col min="6" max="6" style="102" width="19.576428571428572" customWidth="1" bestFit="1"/>
    <col min="7" max="7" style="101" width="20.433571428571426" customWidth="1" bestFit="1"/>
    <col min="8" max="8" style="239" width="86.14785714285713" customWidth="1" bestFit="1"/>
    <col min="9" max="9" style="101" width="8.719285714285713" customWidth="1" bestFit="1"/>
    <col min="10" max="10" style="101" width="8.719285714285713" customWidth="1" bestFit="1"/>
    <col min="11" max="11" style="101" width="12.43357142857143" customWidth="1" bestFit="1"/>
    <col min="12" max="12" style="101" width="8.719285714285713" customWidth="1" bestFit="1"/>
    <col min="13" max="13" style="101" width="8.719285714285713" customWidth="1" bestFit="1"/>
    <col min="14" max="14" style="101" width="8.719285714285713" customWidth="1" bestFit="1"/>
    <col min="15" max="15" style="101" width="16.433571428571426" customWidth="1" bestFit="1"/>
    <col min="16" max="16" style="101" width="13.576428571428572" customWidth="1" bestFit="1"/>
    <col min="17" max="17" style="100" width="13.576428571428572" customWidth="1" bestFit="1"/>
  </cols>
  <sheetData>
    <row x14ac:dyDescent="0.25" r="1" customHeight="1" ht="13.5">
      <c r="A1" s="186"/>
      <c r="B1" s="104"/>
      <c r="C1" s="186"/>
      <c r="D1" s="186"/>
      <c r="E1" s="187"/>
      <c r="F1" s="186"/>
      <c r="G1" s="188"/>
      <c r="H1" s="189"/>
      <c r="I1" s="3"/>
      <c r="J1" s="3"/>
      <c r="K1" s="3"/>
      <c r="L1" s="3"/>
      <c r="M1" s="3"/>
      <c r="N1" s="3"/>
      <c r="O1" s="3"/>
      <c r="P1" s="3"/>
      <c r="Q1" s="2"/>
    </row>
    <row x14ac:dyDescent="0.25" r="2" customHeight="1" ht="13.5">
      <c r="A2" s="186"/>
      <c r="B2" s="104"/>
      <c r="C2" s="186"/>
      <c r="D2" s="186"/>
      <c r="E2" s="187"/>
      <c r="F2" s="186"/>
      <c r="G2" s="188"/>
      <c r="H2" s="190"/>
      <c r="I2" s="3"/>
      <c r="J2" s="3"/>
      <c r="K2" s="3"/>
      <c r="L2" s="3"/>
      <c r="M2" s="3"/>
      <c r="N2" s="3"/>
      <c r="O2" s="3"/>
      <c r="P2" s="3"/>
      <c r="Q2" s="2"/>
    </row>
    <row x14ac:dyDescent="0.25" r="3" customHeight="1" ht="13.5">
      <c r="A3" s="186"/>
      <c r="B3" s="104"/>
      <c r="C3" s="186"/>
      <c r="D3" s="186"/>
      <c r="E3" s="187"/>
      <c r="F3" s="186"/>
      <c r="G3" s="191"/>
      <c r="H3" s="192"/>
      <c r="I3" s="3"/>
      <c r="J3" s="3"/>
      <c r="K3" s="3"/>
      <c r="L3" s="3"/>
      <c r="M3" s="3"/>
      <c r="N3" s="3"/>
      <c r="O3" s="3"/>
      <c r="P3" s="3"/>
      <c r="Q3" s="2"/>
    </row>
    <row x14ac:dyDescent="0.25" r="4" customHeight="1" ht="13.5">
      <c r="A4" s="186"/>
      <c r="B4" s="104"/>
      <c r="C4" s="186"/>
      <c r="D4" s="186"/>
      <c r="E4" s="187"/>
      <c r="F4" s="186"/>
      <c r="G4" s="193"/>
      <c r="H4" s="189"/>
      <c r="I4" s="3"/>
      <c r="J4" s="3"/>
      <c r="K4" s="3"/>
      <c r="L4" s="3"/>
      <c r="M4" s="3"/>
      <c r="N4" s="3"/>
      <c r="O4" s="3"/>
      <c r="P4" s="3"/>
      <c r="Q4" s="2"/>
    </row>
    <row x14ac:dyDescent="0.25" r="5" customHeight="1" ht="13.5">
      <c r="A5" s="194"/>
      <c r="B5" s="112"/>
      <c r="C5" s="194"/>
      <c r="D5" s="194"/>
      <c r="E5" s="195"/>
      <c r="F5" s="194"/>
      <c r="G5" s="114"/>
      <c r="H5" s="114"/>
      <c r="I5" s="3"/>
      <c r="J5" s="3"/>
      <c r="K5" s="3"/>
      <c r="L5" s="3"/>
      <c r="M5" s="3"/>
      <c r="N5" s="3"/>
      <c r="O5" s="3"/>
      <c r="P5" s="3"/>
      <c r="Q5" s="2"/>
    </row>
    <row x14ac:dyDescent="0.25" r="6" customHeight="1" ht="18.75">
      <c r="A6" s="3"/>
      <c r="B6" s="196"/>
      <c r="C6" s="196"/>
      <c r="D6" s="196"/>
      <c r="E6" s="3"/>
      <c r="F6" s="196"/>
      <c r="G6" s="3"/>
      <c r="H6" s="164"/>
      <c r="I6" s="3"/>
      <c r="J6" s="3"/>
      <c r="K6" s="3"/>
      <c r="L6" s="3"/>
      <c r="M6" s="3"/>
      <c r="N6" s="197"/>
      <c r="O6" s="3"/>
      <c r="P6" s="3"/>
      <c r="Q6" s="2"/>
    </row>
    <row x14ac:dyDescent="0.25" r="7" customHeight="1" ht="18.75">
      <c r="A7" s="3"/>
      <c r="B7" s="107"/>
      <c r="C7" s="3"/>
      <c r="D7" s="3"/>
      <c r="E7" s="3"/>
      <c r="F7" s="3"/>
      <c r="G7" s="3"/>
      <c r="H7" s="164"/>
      <c r="I7" s="3"/>
      <c r="J7" s="3"/>
      <c r="K7" s="3"/>
      <c r="L7" s="3"/>
      <c r="M7" s="3"/>
      <c r="N7" s="3"/>
      <c r="O7" s="3"/>
      <c r="P7" s="3"/>
      <c r="Q7" s="2"/>
    </row>
    <row x14ac:dyDescent="0.25" r="8" customHeight="1" ht="18.75">
      <c r="A8" s="3"/>
      <c r="B8" s="107"/>
      <c r="C8" s="3"/>
      <c r="D8" s="3"/>
      <c r="E8" s="3"/>
      <c r="F8" s="3"/>
      <c r="G8" s="3"/>
      <c r="H8" s="164"/>
      <c r="I8" s="3"/>
      <c r="J8" s="3"/>
      <c r="K8" s="3"/>
      <c r="L8" s="3"/>
      <c r="M8" s="3"/>
      <c r="N8" s="3"/>
      <c r="O8" s="3"/>
      <c r="P8" s="3"/>
      <c r="Q8" s="2"/>
    </row>
    <row x14ac:dyDescent="0.25" r="9" customHeight="1" ht="18.75">
      <c r="A9" s="198">
        <v>1</v>
      </c>
      <c r="B9" s="199" t="s">
        <v>349</v>
      </c>
      <c r="C9" s="3"/>
      <c r="D9" s="3"/>
      <c r="E9" s="3"/>
      <c r="F9" s="3"/>
      <c r="G9" s="3"/>
      <c r="H9" s="164"/>
      <c r="I9" s="3"/>
      <c r="J9" s="3"/>
      <c r="K9" s="3"/>
      <c r="L9" s="3"/>
      <c r="M9" s="3"/>
      <c r="N9" s="3"/>
      <c r="O9" s="3"/>
      <c r="P9" s="3"/>
      <c r="Q9" s="2"/>
    </row>
    <row x14ac:dyDescent="0.25" r="10" customHeight="1" ht="18.75">
      <c r="A10" s="200"/>
      <c r="B10" s="199"/>
      <c r="C10" s="3"/>
      <c r="D10" s="3"/>
      <c r="E10" s="3"/>
      <c r="F10" s="3"/>
      <c r="G10" s="3"/>
      <c r="H10" s="164"/>
      <c r="I10" s="3"/>
      <c r="J10" s="3"/>
      <c r="K10" s="3"/>
      <c r="L10" s="3"/>
      <c r="M10" s="3"/>
      <c r="N10" s="3"/>
      <c r="O10" s="3"/>
      <c r="P10" s="3"/>
      <c r="Q10" s="2"/>
    </row>
    <row x14ac:dyDescent="0.25" r="11" customHeight="1" ht="18.75">
      <c r="A11" s="3"/>
      <c r="B11" s="201"/>
      <c r="C11" s="202">
        <v>2023</v>
      </c>
      <c r="D11" s="202">
        <v>2023</v>
      </c>
      <c r="E11" s="202">
        <v>2024</v>
      </c>
      <c r="F11" s="202">
        <v>2024</v>
      </c>
      <c r="G11" s="202">
        <v>2025</v>
      </c>
      <c r="H11" s="202">
        <v>2025</v>
      </c>
      <c r="I11" s="203"/>
      <c r="J11" s="203"/>
      <c r="K11" s="3"/>
      <c r="L11" s="3"/>
      <c r="M11" s="3"/>
      <c r="N11" s="3"/>
      <c r="O11" s="3"/>
      <c r="P11" s="3"/>
      <c r="Q11" s="2"/>
    </row>
    <row x14ac:dyDescent="0.25" r="12" customHeight="1" ht="18.75">
      <c r="A12" s="3"/>
      <c r="B12" s="204" t="s">
        <v>102</v>
      </c>
      <c r="C12" s="202" t="s">
        <v>350</v>
      </c>
      <c r="D12" s="202" t="s">
        <v>351</v>
      </c>
      <c r="E12" s="202" t="s">
        <v>350</v>
      </c>
      <c r="F12" s="202" t="s">
        <v>351</v>
      </c>
      <c r="G12" s="202" t="s">
        <v>350</v>
      </c>
      <c r="H12" s="205" t="s">
        <v>351</v>
      </c>
      <c r="I12" s="202" t="s">
        <v>352</v>
      </c>
      <c r="J12" s="202" t="s">
        <v>353</v>
      </c>
      <c r="K12" s="206"/>
      <c r="L12" s="3"/>
      <c r="M12" s="3"/>
      <c r="N12" s="3"/>
      <c r="O12" s="207"/>
      <c r="P12" s="3"/>
      <c r="Q12" s="2"/>
    </row>
    <row x14ac:dyDescent="0.25" r="13" customHeight="1" ht="18.75">
      <c r="A13" s="3"/>
      <c r="B13" s="143" t="s">
        <v>354</v>
      </c>
      <c r="C13" s="208">
        <f>K42</f>
      </c>
      <c r="D13" s="208">
        <f>L42</f>
      </c>
      <c r="E13" s="208">
        <f>M42</f>
      </c>
      <c r="F13" s="208">
        <f>N42</f>
      </c>
      <c r="G13" s="208">
        <f>O42</f>
      </c>
      <c r="H13" s="208">
        <f>P42</f>
      </c>
      <c r="I13" s="197" t="s">
        <v>355</v>
      </c>
      <c r="J13" s="3"/>
      <c r="K13" s="3"/>
      <c r="L13" s="3"/>
      <c r="M13" s="3"/>
      <c r="N13" s="3"/>
      <c r="O13" s="3"/>
      <c r="P13" s="3"/>
      <c r="Q13" s="2"/>
    </row>
    <row x14ac:dyDescent="0.25" r="14" customHeight="1" ht="18.75">
      <c r="A14" s="3"/>
      <c r="B14" s="143" t="s">
        <v>356</v>
      </c>
      <c r="C14" s="208">
        <f>K43</f>
      </c>
      <c r="D14" s="208">
        <f>L43</f>
      </c>
      <c r="E14" s="208">
        <f>M43</f>
      </c>
      <c r="F14" s="208">
        <f>N43</f>
      </c>
      <c r="G14" s="208">
        <f>O43</f>
      </c>
      <c r="H14" s="208">
        <f>P43</f>
      </c>
      <c r="I14" s="197" t="s">
        <v>357</v>
      </c>
      <c r="J14" s="3"/>
      <c r="K14" s="3"/>
      <c r="L14" s="3"/>
      <c r="M14" s="3"/>
      <c r="N14" s="3"/>
      <c r="O14" s="3"/>
      <c r="P14" s="3"/>
      <c r="Q14" s="2"/>
    </row>
    <row x14ac:dyDescent="0.25" r="15" customHeight="1" ht="18.75">
      <c r="A15" s="3"/>
      <c r="B15" s="143" t="s">
        <v>358</v>
      </c>
      <c r="C15" s="208">
        <f>K50</f>
      </c>
      <c r="D15" s="208">
        <f>L50</f>
      </c>
      <c r="E15" s="208">
        <f>M50</f>
      </c>
      <c r="F15" s="208">
        <f>N50</f>
      </c>
      <c r="G15" s="208">
        <f>O50</f>
      </c>
      <c r="H15" s="208">
        <f>P50</f>
      </c>
      <c r="I15" s="197" t="s">
        <v>355</v>
      </c>
      <c r="J15" s="3"/>
      <c r="K15" s="3"/>
      <c r="L15" s="3"/>
      <c r="M15" s="3"/>
      <c r="N15" s="3"/>
      <c r="O15" s="3"/>
      <c r="P15" s="3"/>
      <c r="Q15" s="2"/>
    </row>
    <row x14ac:dyDescent="0.25" r="16" customHeight="1" ht="18.75">
      <c r="A16" s="3"/>
      <c r="B16" s="143" t="s">
        <v>359</v>
      </c>
      <c r="C16" s="208">
        <f>K73</f>
      </c>
      <c r="D16" s="208">
        <f>L73</f>
      </c>
      <c r="E16" s="208">
        <f>M73</f>
      </c>
      <c r="F16" s="208">
        <f>N73</f>
      </c>
      <c r="G16" s="208">
        <f>O73</f>
      </c>
      <c r="H16" s="208">
        <f>P73</f>
      </c>
      <c r="I16" s="197" t="s">
        <v>355</v>
      </c>
      <c r="J16" s="3"/>
      <c r="K16" s="3"/>
      <c r="L16" s="3"/>
      <c r="M16" s="3"/>
      <c r="N16" s="3"/>
      <c r="O16" s="3"/>
      <c r="P16" s="3"/>
      <c r="Q16" s="2"/>
    </row>
    <row x14ac:dyDescent="0.25" r="17" customHeight="1" ht="18.75">
      <c r="A17" s="3"/>
      <c r="B17" s="143" t="s">
        <v>360</v>
      </c>
      <c r="C17" s="208">
        <v>0</v>
      </c>
      <c r="D17" s="208">
        <v>0</v>
      </c>
      <c r="E17" s="208">
        <f>$C$79</f>
      </c>
      <c r="F17" s="208">
        <f>$C$79</f>
      </c>
      <c r="G17" s="208">
        <v>0</v>
      </c>
      <c r="H17" s="208">
        <v>0</v>
      </c>
      <c r="I17" s="197" t="s">
        <v>357</v>
      </c>
      <c r="J17" s="3"/>
      <c r="K17" s="3"/>
      <c r="L17" s="3"/>
      <c r="M17" s="3"/>
      <c r="N17" s="3"/>
      <c r="O17" s="3"/>
      <c r="P17" s="3"/>
      <c r="Q17" s="2"/>
    </row>
    <row x14ac:dyDescent="0.25" r="18" customHeight="1" ht="18.75">
      <c r="A18" s="3"/>
      <c r="B18" s="209" t="s">
        <v>361</v>
      </c>
      <c r="C18" s="210">
        <f>SUM(C13:C16)</f>
      </c>
      <c r="D18" s="210">
        <f>SUM(D13:D16)</f>
      </c>
      <c r="E18" s="210">
        <f>SUM(E13:E16)</f>
      </c>
      <c r="F18" s="210">
        <f>SUM(F13:F16)</f>
      </c>
      <c r="G18" s="210">
        <f>SUM(G13:G16)</f>
      </c>
      <c r="H18" s="210">
        <f>SUM(H13:H16)</f>
      </c>
      <c r="I18" s="211"/>
      <c r="J18" s="211"/>
      <c r="K18" s="3"/>
      <c r="L18" s="3"/>
      <c r="M18" s="3"/>
      <c r="N18" s="3"/>
      <c r="O18" s="3"/>
      <c r="P18" s="3"/>
      <c r="Q18" s="2"/>
    </row>
    <row x14ac:dyDescent="0.25" r="19" customHeight="1" ht="18.75">
      <c r="A19" s="3"/>
      <c r="B19" s="118"/>
      <c r="C19" s="160"/>
      <c r="D19" s="160"/>
      <c r="E19" s="160"/>
      <c r="F19" s="160"/>
      <c r="G19" s="160"/>
      <c r="H19" s="160"/>
      <c r="I19" s="212"/>
      <c r="J19" s="212"/>
      <c r="K19" s="3"/>
      <c r="L19" s="3"/>
      <c r="M19" s="3"/>
      <c r="N19" s="3"/>
      <c r="O19" s="3"/>
      <c r="P19" s="3"/>
      <c r="Q19" s="2"/>
    </row>
    <row x14ac:dyDescent="0.25" r="20" customHeight="1" ht="18.75">
      <c r="A20" s="3"/>
      <c r="B20" s="143" t="s">
        <v>362</v>
      </c>
      <c r="C20" s="208">
        <f>C14+C17</f>
      </c>
      <c r="D20" s="208">
        <f>D14+D17</f>
      </c>
      <c r="E20" s="208">
        <f>E14+E17</f>
      </c>
      <c r="F20" s="208">
        <f>F14+F17</f>
      </c>
      <c r="G20" s="208">
        <f>G14+G17</f>
      </c>
      <c r="H20" s="208">
        <f>H14+H17</f>
      </c>
      <c r="I20" s="3"/>
      <c r="J20" s="3"/>
      <c r="K20" s="3"/>
      <c r="L20" s="3"/>
      <c r="M20" s="3"/>
      <c r="N20" s="3"/>
      <c r="O20" s="3"/>
      <c r="P20" s="3"/>
      <c r="Q20" s="2"/>
    </row>
    <row x14ac:dyDescent="0.25" r="21" customHeight="1" ht="18.75">
      <c r="A21" s="3"/>
      <c r="B21" s="143" t="s">
        <v>363</v>
      </c>
      <c r="C21" s="208">
        <f>C15+C16</f>
      </c>
      <c r="D21" s="208">
        <f>D15+D16</f>
      </c>
      <c r="E21" s="208">
        <f>E15+E16</f>
      </c>
      <c r="F21" s="208">
        <f>F15+F16</f>
      </c>
      <c r="G21" s="208">
        <f>G15+G16</f>
      </c>
      <c r="H21" s="208">
        <f>H15+H16</f>
      </c>
      <c r="I21" s="3"/>
      <c r="J21" s="3"/>
      <c r="K21" s="3"/>
      <c r="L21" s="3"/>
      <c r="M21" s="3"/>
      <c r="N21" s="3"/>
      <c r="O21" s="3"/>
      <c r="P21" s="3"/>
      <c r="Q21" s="2"/>
    </row>
    <row x14ac:dyDescent="0.25" r="22" customHeight="1" ht="18.75">
      <c r="A22" s="3"/>
      <c r="B22" s="143" t="s">
        <v>364</v>
      </c>
      <c r="C22" s="208">
        <f>C20+C21</f>
      </c>
      <c r="D22" s="208">
        <f>D20+D21</f>
      </c>
      <c r="E22" s="208">
        <f>E20+E21</f>
      </c>
      <c r="F22" s="208">
        <f>F20+F21</f>
      </c>
      <c r="G22" s="208">
        <f>G20+G21</f>
      </c>
      <c r="H22" s="208">
        <f>H20+H21</f>
      </c>
      <c r="I22" s="3"/>
      <c r="J22" s="3"/>
      <c r="K22" s="3"/>
      <c r="L22" s="3"/>
      <c r="M22" s="3"/>
      <c r="N22" s="3"/>
      <c r="O22" s="3"/>
      <c r="P22" s="3"/>
      <c r="Q22" s="2"/>
    </row>
    <row x14ac:dyDescent="0.25" r="23" customHeight="1" ht="18.75">
      <c r="A23" s="3"/>
      <c r="B23" s="107"/>
      <c r="C23" s="208"/>
      <c r="D23" s="208"/>
      <c r="E23" s="3"/>
      <c r="F23" s="3"/>
      <c r="G23" s="3"/>
      <c r="H23" s="164"/>
      <c r="I23" s="3"/>
      <c r="J23" s="3"/>
      <c r="K23" s="3"/>
      <c r="L23" s="3"/>
      <c r="M23" s="3"/>
      <c r="N23" s="3"/>
      <c r="O23" s="3"/>
      <c r="P23" s="3"/>
      <c r="Q23" s="2"/>
    </row>
    <row x14ac:dyDescent="0.25" r="24" customHeight="1" ht="18.75">
      <c r="A24" s="198">
        <v>2</v>
      </c>
      <c r="B24" s="199" t="s">
        <v>365</v>
      </c>
      <c r="C24" s="3"/>
      <c r="D24" s="3"/>
      <c r="E24" s="3"/>
      <c r="F24" s="3"/>
      <c r="G24" s="3"/>
      <c r="H24" s="164"/>
      <c r="I24" s="3"/>
      <c r="J24" s="3"/>
      <c r="K24" s="3"/>
      <c r="L24" s="3"/>
      <c r="M24" s="3"/>
      <c r="N24" s="3"/>
      <c r="O24" s="3"/>
      <c r="P24" s="3"/>
      <c r="Q24" s="2"/>
    </row>
    <row x14ac:dyDescent="0.25" r="25" customHeight="1" ht="18.75">
      <c r="A25" s="3"/>
      <c r="B25" s="107"/>
      <c r="C25" s="3"/>
      <c r="D25" s="3"/>
      <c r="E25" s="3"/>
      <c r="F25" s="3"/>
      <c r="G25" s="3"/>
      <c r="H25" s="164"/>
      <c r="I25" s="3"/>
      <c r="J25" s="3"/>
      <c r="K25" s="3"/>
      <c r="L25" s="3"/>
      <c r="M25" s="3"/>
      <c r="N25" s="3"/>
      <c r="O25" s="3"/>
      <c r="P25" s="3"/>
      <c r="Q25" s="2"/>
    </row>
    <row x14ac:dyDescent="0.25" r="26" customHeight="1" ht="18.75">
      <c r="A26" s="3"/>
      <c r="B26" s="143" t="s">
        <v>102</v>
      </c>
      <c r="C26" s="3"/>
      <c r="D26" s="3"/>
      <c r="E26" s="3"/>
      <c r="F26" s="3"/>
      <c r="G26" s="3"/>
      <c r="H26" s="164"/>
      <c r="I26" s="3"/>
      <c r="J26" s="3"/>
      <c r="K26" s="3"/>
      <c r="L26" s="3"/>
      <c r="M26" s="3"/>
      <c r="N26" s="3"/>
      <c r="O26" s="3"/>
      <c r="P26" s="3"/>
      <c r="Q26" s="2"/>
    </row>
    <row x14ac:dyDescent="0.25" r="27" customHeight="1" ht="18.75">
      <c r="A27" s="3"/>
      <c r="B27" s="213" t="s">
        <v>366</v>
      </c>
      <c r="C27" s="208">
        <v>2023</v>
      </c>
      <c r="D27" s="208">
        <v>2024</v>
      </c>
      <c r="E27" s="208">
        <v>2025</v>
      </c>
      <c r="F27" s="3"/>
      <c r="G27" s="3"/>
      <c r="H27" s="164"/>
      <c r="I27" s="3"/>
      <c r="J27" s="3"/>
      <c r="K27" s="3"/>
      <c r="L27" s="3"/>
      <c r="M27" s="3"/>
      <c r="N27" s="3"/>
      <c r="O27" s="3"/>
      <c r="P27" s="3"/>
      <c r="Q27" s="2"/>
    </row>
    <row x14ac:dyDescent="0.25" r="28" customHeight="1" ht="18.75">
      <c r="A28" s="3"/>
      <c r="B28" s="143" t="s">
        <v>367</v>
      </c>
      <c r="C28" s="208">
        <v>8</v>
      </c>
      <c r="D28" s="208">
        <v>8</v>
      </c>
      <c r="E28" s="208">
        <v>8</v>
      </c>
      <c r="F28" s="3"/>
      <c r="G28" s="3"/>
      <c r="H28" s="164"/>
      <c r="I28" s="3"/>
      <c r="J28" s="3"/>
      <c r="K28" s="3"/>
      <c r="L28" s="3"/>
      <c r="M28" s="3"/>
      <c r="N28" s="3"/>
      <c r="O28" s="3"/>
      <c r="P28" s="3"/>
      <c r="Q28" s="2"/>
    </row>
    <row x14ac:dyDescent="0.25" r="29" customHeight="1" ht="18.75">
      <c r="A29" s="3"/>
      <c r="B29" s="143" t="s">
        <v>368</v>
      </c>
      <c r="C29" s="214">
        <v>0.4</v>
      </c>
      <c r="D29" s="214">
        <v>0.4</v>
      </c>
      <c r="E29" s="214">
        <v>0.4</v>
      </c>
      <c r="F29" s="3"/>
      <c r="G29" s="3"/>
      <c r="H29" s="164"/>
      <c r="I29" s="3"/>
      <c r="J29" s="3"/>
      <c r="K29" s="3"/>
      <c r="L29" s="3"/>
      <c r="M29" s="3"/>
      <c r="N29" s="3"/>
      <c r="O29" s="3"/>
      <c r="P29" s="3"/>
      <c r="Q29" s="2"/>
    </row>
    <row x14ac:dyDescent="0.25" r="30" customHeight="1" ht="18.75">
      <c r="A30" s="3"/>
      <c r="B30" s="143" t="s">
        <v>369</v>
      </c>
      <c r="C30" s="215">
        <f>C28*C29</f>
      </c>
      <c r="D30" s="215">
        <f>D28*D29</f>
      </c>
      <c r="E30" s="215">
        <f>E28*E29</f>
      </c>
      <c r="F30" s="3"/>
      <c r="G30" s="3"/>
      <c r="H30" s="164"/>
      <c r="I30" s="3"/>
      <c r="J30" s="3"/>
      <c r="K30" s="3"/>
      <c r="L30" s="3"/>
      <c r="M30" s="3"/>
      <c r="N30" s="3"/>
      <c r="O30" s="3"/>
      <c r="P30" s="3"/>
      <c r="Q30" s="2"/>
    </row>
    <row x14ac:dyDescent="0.25" r="31" customHeight="1" ht="18.75">
      <c r="A31" s="3"/>
      <c r="B31" s="143" t="s">
        <v>370</v>
      </c>
      <c r="C31" s="216">
        <v>366.3</v>
      </c>
      <c r="D31" s="216">
        <f>C31*(1+15%)</f>
      </c>
      <c r="E31" s="216">
        <f>D31*(1+15%)</f>
      </c>
      <c r="F31" s="3"/>
      <c r="G31" s="3"/>
      <c r="H31" s="164"/>
      <c r="I31" s="3"/>
      <c r="J31" s="3"/>
      <c r="K31" s="3"/>
      <c r="L31" s="3"/>
      <c r="M31" s="3"/>
      <c r="N31" s="3"/>
      <c r="O31" s="3"/>
      <c r="P31" s="3"/>
      <c r="Q31" s="2"/>
    </row>
    <row x14ac:dyDescent="0.25" r="32" customHeight="1" ht="18.75">
      <c r="A32" s="3"/>
      <c r="B32" s="143" t="s">
        <v>371</v>
      </c>
      <c r="C32" s="208">
        <v>5</v>
      </c>
      <c r="D32" s="208">
        <v>5</v>
      </c>
      <c r="E32" s="208">
        <v>5</v>
      </c>
      <c r="F32" s="3"/>
      <c r="G32" s="3"/>
      <c r="H32" s="164"/>
      <c r="I32" s="3"/>
      <c r="J32" s="3"/>
      <c r="K32" s="3"/>
      <c r="L32" s="3"/>
      <c r="M32" s="3"/>
      <c r="N32" s="3"/>
      <c r="O32" s="3"/>
      <c r="P32" s="3"/>
      <c r="Q32" s="2"/>
    </row>
    <row x14ac:dyDescent="0.25" r="33" customHeight="1" ht="18.75">
      <c r="A33" s="3"/>
      <c r="B33" s="143" t="s">
        <v>372</v>
      </c>
      <c r="C33" s="208">
        <v>1</v>
      </c>
      <c r="D33" s="208">
        <v>1</v>
      </c>
      <c r="E33" s="208">
        <v>1</v>
      </c>
      <c r="F33" s="3"/>
      <c r="G33" s="3"/>
      <c r="H33" s="164"/>
      <c r="I33" s="3"/>
      <c r="J33" s="3"/>
      <c r="K33" s="3"/>
      <c r="L33" s="3"/>
      <c r="M33" s="3"/>
      <c r="N33" s="3"/>
      <c r="O33" s="3"/>
      <c r="P33" s="3"/>
      <c r="Q33" s="2"/>
    </row>
    <row x14ac:dyDescent="0.25" r="34" customHeight="1" ht="18.75">
      <c r="A34" s="3"/>
      <c r="B34" s="143" t="s">
        <v>373</v>
      </c>
      <c r="C34" s="215">
        <f>C31*C33</f>
      </c>
      <c r="D34" s="216">
        <f>D31*D33</f>
      </c>
      <c r="E34" s="216">
        <f>E31*E33</f>
      </c>
      <c r="F34" s="3"/>
      <c r="G34" s="3"/>
      <c r="H34" s="164"/>
      <c r="I34" s="3"/>
      <c r="J34" s="3"/>
      <c r="K34" s="3"/>
      <c r="L34" s="3"/>
      <c r="M34" s="3"/>
      <c r="N34" s="3"/>
      <c r="O34" s="3"/>
      <c r="P34" s="3"/>
      <c r="Q34" s="2"/>
    </row>
    <row x14ac:dyDescent="0.25" r="35" customHeight="1" ht="18.75">
      <c r="A35" s="3"/>
      <c r="B35" s="143" t="s">
        <v>374</v>
      </c>
      <c r="C35" s="208">
        <f>C30*20</f>
      </c>
      <c r="D35" s="208">
        <f>D30*20</f>
      </c>
      <c r="E35" s="208">
        <f>E30*20</f>
      </c>
      <c r="F35" s="3"/>
      <c r="G35" s="3"/>
      <c r="H35" s="164"/>
      <c r="I35" s="3"/>
      <c r="J35" s="3"/>
      <c r="K35" s="3"/>
      <c r="L35" s="3"/>
      <c r="M35" s="3"/>
      <c r="N35" s="3"/>
      <c r="O35" s="3"/>
      <c r="P35" s="3"/>
      <c r="Q35" s="2"/>
    </row>
    <row x14ac:dyDescent="0.25" r="36" customHeight="1" ht="18.75">
      <c r="A36" s="3"/>
      <c r="B36" s="143" t="s">
        <v>375</v>
      </c>
      <c r="C36" s="136">
        <f>C34/C35</f>
      </c>
      <c r="D36" s="136">
        <f>D34/D35</f>
      </c>
      <c r="E36" s="136">
        <f>E34/E35</f>
      </c>
      <c r="F36" s="3"/>
      <c r="G36" s="3"/>
      <c r="H36" s="164"/>
      <c r="I36" s="3"/>
      <c r="J36" s="3"/>
      <c r="K36" s="3"/>
      <c r="L36" s="3"/>
      <c r="M36" s="3"/>
      <c r="N36" s="3"/>
      <c r="O36" s="3"/>
      <c r="P36" s="3"/>
      <c r="Q36" s="2"/>
    </row>
    <row x14ac:dyDescent="0.25" r="37" customHeight="1" ht="18.75">
      <c r="A37" s="3"/>
      <c r="B37" s="143" t="s">
        <v>376</v>
      </c>
      <c r="C37" s="136">
        <v>4</v>
      </c>
      <c r="D37" s="136">
        <f>C37+C38</f>
      </c>
      <c r="E37" s="136">
        <f>D37+D38</f>
      </c>
      <c r="F37" s="3"/>
      <c r="G37" s="3"/>
      <c r="H37" s="164"/>
      <c r="I37" s="3"/>
      <c r="J37" s="3"/>
      <c r="K37" s="3"/>
      <c r="L37" s="3"/>
      <c r="M37" s="3"/>
      <c r="N37" s="3"/>
      <c r="O37" s="3"/>
      <c r="P37" s="3"/>
      <c r="Q37" s="2"/>
    </row>
    <row x14ac:dyDescent="0.25" r="38" customHeight="1" ht="18.75">
      <c r="A38" s="3"/>
      <c r="B38" s="143" t="s">
        <v>377</v>
      </c>
      <c r="C38" s="216">
        <v>2</v>
      </c>
      <c r="D38" s="216">
        <v>1</v>
      </c>
      <c r="E38" s="216">
        <v>1</v>
      </c>
      <c r="F38" s="3"/>
      <c r="G38" s="3"/>
      <c r="H38" s="164"/>
      <c r="I38" s="3"/>
      <c r="J38" s="3"/>
      <c r="K38" s="3"/>
      <c r="L38" s="3"/>
      <c r="M38" s="3"/>
      <c r="N38" s="3"/>
      <c r="O38" s="3"/>
      <c r="P38" s="3"/>
      <c r="Q38" s="2"/>
    </row>
    <row x14ac:dyDescent="0.25" r="39" customHeight="1" ht="18.75">
      <c r="A39" s="3"/>
      <c r="B39" s="107"/>
      <c r="C39" s="3"/>
      <c r="D39" s="3"/>
      <c r="E39" s="3"/>
      <c r="F39" s="3"/>
      <c r="G39" s="3"/>
      <c r="H39" s="164"/>
      <c r="I39" s="3"/>
      <c r="J39" s="3"/>
      <c r="K39" s="3"/>
      <c r="L39" s="3"/>
      <c r="M39" s="3"/>
      <c r="N39" s="3"/>
      <c r="O39" s="3"/>
      <c r="P39" s="3"/>
      <c r="Q39" s="2"/>
    </row>
    <row x14ac:dyDescent="0.25" r="40" customHeight="1" ht="18.75" customFormat="1" s="9">
      <c r="A40" s="15"/>
      <c r="B40" s="204" t="s">
        <v>102</v>
      </c>
      <c r="C40" s="202" t="s">
        <v>378</v>
      </c>
      <c r="D40" s="202" t="s">
        <v>379</v>
      </c>
      <c r="E40" s="202">
        <v>2023</v>
      </c>
      <c r="F40" s="217" t="s">
        <v>380</v>
      </c>
      <c r="G40" s="217" t="s">
        <v>381</v>
      </c>
      <c r="H40" s="217" t="s">
        <v>381</v>
      </c>
      <c r="I40" s="217" t="s">
        <v>382</v>
      </c>
      <c r="J40" s="217" t="s">
        <v>382</v>
      </c>
      <c r="K40" s="202">
        <v>2023</v>
      </c>
      <c r="L40" s="202">
        <v>2023</v>
      </c>
      <c r="M40" s="202">
        <v>2024</v>
      </c>
      <c r="N40" s="202">
        <v>2024</v>
      </c>
      <c r="O40" s="202">
        <v>2025</v>
      </c>
      <c r="P40" s="202">
        <v>2025</v>
      </c>
      <c r="Q40" s="10"/>
    </row>
    <row x14ac:dyDescent="0.25" r="41" customHeight="1" ht="18.75" customFormat="1" s="9">
      <c r="A41" s="15"/>
      <c r="B41" s="202"/>
      <c r="C41" s="202"/>
      <c r="D41" s="202"/>
      <c r="E41" s="202" t="s">
        <v>383</v>
      </c>
      <c r="F41" s="202" t="s">
        <v>384</v>
      </c>
      <c r="G41" s="202" t="s">
        <v>383</v>
      </c>
      <c r="H41" s="205" t="s">
        <v>384</v>
      </c>
      <c r="I41" s="202" t="s">
        <v>383</v>
      </c>
      <c r="J41" s="202" t="s">
        <v>384</v>
      </c>
      <c r="K41" s="202" t="s">
        <v>350</v>
      </c>
      <c r="L41" s="202" t="s">
        <v>351</v>
      </c>
      <c r="M41" s="202" t="s">
        <v>350</v>
      </c>
      <c r="N41" s="202" t="s">
        <v>351</v>
      </c>
      <c r="O41" s="202" t="s">
        <v>350</v>
      </c>
      <c r="P41" s="202" t="s">
        <v>351</v>
      </c>
      <c r="Q41" s="10"/>
    </row>
    <row x14ac:dyDescent="0.25" r="42" customHeight="1" ht="18.75">
      <c r="A42" s="3"/>
      <c r="B42" s="218" t="s">
        <v>385</v>
      </c>
      <c r="C42" s="219">
        <v>1000</v>
      </c>
      <c r="D42" s="219">
        <v>2500</v>
      </c>
      <c r="E42" s="219">
        <f>C38</f>
      </c>
      <c r="F42" s="219">
        <f>E42</f>
      </c>
      <c r="G42" s="219">
        <v>3</v>
      </c>
      <c r="H42" s="219">
        <v>3</v>
      </c>
      <c r="I42" s="219">
        <v>4</v>
      </c>
      <c r="J42" s="219">
        <v>4</v>
      </c>
      <c r="K42" s="219">
        <f>E42*C42*12</f>
      </c>
      <c r="L42" s="219">
        <f>F42*D42*12</f>
      </c>
      <c r="M42" s="219">
        <f>G42*C42*12</f>
      </c>
      <c r="N42" s="219">
        <f>H42*D42*12</f>
      </c>
      <c r="O42" s="219">
        <f>I42*C42*12</f>
      </c>
      <c r="P42" s="219">
        <f>J42*D42*12</f>
      </c>
      <c r="Q42" s="2"/>
    </row>
    <row x14ac:dyDescent="0.25" r="43" customHeight="1" ht="18.75">
      <c r="A43" s="3"/>
      <c r="B43" s="218" t="s">
        <v>356</v>
      </c>
      <c r="C43" s="219">
        <v>30000</v>
      </c>
      <c r="D43" s="219">
        <v>40000</v>
      </c>
      <c r="E43" s="219">
        <f>E42</f>
      </c>
      <c r="F43" s="219">
        <f>F42</f>
      </c>
      <c r="G43" s="219">
        <v>1</v>
      </c>
      <c r="H43" s="219">
        <v>1</v>
      </c>
      <c r="I43" s="219">
        <v>1</v>
      </c>
      <c r="J43" s="219">
        <v>1</v>
      </c>
      <c r="K43" s="219">
        <f>E43*C43</f>
      </c>
      <c r="L43" s="219">
        <f>F43*D43</f>
      </c>
      <c r="M43" s="219">
        <f>G43*C43</f>
      </c>
      <c r="N43" s="219">
        <f>H43*D43</f>
      </c>
      <c r="O43" s="219">
        <f>C43*I43</f>
      </c>
      <c r="P43" s="219">
        <f>J43*D43</f>
      </c>
      <c r="Q43" s="2"/>
    </row>
    <row x14ac:dyDescent="0.25" r="44" customHeight="1" ht="18.75">
      <c r="A44" s="3"/>
      <c r="B44" s="107"/>
      <c r="C44" s="3"/>
      <c r="D44" s="3"/>
      <c r="E44" s="3"/>
      <c r="F44" s="3"/>
      <c r="G44" s="3"/>
      <c r="H44" s="164"/>
      <c r="I44" s="3"/>
      <c r="J44" s="3"/>
      <c r="K44" s="3"/>
      <c r="L44" s="3"/>
      <c r="M44" s="3"/>
      <c r="N44" s="3"/>
      <c r="O44" s="3"/>
      <c r="P44" s="3"/>
      <c r="Q44" s="2"/>
    </row>
    <row x14ac:dyDescent="0.25" r="45" customHeight="1" ht="18.75">
      <c r="A45" s="198">
        <v>3</v>
      </c>
      <c r="B45" s="199" t="s">
        <v>386</v>
      </c>
      <c r="C45" s="3"/>
      <c r="D45" s="208">
        <f>D42*12</f>
      </c>
      <c r="E45" s="3"/>
      <c r="F45" s="3"/>
      <c r="G45" s="3"/>
      <c r="H45" s="164"/>
      <c r="I45" s="3"/>
      <c r="J45" s="3"/>
      <c r="K45" s="3"/>
      <c r="L45" s="3"/>
      <c r="M45" s="3"/>
      <c r="N45" s="3"/>
      <c r="O45" s="3"/>
      <c r="P45" s="3"/>
      <c r="Q45" s="2"/>
    </row>
    <row x14ac:dyDescent="0.25" r="46" customHeight="1" ht="18.75">
      <c r="A46" s="3"/>
      <c r="B46" s="199"/>
      <c r="C46" s="3"/>
      <c r="D46" s="3"/>
      <c r="E46" s="3"/>
      <c r="F46" s="3"/>
      <c r="G46" s="3"/>
      <c r="H46" s="164"/>
      <c r="I46" s="3"/>
      <c r="J46" s="3"/>
      <c r="K46" s="3"/>
      <c r="L46" s="3"/>
      <c r="M46" s="3"/>
      <c r="N46" s="3"/>
      <c r="O46" s="3"/>
      <c r="P46" s="3"/>
      <c r="Q46" s="2"/>
    </row>
    <row x14ac:dyDescent="0.25" r="47" customHeight="1" ht="18.75">
      <c r="A47" s="3"/>
      <c r="B47" s="220"/>
      <c r="C47" s="221"/>
      <c r="D47" s="221"/>
      <c r="E47" s="202">
        <v>2023</v>
      </c>
      <c r="F47" s="217" t="s">
        <v>380</v>
      </c>
      <c r="G47" s="217" t="s">
        <v>381</v>
      </c>
      <c r="H47" s="217" t="s">
        <v>381</v>
      </c>
      <c r="I47" s="217" t="s">
        <v>382</v>
      </c>
      <c r="J47" s="217" t="s">
        <v>382</v>
      </c>
      <c r="K47" s="202">
        <v>2023</v>
      </c>
      <c r="L47" s="202">
        <v>2023</v>
      </c>
      <c r="M47" s="202">
        <v>2024</v>
      </c>
      <c r="N47" s="202">
        <v>2024</v>
      </c>
      <c r="O47" s="202">
        <v>2025</v>
      </c>
      <c r="P47" s="202">
        <v>2025</v>
      </c>
      <c r="Q47" s="202"/>
    </row>
    <row x14ac:dyDescent="0.25" r="48" customHeight="1" ht="18.75" customFormat="1" s="9">
      <c r="A48" s="15"/>
      <c r="B48" s="204" t="s">
        <v>102</v>
      </c>
      <c r="C48" s="202" t="s">
        <v>378</v>
      </c>
      <c r="D48" s="202" t="s">
        <v>379</v>
      </c>
      <c r="E48" s="202" t="s">
        <v>383</v>
      </c>
      <c r="F48" s="202" t="s">
        <v>384</v>
      </c>
      <c r="G48" s="202" t="s">
        <v>383</v>
      </c>
      <c r="H48" s="205" t="s">
        <v>384</v>
      </c>
      <c r="I48" s="202" t="s">
        <v>383</v>
      </c>
      <c r="J48" s="202" t="s">
        <v>384</v>
      </c>
      <c r="K48" s="202" t="s">
        <v>350</v>
      </c>
      <c r="L48" s="202" t="s">
        <v>351</v>
      </c>
      <c r="M48" s="202" t="s">
        <v>350</v>
      </c>
      <c r="N48" s="202" t="s">
        <v>351</v>
      </c>
      <c r="O48" s="202" t="s">
        <v>350</v>
      </c>
      <c r="P48" s="202" t="s">
        <v>351</v>
      </c>
      <c r="Q48" s="204" t="s">
        <v>353</v>
      </c>
    </row>
    <row x14ac:dyDescent="0.25" r="49" customHeight="1" ht="18.75">
      <c r="A49" s="3"/>
      <c r="B49" s="218" t="s">
        <v>387</v>
      </c>
      <c r="C49" s="222"/>
      <c r="D49" s="222"/>
      <c r="E49" s="222">
        <v>2</v>
      </c>
      <c r="F49" s="222">
        <v>2</v>
      </c>
      <c r="G49" s="222">
        <v>3</v>
      </c>
      <c r="H49" s="222">
        <v>3</v>
      </c>
      <c r="I49" s="222">
        <v>2</v>
      </c>
      <c r="J49" s="222">
        <v>2</v>
      </c>
      <c r="K49" s="222"/>
      <c r="L49" s="222"/>
      <c r="M49" s="222"/>
      <c r="N49" s="222"/>
      <c r="O49" s="222"/>
      <c r="P49" s="222"/>
      <c r="Q49" s="223"/>
    </row>
    <row x14ac:dyDescent="0.25" r="50" customHeight="1" ht="18.75">
      <c r="A50" s="3"/>
      <c r="B50" s="224" t="s">
        <v>388</v>
      </c>
      <c r="C50" s="219">
        <f>+C51*C52</f>
      </c>
      <c r="D50" s="219">
        <f>+D51*D52</f>
      </c>
      <c r="E50" s="219"/>
      <c r="F50" s="219"/>
      <c r="G50" s="219"/>
      <c r="H50" s="219"/>
      <c r="I50" s="219"/>
      <c r="J50" s="219"/>
      <c r="K50" s="219">
        <f>C50*E49</f>
      </c>
      <c r="L50" s="219">
        <f>D50*F49</f>
      </c>
      <c r="M50" s="219">
        <f>C50*G49+K50</f>
      </c>
      <c r="N50" s="219">
        <f>D50*H49+L50</f>
      </c>
      <c r="O50" s="219">
        <f>C50*I49+M50</f>
      </c>
      <c r="P50" s="219">
        <f>D50*J49+N50</f>
      </c>
      <c r="Q50" s="218"/>
    </row>
    <row x14ac:dyDescent="0.25" r="51" customHeight="1" ht="18.75">
      <c r="A51" s="3"/>
      <c r="B51" s="225" t="s">
        <v>389</v>
      </c>
      <c r="C51" s="222">
        <v>2</v>
      </c>
      <c r="D51" s="208">
        <v>3</v>
      </c>
      <c r="E51" s="208"/>
      <c r="F51" s="208"/>
      <c r="G51" s="208"/>
      <c r="H51" s="208"/>
      <c r="I51" s="208"/>
      <c r="J51" s="208"/>
      <c r="K51" s="208"/>
      <c r="L51" s="208"/>
      <c r="M51" s="208"/>
      <c r="N51" s="208"/>
      <c r="O51" s="208"/>
      <c r="P51" s="208"/>
      <c r="Q51" s="143" t="s">
        <v>390</v>
      </c>
    </row>
    <row x14ac:dyDescent="0.25" r="52" customHeight="1" ht="18.75">
      <c r="A52" s="3"/>
      <c r="B52" s="225" t="s">
        <v>391</v>
      </c>
      <c r="C52" s="222">
        <v>2000</v>
      </c>
      <c r="D52" s="222">
        <v>3000</v>
      </c>
      <c r="E52" s="222"/>
      <c r="F52" s="222"/>
      <c r="G52" s="222"/>
      <c r="H52" s="222"/>
      <c r="I52" s="222"/>
      <c r="J52" s="222"/>
      <c r="K52" s="222"/>
      <c r="L52" s="222"/>
      <c r="M52" s="222"/>
      <c r="N52" s="222"/>
      <c r="O52" s="222"/>
      <c r="P52" s="222"/>
      <c r="Q52" s="143" t="s">
        <v>392</v>
      </c>
    </row>
    <row x14ac:dyDescent="0.25" r="53" customHeight="1" ht="18.75">
      <c r="A53" s="3"/>
      <c r="B53" s="107"/>
      <c r="C53" s="3"/>
      <c r="D53" s="3"/>
      <c r="E53" s="3"/>
      <c r="F53" s="3"/>
      <c r="G53" s="3"/>
      <c r="H53" s="164"/>
      <c r="I53" s="3"/>
      <c r="J53" s="3"/>
      <c r="K53" s="3"/>
      <c r="L53" s="3"/>
      <c r="M53" s="3"/>
      <c r="N53" s="3"/>
      <c r="O53" s="3"/>
      <c r="P53" s="3"/>
      <c r="Q53" s="2"/>
    </row>
    <row x14ac:dyDescent="0.25" r="54" customHeight="1" ht="18.75">
      <c r="A54" s="198">
        <v>4</v>
      </c>
      <c r="B54" s="199" t="s">
        <v>393</v>
      </c>
      <c r="C54" s="3"/>
      <c r="D54" s="3"/>
      <c r="E54" s="3"/>
      <c r="F54" s="3"/>
      <c r="G54" s="3"/>
      <c r="H54" s="164"/>
      <c r="I54" s="3"/>
      <c r="J54" s="3"/>
      <c r="K54" s="3"/>
      <c r="L54" s="3"/>
      <c r="M54" s="3"/>
      <c r="N54" s="3"/>
      <c r="O54" s="3"/>
      <c r="P54" s="3"/>
      <c r="Q54" s="2"/>
    </row>
    <row x14ac:dyDescent="0.25" r="55" customHeight="1" ht="18.75">
      <c r="A55" s="3"/>
      <c r="B55" s="107"/>
      <c r="C55" s="3"/>
      <c r="D55" s="3"/>
      <c r="E55" s="3"/>
      <c r="F55" s="3"/>
      <c r="G55" s="3"/>
      <c r="H55" s="164"/>
      <c r="I55" s="3"/>
      <c r="J55" s="3"/>
      <c r="K55" s="3"/>
      <c r="L55" s="3"/>
      <c r="M55" s="3"/>
      <c r="N55" s="3"/>
      <c r="O55" s="3"/>
      <c r="P55" s="3"/>
      <c r="Q55" s="2"/>
    </row>
    <row x14ac:dyDescent="0.25" r="56" customHeight="1" ht="18.75">
      <c r="A56" s="3"/>
      <c r="B56" s="220"/>
      <c r="C56" s="221"/>
      <c r="D56" s="221"/>
      <c r="E56" s="202">
        <v>2023</v>
      </c>
      <c r="F56" s="217" t="s">
        <v>380</v>
      </c>
      <c r="G56" s="217" t="s">
        <v>381</v>
      </c>
      <c r="H56" s="217" t="s">
        <v>381</v>
      </c>
      <c r="I56" s="217" t="s">
        <v>382</v>
      </c>
      <c r="J56" s="217" t="s">
        <v>382</v>
      </c>
      <c r="K56" s="202">
        <v>2023</v>
      </c>
      <c r="L56" s="202">
        <v>2023</v>
      </c>
      <c r="M56" s="202">
        <v>2024</v>
      </c>
      <c r="N56" s="202">
        <v>2024</v>
      </c>
      <c r="O56" s="202">
        <v>2025</v>
      </c>
      <c r="P56" s="202">
        <v>2025</v>
      </c>
      <c r="Q56" s="202"/>
    </row>
    <row x14ac:dyDescent="0.25" r="57" customHeight="1" ht="18.75" customFormat="1" s="9">
      <c r="A57" s="15"/>
      <c r="B57" s="204" t="s">
        <v>102</v>
      </c>
      <c r="C57" s="202" t="s">
        <v>378</v>
      </c>
      <c r="D57" s="202" t="s">
        <v>379</v>
      </c>
      <c r="E57" s="202" t="s">
        <v>383</v>
      </c>
      <c r="F57" s="202" t="s">
        <v>384</v>
      </c>
      <c r="G57" s="202" t="s">
        <v>383</v>
      </c>
      <c r="H57" s="205" t="s">
        <v>384</v>
      </c>
      <c r="I57" s="202" t="s">
        <v>383</v>
      </c>
      <c r="J57" s="202" t="s">
        <v>384</v>
      </c>
      <c r="K57" s="202" t="s">
        <v>350</v>
      </c>
      <c r="L57" s="202" t="s">
        <v>351</v>
      </c>
      <c r="M57" s="202" t="s">
        <v>350</v>
      </c>
      <c r="N57" s="202" t="s">
        <v>351</v>
      </c>
      <c r="O57" s="202" t="s">
        <v>350</v>
      </c>
      <c r="P57" s="202" t="s">
        <v>351</v>
      </c>
      <c r="Q57" s="204" t="s">
        <v>353</v>
      </c>
    </row>
    <row x14ac:dyDescent="0.25" r="58" customHeight="1" ht="18.75" customFormat="1" s="9">
      <c r="A58" s="15"/>
      <c r="B58" s="223"/>
      <c r="C58" s="223"/>
      <c r="D58" s="223"/>
      <c r="E58" s="223"/>
      <c r="F58" s="223"/>
      <c r="G58" s="223"/>
      <c r="H58" s="223"/>
      <c r="I58" s="223"/>
      <c r="J58" s="223"/>
      <c r="K58" s="223"/>
      <c r="L58" s="223"/>
      <c r="M58" s="223"/>
      <c r="N58" s="223"/>
      <c r="O58" s="223"/>
      <c r="P58" s="223"/>
      <c r="Q58" s="223"/>
    </row>
    <row x14ac:dyDescent="0.25" r="59" customHeight="1" ht="18.75">
      <c r="A59" s="3"/>
      <c r="B59" s="218" t="s">
        <v>394</v>
      </c>
      <c r="C59" s="219"/>
      <c r="D59" s="219"/>
      <c r="E59" s="219"/>
      <c r="F59" s="219"/>
      <c r="G59" s="219"/>
      <c r="H59" s="219"/>
      <c r="I59" s="219"/>
      <c r="J59" s="219"/>
      <c r="K59" s="219"/>
      <c r="L59" s="219"/>
      <c r="M59" s="219"/>
      <c r="N59" s="219"/>
      <c r="O59" s="219"/>
      <c r="P59" s="219"/>
      <c r="Q59" s="219"/>
    </row>
    <row x14ac:dyDescent="0.25" r="60" customHeight="1" ht="18.75">
      <c r="A60" s="3"/>
      <c r="B60" s="226" t="s">
        <v>395</v>
      </c>
      <c r="C60" s="219"/>
      <c r="D60" s="219"/>
      <c r="E60" s="222">
        <v>2000</v>
      </c>
      <c r="F60" s="222">
        <v>2000</v>
      </c>
      <c r="G60" s="222">
        <v>2000</v>
      </c>
      <c r="H60" s="222">
        <v>2000</v>
      </c>
      <c r="I60" s="222">
        <v>2000</v>
      </c>
      <c r="J60" s="222">
        <v>2000</v>
      </c>
      <c r="K60" s="222"/>
      <c r="L60" s="222"/>
      <c r="M60" s="222"/>
      <c r="N60" s="222"/>
      <c r="O60" s="222"/>
      <c r="P60" s="222"/>
      <c r="Q60" s="219"/>
    </row>
    <row x14ac:dyDescent="0.25" r="61" customHeight="1" ht="18.75">
      <c r="A61" s="227"/>
      <c r="B61" s="226" t="s">
        <v>396</v>
      </c>
      <c r="C61" s="219"/>
      <c r="D61" s="219"/>
      <c r="E61" s="196">
        <v>0.1</v>
      </c>
      <c r="F61" s="196">
        <v>0.1</v>
      </c>
      <c r="G61" s="196">
        <v>0.15</v>
      </c>
      <c r="H61" s="196">
        <v>0.15</v>
      </c>
      <c r="I61" s="196">
        <v>0.2</v>
      </c>
      <c r="J61" s="196">
        <v>0.2</v>
      </c>
      <c r="K61" s="196"/>
      <c r="L61" s="222"/>
      <c r="M61" s="222"/>
      <c r="N61" s="222"/>
      <c r="O61" s="222"/>
      <c r="P61" s="222"/>
      <c r="Q61" s="219"/>
    </row>
    <row x14ac:dyDescent="0.25" r="62" customHeight="1" ht="18.75">
      <c r="A62" s="227"/>
      <c r="B62" s="226" t="s">
        <v>397</v>
      </c>
      <c r="C62" s="222"/>
      <c r="D62" s="222"/>
      <c r="E62" s="222">
        <f>E60*E61</f>
      </c>
      <c r="F62" s="222">
        <f>F60*F61</f>
      </c>
      <c r="G62" s="222">
        <f>G60*G61</f>
      </c>
      <c r="H62" s="222">
        <f>H60*H61</f>
      </c>
      <c r="I62" s="222">
        <f>I60*I61</f>
      </c>
      <c r="J62" s="222">
        <f>J60*J61</f>
      </c>
      <c r="K62" s="222"/>
      <c r="L62" s="222"/>
      <c r="M62" s="222"/>
      <c r="N62" s="222"/>
      <c r="O62" s="222"/>
      <c r="P62" s="222"/>
      <c r="Q62" s="143" t="s">
        <v>398</v>
      </c>
    </row>
    <row x14ac:dyDescent="0.25" r="63" customHeight="1" ht="18.75">
      <c r="A63" s="3"/>
      <c r="B63" s="226" t="s">
        <v>399</v>
      </c>
      <c r="C63" s="222">
        <v>100</v>
      </c>
      <c r="D63" s="222">
        <v>150</v>
      </c>
      <c r="E63" s="222"/>
      <c r="F63" s="222"/>
      <c r="G63" s="222"/>
      <c r="H63" s="222"/>
      <c r="I63" s="222"/>
      <c r="J63" s="222"/>
      <c r="K63" s="222">
        <f>$C$63*E62</f>
      </c>
      <c r="L63" s="222">
        <f>$D$63*F62</f>
      </c>
      <c r="M63" s="222">
        <f>$C$63*G62</f>
      </c>
      <c r="N63" s="222">
        <f>$D$63*H62</f>
      </c>
      <c r="O63" s="222">
        <f>$C$63*I62</f>
      </c>
      <c r="P63" s="222">
        <f>D63*J62</f>
      </c>
      <c r="Q63" s="2"/>
    </row>
    <row x14ac:dyDescent="0.25" r="64" customHeight="1" ht="18.75">
      <c r="A64" s="227"/>
      <c r="B64" s="218" t="s">
        <v>400</v>
      </c>
      <c r="C64" s="219"/>
      <c r="D64" s="219"/>
      <c r="E64" s="219"/>
      <c r="F64" s="219"/>
      <c r="G64" s="219"/>
      <c r="H64" s="219"/>
      <c r="I64" s="219"/>
      <c r="J64" s="219"/>
      <c r="K64" s="219"/>
      <c r="L64" s="219"/>
      <c r="M64" s="219"/>
      <c r="N64" s="219"/>
      <c r="O64" s="219"/>
      <c r="P64" s="219"/>
      <c r="Q64" s="218"/>
    </row>
    <row x14ac:dyDescent="0.25" r="65" customHeight="1" ht="18.75">
      <c r="A65" s="227"/>
      <c r="B65" s="226" t="s">
        <v>401</v>
      </c>
      <c r="C65" s="222">
        <v>50</v>
      </c>
      <c r="D65" s="208">
        <v>100</v>
      </c>
      <c r="E65" s="208">
        <v>50</v>
      </c>
      <c r="F65" s="208">
        <v>50</v>
      </c>
      <c r="G65" s="208">
        <v>75</v>
      </c>
      <c r="H65" s="208">
        <v>75</v>
      </c>
      <c r="I65" s="208">
        <v>100</v>
      </c>
      <c r="J65" s="208">
        <v>100</v>
      </c>
      <c r="K65" s="208"/>
      <c r="L65" s="208"/>
      <c r="M65" s="208"/>
      <c r="N65" s="208"/>
      <c r="O65" s="208"/>
      <c r="P65" s="208"/>
      <c r="Q65" s="2"/>
    </row>
    <row x14ac:dyDescent="0.25" r="66" customHeight="1" ht="18.75">
      <c r="A66" s="3"/>
      <c r="B66" s="226" t="s">
        <v>402</v>
      </c>
      <c r="C66" s="222">
        <f>12000/30</f>
      </c>
      <c r="D66" s="222">
        <f>12000/30</f>
      </c>
      <c r="E66" s="222"/>
      <c r="F66" s="222"/>
      <c r="G66" s="222"/>
      <c r="H66" s="222"/>
      <c r="I66" s="222"/>
      <c r="J66" s="222"/>
      <c r="K66" s="222">
        <f>$C$66*E65</f>
      </c>
      <c r="L66" s="222">
        <f>$D$66*F65</f>
      </c>
      <c r="M66" s="222">
        <f>$C$66*G65</f>
      </c>
      <c r="N66" s="222">
        <f>$D$66*H65</f>
      </c>
      <c r="O66" s="222">
        <f>$C$66*I65</f>
      </c>
      <c r="P66" s="222">
        <f>$D$66*J65</f>
      </c>
      <c r="Q66" s="143" t="s">
        <v>403</v>
      </c>
    </row>
    <row x14ac:dyDescent="0.25" r="67" customHeight="1" ht="18.75">
      <c r="A67" s="3"/>
      <c r="B67" s="218" t="s">
        <v>404</v>
      </c>
      <c r="C67" s="219">
        <f>+C68*C69</f>
      </c>
      <c r="D67" s="219">
        <f>+D68*D69</f>
      </c>
      <c r="E67" s="219"/>
      <c r="F67" s="219"/>
      <c r="G67" s="219"/>
      <c r="H67" s="219"/>
      <c r="I67" s="219"/>
      <c r="J67" s="219"/>
      <c r="K67" s="219"/>
      <c r="L67" s="219"/>
      <c r="M67" s="219"/>
      <c r="N67" s="219"/>
      <c r="O67" s="219"/>
      <c r="P67" s="219"/>
      <c r="Q67" s="218"/>
    </row>
    <row x14ac:dyDescent="0.25" r="68" customHeight="1" ht="18.75">
      <c r="A68" s="3"/>
      <c r="B68" s="226" t="s">
        <v>405</v>
      </c>
      <c r="C68" s="228">
        <v>0</v>
      </c>
      <c r="D68" s="228">
        <v>0</v>
      </c>
      <c r="E68" s="228"/>
      <c r="F68" s="228"/>
      <c r="G68" s="228"/>
      <c r="H68" s="228"/>
      <c r="I68" s="228"/>
      <c r="J68" s="228"/>
      <c r="K68" s="228"/>
      <c r="L68" s="228"/>
      <c r="M68" s="228"/>
      <c r="N68" s="228"/>
      <c r="O68" s="228"/>
      <c r="P68" s="228"/>
      <c r="Q68" s="2"/>
    </row>
    <row x14ac:dyDescent="0.25" r="69" customHeight="1" ht="18.75">
      <c r="A69" s="3"/>
      <c r="B69" s="226" t="s">
        <v>406</v>
      </c>
      <c r="C69" s="227"/>
      <c r="D69" s="227"/>
      <c r="E69" s="227"/>
      <c r="F69" s="227"/>
      <c r="G69" s="227"/>
      <c r="H69" s="229"/>
      <c r="I69" s="227"/>
      <c r="J69" s="227"/>
      <c r="K69" s="228">
        <v>0</v>
      </c>
      <c r="L69" s="228">
        <v>0</v>
      </c>
      <c r="M69" s="228">
        <v>0</v>
      </c>
      <c r="N69" s="228">
        <v>0</v>
      </c>
      <c r="O69" s="228">
        <v>0</v>
      </c>
      <c r="P69" s="228">
        <v>0</v>
      </c>
      <c r="Q69" s="2"/>
    </row>
    <row x14ac:dyDescent="0.25" r="70" customHeight="1" ht="18.75">
      <c r="A70" s="3"/>
      <c r="B70" s="218" t="s">
        <v>407</v>
      </c>
      <c r="C70" s="219"/>
      <c r="D70" s="219"/>
      <c r="E70" s="219"/>
      <c r="F70" s="219"/>
      <c r="G70" s="219"/>
      <c r="H70" s="219"/>
      <c r="I70" s="219"/>
      <c r="J70" s="219"/>
      <c r="K70" s="219"/>
      <c r="L70" s="219"/>
      <c r="M70" s="219"/>
      <c r="N70" s="219"/>
      <c r="O70" s="219"/>
      <c r="P70" s="219"/>
      <c r="Q70" s="218"/>
    </row>
    <row x14ac:dyDescent="0.25" r="71" customHeight="1" ht="18.75">
      <c r="A71" s="3"/>
      <c r="B71" s="226" t="s">
        <v>408</v>
      </c>
      <c r="C71" s="228">
        <v>10</v>
      </c>
      <c r="D71" s="228">
        <v>20</v>
      </c>
      <c r="E71" s="228">
        <f>12*10</f>
      </c>
      <c r="F71" s="228">
        <f>12*10</f>
      </c>
      <c r="G71" s="228">
        <f>150</f>
      </c>
      <c r="H71" s="228">
        <v>150</v>
      </c>
      <c r="I71" s="228">
        <v>170</v>
      </c>
      <c r="J71" s="228">
        <v>170</v>
      </c>
      <c r="K71" s="228"/>
      <c r="L71" s="228"/>
      <c r="M71" s="228"/>
      <c r="N71" s="228"/>
      <c r="O71" s="228"/>
      <c r="P71" s="228"/>
      <c r="Q71" s="2"/>
    </row>
    <row x14ac:dyDescent="0.25" r="72" customHeight="1" ht="18.75">
      <c r="A72" s="3"/>
      <c r="B72" s="226" t="s">
        <v>409</v>
      </c>
      <c r="C72" s="228">
        <v>200</v>
      </c>
      <c r="D72" s="228">
        <v>300</v>
      </c>
      <c r="E72" s="227"/>
      <c r="F72" s="227"/>
      <c r="G72" s="227"/>
      <c r="H72" s="229"/>
      <c r="I72" s="227"/>
      <c r="J72" s="227"/>
      <c r="K72" s="222">
        <f>$C$72*E71</f>
      </c>
      <c r="L72" s="228">
        <f>$D$72*F71</f>
      </c>
      <c r="M72" s="228">
        <f>$C$72*G71</f>
      </c>
      <c r="N72" s="228">
        <f>$D$72*H71</f>
      </c>
      <c r="O72" s="228">
        <f>$C$72*I71</f>
      </c>
      <c r="P72" s="228">
        <f>$D$72*J71</f>
      </c>
      <c r="Q72" s="143" t="s">
        <v>403</v>
      </c>
    </row>
    <row x14ac:dyDescent="0.25" r="73" customHeight="1" ht="18.75">
      <c r="A73" s="3"/>
      <c r="B73" s="218" t="s">
        <v>410</v>
      </c>
      <c r="C73" s="3"/>
      <c r="D73" s="3"/>
      <c r="E73" s="3"/>
      <c r="F73" s="3"/>
      <c r="G73" s="3"/>
      <c r="H73" s="164"/>
      <c r="I73" s="3"/>
      <c r="J73" s="3"/>
      <c r="K73" s="208">
        <f>K63+K66+K69+K72</f>
      </c>
      <c r="L73" s="208">
        <f>L63+L66+L69+L72</f>
      </c>
      <c r="M73" s="208">
        <f>M63+M66+M69+M72</f>
      </c>
      <c r="N73" s="208">
        <f>N63+N66+N69+N72</f>
      </c>
      <c r="O73" s="208">
        <f>O63+O66+O69+O72</f>
      </c>
      <c r="P73" s="208">
        <f>P63+P66+P69+P72</f>
      </c>
      <c r="Q73" s="2"/>
    </row>
    <row x14ac:dyDescent="0.25" r="74" customHeight="1" ht="18.75">
      <c r="A74" s="3"/>
      <c r="B74" s="107"/>
      <c r="C74" s="3"/>
      <c r="D74" s="3"/>
      <c r="E74" s="3"/>
      <c r="F74" s="3"/>
      <c r="G74" s="3"/>
      <c r="H74" s="164"/>
      <c r="I74" s="3"/>
      <c r="J74" s="3"/>
      <c r="K74" s="3"/>
      <c r="L74" s="3"/>
      <c r="M74" s="3"/>
      <c r="N74" s="3"/>
      <c r="O74" s="3"/>
      <c r="P74" s="3"/>
      <c r="Q74" s="2"/>
    </row>
    <row x14ac:dyDescent="0.25" r="75" customHeight="1" ht="18.75">
      <c r="A75" s="3"/>
      <c r="B75" s="107"/>
      <c r="C75" s="3"/>
      <c r="D75" s="3"/>
      <c r="E75" s="3"/>
      <c r="F75" s="3"/>
      <c r="G75" s="3"/>
      <c r="H75" s="164"/>
      <c r="I75" s="3"/>
      <c r="J75" s="3"/>
      <c r="K75" s="3"/>
      <c r="L75" s="3"/>
      <c r="M75" s="3"/>
      <c r="N75" s="3"/>
      <c r="O75" s="3"/>
      <c r="P75" s="3"/>
      <c r="Q75" s="2"/>
    </row>
    <row x14ac:dyDescent="0.25" r="76" customHeight="1" ht="18.75">
      <c r="A76" s="198">
        <v>5</v>
      </c>
      <c r="B76" s="199" t="s">
        <v>411</v>
      </c>
      <c r="C76" s="3"/>
      <c r="D76" s="3"/>
      <c r="E76" s="3"/>
      <c r="F76" s="3"/>
      <c r="G76" s="3"/>
      <c r="H76" s="164"/>
      <c r="I76" s="3"/>
      <c r="J76" s="3"/>
      <c r="K76" s="3"/>
      <c r="L76" s="3"/>
      <c r="M76" s="3"/>
      <c r="N76" s="3"/>
      <c r="O76" s="3"/>
      <c r="P76" s="3"/>
      <c r="Q76" s="2"/>
    </row>
    <row x14ac:dyDescent="0.25" r="77" customHeight="1" ht="18.75">
      <c r="A77" s="200"/>
      <c r="B77" s="199"/>
      <c r="C77" s="3"/>
      <c r="D77" s="3"/>
      <c r="E77" s="3"/>
      <c r="F77" s="3"/>
      <c r="G77" s="3"/>
      <c r="H77" s="164"/>
      <c r="I77" s="3"/>
      <c r="J77" s="3"/>
      <c r="K77" s="3"/>
      <c r="L77" s="3"/>
      <c r="M77" s="3"/>
      <c r="N77" s="3"/>
      <c r="O77" s="3"/>
      <c r="P77" s="3"/>
      <c r="Q77" s="2"/>
    </row>
    <row x14ac:dyDescent="0.25" r="78" customHeight="1" ht="18.75">
      <c r="A78" s="3"/>
      <c r="B78" s="230" t="s">
        <v>102</v>
      </c>
      <c r="C78" s="231">
        <v>2024</v>
      </c>
      <c r="D78" s="232" t="s">
        <v>412</v>
      </c>
      <c r="E78" s="3"/>
      <c r="F78" s="3"/>
      <c r="G78" s="3"/>
      <c r="H78" s="164"/>
      <c r="I78" s="3"/>
      <c r="J78" s="3"/>
      <c r="K78" s="3"/>
      <c r="L78" s="3"/>
      <c r="M78" s="3"/>
      <c r="N78" s="3"/>
      <c r="O78" s="3"/>
      <c r="P78" s="3"/>
      <c r="Q78" s="2"/>
    </row>
    <row x14ac:dyDescent="0.25" r="79" customHeight="1" ht="18.75">
      <c r="A79" s="3"/>
      <c r="B79" s="143" t="s">
        <v>413</v>
      </c>
      <c r="C79" s="233">
        <v>10000000</v>
      </c>
      <c r="D79" s="197" t="s">
        <v>414</v>
      </c>
      <c r="E79" s="3"/>
      <c r="F79" s="3"/>
      <c r="G79" s="3"/>
      <c r="H79" s="164"/>
      <c r="I79" s="3"/>
      <c r="J79" s="3"/>
      <c r="K79" s="3"/>
      <c r="L79" s="3"/>
      <c r="M79" s="3"/>
      <c r="N79" s="3"/>
      <c r="O79" s="3"/>
      <c r="P79" s="3"/>
      <c r="Q79" s="2"/>
    </row>
    <row x14ac:dyDescent="0.25" r="80" customHeight="1" ht="18.75">
      <c r="A80" s="3"/>
      <c r="B80" s="107"/>
      <c r="C80" s="3"/>
      <c r="D80" s="3"/>
      <c r="E80" s="3"/>
      <c r="F80" s="3"/>
      <c r="G80" s="3"/>
      <c r="H80" s="164"/>
      <c r="I80" s="3"/>
      <c r="J80" s="3"/>
      <c r="K80" s="3"/>
      <c r="L80" s="3"/>
      <c r="M80" s="3"/>
      <c r="N80" s="3"/>
      <c r="O80" s="3"/>
      <c r="P80" s="3"/>
      <c r="Q80" s="2"/>
    </row>
    <row x14ac:dyDescent="0.25" r="81" customHeight="1" ht="18.75">
      <c r="A81" s="3"/>
      <c r="B81" s="143" t="s">
        <v>415</v>
      </c>
      <c r="C81" s="234">
        <v>2024</v>
      </c>
      <c r="D81" s="234">
        <v>2025</v>
      </c>
      <c r="E81" s="234">
        <v>2026</v>
      </c>
      <c r="F81" s="234">
        <v>2027</v>
      </c>
      <c r="G81" s="197" t="s">
        <v>412</v>
      </c>
      <c r="H81" s="164"/>
      <c r="I81" s="3"/>
      <c r="J81" s="3"/>
      <c r="K81" s="3"/>
      <c r="L81" s="3"/>
      <c r="M81" s="3"/>
      <c r="N81" s="3"/>
      <c r="O81" s="3"/>
      <c r="P81" s="3"/>
      <c r="Q81" s="2"/>
    </row>
    <row x14ac:dyDescent="0.25" r="82" customHeight="1" ht="18.75">
      <c r="A82" s="3"/>
      <c r="B82" s="143" t="s">
        <v>416</v>
      </c>
      <c r="C82" s="208">
        <f>OCP_SalesProduct!AF21*1000</f>
      </c>
      <c r="D82" s="208">
        <f>OCP_SalesProduct!AG21*1000</f>
      </c>
      <c r="E82" s="208">
        <f>D82</f>
      </c>
      <c r="F82" s="208">
        <f>E82</f>
      </c>
      <c r="G82" s="197" t="s">
        <v>417</v>
      </c>
      <c r="H82" s="164"/>
      <c r="I82" s="3"/>
      <c r="J82" s="3"/>
      <c r="K82" s="3"/>
      <c r="L82" s="3"/>
      <c r="M82" s="3"/>
      <c r="N82" s="3"/>
      <c r="O82" s="3"/>
      <c r="P82" s="3"/>
      <c r="Q82" s="2"/>
    </row>
    <row x14ac:dyDescent="0.25" r="83" customHeight="1" ht="18.75">
      <c r="A83" s="3"/>
      <c r="B83" s="143" t="s">
        <v>418</v>
      </c>
      <c r="C83" s="208">
        <f>C82/$H$83</f>
      </c>
      <c r="D83" s="208">
        <f>D82/$H$83</f>
      </c>
      <c r="E83" s="208">
        <f>E82/$H$83</f>
      </c>
      <c r="F83" s="208">
        <f>F82/$H$83</f>
      </c>
      <c r="G83" s="197" t="s">
        <v>419</v>
      </c>
      <c r="H83" s="215">
        <f>46/12</f>
      </c>
      <c r="I83" s="3"/>
      <c r="J83" s="3"/>
      <c r="K83" s="3"/>
      <c r="L83" s="3"/>
      <c r="M83" s="3"/>
      <c r="N83" s="3"/>
      <c r="O83" s="3"/>
      <c r="P83" s="3"/>
      <c r="Q83" s="2"/>
    </row>
    <row x14ac:dyDescent="0.25" r="84" customHeight="1" ht="18.75">
      <c r="A84" s="3"/>
      <c r="B84" s="143" t="s">
        <v>420</v>
      </c>
      <c r="C84" s="208">
        <f>C82</f>
      </c>
      <c r="D84" s="208">
        <f>D82</f>
      </c>
      <c r="E84" s="208">
        <f>E82</f>
      </c>
      <c r="F84" s="208">
        <f>F82</f>
      </c>
      <c r="G84" s="3"/>
      <c r="H84" s="164"/>
      <c r="I84" s="3"/>
      <c r="J84" s="3"/>
      <c r="K84" s="3"/>
      <c r="L84" s="3"/>
      <c r="M84" s="3"/>
      <c r="N84" s="3"/>
      <c r="O84" s="3"/>
      <c r="P84" s="3"/>
      <c r="Q84" s="2"/>
    </row>
    <row x14ac:dyDescent="0.25" r="85" customHeight="1" ht="18.75">
      <c r="A85" s="3"/>
      <c r="B85" s="226" t="s">
        <v>421</v>
      </c>
      <c r="C85" s="235">
        <v>500</v>
      </c>
      <c r="D85" s="208">
        <f>$C$85</f>
      </c>
      <c r="E85" s="208">
        <f>$C$85</f>
      </c>
      <c r="F85" s="208">
        <f>$C$85</f>
      </c>
      <c r="G85" s="197" t="s">
        <v>422</v>
      </c>
      <c r="H85" s="164"/>
      <c r="I85" s="3"/>
      <c r="J85" s="3"/>
      <c r="K85" s="3"/>
      <c r="L85" s="3"/>
      <c r="M85" s="3"/>
      <c r="N85" s="3"/>
      <c r="O85" s="3"/>
      <c r="P85" s="3"/>
      <c r="Q85" s="2"/>
    </row>
    <row x14ac:dyDescent="0.25" r="86" customHeight="1" ht="18.75">
      <c r="A86" s="3"/>
      <c r="B86" s="226" t="s">
        <v>423</v>
      </c>
      <c r="C86" s="235">
        <f>217*(1+H86)</f>
      </c>
      <c r="D86" s="208">
        <f>$C$86</f>
      </c>
      <c r="E86" s="208">
        <f>$C$86</f>
      </c>
      <c r="F86" s="208">
        <f>$C$86</f>
      </c>
      <c r="G86" s="197" t="s">
        <v>424</v>
      </c>
      <c r="H86" s="214">
        <v>0.2</v>
      </c>
      <c r="I86" s="197" t="s">
        <v>425</v>
      </c>
      <c r="J86" s="3"/>
      <c r="K86" s="3"/>
      <c r="L86" s="3"/>
      <c r="M86" s="3"/>
      <c r="N86" s="3"/>
      <c r="O86" s="3"/>
      <c r="P86" s="3"/>
      <c r="Q86" s="2"/>
    </row>
    <row x14ac:dyDescent="0.25" r="87" customHeight="1" ht="18.75">
      <c r="A87" s="3"/>
      <c r="B87" s="226" t="s">
        <v>426</v>
      </c>
      <c r="C87" s="235">
        <v>397</v>
      </c>
      <c r="D87" s="208">
        <f>$C$87</f>
      </c>
      <c r="E87" s="208">
        <f>$C$87</f>
      </c>
      <c r="F87" s="208">
        <f>$C$87</f>
      </c>
      <c r="G87" s="3"/>
      <c r="H87" s="214"/>
      <c r="I87" s="3"/>
      <c r="J87" s="3"/>
      <c r="K87" s="3"/>
      <c r="L87" s="3"/>
      <c r="M87" s="3"/>
      <c r="N87" s="3"/>
      <c r="O87" s="3"/>
      <c r="P87" s="3"/>
      <c r="Q87" s="2"/>
    </row>
    <row x14ac:dyDescent="0.25" r="88" customHeight="1" ht="18.75">
      <c r="A88" s="3"/>
      <c r="B88" s="143" t="s">
        <v>427</v>
      </c>
      <c r="C88" s="208">
        <f>C82*C86+C83*C87</f>
      </c>
      <c r="D88" s="208">
        <f>D82*D86+D83*D87</f>
      </c>
      <c r="E88" s="208">
        <f>E82*E86+E83*E87</f>
      </c>
      <c r="F88" s="208">
        <f>F82*F86+F83*F87</f>
      </c>
      <c r="G88" s="3"/>
      <c r="H88" s="164"/>
      <c r="I88" s="3"/>
      <c r="J88" s="3"/>
      <c r="K88" s="3"/>
      <c r="L88" s="3"/>
      <c r="M88" s="3"/>
      <c r="N88" s="3"/>
      <c r="O88" s="3"/>
      <c r="P88" s="3"/>
      <c r="Q88" s="2"/>
    </row>
    <row x14ac:dyDescent="0.25" r="89" customHeight="1" ht="18.75">
      <c r="A89" s="3"/>
      <c r="B89" s="236" t="s">
        <v>428</v>
      </c>
      <c r="C89" s="237">
        <f>C85*C84-C88</f>
      </c>
      <c r="D89" s="237">
        <f>D85*D84-D88</f>
      </c>
      <c r="E89" s="237">
        <f>E85*E84-E88</f>
      </c>
      <c r="F89" s="237">
        <f>F85*F84-F88</f>
      </c>
      <c r="G89" s="3"/>
      <c r="H89" s="164"/>
      <c r="I89" s="3"/>
      <c r="J89" s="3"/>
      <c r="K89" s="3"/>
      <c r="L89" s="3"/>
      <c r="M89" s="3"/>
      <c r="N89" s="3"/>
      <c r="O89" s="3"/>
      <c r="P89" s="3"/>
      <c r="Q89" s="2"/>
    </row>
    <row x14ac:dyDescent="0.25" r="90" customHeight="1" ht="18.75">
      <c r="A90" s="3"/>
      <c r="B90" s="107"/>
      <c r="C90" s="136"/>
      <c r="D90" s="208"/>
      <c r="E90" s="208"/>
      <c r="F90" s="208"/>
      <c r="G90" s="3"/>
      <c r="H90" s="164"/>
      <c r="I90" s="3"/>
      <c r="J90" s="3"/>
      <c r="K90" s="3"/>
      <c r="L90" s="3"/>
      <c r="M90" s="3"/>
      <c r="N90" s="3"/>
      <c r="O90" s="3"/>
      <c r="P90" s="3"/>
      <c r="Q90" s="2"/>
    </row>
    <row x14ac:dyDescent="0.25" r="91" customHeight="1" ht="18.75">
      <c r="A91" s="3"/>
      <c r="B91" s="143" t="s">
        <v>429</v>
      </c>
      <c r="C91" s="208">
        <f>C79</f>
      </c>
      <c r="D91" s="208">
        <v>0</v>
      </c>
      <c r="E91" s="208">
        <v>0</v>
      </c>
      <c r="F91" s="208">
        <v>0</v>
      </c>
      <c r="G91" s="3"/>
      <c r="H91" s="164"/>
      <c r="I91" s="3"/>
      <c r="J91" s="3"/>
      <c r="K91" s="3"/>
      <c r="L91" s="3"/>
      <c r="M91" s="3"/>
      <c r="N91" s="3"/>
      <c r="O91" s="3"/>
      <c r="P91" s="3"/>
      <c r="Q91" s="2"/>
    </row>
    <row x14ac:dyDescent="0.25" r="92" customHeight="1" ht="18.75">
      <c r="A92" s="3"/>
      <c r="B92" s="143" t="s">
        <v>430</v>
      </c>
      <c r="C92" s="208">
        <f>SUM(C94,C96,C98)</f>
      </c>
      <c r="D92" s="208">
        <f>SUM(D94,D96,D98)</f>
      </c>
      <c r="E92" s="208">
        <f>SUM(E94,E96,E98)</f>
      </c>
      <c r="F92" s="208">
        <f>SUM(F94,F96,F98)</f>
      </c>
      <c r="G92" s="3"/>
      <c r="H92" s="164"/>
      <c r="I92" s="3"/>
      <c r="J92" s="3"/>
      <c r="K92" s="3"/>
      <c r="L92" s="3"/>
      <c r="M92" s="3"/>
      <c r="N92" s="3"/>
      <c r="O92" s="3"/>
      <c r="P92" s="3"/>
      <c r="Q92" s="2"/>
    </row>
    <row x14ac:dyDescent="0.25" r="93" customHeight="1" ht="18.75">
      <c r="A93" s="3"/>
      <c r="B93" s="143" t="s">
        <v>431</v>
      </c>
      <c r="C93" s="235">
        <v>0.07</v>
      </c>
      <c r="D93" s="235">
        <f>$C$93</f>
      </c>
      <c r="E93" s="235">
        <f>$C$93</f>
      </c>
      <c r="F93" s="235">
        <f>$C$93</f>
      </c>
      <c r="G93" s="3"/>
      <c r="H93" s="164"/>
      <c r="I93" s="3"/>
      <c r="J93" s="3"/>
      <c r="K93" s="3"/>
      <c r="L93" s="3"/>
      <c r="M93" s="3"/>
      <c r="N93" s="3"/>
      <c r="O93" s="3"/>
      <c r="P93" s="3"/>
      <c r="Q93" s="2"/>
    </row>
    <row x14ac:dyDescent="0.25" r="94" customHeight="1" ht="18.75">
      <c r="A94" s="3"/>
      <c r="B94" s="143" t="s">
        <v>432</v>
      </c>
      <c r="C94" s="208">
        <f>$C$91*C93</f>
      </c>
      <c r="D94" s="208">
        <f>$C$91*D93</f>
      </c>
      <c r="E94" s="208">
        <f>$C$91*E93</f>
      </c>
      <c r="F94" s="208">
        <f>$C$91*F93</f>
      </c>
      <c r="G94" s="3"/>
      <c r="H94" s="164"/>
      <c r="I94" s="3"/>
      <c r="J94" s="3"/>
      <c r="K94" s="3"/>
      <c r="L94" s="3"/>
      <c r="M94" s="3"/>
      <c r="N94" s="3"/>
      <c r="O94" s="3"/>
      <c r="P94" s="3"/>
      <c r="Q94" s="2"/>
    </row>
    <row x14ac:dyDescent="0.25" r="95" customHeight="1" ht="18.75">
      <c r="A95" s="3"/>
      <c r="B95" s="143" t="s">
        <v>433</v>
      </c>
      <c r="C95" s="238">
        <v>0.04</v>
      </c>
      <c r="D95" s="208">
        <f>$C$95</f>
      </c>
      <c r="E95" s="208">
        <f>$C$95</f>
      </c>
      <c r="F95" s="208">
        <f>$C$95</f>
      </c>
      <c r="G95" s="3"/>
      <c r="H95" s="164"/>
      <c r="I95" s="3"/>
      <c r="J95" s="3"/>
      <c r="K95" s="3"/>
      <c r="L95" s="3"/>
      <c r="M95" s="3"/>
      <c r="N95" s="3"/>
      <c r="O95" s="3"/>
      <c r="P95" s="3"/>
      <c r="Q95" s="2"/>
    </row>
    <row x14ac:dyDescent="0.25" r="96" customHeight="1" ht="18.75">
      <c r="A96" s="3"/>
      <c r="B96" s="143" t="s">
        <v>434</v>
      </c>
      <c r="C96" s="208">
        <f>(C82*C85*C95)</f>
      </c>
      <c r="D96" s="208">
        <f>(D82*D85*D95)</f>
      </c>
      <c r="E96" s="208">
        <f>(E82*E85*E95)</f>
      </c>
      <c r="F96" s="208">
        <f>(F82*F85*F95)</f>
      </c>
      <c r="G96" s="3"/>
      <c r="H96" s="164"/>
      <c r="I96" s="3"/>
      <c r="J96" s="3"/>
      <c r="K96" s="3"/>
      <c r="L96" s="3"/>
      <c r="M96" s="3"/>
      <c r="N96" s="3"/>
      <c r="O96" s="3"/>
      <c r="P96" s="3"/>
      <c r="Q96" s="2"/>
    </row>
    <row x14ac:dyDescent="0.25" r="97" customHeight="1" ht="18.75">
      <c r="A97" s="3"/>
      <c r="B97" s="143" t="s">
        <v>435</v>
      </c>
      <c r="C97" s="238">
        <v>0.1</v>
      </c>
      <c r="D97" s="238">
        <f>$C$97</f>
      </c>
      <c r="E97" s="238">
        <f>$C$97</f>
      </c>
      <c r="F97" s="238">
        <f>$C$97</f>
      </c>
      <c r="G97" s="3"/>
      <c r="H97" s="164"/>
      <c r="I97" s="3"/>
      <c r="J97" s="3"/>
      <c r="K97" s="3"/>
      <c r="L97" s="3"/>
      <c r="M97" s="3"/>
      <c r="N97" s="3"/>
      <c r="O97" s="3"/>
      <c r="P97" s="3"/>
      <c r="Q97" s="2"/>
    </row>
    <row x14ac:dyDescent="0.25" r="98" customHeight="1" ht="18.75">
      <c r="A98" s="3"/>
      <c r="B98" s="143" t="s">
        <v>436</v>
      </c>
      <c r="C98" s="208">
        <f>C97*(C85*C82)</f>
      </c>
      <c r="D98" s="208">
        <f>D97*(D85*D82)</f>
      </c>
      <c r="E98" s="208">
        <f>E97*(E85*E82)</f>
      </c>
      <c r="F98" s="208">
        <f>F97*(F85*F82)</f>
      </c>
      <c r="G98" s="3"/>
      <c r="H98" s="164"/>
      <c r="I98" s="3"/>
      <c r="J98" s="3"/>
      <c r="K98" s="3"/>
      <c r="L98" s="3"/>
      <c r="M98" s="3"/>
      <c r="N98" s="3"/>
      <c r="O98" s="3"/>
      <c r="P98" s="3"/>
      <c r="Q98" s="2"/>
    </row>
    <row x14ac:dyDescent="0.25" r="99" customHeight="1" ht="18.75">
      <c r="A99" s="3"/>
      <c r="B99" s="143"/>
      <c r="C99" s="208"/>
      <c r="D99" s="208"/>
      <c r="E99" s="208"/>
      <c r="F99" s="208"/>
      <c r="G99" s="3"/>
      <c r="H99" s="164"/>
      <c r="I99" s="3"/>
      <c r="J99" s="3"/>
      <c r="K99" s="3"/>
      <c r="L99" s="3"/>
      <c r="M99" s="3"/>
      <c r="N99" s="3"/>
      <c r="O99" s="3"/>
      <c r="P99" s="3"/>
      <c r="Q99" s="2"/>
    </row>
    <row x14ac:dyDescent="0.25" r="100" customHeight="1" ht="18.75">
      <c r="A100" s="3"/>
      <c r="B100" s="236" t="s">
        <v>437</v>
      </c>
      <c r="C100" s="237">
        <f>SUM(C91:C92)</f>
      </c>
      <c r="D100" s="237">
        <f>SUM(D91:D92)</f>
      </c>
      <c r="E100" s="237">
        <f>SUM(E91:E92)</f>
      </c>
      <c r="F100" s="237">
        <f>SUM(F91:F92)</f>
      </c>
      <c r="G100" s="3"/>
      <c r="H100" s="164"/>
      <c r="I100" s="3"/>
      <c r="J100" s="3"/>
      <c r="K100" s="3"/>
      <c r="L100" s="3"/>
      <c r="M100" s="3"/>
      <c r="N100" s="3"/>
      <c r="O100" s="3"/>
      <c r="P100" s="3"/>
      <c r="Q100" s="2"/>
    </row>
    <row x14ac:dyDescent="0.25" r="101" customHeight="1" ht="18.75">
      <c r="A101" s="3"/>
      <c r="B101" s="107"/>
      <c r="C101" s="208"/>
      <c r="D101" s="208"/>
      <c r="E101" s="208"/>
      <c r="F101" s="208"/>
      <c r="G101" s="3"/>
      <c r="H101" s="164"/>
      <c r="I101" s="3"/>
      <c r="J101" s="3"/>
      <c r="K101" s="3"/>
      <c r="L101" s="3"/>
      <c r="M101" s="3"/>
      <c r="N101" s="3"/>
      <c r="O101" s="3"/>
      <c r="P101" s="3"/>
      <c r="Q101" s="2"/>
    </row>
    <row x14ac:dyDescent="0.25" r="102" customHeight="1" ht="18.75">
      <c r="A102" s="3"/>
      <c r="B102" s="236" t="s">
        <v>438</v>
      </c>
      <c r="C102" s="237">
        <f>C89-C100</f>
      </c>
      <c r="D102" s="237">
        <f>D89-D100</f>
      </c>
      <c r="E102" s="237">
        <f>E89-E100</f>
      </c>
      <c r="F102" s="237">
        <f>F89-F100</f>
      </c>
      <c r="G102" s="3"/>
      <c r="H102" s="164"/>
      <c r="I102" s="3"/>
      <c r="J102" s="3"/>
      <c r="K102" s="3"/>
      <c r="L102" s="3"/>
      <c r="M102" s="3"/>
      <c r="N102" s="3"/>
      <c r="O102" s="3"/>
      <c r="P102" s="3"/>
      <c r="Q102" s="2"/>
    </row>
    <row x14ac:dyDescent="0.25" r="103" customHeight="1" ht="18.75">
      <c r="A103" s="3"/>
      <c r="B103" s="218"/>
      <c r="C103" s="219"/>
      <c r="D103" s="219"/>
      <c r="E103" s="219"/>
      <c r="F103" s="219"/>
      <c r="G103" s="3"/>
      <c r="H103" s="164"/>
      <c r="I103" s="3"/>
      <c r="J103" s="3"/>
      <c r="K103" s="3"/>
      <c r="L103" s="3"/>
      <c r="M103" s="3"/>
      <c r="N103" s="3"/>
      <c r="O103" s="3"/>
      <c r="P103" s="3"/>
      <c r="Q103" s="2"/>
    </row>
    <row x14ac:dyDescent="0.25" r="104" customHeight="1" ht="18.75">
      <c r="A104" s="3"/>
      <c r="B104" s="143" t="s">
        <v>415</v>
      </c>
      <c r="C104" s="234">
        <v>2024</v>
      </c>
      <c r="D104" s="234">
        <v>2025</v>
      </c>
      <c r="E104" s="234">
        <v>2026</v>
      </c>
      <c r="F104" s="234">
        <v>2027</v>
      </c>
      <c r="G104" s="3"/>
      <c r="H104" s="164"/>
      <c r="I104" s="3"/>
      <c r="J104" s="3"/>
      <c r="K104" s="3"/>
      <c r="L104" s="3"/>
      <c r="M104" s="3"/>
      <c r="N104" s="3"/>
      <c r="O104" s="3"/>
      <c r="P104" s="3"/>
      <c r="Q104" s="2"/>
    </row>
    <row x14ac:dyDescent="0.25" r="105" customHeight="1" ht="18.75">
      <c r="A105" s="3"/>
      <c r="B105" s="143" t="s">
        <v>416</v>
      </c>
      <c r="C105" s="208">
        <f>OCP_SalesProduct!AF29*1000</f>
      </c>
      <c r="D105" s="208">
        <f>OCP_SalesProduct!AG29*1000</f>
      </c>
      <c r="E105" s="208">
        <f>D105</f>
      </c>
      <c r="F105" s="208">
        <f>E105</f>
      </c>
      <c r="G105" s="3"/>
      <c r="H105" s="164"/>
      <c r="I105" s="3"/>
      <c r="J105" s="3"/>
      <c r="K105" s="3"/>
      <c r="L105" s="3"/>
      <c r="M105" s="3"/>
      <c r="N105" s="3"/>
      <c r="O105" s="3"/>
      <c r="P105" s="3"/>
      <c r="Q105" s="2"/>
    </row>
    <row x14ac:dyDescent="0.25" r="106" customHeight="1" ht="18.75">
      <c r="A106" s="3"/>
      <c r="B106" s="143" t="s">
        <v>418</v>
      </c>
      <c r="C106" s="208">
        <f>C105/$H$83</f>
      </c>
      <c r="D106" s="208">
        <f>D105/$H$83</f>
      </c>
      <c r="E106" s="208">
        <f>E105/$H$83</f>
      </c>
      <c r="F106" s="208">
        <f>F105/$H$83</f>
      </c>
      <c r="G106" s="3"/>
      <c r="H106" s="164"/>
      <c r="I106" s="3"/>
      <c r="J106" s="3"/>
      <c r="K106" s="3"/>
      <c r="L106" s="3"/>
      <c r="M106" s="3"/>
      <c r="N106" s="3"/>
      <c r="O106" s="3"/>
      <c r="P106" s="3"/>
      <c r="Q106" s="2"/>
    </row>
    <row x14ac:dyDescent="0.25" r="107" customHeight="1" ht="18.75">
      <c r="A107" s="3"/>
      <c r="B107" s="143" t="s">
        <v>420</v>
      </c>
      <c r="C107" s="208">
        <f>C105</f>
      </c>
      <c r="D107" s="208">
        <f>D105</f>
      </c>
      <c r="E107" s="208">
        <f>E105</f>
      </c>
      <c r="F107" s="208">
        <f>F105</f>
      </c>
      <c r="G107" s="3"/>
      <c r="H107" s="164"/>
      <c r="I107" s="3"/>
      <c r="J107" s="3"/>
      <c r="K107" s="3"/>
      <c r="L107" s="3"/>
      <c r="M107" s="3"/>
      <c r="N107" s="3"/>
      <c r="O107" s="3"/>
      <c r="P107" s="3"/>
      <c r="Q107" s="2"/>
    </row>
    <row x14ac:dyDescent="0.25" r="108" customHeight="1" ht="18.75">
      <c r="A108" s="3"/>
      <c r="B108" s="226" t="s">
        <v>421</v>
      </c>
      <c r="C108" s="208">
        <f>C85</f>
      </c>
      <c r="D108" s="208">
        <f>D85</f>
      </c>
      <c r="E108" s="208">
        <f>E85</f>
      </c>
      <c r="F108" s="208">
        <f>F85</f>
      </c>
      <c r="G108" s="3"/>
      <c r="H108" s="164"/>
      <c r="I108" s="3"/>
      <c r="J108" s="3"/>
      <c r="K108" s="3"/>
      <c r="L108" s="3"/>
      <c r="M108" s="3"/>
      <c r="N108" s="3"/>
      <c r="O108" s="3"/>
      <c r="P108" s="3"/>
      <c r="Q108" s="2"/>
    </row>
    <row x14ac:dyDescent="0.25" r="109" customHeight="1" ht="18.75">
      <c r="A109" s="3"/>
      <c r="B109" s="226" t="s">
        <v>423</v>
      </c>
      <c r="C109" s="208">
        <f>C86</f>
      </c>
      <c r="D109" s="208">
        <f>D86</f>
      </c>
      <c r="E109" s="208">
        <f>E86</f>
      </c>
      <c r="F109" s="208">
        <f>F86</f>
      </c>
      <c r="G109" s="3"/>
      <c r="H109" s="164"/>
      <c r="I109" s="3"/>
      <c r="J109" s="3"/>
      <c r="K109" s="3"/>
      <c r="L109" s="3"/>
      <c r="M109" s="3"/>
      <c r="N109" s="3"/>
      <c r="O109" s="3"/>
      <c r="P109" s="3"/>
      <c r="Q109" s="2"/>
    </row>
    <row x14ac:dyDescent="0.25" r="110" customHeight="1" ht="18.75">
      <c r="A110" s="3"/>
      <c r="B110" s="226" t="s">
        <v>426</v>
      </c>
      <c r="C110" s="208">
        <f>C87</f>
      </c>
      <c r="D110" s="208">
        <f>D87</f>
      </c>
      <c r="E110" s="208">
        <f>E87</f>
      </c>
      <c r="F110" s="208">
        <f>F87</f>
      </c>
      <c r="G110" s="3"/>
      <c r="H110" s="164"/>
      <c r="I110" s="3"/>
      <c r="J110" s="3"/>
      <c r="K110" s="3"/>
      <c r="L110" s="3"/>
      <c r="M110" s="3"/>
      <c r="N110" s="3"/>
      <c r="O110" s="3"/>
      <c r="P110" s="3"/>
      <c r="Q110" s="2"/>
    </row>
    <row x14ac:dyDescent="0.25" r="111" customHeight="1" ht="18.75">
      <c r="A111" s="3"/>
      <c r="B111" s="143" t="s">
        <v>427</v>
      </c>
      <c r="C111" s="208">
        <f>C105*C109+C106*C110</f>
      </c>
      <c r="D111" s="208">
        <f>D105*D109+D106*D110</f>
      </c>
      <c r="E111" s="208">
        <f>E105*E109+E106*E110</f>
      </c>
      <c r="F111" s="208">
        <f>F105*F109+F106*F110</f>
      </c>
      <c r="G111" s="3"/>
      <c r="H111" s="164"/>
      <c r="I111" s="3"/>
      <c r="J111" s="3"/>
      <c r="K111" s="3"/>
      <c r="L111" s="3"/>
      <c r="M111" s="3"/>
      <c r="N111" s="3"/>
      <c r="O111" s="3"/>
      <c r="P111" s="3"/>
      <c r="Q111" s="2"/>
    </row>
    <row x14ac:dyDescent="0.25" r="112" customHeight="1" ht="18.75">
      <c r="A112" s="3"/>
      <c r="B112" s="236" t="s">
        <v>428</v>
      </c>
      <c r="C112" s="237">
        <f>C108*C107-C111</f>
      </c>
      <c r="D112" s="237">
        <f>D108*D107-D111</f>
      </c>
      <c r="E112" s="237">
        <f>E108*E107-E111</f>
      </c>
      <c r="F112" s="237">
        <f>F108*F107-F111</f>
      </c>
      <c r="G112" s="3"/>
      <c r="H112" s="164"/>
      <c r="I112" s="3"/>
      <c r="J112" s="3"/>
      <c r="K112" s="3"/>
      <c r="L112" s="3"/>
      <c r="M112" s="3"/>
      <c r="N112" s="3"/>
      <c r="O112" s="3"/>
      <c r="P112" s="3"/>
      <c r="Q112" s="2"/>
    </row>
    <row x14ac:dyDescent="0.25" r="113" customHeight="1" ht="18.75">
      <c r="A113" s="3"/>
      <c r="B113" s="107"/>
      <c r="C113" s="136"/>
      <c r="D113" s="208"/>
      <c r="E113" s="208"/>
      <c r="F113" s="208"/>
      <c r="G113" s="3"/>
      <c r="H113" s="164"/>
      <c r="I113" s="3"/>
      <c r="J113" s="3"/>
      <c r="K113" s="3"/>
      <c r="L113" s="3"/>
      <c r="M113" s="3"/>
      <c r="N113" s="3"/>
      <c r="O113" s="3"/>
      <c r="P113" s="3"/>
      <c r="Q113" s="2"/>
    </row>
    <row x14ac:dyDescent="0.25" r="114" customHeight="1" ht="18.75">
      <c r="A114" s="3"/>
      <c r="B114" s="143" t="s">
        <v>429</v>
      </c>
      <c r="C114" s="208">
        <f>C79</f>
      </c>
      <c r="D114" s="208"/>
      <c r="E114" s="208"/>
      <c r="F114" s="208"/>
      <c r="G114" s="3"/>
      <c r="H114" s="164"/>
      <c r="I114" s="3"/>
      <c r="J114" s="3"/>
      <c r="K114" s="3"/>
      <c r="L114" s="3"/>
      <c r="M114" s="3"/>
      <c r="N114" s="3"/>
      <c r="O114" s="3"/>
      <c r="P114" s="3"/>
      <c r="Q114" s="2"/>
    </row>
    <row x14ac:dyDescent="0.25" r="115" customHeight="1" ht="18.75">
      <c r="A115" s="3"/>
      <c r="B115" s="143" t="s">
        <v>430</v>
      </c>
      <c r="C115" s="208">
        <f>SUM(C117,C119,C121)</f>
      </c>
      <c r="D115" s="208">
        <f>SUM(D117,D119,D121)</f>
      </c>
      <c r="E115" s="208">
        <f>SUM(E117,E119,E121)</f>
      </c>
      <c r="F115" s="208">
        <f>SUM(F117,F119,F121)</f>
      </c>
      <c r="G115" s="3"/>
      <c r="H115" s="164"/>
      <c r="I115" s="3"/>
      <c r="J115" s="3"/>
      <c r="K115" s="3"/>
      <c r="L115" s="3"/>
      <c r="M115" s="3"/>
      <c r="N115" s="3"/>
      <c r="O115" s="3"/>
      <c r="P115" s="3"/>
      <c r="Q115" s="2"/>
    </row>
    <row x14ac:dyDescent="0.25" r="116" customHeight="1" ht="18.75">
      <c r="A116" s="3"/>
      <c r="B116" s="143" t="s">
        <v>431</v>
      </c>
      <c r="C116" s="235">
        <f>C93</f>
      </c>
      <c r="D116" s="235">
        <f>D93</f>
      </c>
      <c r="E116" s="235">
        <f>E93</f>
      </c>
      <c r="F116" s="235">
        <f>F93</f>
      </c>
      <c r="G116" s="3"/>
      <c r="H116" s="164"/>
      <c r="I116" s="3"/>
      <c r="J116" s="3"/>
      <c r="K116" s="3"/>
      <c r="L116" s="3"/>
      <c r="M116" s="3"/>
      <c r="N116" s="3"/>
      <c r="O116" s="3"/>
      <c r="P116" s="3"/>
      <c r="Q116" s="2"/>
    </row>
    <row x14ac:dyDescent="0.25" r="117" customHeight="1" ht="18.75">
      <c r="A117" s="3"/>
      <c r="B117" s="143" t="s">
        <v>432</v>
      </c>
      <c r="C117" s="208">
        <f>C116*$C$114</f>
      </c>
      <c r="D117" s="208">
        <f>D116*$C$114</f>
      </c>
      <c r="E117" s="208">
        <f>E116*$C$114</f>
      </c>
      <c r="F117" s="208">
        <f>F116*$C$114</f>
      </c>
      <c r="G117" s="3"/>
      <c r="H117" s="164"/>
      <c r="I117" s="3"/>
      <c r="J117" s="3"/>
      <c r="K117" s="3"/>
      <c r="L117" s="3"/>
      <c r="M117" s="3"/>
      <c r="N117" s="3"/>
      <c r="O117" s="3"/>
      <c r="P117" s="3"/>
      <c r="Q117" s="2"/>
    </row>
    <row x14ac:dyDescent="0.25" r="118" customHeight="1" ht="18.75">
      <c r="A118" s="3"/>
      <c r="B118" s="143" t="s">
        <v>433</v>
      </c>
      <c r="C118" s="238">
        <f>C95</f>
      </c>
      <c r="D118" s="238">
        <f>D95</f>
      </c>
      <c r="E118" s="238">
        <f>E95</f>
      </c>
      <c r="F118" s="238">
        <f>F95</f>
      </c>
      <c r="G118" s="3"/>
      <c r="H118" s="164"/>
      <c r="I118" s="3"/>
      <c r="J118" s="3"/>
      <c r="K118" s="3"/>
      <c r="L118" s="3"/>
      <c r="M118" s="3"/>
      <c r="N118" s="3"/>
      <c r="O118" s="3"/>
      <c r="P118" s="3"/>
      <c r="Q118" s="2"/>
    </row>
    <row x14ac:dyDescent="0.25" r="119" customHeight="1" ht="18.75">
      <c r="A119" s="3"/>
      <c r="B119" s="143" t="s">
        <v>434</v>
      </c>
      <c r="C119" s="208">
        <f>(C105*C108*C118)</f>
      </c>
      <c r="D119" s="208">
        <f>(D105*D108*D118)</f>
      </c>
      <c r="E119" s="208">
        <f>(E105*E108*E118)</f>
      </c>
      <c r="F119" s="208">
        <f>(F105*F108*F118)</f>
      </c>
      <c r="G119" s="3"/>
      <c r="H119" s="164"/>
      <c r="I119" s="3"/>
      <c r="J119" s="3"/>
      <c r="K119" s="3"/>
      <c r="L119" s="3"/>
      <c r="M119" s="3"/>
      <c r="N119" s="3"/>
      <c r="O119" s="3"/>
      <c r="P119" s="3"/>
      <c r="Q119" s="2"/>
    </row>
    <row x14ac:dyDescent="0.25" r="120" customHeight="1" ht="18.75">
      <c r="A120" s="3"/>
      <c r="B120" s="143" t="s">
        <v>435</v>
      </c>
      <c r="C120" s="238">
        <f>C97</f>
      </c>
      <c r="D120" s="238">
        <f>D97</f>
      </c>
      <c r="E120" s="238">
        <f>E97</f>
      </c>
      <c r="F120" s="238">
        <f>F97</f>
      </c>
      <c r="G120" s="3"/>
      <c r="H120" s="164"/>
      <c r="I120" s="3"/>
      <c r="J120" s="3"/>
      <c r="K120" s="3"/>
      <c r="L120" s="3"/>
      <c r="M120" s="3"/>
      <c r="N120" s="3"/>
      <c r="O120" s="3"/>
      <c r="P120" s="3"/>
      <c r="Q120" s="2"/>
    </row>
    <row x14ac:dyDescent="0.25" r="121" customHeight="1" ht="18.75">
      <c r="A121" s="3"/>
      <c r="B121" s="143" t="s">
        <v>436</v>
      </c>
      <c r="C121" s="208">
        <f>C120*(C108*C105)</f>
      </c>
      <c r="D121" s="208">
        <f>D120*(D108*D105)</f>
      </c>
      <c r="E121" s="208">
        <f>E120*(E108*E105)</f>
      </c>
      <c r="F121" s="208">
        <f>F120*(F108*F105)</f>
      </c>
      <c r="G121" s="3"/>
      <c r="H121" s="164"/>
      <c r="I121" s="3"/>
      <c r="J121" s="3"/>
      <c r="K121" s="3"/>
      <c r="L121" s="3"/>
      <c r="M121" s="3"/>
      <c r="N121" s="3"/>
      <c r="O121" s="3"/>
      <c r="P121" s="3"/>
      <c r="Q121" s="2"/>
    </row>
    <row x14ac:dyDescent="0.25" r="122" customHeight="1" ht="18.75">
      <c r="A122" s="3"/>
      <c r="B122" s="143"/>
      <c r="C122" s="208"/>
      <c r="D122" s="208"/>
      <c r="E122" s="208"/>
      <c r="F122" s="208"/>
      <c r="G122" s="3"/>
      <c r="H122" s="164"/>
      <c r="I122" s="3"/>
      <c r="J122" s="3"/>
      <c r="K122" s="3"/>
      <c r="L122" s="3"/>
      <c r="M122" s="3"/>
      <c r="N122" s="3"/>
      <c r="O122" s="3"/>
      <c r="P122" s="3"/>
      <c r="Q122" s="2"/>
    </row>
    <row x14ac:dyDescent="0.25" r="123" customHeight="1" ht="18.75">
      <c r="A123" s="3"/>
      <c r="B123" s="236" t="s">
        <v>437</v>
      </c>
      <c r="C123" s="237">
        <f>SUM(C114:C115)</f>
      </c>
      <c r="D123" s="237">
        <f>SUM(D114:D115)</f>
      </c>
      <c r="E123" s="237">
        <f>SUM(E114:E115)</f>
      </c>
      <c r="F123" s="237">
        <f>SUM(F114:F115)</f>
      </c>
      <c r="G123" s="3"/>
      <c r="H123" s="164"/>
      <c r="I123" s="3"/>
      <c r="J123" s="3"/>
      <c r="K123" s="3"/>
      <c r="L123" s="3"/>
      <c r="M123" s="3"/>
      <c r="N123" s="3"/>
      <c r="O123" s="3"/>
      <c r="P123" s="3"/>
      <c r="Q123" s="2"/>
    </row>
    <row x14ac:dyDescent="0.25" r="124" customHeight="1" ht="18.75">
      <c r="A124" s="3"/>
      <c r="B124" s="107"/>
      <c r="C124" s="208"/>
      <c r="D124" s="208"/>
      <c r="E124" s="208"/>
      <c r="F124" s="208"/>
      <c r="G124" s="3"/>
      <c r="H124" s="164"/>
      <c r="I124" s="3"/>
      <c r="J124" s="3"/>
      <c r="K124" s="3"/>
      <c r="L124" s="3"/>
      <c r="M124" s="3"/>
      <c r="N124" s="3"/>
      <c r="O124" s="3"/>
      <c r="P124" s="3"/>
      <c r="Q124" s="2"/>
    </row>
    <row x14ac:dyDescent="0.25" r="125" customHeight="1" ht="18.75">
      <c r="A125" s="3"/>
      <c r="B125" s="236" t="s">
        <v>438</v>
      </c>
      <c r="C125" s="237">
        <f>C112-C123</f>
      </c>
      <c r="D125" s="237">
        <f>D112-D123</f>
      </c>
      <c r="E125" s="237">
        <f>E112-E123</f>
      </c>
      <c r="F125" s="237">
        <f>F112-F123</f>
      </c>
      <c r="G125" s="3"/>
      <c r="H125" s="164"/>
      <c r="I125" s="3"/>
      <c r="J125" s="3"/>
      <c r="K125" s="3"/>
      <c r="L125" s="3"/>
      <c r="M125" s="3"/>
      <c r="N125" s="3"/>
      <c r="O125" s="3"/>
      <c r="P125" s="3"/>
      <c r="Q12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75"/>
  <sheetViews>
    <sheetView workbookViewId="0"/>
  </sheetViews>
  <sheetFormatPr defaultRowHeight="15" x14ac:dyDescent="0.25"/>
  <cols>
    <col min="1" max="1" style="126" width="24.719285714285714" customWidth="1" bestFit="1"/>
    <col min="2" max="2" style="126" width="36.005" customWidth="1" bestFit="1"/>
    <col min="3" max="3" style="183" width="29.576428571428572" customWidth="1" bestFit="1"/>
    <col min="4" max="4" style="184" width="9.862142857142858" customWidth="1" bestFit="1"/>
    <col min="5" max="5" style="184" width="9.862142857142858" customWidth="1" bestFit="1"/>
    <col min="6" max="6" style="185" width="9.862142857142858" customWidth="1" bestFit="1"/>
    <col min="7" max="7" style="102" width="10.147857142857141" customWidth="1" bestFit="1"/>
    <col min="8" max="8" style="101" width="11.147857142857141" customWidth="1" bestFit="1"/>
    <col min="9" max="9" style="100" width="13.576428571428572" customWidth="1" bestFit="1"/>
    <col min="10" max="10" style="100" width="13.576428571428572" customWidth="1" bestFit="1"/>
    <col min="11" max="11" style="100" width="13.576428571428572" customWidth="1" bestFit="1"/>
    <col min="12" max="12" style="100" width="13.576428571428572" customWidth="1" bestFit="1"/>
    <col min="13" max="13" style="100" width="13.576428571428572" customWidth="1" bestFit="1"/>
  </cols>
  <sheetData>
    <row x14ac:dyDescent="0.25" r="1" customHeight="1" ht="51">
      <c r="A1" s="107"/>
      <c r="B1" s="107"/>
      <c r="C1" s="152" t="s">
        <v>305</v>
      </c>
      <c r="D1" s="63">
        <v>2014</v>
      </c>
      <c r="E1" s="63">
        <v>2015</v>
      </c>
      <c r="F1" s="63">
        <v>2016</v>
      </c>
      <c r="G1" s="63">
        <v>2016</v>
      </c>
      <c r="H1" s="3"/>
      <c r="I1" s="2"/>
      <c r="J1" s="2"/>
      <c r="K1" s="2"/>
      <c r="L1" s="2"/>
      <c r="M1" s="2"/>
    </row>
    <row x14ac:dyDescent="0.25" r="2" customHeight="1" ht="24">
      <c r="A2" s="107"/>
      <c r="B2" s="107" t="s">
        <v>306</v>
      </c>
      <c r="C2" s="152" t="s">
        <v>307</v>
      </c>
      <c r="D2" s="153" t="s">
        <v>308</v>
      </c>
      <c r="E2" s="153" t="s">
        <v>308</v>
      </c>
      <c r="F2" s="154" t="s">
        <v>308</v>
      </c>
      <c r="G2" s="153" t="s">
        <v>309</v>
      </c>
      <c r="H2" s="153" t="s">
        <v>310</v>
      </c>
      <c r="I2" s="2"/>
      <c r="J2" s="2"/>
      <c r="K2" s="2"/>
      <c r="L2" s="2"/>
      <c r="M2" s="2"/>
    </row>
    <row x14ac:dyDescent="0.25" r="3" customHeight="1" ht="18.75">
      <c r="A3" s="155" t="s">
        <v>298</v>
      </c>
      <c r="B3" s="156" t="s">
        <v>25</v>
      </c>
      <c r="C3" s="157">
        <v>0.46</v>
      </c>
      <c r="D3" s="158">
        <v>20962</v>
      </c>
      <c r="E3" s="158">
        <v>23275</v>
      </c>
      <c r="F3" s="158">
        <v>21760</v>
      </c>
      <c r="G3" s="158">
        <f>C3*F3</f>
      </c>
      <c r="H3" s="158">
        <f>G3*1000</f>
      </c>
      <c r="I3" s="156"/>
      <c r="J3" s="156"/>
      <c r="K3" s="156"/>
      <c r="L3" s="156"/>
      <c r="M3" s="156"/>
    </row>
    <row x14ac:dyDescent="0.25" r="4" customHeight="1" ht="18.75">
      <c r="A4" s="123"/>
      <c r="B4" s="107" t="s">
        <v>311</v>
      </c>
      <c r="C4" s="159">
        <v>0.1</v>
      </c>
      <c r="D4" s="63">
        <v>2381</v>
      </c>
      <c r="E4" s="63">
        <v>4147</v>
      </c>
      <c r="F4" s="63">
        <v>7860</v>
      </c>
      <c r="G4" s="63">
        <f>C4*F4</f>
      </c>
      <c r="H4" s="63">
        <f>G4*1000</f>
      </c>
      <c r="I4" s="2"/>
      <c r="J4" s="2"/>
      <c r="K4" s="2"/>
      <c r="L4" s="2"/>
      <c r="M4" s="2"/>
    </row>
    <row x14ac:dyDescent="0.25" r="5" customHeight="1" ht="18.75">
      <c r="A5" s="123"/>
      <c r="B5" s="107" t="s">
        <v>312</v>
      </c>
      <c r="C5" s="63">
        <v>0</v>
      </c>
      <c r="D5" s="63">
        <v>500</v>
      </c>
      <c r="E5" s="63">
        <v>5906</v>
      </c>
      <c r="F5" s="63">
        <v>10239</v>
      </c>
      <c r="G5" s="63">
        <f>C5*F5</f>
      </c>
      <c r="H5" s="63">
        <f>G5*1000</f>
      </c>
      <c r="I5" s="2"/>
      <c r="J5" s="2"/>
      <c r="K5" s="2"/>
      <c r="L5" s="2"/>
      <c r="M5" s="2"/>
    </row>
    <row x14ac:dyDescent="0.25" r="6" customHeight="1" ht="18.75">
      <c r="A6" s="123"/>
      <c r="B6" s="107" t="s">
        <v>38</v>
      </c>
      <c r="C6" s="159">
        <v>0.46</v>
      </c>
      <c r="D6" s="63">
        <v>0</v>
      </c>
      <c r="E6" s="63">
        <v>108</v>
      </c>
      <c r="F6" s="63">
        <v>153</v>
      </c>
      <c r="G6" s="63">
        <f>C6*F6</f>
      </c>
      <c r="H6" s="63">
        <f>G6*1000</f>
      </c>
      <c r="I6" s="2"/>
      <c r="J6" s="2"/>
      <c r="K6" s="2"/>
      <c r="L6" s="2"/>
      <c r="M6" s="2"/>
    </row>
    <row x14ac:dyDescent="0.25" r="7" customHeight="1" ht="18.75">
      <c r="A7" s="123"/>
      <c r="B7" s="107" t="s">
        <v>74</v>
      </c>
      <c r="C7" s="160">
        <v>0</v>
      </c>
      <c r="D7" s="63">
        <v>93083</v>
      </c>
      <c r="E7" s="63">
        <v>73662</v>
      </c>
      <c r="F7" s="63">
        <v>93552</v>
      </c>
      <c r="G7" s="63">
        <f>C7*F7</f>
      </c>
      <c r="H7" s="63">
        <f>G7*1000</f>
      </c>
      <c r="I7" s="2"/>
      <c r="J7" s="2"/>
      <c r="K7" s="2"/>
      <c r="L7" s="2"/>
      <c r="M7" s="2"/>
    </row>
    <row x14ac:dyDescent="0.25" r="8" customHeight="1" ht="18.75">
      <c r="A8" s="161"/>
      <c r="B8" s="161" t="s">
        <v>313</v>
      </c>
      <c r="C8" s="162">
        <v>0</v>
      </c>
      <c r="D8" s="162">
        <v>14724</v>
      </c>
      <c r="E8" s="162">
        <v>0</v>
      </c>
      <c r="F8" s="162">
        <v>13482</v>
      </c>
      <c r="G8" s="162">
        <f>C8*F8</f>
      </c>
      <c r="H8" s="162">
        <f>G8*1000</f>
      </c>
      <c r="I8" s="161"/>
      <c r="J8" s="161"/>
      <c r="K8" s="161"/>
      <c r="L8" s="161"/>
      <c r="M8" s="161"/>
    </row>
    <row x14ac:dyDescent="0.25" r="9" customHeight="1" ht="18.75">
      <c r="A9" s="155" t="s">
        <v>231</v>
      </c>
      <c r="B9" s="107" t="s">
        <v>25</v>
      </c>
      <c r="C9" s="157">
        <v>0.46</v>
      </c>
      <c r="D9" s="63">
        <v>8455</v>
      </c>
      <c r="E9" s="63">
        <v>7305</v>
      </c>
      <c r="F9" s="63">
        <v>8837</v>
      </c>
      <c r="G9" s="63">
        <f>C9*F9</f>
      </c>
      <c r="H9" s="63">
        <f>G9*1000</f>
      </c>
      <c r="I9" s="2"/>
      <c r="J9" s="2"/>
      <c r="K9" s="2"/>
      <c r="L9" s="2"/>
      <c r="M9" s="2"/>
    </row>
    <row x14ac:dyDescent="0.25" r="10" customHeight="1" ht="18.75">
      <c r="A10" s="123"/>
      <c r="B10" s="107" t="s">
        <v>314</v>
      </c>
      <c r="C10" s="63">
        <v>21</v>
      </c>
      <c r="D10" s="63">
        <v>8487</v>
      </c>
      <c r="E10" s="63">
        <v>0</v>
      </c>
      <c r="F10" s="63">
        <v>0</v>
      </c>
      <c r="G10" s="63">
        <f>C10*F10</f>
      </c>
      <c r="H10" s="63">
        <f>G10*1000</f>
      </c>
      <c r="I10" s="2"/>
      <c r="J10" s="2"/>
      <c r="K10" s="2"/>
      <c r="L10" s="2"/>
      <c r="M10" s="2"/>
    </row>
    <row x14ac:dyDescent="0.25" r="11" customHeight="1" ht="18.75">
      <c r="A11" s="123"/>
      <c r="B11" s="107" t="s">
        <v>38</v>
      </c>
      <c r="C11" s="159">
        <v>0.46</v>
      </c>
      <c r="D11" s="63">
        <v>0</v>
      </c>
      <c r="E11" s="63">
        <v>109</v>
      </c>
      <c r="F11" s="63">
        <v>149</v>
      </c>
      <c r="G11" s="63">
        <f>C11*F11</f>
      </c>
      <c r="H11" s="63">
        <f>G11*1000</f>
      </c>
      <c r="I11" s="2"/>
      <c r="J11" s="2"/>
      <c r="K11" s="2"/>
      <c r="L11" s="2"/>
      <c r="M11" s="2"/>
    </row>
    <row x14ac:dyDescent="0.25" r="12" customHeight="1" ht="18.75">
      <c r="A12" s="161"/>
      <c r="B12" s="161" t="s">
        <v>74</v>
      </c>
      <c r="C12" s="162">
        <v>0</v>
      </c>
      <c r="D12" s="162">
        <v>15104</v>
      </c>
      <c r="E12" s="162">
        <v>18756</v>
      </c>
      <c r="F12" s="162">
        <v>24493</v>
      </c>
      <c r="G12" s="162">
        <f>C12*F12</f>
      </c>
      <c r="H12" s="162">
        <f>G12*1000</f>
      </c>
      <c r="I12" s="161"/>
      <c r="J12" s="161"/>
      <c r="K12" s="161"/>
      <c r="L12" s="161"/>
      <c r="M12" s="161"/>
    </row>
    <row x14ac:dyDescent="0.25" r="13" customHeight="1" ht="18.75">
      <c r="A13" s="155" t="s">
        <v>315</v>
      </c>
      <c r="B13" s="107" t="s">
        <v>38</v>
      </c>
      <c r="C13" s="159">
        <v>0.46</v>
      </c>
      <c r="D13" s="63">
        <v>0</v>
      </c>
      <c r="E13" s="63">
        <v>1450</v>
      </c>
      <c r="F13" s="63">
        <v>721</v>
      </c>
      <c r="G13" s="63">
        <f>C13*F13</f>
      </c>
      <c r="H13" s="63">
        <f>G13*1000</f>
      </c>
      <c r="I13" s="2"/>
      <c r="J13" s="2"/>
      <c r="K13" s="2"/>
      <c r="L13" s="2"/>
      <c r="M13" s="2"/>
    </row>
    <row x14ac:dyDescent="0.25" r="14" customHeight="1" ht="18.75">
      <c r="A14" s="123"/>
      <c r="B14" s="107" t="s">
        <v>316</v>
      </c>
      <c r="C14" s="159">
        <v>0.17</v>
      </c>
      <c r="D14" s="63">
        <v>5923</v>
      </c>
      <c r="E14" s="63">
        <v>5929</v>
      </c>
      <c r="F14" s="63">
        <v>5393</v>
      </c>
      <c r="G14" s="63">
        <f>C14*F14</f>
      </c>
      <c r="H14" s="63">
        <f>G14*1000</f>
      </c>
      <c r="I14" s="2"/>
      <c r="J14" s="2"/>
      <c r="K14" s="2"/>
      <c r="L14" s="2"/>
      <c r="M14" s="2"/>
    </row>
    <row x14ac:dyDescent="0.25" r="15" customHeight="1" ht="18.75">
      <c r="A15" s="123"/>
      <c r="B15" s="107" t="s">
        <v>313</v>
      </c>
      <c r="C15" s="159">
        <v>0</v>
      </c>
      <c r="D15" s="63">
        <v>2089</v>
      </c>
      <c r="E15" s="63">
        <v>0</v>
      </c>
      <c r="F15" s="63">
        <v>2397</v>
      </c>
      <c r="G15" s="63">
        <f>C15*F15</f>
      </c>
      <c r="H15" s="63">
        <f>G15*1000</f>
      </c>
      <c r="I15" s="2"/>
      <c r="J15" s="2"/>
      <c r="K15" s="2"/>
      <c r="L15" s="2"/>
      <c r="M15" s="2"/>
    </row>
    <row x14ac:dyDescent="0.25" r="16" customHeight="1" ht="18.75">
      <c r="A16" s="161"/>
      <c r="B16" s="161" t="s">
        <v>312</v>
      </c>
      <c r="C16" s="162">
        <v>0</v>
      </c>
      <c r="D16" s="162">
        <v>7456</v>
      </c>
      <c r="E16" s="162">
        <v>7002</v>
      </c>
      <c r="F16" s="162">
        <v>6435</v>
      </c>
      <c r="G16" s="162">
        <f>C16*F16</f>
      </c>
      <c r="H16" s="162">
        <f>G16*1000</f>
      </c>
      <c r="I16" s="161"/>
      <c r="J16" s="161"/>
      <c r="K16" s="161"/>
      <c r="L16" s="161"/>
      <c r="M16" s="161"/>
    </row>
    <row x14ac:dyDescent="0.25" r="17" customHeight="1" ht="18.75">
      <c r="A17" s="163" t="s">
        <v>317</v>
      </c>
      <c r="B17" s="107" t="s">
        <v>25</v>
      </c>
      <c r="C17" s="157">
        <v>0.46</v>
      </c>
      <c r="D17" s="63">
        <v>0</v>
      </c>
      <c r="E17" s="63">
        <v>0</v>
      </c>
      <c r="F17" s="63">
        <v>2252</v>
      </c>
      <c r="G17" s="63">
        <f>C17*F17</f>
      </c>
      <c r="H17" s="63">
        <f>G17*1000</f>
      </c>
      <c r="I17" s="2"/>
      <c r="J17" s="2"/>
      <c r="K17" s="2"/>
      <c r="L17" s="2"/>
      <c r="M17" s="2"/>
    </row>
    <row x14ac:dyDescent="0.25" r="18" customHeight="1" ht="18.75">
      <c r="A18" s="123"/>
      <c r="B18" s="107" t="s">
        <v>318</v>
      </c>
      <c r="C18" s="159">
        <v>0.15</v>
      </c>
      <c r="D18" s="63">
        <v>1238</v>
      </c>
      <c r="E18" s="63">
        <v>0</v>
      </c>
      <c r="F18" s="63">
        <v>0</v>
      </c>
      <c r="G18" s="63">
        <f>C18*F18</f>
      </c>
      <c r="H18" s="63">
        <f>G18*1000</f>
      </c>
      <c r="I18" s="2"/>
      <c r="J18" s="2"/>
      <c r="K18" s="2"/>
      <c r="L18" s="2"/>
      <c r="M18" s="2"/>
    </row>
    <row x14ac:dyDescent="0.25" r="19" customHeight="1" ht="18.75">
      <c r="A19" s="123"/>
      <c r="B19" s="107" t="s">
        <v>313</v>
      </c>
      <c r="C19" s="159">
        <v>0</v>
      </c>
      <c r="D19" s="63">
        <v>611</v>
      </c>
      <c r="E19" s="63">
        <v>0</v>
      </c>
      <c r="F19" s="63">
        <v>8174</v>
      </c>
      <c r="G19" s="63">
        <f>C19*F19</f>
      </c>
      <c r="H19" s="63">
        <f>G19*1000</f>
      </c>
      <c r="I19" s="2"/>
      <c r="J19" s="2"/>
      <c r="K19" s="2"/>
      <c r="L19" s="2"/>
      <c r="M19" s="2"/>
    </row>
    <row x14ac:dyDescent="0.25" r="20" customHeight="1" ht="18.75">
      <c r="A20" s="123"/>
      <c r="B20" s="107" t="s">
        <v>319</v>
      </c>
      <c r="C20" s="159">
        <v>0.1</v>
      </c>
      <c r="D20" s="63">
        <v>17238</v>
      </c>
      <c r="E20" s="63">
        <v>13603</v>
      </c>
      <c r="F20" s="63">
        <v>2667</v>
      </c>
      <c r="G20" s="63">
        <f>C20*F20</f>
      </c>
      <c r="H20" s="63">
        <f>G20*1000</f>
      </c>
      <c r="I20" s="2"/>
      <c r="J20" s="2"/>
      <c r="K20" s="2"/>
      <c r="L20" s="2"/>
      <c r="M20" s="2"/>
    </row>
    <row x14ac:dyDescent="0.25" r="21" customHeight="1" ht="18.75">
      <c r="A21" s="161"/>
      <c r="B21" s="161" t="s">
        <v>312</v>
      </c>
      <c r="C21" s="162">
        <v>0</v>
      </c>
      <c r="D21" s="162">
        <v>10226</v>
      </c>
      <c r="E21" s="162">
        <v>8938</v>
      </c>
      <c r="F21" s="162">
        <v>13600</v>
      </c>
      <c r="G21" s="162">
        <f>C21*F21</f>
      </c>
      <c r="H21" s="162">
        <f>G21*1000</f>
      </c>
      <c r="I21" s="161"/>
      <c r="J21" s="161"/>
      <c r="K21" s="161"/>
      <c r="L21" s="161"/>
      <c r="M21" s="161"/>
    </row>
    <row x14ac:dyDescent="0.25" r="22" customHeight="1" ht="18.75">
      <c r="A22" s="163" t="s">
        <v>320</v>
      </c>
      <c r="B22" s="107" t="s">
        <v>25</v>
      </c>
      <c r="C22" s="157">
        <v>0.46</v>
      </c>
      <c r="D22" s="63">
        <v>0</v>
      </c>
      <c r="E22" s="63">
        <v>0</v>
      </c>
      <c r="F22" s="63">
        <v>563</v>
      </c>
      <c r="G22" s="63">
        <f>C22*F22</f>
      </c>
      <c r="H22" s="63">
        <f>G22*1000</f>
      </c>
      <c r="I22" s="2"/>
      <c r="J22" s="2"/>
      <c r="K22" s="2"/>
      <c r="L22" s="2"/>
      <c r="M22" s="2"/>
    </row>
    <row x14ac:dyDescent="0.25" r="23" customHeight="1" ht="18.75">
      <c r="A23" s="123"/>
      <c r="B23" s="107" t="s">
        <v>318</v>
      </c>
      <c r="C23" s="164"/>
      <c r="D23" s="63">
        <v>310</v>
      </c>
      <c r="E23" s="63">
        <v>0</v>
      </c>
      <c r="F23" s="63">
        <v>0</v>
      </c>
      <c r="G23" s="63">
        <f>C23*F23</f>
      </c>
      <c r="H23" s="63">
        <f>G23*1000</f>
      </c>
      <c r="I23" s="2"/>
      <c r="J23" s="2"/>
      <c r="K23" s="2"/>
      <c r="L23" s="2"/>
      <c r="M23" s="2"/>
    </row>
    <row x14ac:dyDescent="0.25" r="24" customHeight="1" ht="18.75">
      <c r="A24" s="123"/>
      <c r="B24" s="107" t="s">
        <v>313</v>
      </c>
      <c r="C24" s="63">
        <v>0</v>
      </c>
      <c r="D24" s="63">
        <v>153</v>
      </c>
      <c r="E24" s="63">
        <v>0</v>
      </c>
      <c r="F24" s="63">
        <v>2044</v>
      </c>
      <c r="G24" s="63">
        <f>C24*F24</f>
      </c>
      <c r="H24" s="63">
        <f>G24*1000</f>
      </c>
      <c r="I24" s="2"/>
      <c r="J24" s="2"/>
      <c r="K24" s="2"/>
      <c r="L24" s="2"/>
      <c r="M24" s="2"/>
    </row>
    <row x14ac:dyDescent="0.25" r="25" customHeight="1" ht="18.75">
      <c r="A25" s="123"/>
      <c r="B25" s="107" t="s">
        <v>321</v>
      </c>
      <c r="C25" s="159">
        <v>0.1</v>
      </c>
      <c r="D25" s="63">
        <v>4310</v>
      </c>
      <c r="E25" s="63">
        <v>3401</v>
      </c>
      <c r="F25" s="63">
        <v>667</v>
      </c>
      <c r="G25" s="63">
        <f>C25*F25</f>
      </c>
      <c r="H25" s="63">
        <f>G25*1000</f>
      </c>
      <c r="I25" s="2"/>
      <c r="J25" s="2"/>
      <c r="K25" s="2"/>
      <c r="L25" s="2"/>
      <c r="M25" s="2"/>
    </row>
    <row x14ac:dyDescent="0.25" r="26" customHeight="1" ht="18.75">
      <c r="A26" s="161"/>
      <c r="B26" s="161" t="s">
        <v>312</v>
      </c>
      <c r="C26" s="162">
        <v>0</v>
      </c>
      <c r="D26" s="162">
        <v>2557</v>
      </c>
      <c r="E26" s="162">
        <v>2235</v>
      </c>
      <c r="F26" s="162">
        <v>3400</v>
      </c>
      <c r="G26" s="162">
        <f>C26*F26</f>
      </c>
      <c r="H26" s="162">
        <f>G26*1000</f>
      </c>
      <c r="I26" s="161"/>
      <c r="J26" s="161"/>
      <c r="K26" s="161"/>
      <c r="L26" s="161"/>
      <c r="M26" s="161"/>
    </row>
    <row x14ac:dyDescent="0.25" r="27" customHeight="1" ht="18.75">
      <c r="A27" s="163" t="s">
        <v>322</v>
      </c>
      <c r="B27" s="107" t="s">
        <v>38</v>
      </c>
      <c r="C27" s="159">
        <v>0.46</v>
      </c>
      <c r="D27" s="63">
        <v>0</v>
      </c>
      <c r="E27" s="63">
        <v>200</v>
      </c>
      <c r="F27" s="63">
        <v>200</v>
      </c>
      <c r="G27" s="63">
        <f>C27*F27</f>
      </c>
      <c r="H27" s="63">
        <f>G27*1000</f>
      </c>
      <c r="I27" s="2"/>
      <c r="J27" s="2"/>
      <c r="K27" s="2"/>
      <c r="L27" s="2"/>
      <c r="M27" s="2"/>
    </row>
    <row x14ac:dyDescent="0.25" r="28" customHeight="1" ht="18.75">
      <c r="A28" s="123"/>
      <c r="B28" s="107" t="s">
        <v>323</v>
      </c>
      <c r="C28" s="63">
        <v>0</v>
      </c>
      <c r="D28" s="63">
        <v>200</v>
      </c>
      <c r="E28" s="63">
        <v>0</v>
      </c>
      <c r="F28" s="63">
        <v>0</v>
      </c>
      <c r="G28" s="63">
        <f>C28*F28</f>
      </c>
      <c r="H28" s="63">
        <f>G28*1000</f>
      </c>
      <c r="I28" s="2"/>
      <c r="J28" s="2"/>
      <c r="K28" s="2"/>
      <c r="L28" s="2"/>
      <c r="M28" s="2"/>
    </row>
    <row x14ac:dyDescent="0.25" r="29" customHeight="1" ht="18.75">
      <c r="A29" s="161"/>
      <c r="B29" s="161" t="s">
        <v>324</v>
      </c>
      <c r="C29" s="165">
        <v>0.18</v>
      </c>
      <c r="D29" s="162">
        <v>13833</v>
      </c>
      <c r="E29" s="162">
        <v>10020</v>
      </c>
      <c r="F29" s="162">
        <v>8875</v>
      </c>
      <c r="G29" s="162">
        <f>C29*F29</f>
      </c>
      <c r="H29" s="162">
        <f>G29*1000</f>
      </c>
      <c r="I29" s="161"/>
      <c r="J29" s="161"/>
      <c r="K29" s="161"/>
      <c r="L29" s="161"/>
      <c r="M29" s="161"/>
    </row>
    <row x14ac:dyDescent="0.25" r="30" customHeight="1" ht="18.75">
      <c r="A30" s="155" t="s">
        <v>325</v>
      </c>
      <c r="B30" s="107" t="s">
        <v>38</v>
      </c>
      <c r="C30" s="159">
        <v>0.46</v>
      </c>
      <c r="D30" s="63">
        <v>0</v>
      </c>
      <c r="E30" s="63">
        <v>0</v>
      </c>
      <c r="F30" s="63">
        <v>0</v>
      </c>
      <c r="G30" s="63">
        <f>C30*F30</f>
      </c>
      <c r="H30" s="63">
        <f>G30*1000</f>
      </c>
      <c r="I30" s="2"/>
      <c r="J30" s="2"/>
      <c r="K30" s="2"/>
      <c r="L30" s="2"/>
      <c r="M30" s="2"/>
    </row>
    <row x14ac:dyDescent="0.25" r="31" customHeight="1" ht="18.75">
      <c r="A31" s="123"/>
      <c r="B31" s="107" t="s">
        <v>323</v>
      </c>
      <c r="C31" s="159">
        <v>0</v>
      </c>
      <c r="D31" s="63">
        <v>350</v>
      </c>
      <c r="E31" s="63">
        <v>350</v>
      </c>
      <c r="F31" s="63">
        <v>200</v>
      </c>
      <c r="G31" s="63">
        <f>C31*F31</f>
      </c>
      <c r="H31" s="63">
        <f>G31*1000</f>
      </c>
      <c r="I31" s="2"/>
      <c r="J31" s="2"/>
      <c r="K31" s="2"/>
      <c r="L31" s="2"/>
      <c r="M31" s="2"/>
    </row>
    <row x14ac:dyDescent="0.25" r="32" customHeight="1" ht="18.75">
      <c r="A32" s="161"/>
      <c r="B32" s="161" t="s">
        <v>326</v>
      </c>
      <c r="C32" s="165">
        <v>0.1</v>
      </c>
      <c r="D32" s="162">
        <v>5396</v>
      </c>
      <c r="E32" s="162">
        <v>3830</v>
      </c>
      <c r="F32" s="162">
        <v>2982</v>
      </c>
      <c r="G32" s="162">
        <f>C32*F32</f>
      </c>
      <c r="H32" s="162">
        <f>G32*1000</f>
      </c>
      <c r="I32" s="161"/>
      <c r="J32" s="161"/>
      <c r="K32" s="161"/>
      <c r="L32" s="161"/>
      <c r="M32" s="161"/>
    </row>
    <row x14ac:dyDescent="0.25" r="33" customHeight="1" ht="18.75">
      <c r="A33" s="166" t="s">
        <v>327</v>
      </c>
      <c r="B33" s="107" t="s">
        <v>38</v>
      </c>
      <c r="C33" s="159">
        <v>0.46</v>
      </c>
      <c r="D33" s="63">
        <v>0</v>
      </c>
      <c r="E33" s="63">
        <v>50</v>
      </c>
      <c r="F33" s="63">
        <v>75</v>
      </c>
      <c r="G33" s="63">
        <f>C33*F33</f>
      </c>
      <c r="H33" s="63">
        <f>G33*1000</f>
      </c>
      <c r="I33" s="2"/>
      <c r="J33" s="2"/>
      <c r="K33" s="2"/>
      <c r="L33" s="2"/>
      <c r="M33" s="2"/>
    </row>
    <row x14ac:dyDescent="0.25" r="34" customHeight="1" ht="18.75">
      <c r="A34" s="167"/>
      <c r="B34" s="107" t="s">
        <v>312</v>
      </c>
      <c r="C34" s="159">
        <v>0</v>
      </c>
      <c r="D34" s="63">
        <v>1065</v>
      </c>
      <c r="E34" s="63">
        <v>3970</v>
      </c>
      <c r="F34" s="63">
        <v>16704</v>
      </c>
      <c r="G34" s="63">
        <f>C34*F34</f>
      </c>
      <c r="H34" s="63">
        <f>G34*1000</f>
      </c>
      <c r="I34" s="2"/>
      <c r="J34" s="2"/>
      <c r="K34" s="2"/>
      <c r="L34" s="2"/>
      <c r="M34" s="2"/>
    </row>
    <row x14ac:dyDescent="0.25" r="35" customHeight="1" ht="18.75">
      <c r="A35" s="167"/>
      <c r="B35" s="107" t="s">
        <v>328</v>
      </c>
      <c r="C35" s="159">
        <v>0.1</v>
      </c>
      <c r="D35" s="63">
        <v>0</v>
      </c>
      <c r="E35" s="63">
        <v>0</v>
      </c>
      <c r="F35" s="63">
        <v>3447</v>
      </c>
      <c r="G35" s="63">
        <f>C35*F35</f>
      </c>
      <c r="H35" s="63">
        <f>G35*1000</f>
      </c>
      <c r="I35" s="2"/>
      <c r="J35" s="2"/>
      <c r="K35" s="2"/>
      <c r="L35" s="2"/>
      <c r="M35" s="2"/>
    </row>
    <row x14ac:dyDescent="0.25" r="36" customHeight="1" ht="18.75">
      <c r="A36" s="168"/>
      <c r="B36" s="161" t="s">
        <v>316</v>
      </c>
      <c r="C36" s="165">
        <f>17%</f>
      </c>
      <c r="D36" s="162">
        <v>3746</v>
      </c>
      <c r="E36" s="162">
        <v>10953</v>
      </c>
      <c r="F36" s="162">
        <v>1507</v>
      </c>
      <c r="G36" s="162">
        <f>C36*F36</f>
      </c>
      <c r="H36" s="162">
        <f>G36*1000</f>
      </c>
      <c r="I36" s="161"/>
      <c r="J36" s="161"/>
      <c r="K36" s="161"/>
      <c r="L36" s="161"/>
      <c r="M36" s="161"/>
    </row>
    <row x14ac:dyDescent="0.25" r="37" customHeight="1" ht="18.75">
      <c r="A37" s="169" t="s">
        <v>329</v>
      </c>
      <c r="B37" s="107" t="s">
        <v>330</v>
      </c>
      <c r="C37" s="159">
        <v>0</v>
      </c>
      <c r="D37" s="63">
        <v>6593</v>
      </c>
      <c r="E37" s="63">
        <v>512</v>
      </c>
      <c r="F37" s="63">
        <v>725</v>
      </c>
      <c r="G37" s="63">
        <f>C37*F37</f>
      </c>
      <c r="H37" s="63">
        <f>G37*1000</f>
      </c>
      <c r="I37" s="2"/>
      <c r="J37" s="2"/>
      <c r="K37" s="2"/>
      <c r="L37" s="2"/>
      <c r="M37" s="2"/>
    </row>
    <row x14ac:dyDescent="0.25" r="38" customHeight="1" ht="18.75">
      <c r="A38" s="167"/>
      <c r="B38" s="107" t="s">
        <v>35</v>
      </c>
      <c r="C38" s="159">
        <v>0</v>
      </c>
      <c r="D38" s="63">
        <v>49</v>
      </c>
      <c r="E38" s="63">
        <v>3210</v>
      </c>
      <c r="F38" s="63">
        <v>1078</v>
      </c>
      <c r="G38" s="63">
        <f>C38*F38</f>
      </c>
      <c r="H38" s="63">
        <f>G38*1000</f>
      </c>
      <c r="I38" s="2"/>
      <c r="J38" s="2"/>
      <c r="K38" s="2"/>
      <c r="L38" s="2"/>
      <c r="M38" s="2"/>
    </row>
    <row x14ac:dyDescent="0.25" r="39" customHeight="1" ht="18.75">
      <c r="A39" s="167"/>
      <c r="B39" s="107" t="s">
        <v>331</v>
      </c>
      <c r="C39" s="159">
        <v>0</v>
      </c>
      <c r="D39" s="63">
        <v>457</v>
      </c>
      <c r="E39" s="63">
        <v>0</v>
      </c>
      <c r="F39" s="63">
        <v>54</v>
      </c>
      <c r="G39" s="63">
        <f>C39*F39</f>
      </c>
      <c r="H39" s="63">
        <f>G39*1000</f>
      </c>
      <c r="I39" s="2"/>
      <c r="J39" s="2"/>
      <c r="K39" s="2"/>
      <c r="L39" s="2"/>
      <c r="M39" s="2"/>
    </row>
    <row x14ac:dyDescent="0.25" r="40" customHeight="1" ht="18.75">
      <c r="A40" s="167"/>
      <c r="B40" s="107" t="s">
        <v>41</v>
      </c>
      <c r="C40" s="159">
        <v>0.46</v>
      </c>
      <c r="D40" s="63">
        <v>848</v>
      </c>
      <c r="E40" s="63">
        <v>10</v>
      </c>
      <c r="F40" s="63">
        <v>50</v>
      </c>
      <c r="G40" s="63">
        <f>C40*F40</f>
      </c>
      <c r="H40" s="63">
        <f>G40*1000</f>
      </c>
      <c r="I40" s="2"/>
      <c r="J40" s="2"/>
      <c r="K40" s="2"/>
      <c r="L40" s="2"/>
      <c r="M40" s="2"/>
    </row>
    <row x14ac:dyDescent="0.25" r="41" customHeight="1" ht="18.75">
      <c r="A41" s="168"/>
      <c r="B41" s="161" t="s">
        <v>328</v>
      </c>
      <c r="C41" s="165">
        <v>0.1</v>
      </c>
      <c r="D41" s="162">
        <v>0</v>
      </c>
      <c r="E41" s="162">
        <v>10191</v>
      </c>
      <c r="F41" s="162">
        <v>0</v>
      </c>
      <c r="G41" s="162">
        <f>C41*F41</f>
      </c>
      <c r="H41" s="162">
        <f>G41*1000</f>
      </c>
      <c r="I41" s="161"/>
      <c r="J41" s="161"/>
      <c r="K41" s="161"/>
      <c r="L41" s="161"/>
      <c r="M41" s="161"/>
    </row>
    <row x14ac:dyDescent="0.25" r="42" customHeight="1" ht="18.75">
      <c r="A42" s="169" t="s">
        <v>332</v>
      </c>
      <c r="B42" s="107" t="s">
        <v>333</v>
      </c>
      <c r="C42" s="160">
        <v>0</v>
      </c>
      <c r="D42" s="63">
        <v>12740</v>
      </c>
      <c r="E42" s="63">
        <v>2000</v>
      </c>
      <c r="F42" s="63">
        <v>0</v>
      </c>
      <c r="G42" s="63">
        <f>C42*F42</f>
      </c>
      <c r="H42" s="63">
        <f>G42*1000</f>
      </c>
      <c r="I42" s="2"/>
      <c r="J42" s="2"/>
      <c r="K42" s="2"/>
      <c r="L42" s="2"/>
      <c r="M42" s="2"/>
    </row>
    <row x14ac:dyDescent="0.25" r="43" customHeight="1" ht="18.75">
      <c r="A43" s="167"/>
      <c r="B43" s="107" t="s">
        <v>334</v>
      </c>
      <c r="C43" s="159">
        <v>0</v>
      </c>
      <c r="D43" s="63">
        <v>326</v>
      </c>
      <c r="E43" s="63">
        <v>3000</v>
      </c>
      <c r="F43" s="63">
        <v>966</v>
      </c>
      <c r="G43" s="63">
        <f>C43*F43</f>
      </c>
      <c r="H43" s="63">
        <f>G43*1000</f>
      </c>
      <c r="I43" s="2"/>
      <c r="J43" s="2"/>
      <c r="K43" s="2"/>
      <c r="L43" s="2"/>
      <c r="M43" s="2"/>
    </row>
    <row x14ac:dyDescent="0.25" r="44" customHeight="1" ht="18.75">
      <c r="A44" s="167"/>
      <c r="B44" s="107" t="s">
        <v>331</v>
      </c>
      <c r="C44" s="159">
        <v>0</v>
      </c>
      <c r="D44" s="63">
        <v>1511</v>
      </c>
      <c r="E44" s="63">
        <v>163</v>
      </c>
      <c r="F44" s="63">
        <v>0</v>
      </c>
      <c r="G44" s="63">
        <f>C44*F44</f>
      </c>
      <c r="H44" s="63">
        <f>G44*1000</f>
      </c>
      <c r="I44" s="2"/>
      <c r="J44" s="2"/>
      <c r="K44" s="2"/>
      <c r="L44" s="2"/>
      <c r="M44" s="2"/>
    </row>
    <row x14ac:dyDescent="0.25" r="45" customHeight="1" ht="18.75">
      <c r="A45" s="167"/>
      <c r="B45" s="107" t="s">
        <v>41</v>
      </c>
      <c r="C45" s="159">
        <v>0.46</v>
      </c>
      <c r="D45" s="63">
        <v>1019</v>
      </c>
      <c r="E45" s="63">
        <v>153</v>
      </c>
      <c r="F45" s="63">
        <v>108</v>
      </c>
      <c r="G45" s="63">
        <f>C45*F45</f>
      </c>
      <c r="H45" s="63">
        <f>G45*1000</f>
      </c>
      <c r="I45" s="2"/>
      <c r="J45" s="2"/>
      <c r="K45" s="2"/>
      <c r="L45" s="2"/>
      <c r="M45" s="2"/>
    </row>
    <row x14ac:dyDescent="0.25" r="46" customHeight="1" ht="18.75">
      <c r="A46" s="167"/>
      <c r="B46" s="107" t="s">
        <v>328</v>
      </c>
      <c r="C46" s="159">
        <v>0.1</v>
      </c>
      <c r="D46" s="63">
        <v>0</v>
      </c>
      <c r="E46" s="63">
        <v>18535</v>
      </c>
      <c r="F46" s="63">
        <v>2321</v>
      </c>
      <c r="G46" s="63">
        <f>C46*F46</f>
      </c>
      <c r="H46" s="63">
        <f>G46*1000</f>
      </c>
      <c r="I46" s="2"/>
      <c r="J46" s="2"/>
      <c r="K46" s="2"/>
      <c r="L46" s="2"/>
      <c r="M46" s="2"/>
    </row>
    <row x14ac:dyDescent="0.25" r="47" customHeight="1" ht="18.75">
      <c r="A47" s="168"/>
      <c r="B47" s="161" t="s">
        <v>335</v>
      </c>
      <c r="C47" s="165">
        <v>0.2</v>
      </c>
      <c r="D47" s="162">
        <v>0</v>
      </c>
      <c r="E47" s="162">
        <v>0</v>
      </c>
      <c r="F47" s="162">
        <v>0</v>
      </c>
      <c r="G47" s="162">
        <f>C47*F47</f>
      </c>
      <c r="H47" s="162">
        <f>G47*1000</f>
      </c>
      <c r="I47" s="161"/>
      <c r="J47" s="161"/>
      <c r="K47" s="161"/>
      <c r="L47" s="161"/>
      <c r="M47" s="161"/>
    </row>
    <row x14ac:dyDescent="0.25" r="48" customHeight="1" ht="18.75">
      <c r="A48" s="107" t="s">
        <v>336</v>
      </c>
      <c r="B48" s="107"/>
      <c r="C48" s="164"/>
      <c r="D48" s="63">
        <f>SUM(D3:D47)</f>
      </c>
      <c r="E48" s="63">
        <f>SUM(E3:E47)</f>
      </c>
      <c r="F48" s="63">
        <f>SUM(F3:F47)</f>
      </c>
      <c r="G48" s="63">
        <f>SUM(G3:G47)</f>
      </c>
      <c r="H48" s="63">
        <f>SUM(H3:H47)</f>
      </c>
      <c r="I48" s="2"/>
      <c r="J48" s="2"/>
      <c r="K48" s="2"/>
      <c r="L48" s="2"/>
      <c r="M48" s="2"/>
    </row>
    <row x14ac:dyDescent="0.25" r="49" customHeight="1" ht="18.75">
      <c r="A49" s="107"/>
      <c r="B49" s="107"/>
      <c r="C49" s="164"/>
      <c r="D49" s="3"/>
      <c r="E49" s="3"/>
      <c r="F49" s="7"/>
      <c r="G49" s="108"/>
      <c r="H49" s="3"/>
      <c r="I49" s="2"/>
      <c r="J49" s="2"/>
      <c r="K49" s="2"/>
      <c r="L49" s="2"/>
      <c r="M49" s="2"/>
    </row>
    <row x14ac:dyDescent="0.25" r="50" customHeight="1" ht="18.75">
      <c r="A50" s="107"/>
      <c r="B50" s="107"/>
      <c r="C50" s="164"/>
      <c r="D50" s="3"/>
      <c r="E50" s="3"/>
      <c r="F50" s="7"/>
      <c r="G50" s="108"/>
      <c r="H50" s="3"/>
      <c r="I50" s="2"/>
      <c r="J50" s="2"/>
      <c r="K50" s="2"/>
      <c r="L50" s="2"/>
      <c r="M50" s="2"/>
    </row>
    <row x14ac:dyDescent="0.25" r="51" customHeight="1" ht="18.75">
      <c r="A51" s="118" t="s">
        <v>337</v>
      </c>
      <c r="B51" s="107"/>
      <c r="C51" s="164"/>
      <c r="D51" s="3"/>
      <c r="E51" s="3"/>
      <c r="F51" s="170" t="s">
        <v>338</v>
      </c>
      <c r="G51" s="3" t="s">
        <v>117</v>
      </c>
      <c r="H51" s="3"/>
      <c r="I51" s="2"/>
      <c r="J51" s="2"/>
      <c r="K51" s="2"/>
      <c r="L51" s="2"/>
      <c r="M51" s="2"/>
    </row>
    <row x14ac:dyDescent="0.25" r="52" customHeight="1" ht="18.75">
      <c r="A52" s="118" t="s">
        <v>298</v>
      </c>
      <c r="B52" s="107"/>
      <c r="C52" s="164"/>
      <c r="D52" s="3"/>
      <c r="E52" s="3"/>
      <c r="F52" s="63">
        <v>4057.8</v>
      </c>
      <c r="G52" s="63">
        <f>F52*1000</f>
      </c>
      <c r="H52" s="130" t="s">
        <v>339</v>
      </c>
      <c r="I52" s="2"/>
      <c r="J52" s="2"/>
      <c r="K52" s="2"/>
      <c r="L52" s="2"/>
      <c r="M52" s="2"/>
    </row>
    <row x14ac:dyDescent="0.25" r="53" customHeight="1" ht="18.75">
      <c r="A53" s="118" t="s">
        <v>231</v>
      </c>
      <c r="B53" s="107"/>
      <c r="C53" s="164"/>
      <c r="D53" s="3"/>
      <c r="E53" s="3"/>
      <c r="F53" s="8">
        <v>1234.4</v>
      </c>
      <c r="G53" s="63">
        <f>F53*1000</f>
      </c>
      <c r="H53" s="3"/>
      <c r="I53" s="2"/>
      <c r="J53" s="2"/>
      <c r="K53" s="2"/>
      <c r="L53" s="2"/>
      <c r="M53" s="2"/>
    </row>
    <row x14ac:dyDescent="0.25" r="54" customHeight="1" ht="18.75">
      <c r="A54" s="118" t="s">
        <v>340</v>
      </c>
      <c r="B54" s="107"/>
      <c r="C54" s="164"/>
      <c r="D54" s="3"/>
      <c r="E54" s="3"/>
      <c r="F54" s="8">
        <f>1008.7+182.4+761.3+1.7</f>
      </c>
      <c r="G54" s="63">
        <f>F54*1000</f>
      </c>
      <c r="H54" s="3"/>
      <c r="I54" s="2"/>
      <c r="J54" s="2"/>
      <c r="K54" s="2"/>
      <c r="L54" s="2"/>
      <c r="M54" s="2"/>
    </row>
    <row x14ac:dyDescent="0.25" r="55" customHeight="1" ht="18.75">
      <c r="A55" s="118" t="s">
        <v>341</v>
      </c>
      <c r="B55" s="107"/>
      <c r="C55" s="164"/>
      <c r="D55" s="3"/>
      <c r="E55" s="3"/>
      <c r="F55" s="8">
        <v>1121.3</v>
      </c>
      <c r="G55" s="63">
        <f>F55*1000</f>
      </c>
      <c r="H55" s="3"/>
      <c r="I55" s="2"/>
      <c r="J55" s="2"/>
      <c r="K55" s="2"/>
      <c r="L55" s="2"/>
      <c r="M55" s="2"/>
    </row>
    <row x14ac:dyDescent="0.25" r="56" customHeight="1" ht="18.75">
      <c r="A56" s="118" t="s">
        <v>342</v>
      </c>
      <c r="B56" s="107"/>
      <c r="C56" s="164"/>
      <c r="D56" s="3"/>
      <c r="E56" s="3"/>
      <c r="F56" s="8">
        <v>205.7</v>
      </c>
      <c r="G56" s="63">
        <f>F56*1000</f>
      </c>
      <c r="H56" s="3"/>
      <c r="I56" s="2"/>
      <c r="J56" s="2"/>
      <c r="K56" s="2"/>
      <c r="L56" s="2"/>
      <c r="M56" s="2"/>
    </row>
    <row x14ac:dyDescent="0.25" r="57" customHeight="1" ht="18.75">
      <c r="A57" s="118" t="s">
        <v>343</v>
      </c>
      <c r="B57" s="107"/>
      <c r="C57" s="164"/>
      <c r="D57" s="3"/>
      <c r="E57" s="3"/>
      <c r="F57" s="8">
        <v>115.6</v>
      </c>
      <c r="G57" s="63">
        <f>F57*1000</f>
      </c>
      <c r="H57" s="3"/>
      <c r="I57" s="2"/>
      <c r="J57" s="2"/>
      <c r="K57" s="2"/>
      <c r="L57" s="2"/>
      <c r="M57" s="2"/>
    </row>
    <row x14ac:dyDescent="0.25" r="58" customHeight="1" ht="18.75">
      <c r="A58" s="118" t="s">
        <v>344</v>
      </c>
      <c r="B58" s="107"/>
      <c r="C58" s="164"/>
      <c r="D58" s="3"/>
      <c r="E58" s="3"/>
      <c r="F58" s="8">
        <v>95.7</v>
      </c>
      <c r="G58" s="63">
        <f>F58*1000</f>
      </c>
      <c r="H58" s="3"/>
      <c r="I58" s="2"/>
      <c r="J58" s="2"/>
      <c r="K58" s="2"/>
      <c r="L58" s="2"/>
      <c r="M58" s="2"/>
    </row>
    <row x14ac:dyDescent="0.25" r="59" customHeight="1" ht="18.75">
      <c r="A59" s="118" t="s">
        <v>345</v>
      </c>
      <c r="B59" s="107"/>
      <c r="C59" s="164"/>
      <c r="D59" s="3"/>
      <c r="E59" s="3"/>
      <c r="F59" s="8">
        <v>20.5</v>
      </c>
      <c r="G59" s="63">
        <f>F59*1000</f>
      </c>
      <c r="H59" s="3"/>
      <c r="I59" s="2"/>
      <c r="J59" s="2"/>
      <c r="K59" s="2"/>
      <c r="L59" s="2"/>
      <c r="M59" s="2"/>
    </row>
    <row x14ac:dyDescent="0.25" r="60" customHeight="1" ht="18.75">
      <c r="A60" s="118" t="s">
        <v>327</v>
      </c>
      <c r="B60" s="107"/>
      <c r="C60" s="164"/>
      <c r="D60" s="3"/>
      <c r="E60" s="3"/>
      <c r="F60" s="8">
        <v>216.9</v>
      </c>
      <c r="G60" s="63">
        <f>F60*1000</f>
      </c>
      <c r="H60" s="3"/>
      <c r="I60" s="2"/>
      <c r="J60" s="2"/>
      <c r="K60" s="2"/>
      <c r="L60" s="2"/>
      <c r="M60" s="2"/>
    </row>
    <row x14ac:dyDescent="0.25" r="61" customHeight="1" ht="18.75">
      <c r="A61" s="118" t="s">
        <v>346</v>
      </c>
      <c r="B61" s="107"/>
      <c r="C61" s="164"/>
      <c r="D61" s="3"/>
      <c r="E61" s="3"/>
      <c r="F61" s="8">
        <f>8.5+20.2+338.3+775.3+106.9+5.4+27.7+860+6</f>
      </c>
      <c r="G61" s="63">
        <f>F61*1000</f>
      </c>
      <c r="H61" s="3"/>
      <c r="I61" s="2"/>
      <c r="J61" s="2"/>
      <c r="K61" s="2"/>
      <c r="L61" s="2"/>
      <c r="M61" s="2"/>
    </row>
    <row x14ac:dyDescent="0.25" r="62" customHeight="1" ht="18.75">
      <c r="A62" s="118" t="s">
        <v>347</v>
      </c>
      <c r="B62" s="107"/>
      <c r="C62" s="164"/>
      <c r="D62" s="3"/>
      <c r="E62" s="3"/>
      <c r="F62" s="8">
        <f>1.1+0.6+3.1+17+40+0.7+5.2+17.1+38.1+2.9</f>
      </c>
      <c r="G62" s="63">
        <f>F62*1000</f>
      </c>
      <c r="H62" s="3"/>
      <c r="I62" s="2"/>
      <c r="J62" s="2"/>
      <c r="K62" s="2"/>
      <c r="L62" s="2"/>
      <c r="M62" s="2"/>
    </row>
    <row x14ac:dyDescent="0.25" r="63" customHeight="1" ht="18.75">
      <c r="A63" s="107"/>
      <c r="B63" s="107"/>
      <c r="C63" s="164"/>
      <c r="D63" s="3"/>
      <c r="E63" s="3"/>
      <c r="F63" s="7"/>
      <c r="G63" s="108"/>
      <c r="H63" s="3"/>
      <c r="I63" s="2"/>
      <c r="J63" s="2"/>
      <c r="K63" s="2"/>
      <c r="L63" s="2"/>
      <c r="M63" s="2"/>
    </row>
    <row x14ac:dyDescent="0.25" r="64" customHeight="1" ht="18.75">
      <c r="A64" s="107" t="s">
        <v>348</v>
      </c>
      <c r="B64" s="107"/>
      <c r="C64" s="164"/>
      <c r="D64" s="3"/>
      <c r="E64" s="3"/>
      <c r="F64" s="7"/>
      <c r="G64" s="63">
        <v>2016</v>
      </c>
      <c r="H64" s="3"/>
      <c r="I64" s="2"/>
      <c r="J64" s="2"/>
      <c r="K64" s="2"/>
      <c r="L64" s="2"/>
      <c r="M64" s="2"/>
    </row>
    <row x14ac:dyDescent="0.25" r="65" customHeight="1" ht="18.75">
      <c r="A65" s="171" t="s">
        <v>298</v>
      </c>
      <c r="B65" s="161"/>
      <c r="C65" s="172"/>
      <c r="D65" s="173"/>
      <c r="E65" s="173"/>
      <c r="F65" s="174"/>
      <c r="G65" s="175">
        <f>SUM(H3:H8)/G52</f>
      </c>
      <c r="H65" s="3"/>
      <c r="I65" s="2"/>
      <c r="J65" s="2"/>
      <c r="K65" s="2"/>
      <c r="L65" s="2"/>
      <c r="M65" s="2"/>
    </row>
    <row x14ac:dyDescent="0.25" r="66" customHeight="1" ht="18.75">
      <c r="A66" s="176" t="s">
        <v>231</v>
      </c>
      <c r="B66" s="177"/>
      <c r="C66" s="178"/>
      <c r="D66" s="179"/>
      <c r="E66" s="179"/>
      <c r="F66" s="180"/>
      <c r="G66" s="181">
        <f>SUM(H9:H12)/G53</f>
      </c>
      <c r="H66" s="3"/>
      <c r="I66" s="2"/>
      <c r="J66" s="2"/>
      <c r="K66" s="2"/>
      <c r="L66" s="2"/>
      <c r="M66" s="2"/>
    </row>
    <row x14ac:dyDescent="0.25" r="67" customHeight="1" ht="18.75">
      <c r="A67" s="176" t="s">
        <v>340</v>
      </c>
      <c r="B67" s="177"/>
      <c r="C67" s="178"/>
      <c r="D67" s="179"/>
      <c r="E67" s="179"/>
      <c r="F67" s="180"/>
      <c r="G67" s="181">
        <f>SUM(H13:H16)/G53</f>
      </c>
      <c r="H67" s="3"/>
      <c r="I67" s="2"/>
      <c r="J67" s="2"/>
      <c r="K67" s="2"/>
      <c r="L67" s="2"/>
      <c r="M67" s="2"/>
    </row>
    <row x14ac:dyDescent="0.25" r="68" customHeight="1" ht="18.75">
      <c r="A68" s="176" t="s">
        <v>341</v>
      </c>
      <c r="B68" s="177"/>
      <c r="C68" s="178"/>
      <c r="D68" s="179"/>
      <c r="E68" s="179"/>
      <c r="F68" s="180"/>
      <c r="G68" s="181">
        <f>SUM(H17:H21)/G55</f>
      </c>
      <c r="H68" s="3"/>
      <c r="I68" s="2"/>
      <c r="J68" s="2"/>
      <c r="K68" s="2"/>
      <c r="L68" s="2"/>
      <c r="M68" s="2"/>
    </row>
    <row x14ac:dyDescent="0.25" r="69" customHeight="1" ht="18.75">
      <c r="A69" s="176" t="s">
        <v>342</v>
      </c>
      <c r="B69" s="177"/>
      <c r="C69" s="178"/>
      <c r="D69" s="179"/>
      <c r="E69" s="179"/>
      <c r="F69" s="180"/>
      <c r="G69" s="181">
        <f>SUM(H22:H26)/G56</f>
      </c>
      <c r="H69" s="3"/>
      <c r="I69" s="2"/>
      <c r="J69" s="2"/>
      <c r="K69" s="2"/>
      <c r="L69" s="2"/>
      <c r="M69" s="2"/>
    </row>
    <row x14ac:dyDescent="0.25" r="70" customHeight="1" ht="18.75">
      <c r="A70" s="176" t="s">
        <v>343</v>
      </c>
      <c r="B70" s="177"/>
      <c r="C70" s="178"/>
      <c r="D70" s="179"/>
      <c r="E70" s="179"/>
      <c r="F70" s="180"/>
      <c r="G70" s="181">
        <f>SUM(H27:H32)/G56</f>
      </c>
      <c r="H70" s="3"/>
      <c r="I70" s="2"/>
      <c r="J70" s="2"/>
      <c r="K70" s="2"/>
      <c r="L70" s="2"/>
      <c r="M70" s="2"/>
    </row>
    <row x14ac:dyDescent="0.25" r="71" customHeight="1" ht="18.75">
      <c r="A71" s="176" t="s">
        <v>344</v>
      </c>
      <c r="B71" s="177"/>
      <c r="C71" s="178"/>
      <c r="D71" s="179"/>
      <c r="E71" s="179"/>
      <c r="F71" s="180"/>
      <c r="G71" s="182">
        <f>SUM(#REF!)/G58</f>
      </c>
      <c r="H71" s="3"/>
      <c r="I71" s="2"/>
      <c r="J71" s="2"/>
      <c r="K71" s="2"/>
      <c r="L71" s="2"/>
      <c r="M71" s="2"/>
    </row>
    <row x14ac:dyDescent="0.25" r="72" customHeight="1" ht="18.75">
      <c r="A72" s="176" t="s">
        <v>345</v>
      </c>
      <c r="B72" s="177"/>
      <c r="C72" s="178"/>
      <c r="D72" s="179"/>
      <c r="E72" s="179"/>
      <c r="F72" s="180"/>
      <c r="G72" s="182">
        <f>SUM(#REF!)/G59</f>
      </c>
      <c r="H72" s="3"/>
      <c r="I72" s="2"/>
      <c r="J72" s="2"/>
      <c r="K72" s="2"/>
      <c r="L72" s="2"/>
      <c r="M72" s="2"/>
    </row>
    <row x14ac:dyDescent="0.25" r="73" customHeight="1" ht="18.75">
      <c r="A73" s="176" t="s">
        <v>327</v>
      </c>
      <c r="B73" s="177"/>
      <c r="C73" s="178"/>
      <c r="D73" s="179"/>
      <c r="E73" s="179"/>
      <c r="F73" s="180"/>
      <c r="G73" s="181">
        <f>SUM(H33:H36)/G60</f>
      </c>
      <c r="H73" s="3"/>
      <c r="I73" s="2"/>
      <c r="J73" s="2"/>
      <c r="K73" s="2"/>
      <c r="L73" s="2"/>
      <c r="M73" s="2"/>
    </row>
    <row x14ac:dyDescent="0.25" r="74" customHeight="1" ht="18.75">
      <c r="A74" s="176" t="s">
        <v>346</v>
      </c>
      <c r="B74" s="177"/>
      <c r="C74" s="178"/>
      <c r="D74" s="179"/>
      <c r="E74" s="179"/>
      <c r="F74" s="180"/>
      <c r="G74" s="181">
        <f>SUM(H37:H41)/G61</f>
      </c>
      <c r="H74" s="3"/>
      <c r="I74" s="2"/>
      <c r="J74" s="2"/>
      <c r="K74" s="2"/>
      <c r="L74" s="2"/>
      <c r="M74" s="2"/>
    </row>
    <row x14ac:dyDescent="0.25" r="75" customHeight="1" ht="18.75">
      <c r="A75" s="176" t="s">
        <v>347</v>
      </c>
      <c r="B75" s="177"/>
      <c r="C75" s="178"/>
      <c r="D75" s="179"/>
      <c r="E75" s="179"/>
      <c r="F75" s="180"/>
      <c r="G75" s="181">
        <f>SUM(H42:H47)/G62</f>
      </c>
      <c r="H75" s="3"/>
      <c r="I75" s="2"/>
      <c r="J75" s="2"/>
      <c r="K75" s="2"/>
      <c r="L75" s="2"/>
      <c r="M75" s="2"/>
    </row>
  </sheetData>
  <mergeCells count="10">
    <mergeCell ref="A3:A8"/>
    <mergeCell ref="A9:A12"/>
    <mergeCell ref="A13:A16"/>
    <mergeCell ref="A17:A21"/>
    <mergeCell ref="A22:A26"/>
    <mergeCell ref="A27:A29"/>
    <mergeCell ref="A30:A32"/>
    <mergeCell ref="A33:A36"/>
    <mergeCell ref="A37:A41"/>
    <mergeCell ref="A42:A47"/>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15</vt:i4>
      </vt:variant>
    </vt:vector>
  </HeadingPairs>
  <TitlesOfParts>
    <vt:vector baseType="lpstr" size="15">
      <vt:lpstr>Couverture</vt:lpstr>
      <vt:lpstr>ProjectedP205_Consumption</vt:lpstr>
      <vt:lpstr>OCPMarketShares</vt:lpstr>
      <vt:lpstr>OCP_SalesProduct</vt:lpstr>
      <vt:lpstr>OCP Tanzania stock </vt:lpstr>
      <vt:lpstr>CropMix</vt:lpstr>
      <vt:lpstr>Investments &amp;amp;amp; capabilities</vt:lpstr>
      <vt:lpstr>Inputs &amp;amp;gt;</vt:lpstr>
      <vt:lpstr>Consumption per cro</vt:lpstr>
      <vt:lpstr>RAR_OCP</vt:lpstr>
      <vt:lpstr>UNComtradeData_Imports</vt:lpstr>
      <vt:lpstr>P2O5Consumption</vt:lpstr>
      <vt:lpstr>HarvestedAreas_TCD_Tanzania</vt:lpstr>
      <vt:lpstr>HarvestedAreas</vt:lpstr>
      <vt:lpstr>EA</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2023-08-22T12:36:05.080Z</dcterms:created>
  <dcterms:modified xsi:type="dcterms:W3CDTF">2023-08-22T12:36:05.080Z</dcterms:modified>
</cp:coreProperties>
</file>