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Hoja 2" sheetId="2" r:id="rId5"/>
    <sheet state="visible" name="Hoja 1" sheetId="3" r:id="rId6"/>
  </sheets>
  <definedNames/>
  <calcPr/>
</workbook>
</file>

<file path=xl/sharedStrings.xml><?xml version="1.0" encoding="utf-8"?>
<sst xmlns="http://schemas.openxmlformats.org/spreadsheetml/2006/main" count="1348" uniqueCount="441">
  <si>
    <t>SECTOR 3</t>
  </si>
  <si>
    <t>Departamento</t>
  </si>
  <si>
    <t>Sección</t>
  </si>
  <si>
    <t>Calle</t>
  </si>
  <si>
    <t>Parada</t>
  </si>
  <si>
    <t xml:space="preserve">Nombre </t>
  </si>
  <si>
    <t xml:space="preserve">SECTOR </t>
  </si>
  <si>
    <t>PARADA</t>
  </si>
  <si>
    <t>ID</t>
  </si>
  <si>
    <t>Largo</t>
  </si>
  <si>
    <t>Coordenadas</t>
  </si>
  <si>
    <t>Latitud</t>
  </si>
  <si>
    <t>Longitud</t>
  </si>
  <si>
    <t>Errores</t>
  </si>
  <si>
    <t>Nombre</t>
  </si>
  <si>
    <t>Capital</t>
  </si>
  <si>
    <t>RN40</t>
  </si>
  <si>
    <t>RN40 y Av. N. Benavídez</t>
  </si>
  <si>
    <t>01-25-03-27</t>
  </si>
  <si>
    <t>-31.509631,-68.517176</t>
  </si>
  <si>
    <t>Chimbas</t>
  </si>
  <si>
    <t>Proyectada</t>
  </si>
  <si>
    <t>B° Lote Hogar 59 y RN40</t>
  </si>
  <si>
    <t>08-22-03-23</t>
  </si>
  <si>
    <t>-31.47406, -68.52090</t>
  </si>
  <si>
    <t>Centenario</t>
  </si>
  <si>
    <t>Centenario antes de Urquiza</t>
  </si>
  <si>
    <t>08-22-03-28</t>
  </si>
  <si>
    <t>-31.48785, -68.54786</t>
  </si>
  <si>
    <t>Unión Vecinal Chimbas Norte</t>
  </si>
  <si>
    <t>08-22-03-29</t>
  </si>
  <si>
    <t>-31.48683, -68.54502</t>
  </si>
  <si>
    <t>Centenario y 9 de Julio</t>
  </si>
  <si>
    <t>08-22-03-30</t>
  </si>
  <si>
    <t xml:space="preserve">-31.48563, -68.54154 </t>
  </si>
  <si>
    <t>República Argentina</t>
  </si>
  <si>
    <t>Rep. Argentina y Centenario</t>
  </si>
  <si>
    <t>08-22-03-31</t>
  </si>
  <si>
    <t>-31.48504, -68.53979</t>
  </si>
  <si>
    <t>Rep. Argentina y Brasil</t>
  </si>
  <si>
    <t>31A</t>
  </si>
  <si>
    <t>08-22-03-31A</t>
  </si>
  <si>
    <t>-31.48342, -68.54042</t>
  </si>
  <si>
    <t>Ecuador</t>
  </si>
  <si>
    <t>Ecuador y Rep. Argentina</t>
  </si>
  <si>
    <t>08-22-03-32</t>
  </si>
  <si>
    <t>-31.508439,-68.521966</t>
  </si>
  <si>
    <t>Rep. Argentina y México</t>
  </si>
  <si>
    <t>08-22-03-33</t>
  </si>
  <si>
    <t>-31.507971,-68.521942</t>
  </si>
  <si>
    <t>Cuba</t>
  </si>
  <si>
    <t>Cuba y Ecuador</t>
  </si>
  <si>
    <t>08-22-03-34</t>
  </si>
  <si>
    <t>-31.506207,-68.522438</t>
  </si>
  <si>
    <t>Cuba y Paraguay</t>
  </si>
  <si>
    <t>08-22-03-35</t>
  </si>
  <si>
    <t>-31.505989,-68.522346</t>
  </si>
  <si>
    <t>Paraguay</t>
  </si>
  <si>
    <t>Paraguay y Rep. Argentina</t>
  </si>
  <si>
    <t>08-22-03-36</t>
  </si>
  <si>
    <t>-31.505651,-68.520742</t>
  </si>
  <si>
    <t>Centenario y Concordia</t>
  </si>
  <si>
    <t>08-22-03-81</t>
  </si>
  <si>
    <t>-31.481771,-68.529848</t>
  </si>
  <si>
    <t>Concordia</t>
  </si>
  <si>
    <t>Concordia y Centenario</t>
  </si>
  <si>
    <t>81A</t>
  </si>
  <si>
    <t>08-22-03-81A</t>
  </si>
  <si>
    <t>-31.48026, -68.52915</t>
  </si>
  <si>
    <t>B° Centenario A</t>
  </si>
  <si>
    <t>81B</t>
  </si>
  <si>
    <t>08-22-03-81B</t>
  </si>
  <si>
    <t>-31.47814, -68.52737</t>
  </si>
  <si>
    <t>Proyectada y Paraguay</t>
  </si>
  <si>
    <t>81C</t>
  </si>
  <si>
    <t>08-22-03-81C</t>
  </si>
  <si>
    <t>-31.47727, -68.52751</t>
  </si>
  <si>
    <t>Plaza B° Centenario</t>
  </si>
  <si>
    <t>81D</t>
  </si>
  <si>
    <t>08-22-03-81D</t>
  </si>
  <si>
    <t>-31.47632, -68.52738</t>
  </si>
  <si>
    <t xml:space="preserve">Proyectada </t>
  </si>
  <si>
    <t>Proyectada y Tucumán</t>
  </si>
  <si>
    <t>81E</t>
  </si>
  <si>
    <t>08-22-03-81E</t>
  </si>
  <si>
    <t>-31.47561, -68.52534</t>
  </si>
  <si>
    <t>B° Lote Hogar 59</t>
  </si>
  <si>
    <t>81F</t>
  </si>
  <si>
    <t>08-22-03-81F</t>
  </si>
  <si>
    <t>-31.47458, -68.52240</t>
  </si>
  <si>
    <t>Centenario y RN40</t>
  </si>
  <si>
    <t>81G</t>
  </si>
  <si>
    <t>08-22-03-81G</t>
  </si>
  <si>
    <t>-31.47877, -68.52166</t>
  </si>
  <si>
    <t>Centenario Gdor. Izasa</t>
  </si>
  <si>
    <t>81H</t>
  </si>
  <si>
    <t>08-22-03-81H</t>
  </si>
  <si>
    <t>-31.47984, -68.52478</t>
  </si>
  <si>
    <t>B° Centenario B</t>
  </si>
  <si>
    <t>81I</t>
  </si>
  <si>
    <t>08-22-03-81I</t>
  </si>
  <si>
    <t>-31.48062, -68.52704</t>
  </si>
  <si>
    <t>Mendoza</t>
  </si>
  <si>
    <t>Mendoza y R. E. de San Martín</t>
  </si>
  <si>
    <t>08-26-03-100</t>
  </si>
  <si>
    <t>-31.493626,-68.532042</t>
  </si>
  <si>
    <t>Oro</t>
  </si>
  <si>
    <t>Oro y San Juan</t>
  </si>
  <si>
    <t>08-26-03-50</t>
  </si>
  <si>
    <t>-31.497292,-68.523124</t>
  </si>
  <si>
    <t>Oro y Urquiza N</t>
  </si>
  <si>
    <t>08-26-03-52</t>
  </si>
  <si>
    <t>-31.497377,-68.520551</t>
  </si>
  <si>
    <t>Oro y RN40 O</t>
  </si>
  <si>
    <t>52A</t>
  </si>
  <si>
    <t>08-26-03-52A</t>
  </si>
  <si>
    <t>-31.49749, -68.51864</t>
  </si>
  <si>
    <t>Oro y RN40 E</t>
  </si>
  <si>
    <t>52B</t>
  </si>
  <si>
    <t>08-26-03-52B</t>
  </si>
  <si>
    <t>-31.49747, -68.51779</t>
  </si>
  <si>
    <t>Tucumán</t>
  </si>
  <si>
    <t>Camping SAT SAID O</t>
  </si>
  <si>
    <t>08-26-03-53</t>
  </si>
  <si>
    <t>-31.497058,-68.527809</t>
  </si>
  <si>
    <t>Camping SAT SAID E</t>
  </si>
  <si>
    <t>08-26-03-54</t>
  </si>
  <si>
    <t>-31.49709, -68.52748</t>
  </si>
  <si>
    <t>Plaza B° Sindicato de Televisión E</t>
  </si>
  <si>
    <t>08-26-03-55</t>
  </si>
  <si>
    <t>-31.495300,-68.527406</t>
  </si>
  <si>
    <t>Plaza B° Sindicato de Televisión O</t>
  </si>
  <si>
    <t>08-26-03-56</t>
  </si>
  <si>
    <t>-31.495101,-68.527538</t>
  </si>
  <si>
    <t>Tucumán y 25 de Mayo</t>
  </si>
  <si>
    <t>08-26-03-57</t>
  </si>
  <si>
    <t>-31.493813,-68.527281</t>
  </si>
  <si>
    <t>Tucumán y R. E. de San Martín</t>
  </si>
  <si>
    <t>08-26-03-58</t>
  </si>
  <si>
    <t>-31.493389,-68.527056</t>
  </si>
  <si>
    <t>Rodríguez</t>
  </si>
  <si>
    <t>Rodríguez y Tucumán S</t>
  </si>
  <si>
    <t>08-26-03-59</t>
  </si>
  <si>
    <t>-31.492432,-68.527126</t>
  </si>
  <si>
    <t xml:space="preserve">Tucumán y Rodríguez </t>
  </si>
  <si>
    <t>08-26-03-60</t>
  </si>
  <si>
    <t>-31.492406,-68.526970</t>
  </si>
  <si>
    <t>Rodríguez y Tucumán N</t>
  </si>
  <si>
    <t>08-26-03-61</t>
  </si>
  <si>
    <t>-31.492285,-68.526863</t>
  </si>
  <si>
    <t>Rodríguez  y San Juan</t>
  </si>
  <si>
    <t>08-26-03-62</t>
  </si>
  <si>
    <t>-31.491829,-68.523653</t>
  </si>
  <si>
    <t>San Juan</t>
  </si>
  <si>
    <t>San Juan y Rodríguez</t>
  </si>
  <si>
    <t>08-26-03-63</t>
  </si>
  <si>
    <t>-31.491858,-68.523485</t>
  </si>
  <si>
    <t>Plaza B° AMPE 20 de Junio O</t>
  </si>
  <si>
    <t>08-26-03-64</t>
  </si>
  <si>
    <t>-31.495888,-68.523263</t>
  </si>
  <si>
    <t>Plaza B° AMPE 20 de Junio E</t>
  </si>
  <si>
    <t>08-26-03-65</t>
  </si>
  <si>
    <t>-31.495561,-68.523156</t>
  </si>
  <si>
    <t>Rodríguez y Catriel N</t>
  </si>
  <si>
    <t>08-26-03-66</t>
  </si>
  <si>
    <t>-31.492425,-68.529264</t>
  </si>
  <si>
    <t>Rodríguez y Catriel S</t>
  </si>
  <si>
    <t>08-26-03-67</t>
  </si>
  <si>
    <t>-31.492536,-68.529342</t>
  </si>
  <si>
    <t>Rodríguez y Mendoza N</t>
  </si>
  <si>
    <t>08-26-03-68</t>
  </si>
  <si>
    <t>-31.489007,-68.532004</t>
  </si>
  <si>
    <t>Rodríguez y Mendoza S</t>
  </si>
  <si>
    <t>68A</t>
  </si>
  <si>
    <t>08-26-03-68A</t>
  </si>
  <si>
    <t>-31.49283, -68.53199</t>
  </si>
  <si>
    <t>Monseñor Di Stéfano</t>
  </si>
  <si>
    <t>M. Di Stéfano y Gdor. Rojas</t>
  </si>
  <si>
    <t>08-26-03-71</t>
  </si>
  <si>
    <t>-31.48851, -68.53131</t>
  </si>
  <si>
    <t>M. Di Stéfano y Concordia</t>
  </si>
  <si>
    <t>08-26-03-72</t>
  </si>
  <si>
    <t>-31.488457,-68.530821</t>
  </si>
  <si>
    <t>Plaza B° Virgen de Andacollo IX</t>
  </si>
  <si>
    <t>08-26-03-73</t>
  </si>
  <si>
    <t>-31.487741,-68.528620</t>
  </si>
  <si>
    <t>M. Di Stéfano y Proyectada</t>
  </si>
  <si>
    <t>08-26-03-74</t>
  </si>
  <si>
    <t>-31.487819,-68.527433</t>
  </si>
  <si>
    <t>Catriel</t>
  </si>
  <si>
    <t>Catriel y M. Di Stéfano</t>
  </si>
  <si>
    <t>08-26-03-75</t>
  </si>
  <si>
    <t>-31.487395,-68.526743</t>
  </si>
  <si>
    <t>Catriel y Proyectada 1</t>
  </si>
  <si>
    <t>08-26-03-76</t>
  </si>
  <si>
    <t>-31.486623,-68.526675</t>
  </si>
  <si>
    <t>Catriel y Proyectada 2</t>
  </si>
  <si>
    <t>08-26-03-77</t>
  </si>
  <si>
    <t>-31.485378,-68.526832</t>
  </si>
  <si>
    <t>Catriel y Proyectada 3</t>
  </si>
  <si>
    <t>08-26-03-78</t>
  </si>
  <si>
    <t>-31.484793,-68.526898</t>
  </si>
  <si>
    <t>Catriel y 5 de Octubre</t>
  </si>
  <si>
    <t>08-26-03-79</t>
  </si>
  <si>
    <t>-31.48154, -68.52723</t>
  </si>
  <si>
    <t>5 de Octubre y Catriel</t>
  </si>
  <si>
    <t>08-26-03-80</t>
  </si>
  <si>
    <t>-31.481484,-68.527415</t>
  </si>
  <si>
    <t>5 de Octubre y Centenario</t>
  </si>
  <si>
    <t>80A</t>
  </si>
  <si>
    <t>08-26-03-80A</t>
  </si>
  <si>
    <t>-31.48125, -68.52827</t>
  </si>
  <si>
    <t>Mendoza y 11 de Septiembre</t>
  </si>
  <si>
    <t>08-26-03-99</t>
  </si>
  <si>
    <t>-31.50267, -68.49861</t>
  </si>
  <si>
    <t>Corrientes</t>
  </si>
  <si>
    <t>Corrientes y Azcuénaga</t>
  </si>
  <si>
    <t>08-28-03-10</t>
  </si>
  <si>
    <t>-31.481233,-68.528329</t>
  </si>
  <si>
    <t>Plaza Departamental del Chimbas O</t>
  </si>
  <si>
    <t>08-28-03-101</t>
  </si>
  <si>
    <t>-31.493427,-68.532166</t>
  </si>
  <si>
    <t>Mendoza y Rodríguez O</t>
  </si>
  <si>
    <t>101A</t>
  </si>
  <si>
    <t>08-28-03-101A</t>
  </si>
  <si>
    <t>-31.49249, -68.53221</t>
  </si>
  <si>
    <t>Plaza Departamental del Chimbas N</t>
  </si>
  <si>
    <t>101B</t>
  </si>
  <si>
    <t>08-28-03-101B</t>
  </si>
  <si>
    <t>-31.49259, -68.53253</t>
  </si>
  <si>
    <t>Rodríguez y Misiones</t>
  </si>
  <si>
    <t>08-28-03-102</t>
  </si>
  <si>
    <t>-31.492637,-68.535041</t>
  </si>
  <si>
    <t>Rodríguez y Chaco</t>
  </si>
  <si>
    <t>08-28-03-103</t>
  </si>
  <si>
    <t>-31.49264, -68.53811</t>
  </si>
  <si>
    <t>Rodríguez y 9 de Julio N</t>
  </si>
  <si>
    <t>08-28-03-104</t>
  </si>
  <si>
    <t>-31.49274, -68.54013</t>
  </si>
  <si>
    <t>Corrientes y Chaco</t>
  </si>
  <si>
    <t>08-28-03-11</t>
  </si>
  <si>
    <t>-31.49074, -68.53816</t>
  </si>
  <si>
    <t>Corrientes y Yapeyú</t>
  </si>
  <si>
    <t>08-28-03-12</t>
  </si>
  <si>
    <t>-31.481561,-68.527324</t>
  </si>
  <si>
    <t>M. Di Stéfano y Yapeyú</t>
  </si>
  <si>
    <t>08-28-03-13</t>
  </si>
  <si>
    <t>-31.480254,-68.529250</t>
  </si>
  <si>
    <t>Plaza Padre Báez Laspiur</t>
  </si>
  <si>
    <t>08-28-03-14</t>
  </si>
  <si>
    <t>-31.478135,-68.527414</t>
  </si>
  <si>
    <t>M. Di Stéfano y San Martín</t>
  </si>
  <si>
    <t>08-28-03-15</t>
  </si>
  <si>
    <t>-31.477293,-68.527555</t>
  </si>
  <si>
    <t>9 de Julio</t>
  </si>
  <si>
    <t>9 de Julio e H. Yrigoyen N</t>
  </si>
  <si>
    <t>08-28-03-16</t>
  </si>
  <si>
    <t>-31.49033, -68.5405</t>
  </si>
  <si>
    <t>9 de Julio e H. Yrigoyen S</t>
  </si>
  <si>
    <t>08-28-03-17</t>
  </si>
  <si>
    <t>-31.474470,-68.522430</t>
  </si>
  <si>
    <t>9 de Julio y 5 de Octubre</t>
  </si>
  <si>
    <t>08-28-03-18</t>
  </si>
  <si>
    <t>-31.474214,-68.521531</t>
  </si>
  <si>
    <t>9 de Julio y Centenario</t>
  </si>
  <si>
    <t>08-28-03-19</t>
  </si>
  <si>
    <t>-31.4857, -68.54118</t>
  </si>
  <si>
    <t>Misiones</t>
  </si>
  <si>
    <t>Misiones e H. Yrigoyen</t>
  </si>
  <si>
    <t>08-28-03-20</t>
  </si>
  <si>
    <t>-31.48706, -68.53617</t>
  </si>
  <si>
    <t>Plaza B° Las Vicuñas</t>
  </si>
  <si>
    <t>08-28-03-21</t>
  </si>
  <si>
    <t>-31.48592, -68.53632</t>
  </si>
  <si>
    <t>Misiones y Centenario</t>
  </si>
  <si>
    <t>08-28-03-22</t>
  </si>
  <si>
    <t>-31.48411, -68.53663</t>
  </si>
  <si>
    <t>Mendoza y Valdez</t>
  </si>
  <si>
    <t>08-28-03-23</t>
  </si>
  <si>
    <t>-31.48676, -68.53210</t>
  </si>
  <si>
    <t>Mendoza e H. Yrigoyen</t>
  </si>
  <si>
    <t>08-28-03-24</t>
  </si>
  <si>
    <t>-31.511863,-68.517952</t>
  </si>
  <si>
    <t>Mendoza y 5 de Octubre</t>
  </si>
  <si>
    <t>08-28-03-25</t>
  </si>
  <si>
    <t>-31.511583,-68.517287</t>
  </si>
  <si>
    <t>B° 5 de Octubre</t>
  </si>
  <si>
    <t>08-28-03-26</t>
  </si>
  <si>
    <t>-31.509630,-68.517869</t>
  </si>
  <si>
    <t>Centenario y Mendoza</t>
  </si>
  <si>
    <t>08-28-03-27</t>
  </si>
  <si>
    <t>Rodríguez y 9 de Julio S</t>
  </si>
  <si>
    <t>08-28-03-5</t>
  </si>
  <si>
    <t>-31.479213,-68.520891</t>
  </si>
  <si>
    <t>Rodríguez y Sarmiento</t>
  </si>
  <si>
    <t>08-28-03-6</t>
  </si>
  <si>
    <t>-31.478522,-68.520788</t>
  </si>
  <si>
    <t>Mendoza y Báez Laspiur E</t>
  </si>
  <si>
    <t>08-28-03-69</t>
  </si>
  <si>
    <t>Mendoza y Báez Laspiur O</t>
  </si>
  <si>
    <t>69A</t>
  </si>
  <si>
    <t>08-28-03-69A</t>
  </si>
  <si>
    <t>-31.48967, -68.53217</t>
  </si>
  <si>
    <t>Rodríguez y Catamarca</t>
  </si>
  <si>
    <t>08-28-03-7</t>
  </si>
  <si>
    <t>-31.478637,-68.521578</t>
  </si>
  <si>
    <t>Mendoza y M. Di Stéfano</t>
  </si>
  <si>
    <t>08-28-03-70</t>
  </si>
  <si>
    <t>-31.488874,-68.532128</t>
  </si>
  <si>
    <t>Rodríguez y Alem</t>
  </si>
  <si>
    <t>08-28-03-8</t>
  </si>
  <si>
    <t>-31.479998,-68.525016</t>
  </si>
  <si>
    <t>9 de Julio y Corrientes</t>
  </si>
  <si>
    <t>08-28-03-9</t>
  </si>
  <si>
    <t>-31.49092, -68.53997</t>
  </si>
  <si>
    <t>Hipólito Yrigoyen</t>
  </si>
  <si>
    <t>H. Yrigoyen y Entre Ríos</t>
  </si>
  <si>
    <t>9A</t>
  </si>
  <si>
    <t>08-28-03-9A</t>
  </si>
  <si>
    <t>-31.49061, -68.54107</t>
  </si>
  <si>
    <t>H. Yrigoyen y Callejón Olmos</t>
  </si>
  <si>
    <t>9B</t>
  </si>
  <si>
    <t>08-28-03-9B</t>
  </si>
  <si>
    <t>-31.49132, -68.54395</t>
  </si>
  <si>
    <t>Saavedra</t>
  </si>
  <si>
    <t>Saavedra y Quiroga S</t>
  </si>
  <si>
    <t>08-42-03-34</t>
  </si>
  <si>
    <t>Saavedra y Quiroga N</t>
  </si>
  <si>
    <t>08-42-03-35</t>
  </si>
  <si>
    <t>Saavedra y Sarmiento S</t>
  </si>
  <si>
    <t>08-42-03-39</t>
  </si>
  <si>
    <t>-31.504138,-68.518150</t>
  </si>
  <si>
    <t>Saavedra y Sarmiento N</t>
  </si>
  <si>
    <t>08-42-03-40</t>
  </si>
  <si>
    <t>-31.504033,-68.520838</t>
  </si>
  <si>
    <t>Mendoza y Av. N. Benavídez</t>
  </si>
  <si>
    <t>08-42-03-85</t>
  </si>
  <si>
    <t>-31.509763,-68.531191</t>
  </si>
  <si>
    <t>Mendoza y Chubut O</t>
  </si>
  <si>
    <t>08-42-03-87</t>
  </si>
  <si>
    <t>-31.508527,-68.531541</t>
  </si>
  <si>
    <t>Mendoza y Patagonia O</t>
  </si>
  <si>
    <t>08-42-03-89</t>
  </si>
  <si>
    <t>-31.506842,-68.531989</t>
  </si>
  <si>
    <t>Mendoza y Santa Cruz O</t>
  </si>
  <si>
    <t>08-42-03-91</t>
  </si>
  <si>
    <t>-31.504664,-68.532223</t>
  </si>
  <si>
    <t>Mendoza y Bandera Argentina O</t>
  </si>
  <si>
    <t>08-42-03-93</t>
  </si>
  <si>
    <t>-31.502202,-68.532130</t>
  </si>
  <si>
    <t>Mendoza y Reconquista O</t>
  </si>
  <si>
    <t>08-42-03-95</t>
  </si>
  <si>
    <t>-31.499359,-68.532027</t>
  </si>
  <si>
    <t>Mendoza y Oro O</t>
  </si>
  <si>
    <t>08-42-03-97</t>
  </si>
  <si>
    <t>-31.496887,-68.532124</t>
  </si>
  <si>
    <t>Mendoza y Canal Mogote</t>
  </si>
  <si>
    <t>08-42-03-98</t>
  </si>
  <si>
    <t>-31.496909,-68.531999</t>
  </si>
  <si>
    <t>San Juan y Av. N. Benavídez O</t>
  </si>
  <si>
    <t>08-44-03-32</t>
  </si>
  <si>
    <t>San Juan y Av. N. Benavídez E</t>
  </si>
  <si>
    <t>08-44-03-33</t>
  </si>
  <si>
    <t>Esc. Ingenieros de San Juan E</t>
  </si>
  <si>
    <t>08-44-03-34</t>
  </si>
  <si>
    <t>Ameghino</t>
  </si>
  <si>
    <t>Esc. Ingenieros de San Juan N</t>
  </si>
  <si>
    <t>08-44-03-35</t>
  </si>
  <si>
    <t>Ameghino Urquiza</t>
  </si>
  <si>
    <t>08-44-03-36</t>
  </si>
  <si>
    <t>Urquiza</t>
  </si>
  <si>
    <t>Urquiza y Ameghino</t>
  </si>
  <si>
    <t>08-44-03-37</t>
  </si>
  <si>
    <t>-31.505501,-68.520710</t>
  </si>
  <si>
    <t>Urquiza y Patagonia</t>
  </si>
  <si>
    <t>08-44-03-39</t>
  </si>
  <si>
    <t>Urquiza y Neuquén</t>
  </si>
  <si>
    <t>08-44-03-40</t>
  </si>
  <si>
    <t>Urquiza y Porres</t>
  </si>
  <si>
    <t>08-44-03-41</t>
  </si>
  <si>
    <t>-31.502842,-68.520941</t>
  </si>
  <si>
    <t>Porres</t>
  </si>
  <si>
    <t>Porres y Urquiza</t>
  </si>
  <si>
    <t>08-44-03-42</t>
  </si>
  <si>
    <t>-31.502825,-68.521167</t>
  </si>
  <si>
    <t>Esc. Policía Federal Argentina E</t>
  </si>
  <si>
    <t>08-44-03-43</t>
  </si>
  <si>
    <t>-31.503057,-68.522807</t>
  </si>
  <si>
    <t>Córdoba</t>
  </si>
  <si>
    <t>Esc. Policía Federal Argentina O</t>
  </si>
  <si>
    <t>08-44-03-44</t>
  </si>
  <si>
    <t>-31.503400,-68.524541</t>
  </si>
  <si>
    <t>San Luis</t>
  </si>
  <si>
    <t>San Luis y R. Godoy</t>
  </si>
  <si>
    <t>08-44-03-45</t>
  </si>
  <si>
    <t>-31.501205,-68.522680</t>
  </si>
  <si>
    <t>Córdoba y R. Godoy</t>
  </si>
  <si>
    <t>08-44-03-46</t>
  </si>
  <si>
    <t>-31.500944,-68.524484</t>
  </si>
  <si>
    <t>Córdoba y Bandera Argentina</t>
  </si>
  <si>
    <t>46A</t>
  </si>
  <si>
    <t>08-44-03-46A</t>
  </si>
  <si>
    <t>-31.50241, -68.52473</t>
  </si>
  <si>
    <t>Reconquista</t>
  </si>
  <si>
    <t>Reconquista y San Juan</t>
  </si>
  <si>
    <t>08-44-03-47</t>
  </si>
  <si>
    <t>-31.499671,-68.523054</t>
  </si>
  <si>
    <t>San Juan y Reconquista</t>
  </si>
  <si>
    <t>08-44-03-48</t>
  </si>
  <si>
    <t>-31.499625,-68.523299</t>
  </si>
  <si>
    <t>San Juan y Oro</t>
  </si>
  <si>
    <t>08-44-03-49</t>
  </si>
  <si>
    <t>-31.497521,-68.520874</t>
  </si>
  <si>
    <t>Oro y Urquiza S</t>
  </si>
  <si>
    <t>08-44-03-51</t>
  </si>
  <si>
    <t>-31.497520,-68.520677</t>
  </si>
  <si>
    <t>Oro y RN40 S</t>
  </si>
  <si>
    <t>52C</t>
  </si>
  <si>
    <t>08-44-03-52C</t>
  </si>
  <si>
    <t>-31.49765, -68.51780</t>
  </si>
  <si>
    <t>Mendoza y Chubut E</t>
  </si>
  <si>
    <t>08-44-03-86</t>
  </si>
  <si>
    <t>-31.508511,-68.531411</t>
  </si>
  <si>
    <t>Mendoza y Patagonia E</t>
  </si>
  <si>
    <t>08-44-03-88</t>
  </si>
  <si>
    <t>-31.506967,-68.531856</t>
  </si>
  <si>
    <t>Mendoza y Santa Cruz E</t>
  </si>
  <si>
    <t>08-44-03-90</t>
  </si>
  <si>
    <t>-31.504760,-68.532114</t>
  </si>
  <si>
    <t>Mendoza y Bandera Argentina E</t>
  </si>
  <si>
    <t>08-44-03-92</t>
  </si>
  <si>
    <t>-31.502341,-68.532037</t>
  </si>
  <si>
    <t>Mendoza y Reconquista E</t>
  </si>
  <si>
    <t>08-44-03-94</t>
  </si>
  <si>
    <t>-31.499348,-68.531923</t>
  </si>
  <si>
    <t>Mendoza y Oro E</t>
  </si>
  <si>
    <t>08-44-03-96</t>
  </si>
  <si>
    <t>-31.497082,-68.532009</t>
  </si>
  <si>
    <t>Error de Latitud</t>
  </si>
  <si>
    <t>Error de Longitud</t>
  </si>
  <si>
    <t>Error de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</si>
</sst>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 de &quot;mmmm"/>
  </numFmts>
  <fonts count="8">
    <font>
      <sz val="11.0"/>
      <color theme="1"/>
      <name val="Arial"/>
    </font>
    <font>
      <color theme="1"/>
      <name val="Calibri"/>
    </font>
    <font>
      <sz val="16.0"/>
      <color rgb="FF000000"/>
      <name val="Arial"/>
    </font>
    <font>
      <sz val="14.0"/>
      <color rgb="FF000000"/>
      <name val="Barlow"/>
    </font>
    <font/>
    <font>
      <sz val="11.0"/>
      <color rgb="FF000000"/>
      <name val="Barlow"/>
    </font>
    <font>
      <sz val="11.0"/>
      <color theme="1"/>
      <name val="Barlow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 vertical="bottom"/>
    </xf>
    <xf borderId="1" fillId="2" fontId="3" numFmtId="0" xfId="0" applyAlignment="1" applyBorder="1" applyFill="1" applyFont="1">
      <alignment horizontal="center" readingOrder="0" vertical="bottom"/>
    </xf>
    <xf borderId="2" fillId="0" fontId="4" numFmtId="0" xfId="0" applyBorder="1" applyFont="1"/>
    <xf borderId="3" fillId="0" fontId="4" numFmtId="0" xfId="0" applyBorder="1" applyFont="1"/>
    <xf borderId="4" fillId="3" fontId="5" numFmtId="0" xfId="0" applyAlignment="1" applyBorder="1" applyFill="1" applyFont="1">
      <alignment horizontal="center" vertical="bottom"/>
    </xf>
    <xf borderId="1" fillId="3" fontId="5" numFmtId="0" xfId="0" applyAlignment="1" applyBorder="1" applyFont="1">
      <alignment vertical="bottom"/>
    </xf>
    <xf borderId="5" fillId="0" fontId="4" numFmtId="0" xfId="0" applyBorder="1" applyFont="1"/>
    <xf borderId="4" fillId="3" fontId="5" numFmtId="0" xfId="0" applyAlignment="1" applyBorder="1" applyFont="1">
      <alignment vertical="bottom"/>
    </xf>
    <xf borderId="4" fillId="3" fontId="5" numFmtId="0" xfId="0" applyAlignment="1" applyBorder="1" applyFont="1">
      <alignment horizontal="right" vertical="bottom"/>
    </xf>
    <xf borderId="4" fillId="3" fontId="5" numFmtId="0" xfId="0" applyAlignment="1" applyBorder="1" applyFont="1">
      <alignment horizontal="center" vertical="bottom"/>
    </xf>
    <xf borderId="4" fillId="3" fontId="5" numFmtId="0" xfId="0" applyAlignment="1" applyBorder="1" applyFont="1">
      <alignment horizontal="center" vertical="bottom"/>
    </xf>
    <xf borderId="0" fillId="0" fontId="6" numFmtId="0" xfId="0" applyAlignment="1" applyFont="1">
      <alignment vertical="bottom"/>
    </xf>
    <xf borderId="6" fillId="0" fontId="4" numFmtId="0" xfId="0" applyBorder="1" applyFont="1"/>
    <xf borderId="0" fillId="0" fontId="0" numFmtId="0" xfId="0" applyAlignment="1" applyFont="1">
      <alignment vertical="bottom"/>
    </xf>
    <xf borderId="1" fillId="0" fontId="5" numFmtId="0" xfId="0" applyAlignment="1" applyBorder="1" applyFont="1">
      <alignment horizontal="center" vertical="center"/>
    </xf>
    <xf borderId="0" fillId="0" fontId="7" numFmtId="0" xfId="0" applyAlignment="1" applyFont="1">
      <alignment vertical="bottom"/>
    </xf>
    <xf borderId="7" fillId="0" fontId="5" numFmtId="0" xfId="0" applyAlignment="1" applyBorder="1" applyFont="1">
      <alignment horizontal="center" vertical="center"/>
    </xf>
    <xf borderId="7" fillId="4" fontId="5" numFmtId="0" xfId="0" applyAlignment="1" applyBorder="1" applyFill="1" applyFont="1">
      <alignment horizontal="center" vertical="center"/>
    </xf>
    <xf borderId="7" fillId="0" fontId="5" numFmtId="0" xfId="0" applyAlignment="1" applyBorder="1" applyFont="1">
      <alignment horizontal="left" vertical="center"/>
    </xf>
    <xf borderId="7" fillId="0" fontId="5" numFmtId="0" xfId="0" applyAlignment="1" applyBorder="1" applyFont="1">
      <alignment horizontal="left" shrinkToFit="0" vertical="center" wrapText="0"/>
    </xf>
    <xf borderId="7" fillId="0" fontId="5" numFmtId="0" xfId="0" applyAlignment="1" applyBorder="1" applyFont="1">
      <alignment horizontal="left" vertical="center"/>
    </xf>
    <xf borderId="7" fillId="4" fontId="5" numFmtId="0" xfId="0" applyAlignment="1" applyBorder="1" applyFont="1">
      <alignment horizontal="left" vertical="bottom"/>
    </xf>
    <xf borderId="7" fillId="4" fontId="5" numFmtId="0" xfId="0" applyAlignment="1" applyBorder="1" applyFont="1">
      <alignment horizontal="left" vertical="bottom"/>
    </xf>
    <xf borderId="7" fillId="0" fontId="5" numFmtId="0" xfId="0" applyAlignment="1" applyBorder="1" applyFont="1">
      <alignment horizontal="left" vertical="bottom"/>
    </xf>
    <xf borderId="0" fillId="4" fontId="7" numFmtId="0" xfId="0" applyAlignment="1" applyFont="1">
      <alignment vertical="bottom"/>
    </xf>
    <xf borderId="7" fillId="0" fontId="5" numFmtId="0" xfId="0" applyAlignment="1" applyBorder="1" applyFont="1">
      <alignment horizontal="left" readingOrder="0" vertical="center"/>
    </xf>
    <xf borderId="7" fillId="4" fontId="5" numFmtId="0" xfId="0" applyAlignment="1" applyBorder="1" applyFont="1">
      <alignment horizontal="left"/>
    </xf>
    <xf borderId="7" fillId="0" fontId="5" numFmtId="164" xfId="0" applyAlignment="1" applyBorder="1" applyFont="1" applyNumberFormat="1">
      <alignment horizontal="center" vertical="center"/>
    </xf>
    <xf borderId="7" fillId="0" fontId="5" numFmtId="0" xfId="0" applyAlignment="1" applyBorder="1" applyFont="1">
      <alignment horizontal="left" vertical="bottom"/>
    </xf>
    <xf borderId="7" fillId="5" fontId="5" numFmtId="0" xfId="0" applyAlignment="1" applyBorder="1" applyFill="1" applyFont="1">
      <alignment horizontal="center" vertical="center"/>
    </xf>
    <xf borderId="7" fillId="5" fontId="5" numFmtId="0" xfId="0" applyAlignment="1" applyBorder="1" applyFont="1">
      <alignment horizontal="left" vertical="center"/>
    </xf>
    <xf borderId="7" fillId="0" fontId="5" numFmtId="0" xfId="0" applyAlignment="1" applyBorder="1" applyFont="1">
      <alignment horizontal="left" shrinkToFit="0" vertical="center" wrapText="0"/>
    </xf>
    <xf borderId="7" fillId="0" fontId="5" numFmtId="0" xfId="0" applyAlignment="1" applyBorder="1" applyFont="1">
      <alignment horizontal="left" vertical="bottom"/>
    </xf>
    <xf borderId="7" fillId="4" fontId="5" numFmtId="0" xfId="0" applyAlignment="1" applyBorder="1" applyFont="1">
      <alignment horizontal="left" readingOrder="0" vertical="bottom"/>
    </xf>
    <xf borderId="0" fillId="0" fontId="1" numFmtId="0" xfId="0" applyFont="1"/>
    <xf borderId="0" fillId="0" fontId="7" numFmtId="0" xfId="0" applyAlignment="1" applyFont="1">
      <alignment horizontal="right" vertical="bottom"/>
    </xf>
    <xf borderId="0" fillId="0" fontId="7" numFmtId="164" xfId="0" applyAlignment="1" applyFont="1" applyNumberFormat="1">
      <alignment horizontal="right" vertical="bottom"/>
    </xf>
    <xf borderId="0" fillId="0" fontId="7" numFmtId="164" xfId="0" applyAlignment="1" applyFont="1" applyNumberForma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88"/>
    <col customWidth="1" min="3" max="3" width="7.88"/>
    <col customWidth="1" min="4" max="4" width="18.5"/>
    <col customWidth="1" min="5" max="5" width="29.75"/>
    <col customWidth="1" min="6" max="6" width="7.88"/>
    <col customWidth="1" min="7" max="7" width="8.25"/>
    <col customWidth="1" min="8" max="8" width="16.25"/>
    <col customWidth="1" hidden="1" min="9" max="9" width="4.13"/>
    <col customWidth="1" min="10" max="10" width="20.75"/>
    <col customWidth="1" min="11" max="11" width="12.25"/>
    <col customWidth="1" min="12" max="12" width="12.38"/>
    <col customWidth="1" min="13" max="25" width="7.63"/>
  </cols>
  <sheetData>
    <row r="1">
      <c r="H1" s="1"/>
      <c r="I1" s="1"/>
      <c r="J1" s="1"/>
      <c r="K1" s="1"/>
      <c r="L1" s="1"/>
    </row>
    <row r="2">
      <c r="B2" s="2"/>
      <c r="H2" s="1"/>
      <c r="I2" s="1"/>
      <c r="J2" s="1"/>
      <c r="K2" s="1"/>
      <c r="L2" s="1"/>
    </row>
    <row r="3">
      <c r="B3" s="3" t="s">
        <v>0</v>
      </c>
      <c r="C3" s="4"/>
      <c r="D3" s="4"/>
      <c r="E3" s="4"/>
      <c r="F3" s="4"/>
      <c r="G3" s="4"/>
      <c r="H3" s="4"/>
      <c r="I3" s="4"/>
      <c r="J3" s="4"/>
      <c r="K3" s="4"/>
      <c r="L3" s="5"/>
    </row>
    <row r="4">
      <c r="B4" s="6" t="s">
        <v>1</v>
      </c>
      <c r="C4" s="6" t="s">
        <v>2</v>
      </c>
      <c r="D4" s="6" t="s">
        <v>3</v>
      </c>
      <c r="E4" s="7" t="s">
        <v>4</v>
      </c>
      <c r="F4" s="4"/>
      <c r="G4" s="4"/>
      <c r="H4" s="4"/>
      <c r="I4" s="4"/>
      <c r="J4" s="4"/>
      <c r="K4" s="4"/>
      <c r="L4" s="5"/>
    </row>
    <row r="5">
      <c r="B5" s="8"/>
      <c r="C5" s="8"/>
      <c r="D5" s="8"/>
      <c r="E5" s="9" t="s">
        <v>5</v>
      </c>
      <c r="F5" s="6" t="s">
        <v>6</v>
      </c>
      <c r="G5" s="10" t="s">
        <v>7</v>
      </c>
      <c r="H5" s="6" t="s">
        <v>8</v>
      </c>
      <c r="I5" s="11" t="s">
        <v>9</v>
      </c>
      <c r="J5" s="12" t="s">
        <v>10</v>
      </c>
      <c r="K5" s="12" t="s">
        <v>11</v>
      </c>
      <c r="L5" s="12" t="s">
        <v>12</v>
      </c>
      <c r="N5" s="13" t="s">
        <v>13</v>
      </c>
    </row>
    <row r="6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N6" s="15" t="s">
        <v>11</v>
      </c>
      <c r="O6" s="15" t="s">
        <v>12</v>
      </c>
      <c r="P6" s="15" t="s">
        <v>8</v>
      </c>
      <c r="Q6" s="13" t="s">
        <v>14</v>
      </c>
    </row>
    <row r="7">
      <c r="B7" s="16"/>
      <c r="C7" s="4"/>
      <c r="D7" s="4"/>
      <c r="E7" s="4"/>
      <c r="F7" s="4"/>
      <c r="G7" s="4"/>
      <c r="H7" s="4"/>
      <c r="I7" s="4"/>
      <c r="J7" s="4"/>
      <c r="K7" s="4"/>
      <c r="L7" s="5"/>
      <c r="N7" s="17"/>
      <c r="O7" s="17"/>
      <c r="P7" s="17"/>
      <c r="Q7" s="17"/>
    </row>
    <row r="8">
      <c r="B8" s="18" t="s">
        <v>15</v>
      </c>
      <c r="C8" s="18">
        <v>125.0</v>
      </c>
      <c r="D8" s="19" t="s">
        <v>16</v>
      </c>
      <c r="E8" s="20" t="s">
        <v>17</v>
      </c>
      <c r="F8" s="18">
        <v>3.0</v>
      </c>
      <c r="G8" s="18">
        <v>27.0</v>
      </c>
      <c r="H8" s="21" t="s">
        <v>18</v>
      </c>
      <c r="I8" s="22">
        <v>20.0</v>
      </c>
      <c r="J8" s="23" t="s">
        <v>19</v>
      </c>
      <c r="K8" s="24">
        <v>-31.509631</v>
      </c>
      <c r="L8" s="25">
        <v>-68.517176</v>
      </c>
      <c r="N8" s="17" t="str">
        <f>VLOOKUP($H8,'Hoja 2'!A$2:D$5000,2,FALSE)</f>
        <v/>
      </c>
      <c r="O8" s="17" t="str">
        <f>VLOOKUP($H8,'Hoja 2'!A$2:D$5000,3,FALSE)</f>
        <v/>
      </c>
      <c r="P8" s="17" t="str">
        <f>VLOOKUP($H8,'Hoja 2'!A$2:D$5000,4,FALSE)</f>
        <v/>
      </c>
      <c r="Q8" s="26" t="str">
        <f>VLOOKUP($H8,'Hoja 2'!E$2:H$5000,4,FALSE)</f>
        <v/>
      </c>
    </row>
    <row r="9">
      <c r="B9" s="18" t="s">
        <v>20</v>
      </c>
      <c r="C9" s="18">
        <v>822.0</v>
      </c>
      <c r="D9" s="19" t="s">
        <v>21</v>
      </c>
      <c r="E9" s="20" t="s">
        <v>22</v>
      </c>
      <c r="F9" s="18">
        <v>3.0</v>
      </c>
      <c r="G9" s="18">
        <v>23.0</v>
      </c>
      <c r="H9" s="21" t="s">
        <v>23</v>
      </c>
      <c r="I9" s="22">
        <v>17.0</v>
      </c>
      <c r="J9" s="23" t="s">
        <v>24</v>
      </c>
      <c r="K9" s="24">
        <v>-31.47406</v>
      </c>
      <c r="L9" s="25">
        <v>-68.5209</v>
      </c>
      <c r="N9" s="17" t="str">
        <f>VLOOKUP($H9,'Hoja 2'!A$2:D$5000,2,FALSE)</f>
        <v/>
      </c>
      <c r="O9" s="17" t="str">
        <f>VLOOKUP($H9,'Hoja 2'!A$2:D$5000,3,FALSE)</f>
        <v/>
      </c>
      <c r="P9" s="17" t="str">
        <f>VLOOKUP($H9,'Hoja 2'!A$2:D$5000,4,FALSE)</f>
        <v/>
      </c>
      <c r="Q9" s="26" t="str">
        <f>VLOOKUP($H9,'Hoja 2'!E$2:H$5000,4,FALSE)</f>
        <v/>
      </c>
    </row>
    <row r="10">
      <c r="B10" s="18" t="s">
        <v>20</v>
      </c>
      <c r="C10" s="18">
        <v>822.0</v>
      </c>
      <c r="D10" s="19" t="s">
        <v>25</v>
      </c>
      <c r="E10" s="20" t="s">
        <v>26</v>
      </c>
      <c r="F10" s="18">
        <v>3.0</v>
      </c>
      <c r="G10" s="18">
        <v>28.0</v>
      </c>
      <c r="H10" s="21" t="s">
        <v>27</v>
      </c>
      <c r="I10" s="22">
        <v>17.0</v>
      </c>
      <c r="J10" s="23" t="s">
        <v>28</v>
      </c>
      <c r="K10" s="24">
        <v>-31.48785</v>
      </c>
      <c r="L10" s="25">
        <v>-68.54786</v>
      </c>
      <c r="N10" s="17" t="str">
        <f>VLOOKUP($H10,'Hoja 2'!A$2:D$5000,2,FALSE)</f>
        <v/>
      </c>
      <c r="O10" s="17" t="str">
        <f>VLOOKUP($H10,'Hoja 2'!A$2:D$5000,3,FALSE)</f>
        <v/>
      </c>
      <c r="P10" s="17" t="str">
        <f>VLOOKUP($H10,'Hoja 2'!A$2:D$5000,4,FALSE)</f>
        <v/>
      </c>
      <c r="Q10" s="26" t="str">
        <f>VLOOKUP($H10,'Hoja 2'!E$2:H$5000,4,FALSE)</f>
        <v/>
      </c>
    </row>
    <row r="11">
      <c r="B11" s="18" t="s">
        <v>20</v>
      </c>
      <c r="C11" s="18">
        <v>822.0</v>
      </c>
      <c r="D11" s="19" t="s">
        <v>25</v>
      </c>
      <c r="E11" s="20" t="s">
        <v>29</v>
      </c>
      <c r="F11" s="18">
        <v>3.0</v>
      </c>
      <c r="G11" s="18">
        <v>29.0</v>
      </c>
      <c r="H11" s="21" t="s">
        <v>30</v>
      </c>
      <c r="I11" s="22">
        <v>17.0</v>
      </c>
      <c r="J11" s="23" t="s">
        <v>31</v>
      </c>
      <c r="K11" s="24">
        <v>-31.48683</v>
      </c>
      <c r="L11" s="25">
        <v>-68.54502</v>
      </c>
      <c r="N11" s="17" t="str">
        <f>VLOOKUP($H11,'Hoja 2'!A$2:D$5000,2,FALSE)</f>
        <v/>
      </c>
      <c r="O11" s="17" t="str">
        <f>VLOOKUP($H11,'Hoja 2'!A$2:D$5000,3,FALSE)</f>
        <v/>
      </c>
      <c r="P11" s="17" t="str">
        <f>VLOOKUP($H11,'Hoja 2'!A$2:D$5000,4,FALSE)</f>
        <v/>
      </c>
      <c r="Q11" s="26" t="str">
        <f>VLOOKUP($H11,'Hoja 2'!E$2:H$5000,4,FALSE)</f>
        <v/>
      </c>
    </row>
    <row r="12">
      <c r="B12" s="18" t="s">
        <v>20</v>
      </c>
      <c r="C12" s="18">
        <v>822.0</v>
      </c>
      <c r="D12" s="19" t="s">
        <v>25</v>
      </c>
      <c r="E12" s="20" t="s">
        <v>32</v>
      </c>
      <c r="F12" s="18">
        <v>3.0</v>
      </c>
      <c r="G12" s="18">
        <v>30.0</v>
      </c>
      <c r="H12" s="21" t="s">
        <v>33</v>
      </c>
      <c r="I12" s="22">
        <v>17.0</v>
      </c>
      <c r="J12" s="23" t="s">
        <v>34</v>
      </c>
      <c r="K12" s="24">
        <v>-31.48563</v>
      </c>
      <c r="L12" s="25">
        <v>-68.54154</v>
      </c>
      <c r="N12" s="17" t="str">
        <f>VLOOKUP($H12,'Hoja 2'!A$2:D$5000,2,FALSE)</f>
        <v/>
      </c>
      <c r="O12" s="17" t="str">
        <f>VLOOKUP($H12,'Hoja 2'!A$2:D$5000,3,FALSE)</f>
        <v/>
      </c>
      <c r="P12" s="17" t="str">
        <f>VLOOKUP($H12,'Hoja 2'!A$2:D$5000,4,FALSE)</f>
        <v/>
      </c>
      <c r="Q12" s="26" t="str">
        <f>VLOOKUP($H12,'Hoja 2'!E$2:H$5000,4,FALSE)</f>
        <v/>
      </c>
    </row>
    <row r="13">
      <c r="B13" s="18" t="s">
        <v>20</v>
      </c>
      <c r="C13" s="18">
        <v>822.0</v>
      </c>
      <c r="D13" s="19" t="s">
        <v>35</v>
      </c>
      <c r="E13" s="20" t="s">
        <v>36</v>
      </c>
      <c r="F13" s="18">
        <v>3.0</v>
      </c>
      <c r="G13" s="18">
        <v>31.0</v>
      </c>
      <c r="H13" s="21" t="s">
        <v>37</v>
      </c>
      <c r="I13" s="22">
        <v>27.0</v>
      </c>
      <c r="J13" s="23" t="s">
        <v>38</v>
      </c>
      <c r="K13" s="24">
        <v>-31.48504</v>
      </c>
      <c r="L13" s="25">
        <v>-68.53979</v>
      </c>
      <c r="N13" s="17" t="str">
        <f>VLOOKUP($H13,'Hoja 2'!A$2:D$5000,2,FALSE)</f>
        <v/>
      </c>
      <c r="O13" s="17" t="str">
        <f>VLOOKUP($H13,'Hoja 2'!A$2:D$5000,3,FALSE)</f>
        <v/>
      </c>
      <c r="P13" s="17" t="str">
        <f>VLOOKUP($H13,'Hoja 2'!A$2:D$5000,4,FALSE)</f>
        <v/>
      </c>
      <c r="Q13" s="26" t="str">
        <f>VLOOKUP($H13,'Hoja 2'!E$2:H$5000,4,FALSE)</f>
        <v/>
      </c>
    </row>
    <row r="14">
      <c r="B14" s="18" t="s">
        <v>20</v>
      </c>
      <c r="C14" s="18">
        <v>822.0</v>
      </c>
      <c r="D14" s="19" t="s">
        <v>35</v>
      </c>
      <c r="E14" s="20" t="s">
        <v>39</v>
      </c>
      <c r="F14" s="18">
        <v>3.0</v>
      </c>
      <c r="G14" s="18" t="s">
        <v>40</v>
      </c>
      <c r="H14" s="21" t="s">
        <v>41</v>
      </c>
      <c r="I14" s="22">
        <v>17.0</v>
      </c>
      <c r="J14" s="23" t="s">
        <v>42</v>
      </c>
      <c r="K14" s="24">
        <v>-31.48342</v>
      </c>
      <c r="L14" s="25">
        <v>-68.54042</v>
      </c>
      <c r="N14" s="17" t="str">
        <f>VLOOKUP($H14,'Hoja 2'!A$2:D$5000,2,FALSE)</f>
        <v/>
      </c>
      <c r="O14" s="17" t="str">
        <f>VLOOKUP($H14,'Hoja 2'!A$2:D$5000,3,FALSE)</f>
        <v/>
      </c>
      <c r="P14" s="17" t="str">
        <f>VLOOKUP($H14,'Hoja 2'!A$2:D$5000,4,FALSE)</f>
        <v/>
      </c>
      <c r="Q14" s="26" t="str">
        <f>VLOOKUP($H14,'Hoja 2'!E$2:H$5000,4,FALSE)</f>
        <v/>
      </c>
    </row>
    <row r="15">
      <c r="B15" s="18" t="s">
        <v>20</v>
      </c>
      <c r="C15" s="18">
        <v>822.0</v>
      </c>
      <c r="D15" s="19" t="s">
        <v>43</v>
      </c>
      <c r="E15" s="20" t="s">
        <v>44</v>
      </c>
      <c r="F15" s="18">
        <v>3.0</v>
      </c>
      <c r="G15" s="18">
        <v>32.0</v>
      </c>
      <c r="H15" s="21" t="s">
        <v>45</v>
      </c>
      <c r="I15" s="22">
        <v>24.0</v>
      </c>
      <c r="J15" s="23" t="s">
        <v>46</v>
      </c>
      <c r="K15" s="24">
        <v>-31.508439</v>
      </c>
      <c r="L15" s="25">
        <v>-68.521966</v>
      </c>
      <c r="N15" s="17" t="str">
        <f>VLOOKUP($H15,'Hoja 2'!A$2:D$5000,2,FALSE)</f>
        <v/>
      </c>
      <c r="O15" s="17" t="str">
        <f>VLOOKUP($H15,'Hoja 2'!A$2:D$5000,3,FALSE)</f>
        <v/>
      </c>
      <c r="P15" s="17" t="str">
        <f>VLOOKUP($H15,'Hoja 2'!A$2:D$5000,4,FALSE)</f>
        <v/>
      </c>
      <c r="Q15" s="26" t="str">
        <f>VLOOKUP($H15,'Hoja 2'!E$2:H$5000,4,FALSE)</f>
        <v/>
      </c>
    </row>
    <row r="16">
      <c r="B16" s="18" t="s">
        <v>20</v>
      </c>
      <c r="C16" s="18">
        <v>822.0</v>
      </c>
      <c r="D16" s="19" t="s">
        <v>35</v>
      </c>
      <c r="E16" s="20" t="s">
        <v>47</v>
      </c>
      <c r="F16" s="18">
        <v>3.0</v>
      </c>
      <c r="G16" s="18">
        <v>33.0</v>
      </c>
      <c r="H16" s="21" t="s">
        <v>48</v>
      </c>
      <c r="I16" s="22">
        <v>23.0</v>
      </c>
      <c r="J16" s="23" t="s">
        <v>49</v>
      </c>
      <c r="K16" s="24">
        <v>-31.507971</v>
      </c>
      <c r="L16" s="25">
        <v>-68.521942</v>
      </c>
      <c r="N16" s="17" t="str">
        <f>VLOOKUP($H16,'Hoja 2'!A$2:D$5000,2,FALSE)</f>
        <v/>
      </c>
      <c r="O16" s="17" t="str">
        <f>VLOOKUP($H16,'Hoja 2'!A$2:D$5000,3,FALSE)</f>
        <v/>
      </c>
      <c r="P16" s="17" t="str">
        <f>VLOOKUP($H16,'Hoja 2'!A$2:D$5000,4,FALSE)</f>
        <v/>
      </c>
      <c r="Q16" s="26" t="str">
        <f>VLOOKUP($H16,'Hoja 2'!E$2:H$5000,4,FALSE)</f>
        <v/>
      </c>
    </row>
    <row r="17">
      <c r="B17" s="18" t="s">
        <v>20</v>
      </c>
      <c r="C17" s="18">
        <v>822.0</v>
      </c>
      <c r="D17" s="19" t="s">
        <v>50</v>
      </c>
      <c r="E17" s="20" t="s">
        <v>51</v>
      </c>
      <c r="F17" s="18">
        <v>3.0</v>
      </c>
      <c r="G17" s="18">
        <v>34.0</v>
      </c>
      <c r="H17" s="21" t="s">
        <v>52</v>
      </c>
      <c r="I17" s="22">
        <v>14.0</v>
      </c>
      <c r="J17" s="23" t="s">
        <v>53</v>
      </c>
      <c r="K17" s="24">
        <v>-31.506207</v>
      </c>
      <c r="L17" s="25">
        <v>-68.522438</v>
      </c>
      <c r="N17" s="17" t="str">
        <f>VLOOKUP($H17,'Hoja 2'!A$2:D$5000,2,FALSE)</f>
        <v/>
      </c>
      <c r="O17" s="17" t="str">
        <f>VLOOKUP($H17,'Hoja 2'!A$2:D$5000,3,FALSE)</f>
        <v/>
      </c>
      <c r="P17" s="17" t="str">
        <f>VLOOKUP($H17,'Hoja 2'!A$2:D$5000,4,FALSE)</f>
        <v/>
      </c>
      <c r="Q17" s="26" t="str">
        <f>VLOOKUP($H17,'Hoja 2'!E$2:H$5000,4,FALSE)</f>
        <v/>
      </c>
    </row>
    <row r="18">
      <c r="B18" s="18" t="s">
        <v>20</v>
      </c>
      <c r="C18" s="18">
        <v>822.0</v>
      </c>
      <c r="D18" s="18" t="s">
        <v>50</v>
      </c>
      <c r="E18" s="20" t="s">
        <v>54</v>
      </c>
      <c r="F18" s="18">
        <v>3.0</v>
      </c>
      <c r="G18" s="18">
        <v>35.0</v>
      </c>
      <c r="H18" s="21" t="s">
        <v>55</v>
      </c>
      <c r="I18" s="22">
        <v>15.0</v>
      </c>
      <c r="J18" s="23" t="s">
        <v>56</v>
      </c>
      <c r="K18" s="24">
        <v>-31.505989</v>
      </c>
      <c r="L18" s="25">
        <v>-68.522346</v>
      </c>
      <c r="N18" s="17" t="str">
        <f>VLOOKUP($H18,'Hoja 2'!A$2:D$5000,2,FALSE)</f>
        <v/>
      </c>
      <c r="O18" s="17" t="str">
        <f>VLOOKUP($H18,'Hoja 2'!A$2:D$5000,3,FALSE)</f>
        <v/>
      </c>
      <c r="P18" s="17" t="str">
        <f>VLOOKUP($H18,'Hoja 2'!A$2:D$5000,4,FALSE)</f>
        <v/>
      </c>
      <c r="Q18" s="26" t="str">
        <f>VLOOKUP($H18,'Hoja 2'!E$2:H$5000,4,FALSE)</f>
        <v/>
      </c>
    </row>
    <row r="19">
      <c r="B19" s="18" t="s">
        <v>20</v>
      </c>
      <c r="C19" s="18">
        <v>822.0</v>
      </c>
      <c r="D19" s="18" t="s">
        <v>57</v>
      </c>
      <c r="E19" s="20" t="s">
        <v>58</v>
      </c>
      <c r="F19" s="18">
        <v>3.0</v>
      </c>
      <c r="G19" s="18">
        <v>36.0</v>
      </c>
      <c r="H19" s="21" t="s">
        <v>59</v>
      </c>
      <c r="I19" s="22">
        <v>25.0</v>
      </c>
      <c r="J19" s="23" t="s">
        <v>60</v>
      </c>
      <c r="K19" s="24">
        <v>-31.505651</v>
      </c>
      <c r="L19" s="25">
        <v>-68.520742</v>
      </c>
      <c r="N19" s="17" t="str">
        <f>VLOOKUP($H19,'Hoja 2'!A$2:D$5000,2,FALSE)</f>
        <v/>
      </c>
      <c r="O19" s="17" t="str">
        <f>VLOOKUP($H19,'Hoja 2'!A$2:D$5000,3,FALSE)</f>
        <v/>
      </c>
      <c r="P19" s="17" t="str">
        <f>VLOOKUP($H19,'Hoja 2'!A$2:D$5000,4,FALSE)</f>
        <v/>
      </c>
      <c r="Q19" s="26" t="str">
        <f>VLOOKUP($H19,'Hoja 2'!E$2:H$5000,4,FALSE)</f>
        <v/>
      </c>
    </row>
    <row r="20">
      <c r="B20" s="18" t="s">
        <v>20</v>
      </c>
      <c r="C20" s="18">
        <v>822.0</v>
      </c>
      <c r="D20" s="18" t="s">
        <v>25</v>
      </c>
      <c r="E20" s="20" t="s">
        <v>61</v>
      </c>
      <c r="F20" s="18">
        <v>3.0</v>
      </c>
      <c r="G20" s="18">
        <v>81.0</v>
      </c>
      <c r="H20" s="21" t="s">
        <v>62</v>
      </c>
      <c r="I20" s="22">
        <v>22.0</v>
      </c>
      <c r="J20" s="23" t="s">
        <v>63</v>
      </c>
      <c r="K20" s="24">
        <v>-31.481771</v>
      </c>
      <c r="L20" s="25">
        <v>-68.529848</v>
      </c>
      <c r="N20" s="17" t="str">
        <f>VLOOKUP($H20,'Hoja 2'!A$2:D$5000,2,FALSE)</f>
        <v/>
      </c>
      <c r="O20" s="17" t="str">
        <f>VLOOKUP($H20,'Hoja 2'!A$2:D$5000,3,FALSE)</f>
        <v/>
      </c>
      <c r="P20" s="17" t="str">
        <f>VLOOKUP($H20,'Hoja 2'!A$2:D$5000,4,FALSE)</f>
        <v/>
      </c>
      <c r="Q20" s="26" t="str">
        <f>VLOOKUP($H20,'Hoja 2'!E$2:H$5000,4,FALSE)</f>
        <v/>
      </c>
    </row>
    <row r="21">
      <c r="B21" s="18" t="s">
        <v>20</v>
      </c>
      <c r="C21" s="18">
        <v>822.0</v>
      </c>
      <c r="D21" s="18" t="s">
        <v>64</v>
      </c>
      <c r="E21" s="20" t="s">
        <v>65</v>
      </c>
      <c r="F21" s="18">
        <v>3.0</v>
      </c>
      <c r="G21" s="18" t="s">
        <v>66</v>
      </c>
      <c r="H21" s="21" t="s">
        <v>67</v>
      </c>
      <c r="I21" s="22">
        <v>22.0</v>
      </c>
      <c r="J21" s="23" t="s">
        <v>68</v>
      </c>
      <c r="K21" s="24">
        <v>-31.48026</v>
      </c>
      <c r="L21" s="25">
        <v>-68.52915</v>
      </c>
      <c r="N21" s="17" t="str">
        <f>VLOOKUP($H21,'Hoja 2'!A$2:D$5000,2,FALSE)</f>
        <v/>
      </c>
      <c r="O21" s="17" t="str">
        <f>VLOOKUP($H21,'Hoja 2'!A$2:D$5000,3,FALSE)</f>
        <v/>
      </c>
      <c r="P21" s="17" t="str">
        <f>VLOOKUP($H21,'Hoja 2'!A$2:D$5000,4,FALSE)</f>
        <v/>
      </c>
      <c r="Q21" s="26" t="str">
        <f>VLOOKUP($H21,'Hoja 2'!E$2:H$5000,4,FALSE)</f>
        <v/>
      </c>
    </row>
    <row r="22">
      <c r="B22" s="18" t="s">
        <v>20</v>
      </c>
      <c r="C22" s="18">
        <v>822.0</v>
      </c>
      <c r="D22" s="18" t="s">
        <v>21</v>
      </c>
      <c r="E22" s="27" t="s">
        <v>69</v>
      </c>
      <c r="F22" s="18">
        <v>3.0</v>
      </c>
      <c r="G22" s="18" t="s">
        <v>70</v>
      </c>
      <c r="H22" s="21" t="s">
        <v>71</v>
      </c>
      <c r="I22" s="22">
        <v>13.0</v>
      </c>
      <c r="J22" s="23" t="s">
        <v>72</v>
      </c>
      <c r="K22" s="24">
        <v>-31.47814</v>
      </c>
      <c r="L22" s="25">
        <v>-68.52737</v>
      </c>
      <c r="N22" s="17" t="str">
        <f>VLOOKUP($H22,'Hoja 2'!A$2:D$5000,2,FALSE)</f>
        <v/>
      </c>
      <c r="O22" s="17" t="str">
        <f>VLOOKUP($H22,'Hoja 2'!A$2:D$5000,3,FALSE)</f>
        <v/>
      </c>
      <c r="P22" s="17" t="str">
        <f>VLOOKUP($H22,'Hoja 2'!A$2:D$5000,4,FALSE)</f>
        <v/>
      </c>
      <c r="Q22" s="26" t="str">
        <f>VLOOKUP($H22,'Hoja 2'!E$2:H$5000,4,FALSE)</f>
        <v/>
      </c>
    </row>
    <row r="23">
      <c r="B23" s="18" t="s">
        <v>20</v>
      </c>
      <c r="C23" s="18">
        <v>822.0</v>
      </c>
      <c r="D23" s="18" t="s">
        <v>21</v>
      </c>
      <c r="E23" s="20" t="s">
        <v>73</v>
      </c>
      <c r="F23" s="18">
        <v>3.0</v>
      </c>
      <c r="G23" s="18" t="s">
        <v>74</v>
      </c>
      <c r="H23" s="21" t="s">
        <v>75</v>
      </c>
      <c r="I23" s="22">
        <v>21.0</v>
      </c>
      <c r="J23" s="23" t="s">
        <v>76</v>
      </c>
      <c r="K23" s="24">
        <v>-31.47727</v>
      </c>
      <c r="L23" s="25">
        <v>-68.52751</v>
      </c>
      <c r="N23" s="17" t="str">
        <f>VLOOKUP($H23,'Hoja 2'!A$2:D$5000,2,FALSE)</f>
        <v/>
      </c>
      <c r="O23" s="17" t="str">
        <f>VLOOKUP($H23,'Hoja 2'!A$2:D$5000,3,FALSE)</f>
        <v/>
      </c>
      <c r="P23" s="17" t="str">
        <f>VLOOKUP($H23,'Hoja 2'!A$2:D$5000,4,FALSE)</f>
        <v/>
      </c>
      <c r="Q23" s="26" t="str">
        <f>VLOOKUP($H23,'Hoja 2'!E$2:H$5000,4,FALSE)</f>
        <v/>
      </c>
    </row>
    <row r="24" ht="15.75" customHeight="1">
      <c r="B24" s="18" t="s">
        <v>20</v>
      </c>
      <c r="C24" s="18">
        <v>822.0</v>
      </c>
      <c r="D24" s="18" t="s">
        <v>21</v>
      </c>
      <c r="E24" s="20" t="s">
        <v>77</v>
      </c>
      <c r="F24" s="18">
        <v>3.0</v>
      </c>
      <c r="G24" s="18" t="s">
        <v>78</v>
      </c>
      <c r="H24" s="21" t="s">
        <v>79</v>
      </c>
      <c r="I24" s="22">
        <v>19.0</v>
      </c>
      <c r="J24" s="23" t="s">
        <v>80</v>
      </c>
      <c r="K24" s="24">
        <v>-31.47632</v>
      </c>
      <c r="L24" s="25">
        <v>-68.52738</v>
      </c>
      <c r="N24" s="17" t="str">
        <f>VLOOKUP($H24,'Hoja 2'!A$2:D$5000,2,FALSE)</f>
        <v/>
      </c>
      <c r="O24" s="17" t="str">
        <f>VLOOKUP($H24,'Hoja 2'!A$2:D$5000,3,FALSE)</f>
        <v/>
      </c>
      <c r="P24" s="17" t="str">
        <f>VLOOKUP($H24,'Hoja 2'!A$2:D$5000,4,FALSE)</f>
        <v/>
      </c>
      <c r="Q24" s="26" t="str">
        <f>VLOOKUP($H24,'Hoja 2'!E$2:H$5000,4,FALSE)</f>
        <v/>
      </c>
    </row>
    <row r="25" ht="15.75" customHeight="1">
      <c r="B25" s="18" t="s">
        <v>20</v>
      </c>
      <c r="C25" s="18">
        <v>822.0</v>
      </c>
      <c r="D25" s="18" t="s">
        <v>81</v>
      </c>
      <c r="E25" s="20" t="s">
        <v>82</v>
      </c>
      <c r="F25" s="18">
        <v>3.0</v>
      </c>
      <c r="G25" s="18" t="s">
        <v>83</v>
      </c>
      <c r="H25" s="21" t="s">
        <v>84</v>
      </c>
      <c r="I25" s="22">
        <v>20.0</v>
      </c>
      <c r="J25" s="23" t="s">
        <v>85</v>
      </c>
      <c r="K25" s="24">
        <v>-31.47561</v>
      </c>
      <c r="L25" s="25">
        <v>-68.52534</v>
      </c>
      <c r="N25" s="17" t="str">
        <f>VLOOKUP($H25,'Hoja 2'!A$2:D$5000,2,FALSE)</f>
        <v/>
      </c>
      <c r="O25" s="17" t="str">
        <f>VLOOKUP($H25,'Hoja 2'!A$2:D$5000,3,FALSE)</f>
        <v/>
      </c>
      <c r="P25" s="17" t="str">
        <f>VLOOKUP($H25,'Hoja 2'!A$2:D$5000,4,FALSE)</f>
        <v/>
      </c>
      <c r="Q25" s="26" t="str">
        <f>VLOOKUP($H25,'Hoja 2'!E$2:H$5000,4,FALSE)</f>
        <v/>
      </c>
    </row>
    <row r="26" ht="15.75" customHeight="1">
      <c r="B26" s="18" t="s">
        <v>20</v>
      </c>
      <c r="C26" s="18">
        <v>822.0</v>
      </c>
      <c r="D26" s="18" t="s">
        <v>21</v>
      </c>
      <c r="E26" s="20" t="s">
        <v>86</v>
      </c>
      <c r="F26" s="18">
        <v>3.0</v>
      </c>
      <c r="G26" s="18" t="s">
        <v>87</v>
      </c>
      <c r="H26" s="21" t="s">
        <v>88</v>
      </c>
      <c r="I26" s="22">
        <v>23.0</v>
      </c>
      <c r="J26" s="23" t="s">
        <v>89</v>
      </c>
      <c r="K26" s="24">
        <v>-31.47458</v>
      </c>
      <c r="L26" s="25">
        <v>-68.5224</v>
      </c>
      <c r="N26" s="17" t="str">
        <f>VLOOKUP($H26,'Hoja 2'!A$2:D$5000,2,FALSE)</f>
        <v/>
      </c>
      <c r="O26" s="17" t="str">
        <f>VLOOKUP($H26,'Hoja 2'!A$2:D$5000,3,FALSE)</f>
        <v/>
      </c>
      <c r="P26" s="17" t="str">
        <f>VLOOKUP($H26,'Hoja 2'!A$2:D$5000,4,FALSE)</f>
        <v/>
      </c>
      <c r="Q26" s="26" t="str">
        <f>VLOOKUP($H26,'Hoja 2'!E$2:H$5000,4,FALSE)</f>
        <v/>
      </c>
    </row>
    <row r="27" ht="15.75" customHeight="1">
      <c r="B27" s="18" t="s">
        <v>20</v>
      </c>
      <c r="C27" s="18">
        <v>822.0</v>
      </c>
      <c r="D27" s="18" t="s">
        <v>25</v>
      </c>
      <c r="E27" s="20" t="s">
        <v>90</v>
      </c>
      <c r="F27" s="18">
        <v>3.0</v>
      </c>
      <c r="G27" s="18" t="s">
        <v>91</v>
      </c>
      <c r="H27" s="21" t="s">
        <v>92</v>
      </c>
      <c r="I27" s="22">
        <v>17.0</v>
      </c>
      <c r="J27" s="28" t="s">
        <v>93</v>
      </c>
      <c r="K27" s="24">
        <v>-31.47877</v>
      </c>
      <c r="L27" s="25">
        <v>-68.52166</v>
      </c>
      <c r="N27" s="17" t="str">
        <f>VLOOKUP($H27,'Hoja 2'!A$2:D$5000,2,FALSE)</f>
        <v/>
      </c>
      <c r="O27" s="17" t="str">
        <f>VLOOKUP($H27,'Hoja 2'!A$2:D$5000,3,FALSE)</f>
        <v/>
      </c>
      <c r="P27" s="17" t="str">
        <f>VLOOKUP($H27,'Hoja 2'!A$2:D$5000,4,FALSE)</f>
        <v/>
      </c>
      <c r="Q27" s="26" t="str">
        <f>VLOOKUP($H27,'Hoja 2'!E$2:H$5000,4,FALSE)</f>
        <v/>
      </c>
    </row>
    <row r="28" ht="15.75" customHeight="1">
      <c r="B28" s="18" t="s">
        <v>20</v>
      </c>
      <c r="C28" s="18">
        <v>822.0</v>
      </c>
      <c r="D28" s="18" t="s">
        <v>25</v>
      </c>
      <c r="E28" s="20" t="s">
        <v>94</v>
      </c>
      <c r="F28" s="18">
        <v>3.0</v>
      </c>
      <c r="G28" s="18" t="s">
        <v>95</v>
      </c>
      <c r="H28" s="21" t="s">
        <v>96</v>
      </c>
      <c r="I28" s="22">
        <v>22.0</v>
      </c>
      <c r="J28" s="23" t="s">
        <v>97</v>
      </c>
      <c r="K28" s="24">
        <v>-31.47984</v>
      </c>
      <c r="L28" s="25">
        <v>-68.52478</v>
      </c>
      <c r="N28" s="17" t="str">
        <f>VLOOKUP($H28,'Hoja 2'!A$2:D$5000,2,FALSE)</f>
        <v/>
      </c>
      <c r="O28" s="17" t="str">
        <f>VLOOKUP($H28,'Hoja 2'!A$2:D$5000,3,FALSE)</f>
        <v/>
      </c>
      <c r="P28" s="17" t="str">
        <f>VLOOKUP($H28,'Hoja 2'!A$2:D$5000,4,FALSE)</f>
        <v/>
      </c>
      <c r="Q28" s="26" t="str">
        <f>VLOOKUP($H28,'Hoja 2'!E$2:H$5000,4,FALSE)</f>
        <v/>
      </c>
    </row>
    <row r="29" ht="15.75" customHeight="1">
      <c r="B29" s="18" t="s">
        <v>20</v>
      </c>
      <c r="C29" s="18">
        <v>822.0</v>
      </c>
      <c r="D29" s="18" t="s">
        <v>25</v>
      </c>
      <c r="E29" s="27" t="s">
        <v>98</v>
      </c>
      <c r="F29" s="18">
        <v>3.0</v>
      </c>
      <c r="G29" s="18" t="s">
        <v>99</v>
      </c>
      <c r="H29" s="21" t="s">
        <v>100</v>
      </c>
      <c r="I29" s="22">
        <v>13.0</v>
      </c>
      <c r="J29" s="23" t="s">
        <v>101</v>
      </c>
      <c r="K29" s="24">
        <v>-31.48062</v>
      </c>
      <c r="L29" s="25">
        <v>-68.52704</v>
      </c>
      <c r="N29" s="17" t="str">
        <f>VLOOKUP($H29,'Hoja 2'!A$2:D$5000,2,FALSE)</f>
        <v/>
      </c>
      <c r="O29" s="17" t="str">
        <f>VLOOKUP($H29,'Hoja 2'!A$2:D$5000,3,FALSE)</f>
        <v/>
      </c>
      <c r="P29" s="17" t="str">
        <f>VLOOKUP($H29,'Hoja 2'!A$2:D$5000,4,FALSE)</f>
        <v/>
      </c>
      <c r="Q29" s="26" t="str">
        <f>VLOOKUP($H29,'Hoja 2'!E$2:H$5000,4,FALSE)</f>
        <v/>
      </c>
    </row>
    <row r="30" ht="15.75" customHeight="1">
      <c r="B30" s="18" t="s">
        <v>20</v>
      </c>
      <c r="C30" s="18">
        <v>826.0</v>
      </c>
      <c r="D30" s="18" t="s">
        <v>102</v>
      </c>
      <c r="E30" s="20" t="s">
        <v>103</v>
      </c>
      <c r="F30" s="18">
        <v>3.0</v>
      </c>
      <c r="G30" s="18">
        <v>100.0</v>
      </c>
      <c r="H30" s="21" t="s">
        <v>104</v>
      </c>
      <c r="I30" s="22">
        <v>29.0</v>
      </c>
      <c r="J30" s="28" t="s">
        <v>105</v>
      </c>
      <c r="K30" s="24">
        <v>-31.493626</v>
      </c>
      <c r="L30" s="25">
        <v>-68.532042</v>
      </c>
      <c r="N30" s="17" t="str">
        <f>VLOOKUP($H30,'Hoja 2'!A$2:D$5000,2,FALSE)</f>
        <v/>
      </c>
      <c r="O30" s="17" t="str">
        <f>VLOOKUP($H30,'Hoja 2'!A$2:D$5000,3,FALSE)</f>
        <v/>
      </c>
      <c r="P30" s="17" t="str">
        <f>VLOOKUP($H30,'Hoja 2'!A$2:D$5000,4,FALSE)</f>
        <v/>
      </c>
      <c r="Q30" s="26" t="str">
        <f>VLOOKUP($H30,'Hoja 2'!E$2:H$5000,4,FALSE)</f>
        <v/>
      </c>
    </row>
    <row r="31" ht="15.75" customHeight="1">
      <c r="B31" s="18" t="s">
        <v>20</v>
      </c>
      <c r="C31" s="18">
        <v>826.0</v>
      </c>
      <c r="D31" s="18" t="s">
        <v>106</v>
      </c>
      <c r="E31" s="20" t="s">
        <v>107</v>
      </c>
      <c r="F31" s="18">
        <v>3.0</v>
      </c>
      <c r="G31" s="18">
        <v>50.0</v>
      </c>
      <c r="H31" s="21" t="s">
        <v>108</v>
      </c>
      <c r="I31" s="22">
        <v>19.0</v>
      </c>
      <c r="J31" s="28" t="s">
        <v>109</v>
      </c>
      <c r="K31" s="24">
        <v>-31.497292</v>
      </c>
      <c r="L31" s="25">
        <v>-68.523124</v>
      </c>
      <c r="N31" s="17" t="str">
        <f>VLOOKUP($H31,'Hoja 2'!A$2:D$5000,2,FALSE)</f>
        <v/>
      </c>
      <c r="O31" s="17" t="str">
        <f>VLOOKUP($H31,'Hoja 2'!A$2:D$5000,3,FALSE)</f>
        <v/>
      </c>
      <c r="P31" s="17" t="str">
        <f>VLOOKUP($H31,'Hoja 2'!A$2:D$5000,4,FALSE)</f>
        <v/>
      </c>
      <c r="Q31" s="26" t="str">
        <f>VLOOKUP($H31,'Hoja 2'!E$2:H$5000,4,FALSE)</f>
        <v/>
      </c>
    </row>
    <row r="32" ht="15.75" customHeight="1">
      <c r="B32" s="18" t="s">
        <v>20</v>
      </c>
      <c r="C32" s="18">
        <v>826.0</v>
      </c>
      <c r="D32" s="18" t="s">
        <v>106</v>
      </c>
      <c r="E32" s="20" t="s">
        <v>110</v>
      </c>
      <c r="F32" s="18">
        <v>3.0</v>
      </c>
      <c r="G32" s="18">
        <v>52.0</v>
      </c>
      <c r="H32" s="21" t="s">
        <v>111</v>
      </c>
      <c r="I32" s="22">
        <v>19.0</v>
      </c>
      <c r="J32" s="23" t="s">
        <v>112</v>
      </c>
      <c r="K32" s="24">
        <v>-31.497377</v>
      </c>
      <c r="L32" s="25">
        <v>-68.520551</v>
      </c>
      <c r="N32" s="17" t="str">
        <f>VLOOKUP($H32,'Hoja 2'!A$2:D$5000,2,FALSE)</f>
        <v/>
      </c>
      <c r="O32" s="17" t="str">
        <f>VLOOKUP($H32,'Hoja 2'!A$2:D$5000,3,FALSE)</f>
        <v/>
      </c>
      <c r="P32" s="17" t="str">
        <f>VLOOKUP($H32,'Hoja 2'!A$2:D$5000,4,FALSE)</f>
        <v/>
      </c>
      <c r="Q32" s="26" t="str">
        <f>VLOOKUP($H32,'Hoja 2'!E$2:H$5000,4,FALSE)</f>
        <v/>
      </c>
    </row>
    <row r="33" ht="15.75" customHeight="1">
      <c r="B33" s="18" t="s">
        <v>20</v>
      </c>
      <c r="C33" s="18">
        <v>826.0</v>
      </c>
      <c r="D33" s="18" t="s">
        <v>106</v>
      </c>
      <c r="E33" s="20" t="s">
        <v>113</v>
      </c>
      <c r="F33" s="18">
        <v>3.0</v>
      </c>
      <c r="G33" s="18" t="s">
        <v>114</v>
      </c>
      <c r="H33" s="21" t="s">
        <v>115</v>
      </c>
      <c r="I33" s="22">
        <v>16.0</v>
      </c>
      <c r="J33" s="28" t="s">
        <v>116</v>
      </c>
      <c r="K33" s="24">
        <v>-31.49749</v>
      </c>
      <c r="L33" s="25">
        <v>-68.51864</v>
      </c>
      <c r="N33" s="17" t="str">
        <f>VLOOKUP($H33,'Hoja 2'!A$2:D$5000,2,FALSE)</f>
        <v/>
      </c>
      <c r="O33" s="17" t="str">
        <f>VLOOKUP($H33,'Hoja 2'!A$2:D$5000,3,FALSE)</f>
        <v/>
      </c>
      <c r="P33" s="17" t="str">
        <f>VLOOKUP($H33,'Hoja 2'!A$2:D$5000,4,FALSE)</f>
        <v/>
      </c>
      <c r="Q33" s="26" t="str">
        <f>VLOOKUP($H33,'Hoja 2'!E$2:H$5000,4,FALSE)</f>
        <v/>
      </c>
    </row>
    <row r="34" ht="15.75" customHeight="1">
      <c r="B34" s="18" t="s">
        <v>20</v>
      </c>
      <c r="C34" s="18">
        <v>826.0</v>
      </c>
      <c r="D34" s="18" t="s">
        <v>106</v>
      </c>
      <c r="E34" s="20" t="s">
        <v>117</v>
      </c>
      <c r="F34" s="18">
        <v>3.0</v>
      </c>
      <c r="G34" s="18" t="s">
        <v>118</v>
      </c>
      <c r="H34" s="21" t="s">
        <v>119</v>
      </c>
      <c r="I34" s="22">
        <v>16.0</v>
      </c>
      <c r="J34" s="28" t="s">
        <v>120</v>
      </c>
      <c r="K34" s="24">
        <v>-31.49747</v>
      </c>
      <c r="L34" s="25">
        <v>-68.51779</v>
      </c>
      <c r="N34" s="17" t="str">
        <f>VLOOKUP($H34,'Hoja 2'!A$2:D$5000,2,FALSE)</f>
        <v/>
      </c>
      <c r="O34" s="17" t="str">
        <f>VLOOKUP($H34,'Hoja 2'!A$2:D$5000,3,FALSE)</f>
        <v/>
      </c>
      <c r="P34" s="17" t="str">
        <f>VLOOKUP($H34,'Hoja 2'!A$2:D$5000,4,FALSE)</f>
        <v/>
      </c>
      <c r="Q34" s="26" t="str">
        <f>VLOOKUP($H34,'Hoja 2'!E$2:H$5000,4,FALSE)</f>
        <v/>
      </c>
    </row>
    <row r="35" ht="15.75" customHeight="1">
      <c r="B35" s="18" t="s">
        <v>20</v>
      </c>
      <c r="C35" s="18">
        <v>826.0</v>
      </c>
      <c r="D35" s="18" t="s">
        <v>121</v>
      </c>
      <c r="E35" s="20" t="s">
        <v>122</v>
      </c>
      <c r="F35" s="18">
        <v>3.0</v>
      </c>
      <c r="G35" s="18">
        <v>53.0</v>
      </c>
      <c r="H35" s="21" t="s">
        <v>123</v>
      </c>
      <c r="I35" s="22">
        <v>13.0</v>
      </c>
      <c r="J35" s="23" t="s">
        <v>124</v>
      </c>
      <c r="K35" s="24">
        <v>-31.497058</v>
      </c>
      <c r="L35" s="25">
        <v>-68.527809</v>
      </c>
      <c r="N35" s="17" t="str">
        <f>VLOOKUP($H35,'Hoja 2'!A$2:D$5000,2,FALSE)</f>
        <v/>
      </c>
      <c r="O35" s="17" t="str">
        <f>VLOOKUP($H35,'Hoja 2'!A$2:D$5000,3,FALSE)</f>
        <v/>
      </c>
      <c r="P35" s="17" t="str">
        <f>VLOOKUP($H35,'Hoja 2'!A$2:D$5000,4,FALSE)</f>
        <v/>
      </c>
      <c r="Q35" s="26" t="str">
        <f>VLOOKUP($H35,'Hoja 2'!E$2:H$5000,4,FALSE)</f>
        <v/>
      </c>
    </row>
    <row r="36" ht="15.75" customHeight="1">
      <c r="B36" s="18" t="s">
        <v>20</v>
      </c>
      <c r="C36" s="18">
        <v>826.0</v>
      </c>
      <c r="D36" s="18" t="s">
        <v>106</v>
      </c>
      <c r="E36" s="20" t="s">
        <v>125</v>
      </c>
      <c r="F36" s="18">
        <v>3.0</v>
      </c>
      <c r="G36" s="18">
        <v>54.0</v>
      </c>
      <c r="H36" s="21" t="s">
        <v>126</v>
      </c>
      <c r="I36" s="22">
        <v>16.0</v>
      </c>
      <c r="J36" s="23" t="s">
        <v>127</v>
      </c>
      <c r="K36" s="24">
        <v>-31.49709</v>
      </c>
      <c r="L36" s="25">
        <v>-68.52748</v>
      </c>
      <c r="N36" s="17" t="str">
        <f>VLOOKUP($H36,'Hoja 2'!A$2:D$5000,2,FALSE)</f>
        <v/>
      </c>
      <c r="O36" s="17" t="str">
        <f>VLOOKUP($H36,'Hoja 2'!A$2:D$5000,3,FALSE)</f>
        <v/>
      </c>
      <c r="P36" s="17" t="str">
        <f>VLOOKUP($H36,'Hoja 2'!A$2:D$5000,4,FALSE)</f>
        <v/>
      </c>
      <c r="Q36" s="26" t="str">
        <f>VLOOKUP($H36,'Hoja 2'!E$2:H$5000,4,FALSE)</f>
        <v/>
      </c>
    </row>
    <row r="37" ht="15.75" customHeight="1">
      <c r="B37" s="18" t="s">
        <v>20</v>
      </c>
      <c r="C37" s="18">
        <v>826.0</v>
      </c>
      <c r="D37" s="18" t="s">
        <v>121</v>
      </c>
      <c r="E37" s="20" t="s">
        <v>128</v>
      </c>
      <c r="F37" s="18">
        <v>3.0</v>
      </c>
      <c r="G37" s="18">
        <v>55.0</v>
      </c>
      <c r="H37" s="21" t="s">
        <v>129</v>
      </c>
      <c r="I37" s="22">
        <v>32.0</v>
      </c>
      <c r="J37" s="23" t="s">
        <v>130</v>
      </c>
      <c r="K37" s="24">
        <v>-31.4953</v>
      </c>
      <c r="L37" s="25">
        <v>-68.527406</v>
      </c>
      <c r="N37" s="17" t="str">
        <f>VLOOKUP($H37,'Hoja 2'!A$2:D$5000,2,FALSE)</f>
        <v/>
      </c>
      <c r="O37" s="17" t="str">
        <f>VLOOKUP($H37,'Hoja 2'!A$2:D$5000,3,FALSE)</f>
        <v/>
      </c>
      <c r="P37" s="17" t="str">
        <f>VLOOKUP($H37,'Hoja 2'!A$2:D$5000,4,FALSE)</f>
        <v/>
      </c>
      <c r="Q37" s="26" t="str">
        <f>VLOOKUP($H37,'Hoja 2'!E$2:H$5000,4,FALSE)</f>
        <v/>
      </c>
    </row>
    <row r="38" ht="15.75" customHeight="1">
      <c r="B38" s="18" t="s">
        <v>20</v>
      </c>
      <c r="C38" s="18">
        <v>826.0</v>
      </c>
      <c r="D38" s="18" t="s">
        <v>121</v>
      </c>
      <c r="E38" s="20" t="s">
        <v>131</v>
      </c>
      <c r="F38" s="18">
        <v>3.0</v>
      </c>
      <c r="G38" s="18">
        <v>56.0</v>
      </c>
      <c r="H38" s="21" t="s">
        <v>132</v>
      </c>
      <c r="I38" s="22">
        <v>22.0</v>
      </c>
      <c r="J38" s="23" t="s">
        <v>133</v>
      </c>
      <c r="K38" s="24">
        <v>-31.495101</v>
      </c>
      <c r="L38" s="25">
        <v>-68.527538</v>
      </c>
      <c r="N38" s="17" t="str">
        <f>VLOOKUP($H38,'Hoja 2'!A$2:D$5000,2,FALSE)</f>
        <v/>
      </c>
      <c r="O38" s="17" t="str">
        <f>VLOOKUP($H38,'Hoja 2'!A$2:D$5000,3,FALSE)</f>
        <v/>
      </c>
      <c r="P38" s="17" t="str">
        <f>VLOOKUP($H38,'Hoja 2'!A$2:D$5000,4,FALSE)</f>
        <v/>
      </c>
      <c r="Q38" s="26" t="str">
        <f>VLOOKUP($H38,'Hoja 2'!E$2:H$5000,4,FALSE)</f>
        <v/>
      </c>
    </row>
    <row r="39" ht="15.75" customHeight="1">
      <c r="B39" s="18" t="s">
        <v>20</v>
      </c>
      <c r="C39" s="18">
        <v>826.0</v>
      </c>
      <c r="D39" s="18" t="s">
        <v>121</v>
      </c>
      <c r="E39" s="20" t="s">
        <v>134</v>
      </c>
      <c r="F39" s="18">
        <v>3.0</v>
      </c>
      <c r="G39" s="18">
        <v>57.0</v>
      </c>
      <c r="H39" s="21" t="s">
        <v>135</v>
      </c>
      <c r="I39" s="22">
        <v>20.0</v>
      </c>
      <c r="J39" s="23" t="s">
        <v>136</v>
      </c>
      <c r="K39" s="24">
        <v>-31.493813</v>
      </c>
      <c r="L39" s="25">
        <v>-68.527281</v>
      </c>
      <c r="N39" s="17" t="str">
        <f>VLOOKUP($H39,'Hoja 2'!A$2:D$5000,2,FALSE)</f>
        <v/>
      </c>
      <c r="O39" s="17" t="str">
        <f>VLOOKUP($H39,'Hoja 2'!A$2:D$5000,3,FALSE)</f>
        <v/>
      </c>
      <c r="P39" s="17" t="str">
        <f>VLOOKUP($H39,'Hoja 2'!A$2:D$5000,4,FALSE)</f>
        <v/>
      </c>
      <c r="Q39" s="26" t="str">
        <f>VLOOKUP($H39,'Hoja 2'!E$2:H$5000,4,FALSE)</f>
        <v/>
      </c>
    </row>
    <row r="40" ht="15.75" customHeight="1">
      <c r="B40" s="18" t="s">
        <v>20</v>
      </c>
      <c r="C40" s="18">
        <v>826.0</v>
      </c>
      <c r="D40" s="18" t="s">
        <v>121</v>
      </c>
      <c r="E40" s="20" t="s">
        <v>137</v>
      </c>
      <c r="F40" s="18">
        <v>3.0</v>
      </c>
      <c r="G40" s="18">
        <v>58.0</v>
      </c>
      <c r="H40" s="21" t="s">
        <v>138</v>
      </c>
      <c r="I40" s="22">
        <v>29.0</v>
      </c>
      <c r="J40" s="28" t="s">
        <v>139</v>
      </c>
      <c r="K40" s="24">
        <v>-31.493389</v>
      </c>
      <c r="L40" s="25">
        <v>-68.527056</v>
      </c>
      <c r="N40" s="17" t="str">
        <f>VLOOKUP($H40,'Hoja 2'!A$2:D$5000,2,FALSE)</f>
        <v/>
      </c>
      <c r="O40" s="17" t="str">
        <f>VLOOKUP($H40,'Hoja 2'!A$2:D$5000,3,FALSE)</f>
        <v/>
      </c>
      <c r="P40" s="17" t="str">
        <f>VLOOKUP($H40,'Hoja 2'!A$2:D$5000,4,FALSE)</f>
        <v/>
      </c>
      <c r="Q40" s="26" t="str">
        <f>VLOOKUP($H40,'Hoja 2'!E$2:H$5000,4,FALSE)</f>
        <v/>
      </c>
    </row>
    <row r="41" ht="15.75" customHeight="1">
      <c r="B41" s="18" t="s">
        <v>20</v>
      </c>
      <c r="C41" s="18">
        <v>826.0</v>
      </c>
      <c r="D41" s="18" t="s">
        <v>140</v>
      </c>
      <c r="E41" s="20" t="s">
        <v>141</v>
      </c>
      <c r="F41" s="18">
        <v>3.0</v>
      </c>
      <c r="G41" s="18">
        <v>59.0</v>
      </c>
      <c r="H41" s="21" t="s">
        <v>142</v>
      </c>
      <c r="I41" s="22">
        <v>23.0</v>
      </c>
      <c r="J41" s="23" t="s">
        <v>143</v>
      </c>
      <c r="K41" s="24">
        <v>-31.492432</v>
      </c>
      <c r="L41" s="25">
        <v>-68.527126</v>
      </c>
      <c r="N41" s="17" t="str">
        <f>VLOOKUP($H41,'Hoja 2'!A$2:D$5000,2,FALSE)</f>
        <v/>
      </c>
      <c r="O41" s="17" t="str">
        <f>VLOOKUP($H41,'Hoja 2'!A$2:D$5000,3,FALSE)</f>
        <v/>
      </c>
      <c r="P41" s="17" t="str">
        <f>VLOOKUP($H41,'Hoja 2'!A$2:D$5000,4,FALSE)</f>
        <v/>
      </c>
      <c r="Q41" s="26" t="str">
        <f>VLOOKUP($H41,'Hoja 2'!E$2:H$5000,4,FALSE)</f>
        <v/>
      </c>
    </row>
    <row r="42" ht="15.75" customHeight="1">
      <c r="B42" s="18" t="s">
        <v>20</v>
      </c>
      <c r="C42" s="18">
        <v>826.0</v>
      </c>
      <c r="D42" s="18" t="s">
        <v>121</v>
      </c>
      <c r="E42" s="20" t="s">
        <v>144</v>
      </c>
      <c r="F42" s="18">
        <v>3.0</v>
      </c>
      <c r="G42" s="18">
        <v>60.0</v>
      </c>
      <c r="H42" s="21" t="s">
        <v>145</v>
      </c>
      <c r="I42" s="22">
        <v>19.0</v>
      </c>
      <c r="J42" s="23" t="s">
        <v>146</v>
      </c>
      <c r="K42" s="24">
        <v>-31.492406</v>
      </c>
      <c r="L42" s="25">
        <v>-68.52697</v>
      </c>
      <c r="N42" s="17" t="str">
        <f>VLOOKUP($H42,'Hoja 2'!A$2:D$5000,2,FALSE)</f>
        <v/>
      </c>
      <c r="O42" s="17" t="str">
        <f>VLOOKUP($H42,'Hoja 2'!A$2:D$5000,3,FALSE)</f>
        <v/>
      </c>
      <c r="P42" s="17" t="str">
        <f>VLOOKUP($H42,'Hoja 2'!A$2:D$5000,4,FALSE)</f>
        <v/>
      </c>
      <c r="Q42" s="26" t="str">
        <f>VLOOKUP($H42,'Hoja 2'!E$2:H$5000,4,FALSE)</f>
        <v/>
      </c>
    </row>
    <row r="43" ht="15.75" customHeight="1">
      <c r="B43" s="18" t="s">
        <v>20</v>
      </c>
      <c r="C43" s="18">
        <v>826.0</v>
      </c>
      <c r="D43" s="18" t="s">
        <v>140</v>
      </c>
      <c r="E43" s="20" t="s">
        <v>147</v>
      </c>
      <c r="F43" s="18">
        <v>3.0</v>
      </c>
      <c r="G43" s="18">
        <v>61.0</v>
      </c>
      <c r="H43" s="21" t="s">
        <v>148</v>
      </c>
      <c r="I43" s="22">
        <v>25.0</v>
      </c>
      <c r="J43" s="23" t="s">
        <v>149</v>
      </c>
      <c r="K43" s="24">
        <v>-31.492285</v>
      </c>
      <c r="L43" s="25">
        <v>-68.526863</v>
      </c>
      <c r="N43" s="17" t="str">
        <f>VLOOKUP($H43,'Hoja 2'!A$2:D$5000,2,FALSE)</f>
        <v/>
      </c>
      <c r="O43" s="17" t="str">
        <f>VLOOKUP($H43,'Hoja 2'!A$2:D$5000,3,FALSE)</f>
        <v/>
      </c>
      <c r="P43" s="17" t="str">
        <f>VLOOKUP($H43,'Hoja 2'!A$2:D$5000,4,FALSE)</f>
        <v/>
      </c>
      <c r="Q43" s="26" t="str">
        <f>VLOOKUP($H43,'Hoja 2'!E$2:H$5000,4,FALSE)</f>
        <v/>
      </c>
    </row>
    <row r="44" ht="15.75" customHeight="1">
      <c r="B44" s="18" t="s">
        <v>20</v>
      </c>
      <c r="C44" s="18">
        <v>826.0</v>
      </c>
      <c r="D44" s="18" t="s">
        <v>140</v>
      </c>
      <c r="E44" s="20" t="s">
        <v>150</v>
      </c>
      <c r="F44" s="18">
        <v>3.0</v>
      </c>
      <c r="G44" s="18">
        <v>62.0</v>
      </c>
      <c r="H44" s="21" t="s">
        <v>151</v>
      </c>
      <c r="I44" s="22">
        <v>21.0</v>
      </c>
      <c r="J44" s="23" t="s">
        <v>152</v>
      </c>
      <c r="K44" s="24">
        <v>-31.491829</v>
      </c>
      <c r="L44" s="25">
        <v>-68.523653</v>
      </c>
      <c r="N44" s="17" t="str">
        <f>VLOOKUP($H44,'Hoja 2'!A$2:D$5000,2,FALSE)</f>
        <v/>
      </c>
      <c r="O44" s="17" t="str">
        <f>VLOOKUP($H44,'Hoja 2'!A$2:D$5000,3,FALSE)</f>
        <v/>
      </c>
      <c r="P44" s="17" t="str">
        <f>VLOOKUP($H44,'Hoja 2'!A$2:D$5000,4,FALSE)</f>
        <v/>
      </c>
      <c r="Q44" s="26" t="str">
        <f>VLOOKUP($H44,'Hoja 2'!E$2:H$5000,4,FALSE)</f>
        <v/>
      </c>
    </row>
    <row r="45" ht="15.75" customHeight="1">
      <c r="B45" s="18" t="s">
        <v>20</v>
      </c>
      <c r="C45" s="18">
        <v>826.0</v>
      </c>
      <c r="D45" s="18" t="s">
        <v>153</v>
      </c>
      <c r="E45" s="20" t="s">
        <v>154</v>
      </c>
      <c r="F45" s="18">
        <v>3.0</v>
      </c>
      <c r="G45" s="18">
        <v>63.0</v>
      </c>
      <c r="H45" s="21" t="s">
        <v>155</v>
      </c>
      <c r="I45" s="22">
        <v>20.0</v>
      </c>
      <c r="J45" s="28" t="s">
        <v>156</v>
      </c>
      <c r="K45" s="24">
        <v>-31.491858</v>
      </c>
      <c r="L45" s="25">
        <v>-68.523485</v>
      </c>
      <c r="N45" s="17" t="str">
        <f>VLOOKUP($H45,'Hoja 2'!A$2:D$5000,2,FALSE)</f>
        <v/>
      </c>
      <c r="O45" s="17" t="str">
        <f>VLOOKUP($H45,'Hoja 2'!A$2:D$5000,3,FALSE)</f>
        <v/>
      </c>
      <c r="P45" s="17" t="str">
        <f>VLOOKUP($H45,'Hoja 2'!A$2:D$5000,4,FALSE)</f>
        <v/>
      </c>
      <c r="Q45" s="26" t="str">
        <f>VLOOKUP($H45,'Hoja 2'!E$2:H$5000,4,FALSE)</f>
        <v/>
      </c>
    </row>
    <row r="46" ht="15.75" customHeight="1">
      <c r="B46" s="18" t="s">
        <v>20</v>
      </c>
      <c r="C46" s="18">
        <v>826.0</v>
      </c>
      <c r="D46" s="18" t="s">
        <v>153</v>
      </c>
      <c r="E46" s="20" t="s">
        <v>157</v>
      </c>
      <c r="F46" s="18">
        <v>3.0</v>
      </c>
      <c r="G46" s="18">
        <v>64.0</v>
      </c>
      <c r="H46" s="21" t="s">
        <v>158</v>
      </c>
      <c r="I46" s="22">
        <v>25.0</v>
      </c>
      <c r="J46" s="23" t="s">
        <v>159</v>
      </c>
      <c r="K46" s="24">
        <v>-31.495888</v>
      </c>
      <c r="L46" s="25">
        <v>-68.523263</v>
      </c>
      <c r="N46" s="17" t="str">
        <f>VLOOKUP($H46,'Hoja 2'!A$2:D$5000,2,FALSE)</f>
        <v/>
      </c>
      <c r="O46" s="17" t="str">
        <f>VLOOKUP($H46,'Hoja 2'!A$2:D$5000,3,FALSE)</f>
        <v/>
      </c>
      <c r="P46" s="17" t="str">
        <f>VLOOKUP($H46,'Hoja 2'!A$2:D$5000,4,FALSE)</f>
        <v/>
      </c>
      <c r="Q46" s="26" t="str">
        <f>VLOOKUP($H46,'Hoja 2'!E$2:H$5000,4,FALSE)</f>
        <v/>
      </c>
    </row>
    <row r="47" ht="15.75" customHeight="1">
      <c r="B47" s="18" t="s">
        <v>20</v>
      </c>
      <c r="C47" s="18">
        <v>826.0</v>
      </c>
      <c r="D47" s="29" t="s">
        <v>153</v>
      </c>
      <c r="E47" s="20" t="s">
        <v>160</v>
      </c>
      <c r="F47" s="18">
        <v>3.0</v>
      </c>
      <c r="G47" s="18">
        <v>65.0</v>
      </c>
      <c r="H47" s="21" t="s">
        <v>161</v>
      </c>
      <c r="I47" s="22">
        <v>25.0</v>
      </c>
      <c r="J47" s="28" t="s">
        <v>162</v>
      </c>
      <c r="K47" s="24">
        <v>-31.495561</v>
      </c>
      <c r="L47" s="25">
        <v>-68.523156</v>
      </c>
      <c r="N47" s="17" t="str">
        <f>VLOOKUP($H47,'Hoja 2'!A$2:D$5000,2,FALSE)</f>
        <v/>
      </c>
      <c r="O47" s="17" t="str">
        <f>VLOOKUP($H47,'Hoja 2'!A$2:D$5000,3,FALSE)</f>
        <v/>
      </c>
      <c r="P47" s="17" t="str">
        <f>VLOOKUP($H47,'Hoja 2'!A$2:D$5000,4,FALSE)</f>
        <v/>
      </c>
      <c r="Q47" s="26" t="str">
        <f>VLOOKUP($H47,'Hoja 2'!E$2:H$5000,4,FALSE)</f>
        <v/>
      </c>
    </row>
    <row r="48" ht="15.75" customHeight="1">
      <c r="B48" s="18" t="s">
        <v>20</v>
      </c>
      <c r="C48" s="18">
        <v>826.0</v>
      </c>
      <c r="D48" s="18" t="s">
        <v>140</v>
      </c>
      <c r="E48" s="20" t="s">
        <v>163</v>
      </c>
      <c r="F48" s="18">
        <v>3.0</v>
      </c>
      <c r="G48" s="18">
        <v>66.0</v>
      </c>
      <c r="H48" s="21" t="s">
        <v>164</v>
      </c>
      <c r="I48" s="22">
        <v>23.0</v>
      </c>
      <c r="J48" s="28" t="s">
        <v>165</v>
      </c>
      <c r="K48" s="24">
        <v>-31.492425</v>
      </c>
      <c r="L48" s="25">
        <v>-68.529264</v>
      </c>
      <c r="N48" s="17" t="str">
        <f>VLOOKUP($H48,'Hoja 2'!A$2:D$5000,2,FALSE)</f>
        <v/>
      </c>
      <c r="O48" s="17" t="str">
        <f>VLOOKUP($H48,'Hoja 2'!A$2:D$5000,3,FALSE)</f>
        <v/>
      </c>
      <c r="P48" s="17" t="str">
        <f>VLOOKUP($H48,'Hoja 2'!A$2:D$5000,4,FALSE)</f>
        <v/>
      </c>
      <c r="Q48" s="26" t="str">
        <f>VLOOKUP($H48,'Hoja 2'!E$2:H$5000,4,FALSE)</f>
        <v/>
      </c>
    </row>
    <row r="49" ht="15.75" customHeight="1">
      <c r="B49" s="18" t="s">
        <v>20</v>
      </c>
      <c r="C49" s="18">
        <v>826.0</v>
      </c>
      <c r="D49" s="18" t="s">
        <v>140</v>
      </c>
      <c r="E49" s="20" t="s">
        <v>166</v>
      </c>
      <c r="F49" s="18">
        <v>3.0</v>
      </c>
      <c r="G49" s="18">
        <v>67.0</v>
      </c>
      <c r="H49" s="21" t="s">
        <v>167</v>
      </c>
      <c r="I49" s="22">
        <v>25.0</v>
      </c>
      <c r="J49" s="28" t="s">
        <v>168</v>
      </c>
      <c r="K49" s="24">
        <v>-31.492536</v>
      </c>
      <c r="L49" s="25">
        <v>-68.529342</v>
      </c>
      <c r="N49" s="17" t="str">
        <f>VLOOKUP($H49,'Hoja 2'!A$2:D$5000,2,FALSE)</f>
        <v/>
      </c>
      <c r="O49" s="17" t="str">
        <f>VLOOKUP($H49,'Hoja 2'!A$2:D$5000,3,FALSE)</f>
        <v/>
      </c>
      <c r="P49" s="17" t="str">
        <f>VLOOKUP($H49,'Hoja 2'!A$2:D$5000,4,FALSE)</f>
        <v/>
      </c>
      <c r="Q49" s="26" t="str">
        <f>VLOOKUP($H49,'Hoja 2'!E$2:H$5000,4,FALSE)</f>
        <v/>
      </c>
    </row>
    <row r="50" ht="15.75" customHeight="1">
      <c r="B50" s="18" t="s">
        <v>20</v>
      </c>
      <c r="C50" s="18">
        <v>826.0</v>
      </c>
      <c r="D50" s="18" t="s">
        <v>140</v>
      </c>
      <c r="E50" s="20" t="s">
        <v>169</v>
      </c>
      <c r="F50" s="18">
        <v>3.0</v>
      </c>
      <c r="G50" s="18">
        <v>68.0</v>
      </c>
      <c r="H50" s="21" t="s">
        <v>170</v>
      </c>
      <c r="I50" s="22">
        <v>25.0</v>
      </c>
      <c r="J50" s="28" t="s">
        <v>171</v>
      </c>
      <c r="K50" s="24">
        <v>-31.489007</v>
      </c>
      <c r="L50" s="30">
        <v>-68.532004</v>
      </c>
      <c r="N50" s="17" t="str">
        <f>VLOOKUP($H50,'Hoja 2'!A$2:D$5000,2,FALSE)</f>
        <v/>
      </c>
      <c r="O50" s="17" t="str">
        <f>VLOOKUP($H50,'Hoja 2'!A$2:D$5000,3,FALSE)</f>
        <v/>
      </c>
      <c r="P50" s="17" t="str">
        <f>VLOOKUP($H50,'Hoja 2'!A$2:D$5000,4,FALSE)</f>
        <v/>
      </c>
      <c r="Q50" s="26" t="str">
        <f>VLOOKUP($H50,'Hoja 2'!E$2:H$5000,4,FALSE)</f>
        <v/>
      </c>
    </row>
    <row r="51" ht="15.75" customHeight="1">
      <c r="B51" s="18" t="s">
        <v>20</v>
      </c>
      <c r="C51" s="18">
        <v>826.0</v>
      </c>
      <c r="D51" s="18" t="s">
        <v>140</v>
      </c>
      <c r="E51" s="20" t="s">
        <v>172</v>
      </c>
      <c r="F51" s="18">
        <v>3.0</v>
      </c>
      <c r="G51" s="18" t="s">
        <v>173</v>
      </c>
      <c r="H51" s="21" t="s">
        <v>174</v>
      </c>
      <c r="I51" s="22">
        <v>23.0</v>
      </c>
      <c r="J51" s="23" t="s">
        <v>175</v>
      </c>
      <c r="K51" s="24">
        <v>-31.49283</v>
      </c>
      <c r="L51" s="25">
        <v>-68.53199</v>
      </c>
      <c r="N51" s="17" t="str">
        <f>VLOOKUP($H51,'Hoja 2'!A$2:D$5000,2,FALSE)</f>
        <v/>
      </c>
      <c r="O51" s="17" t="str">
        <f>VLOOKUP($H51,'Hoja 2'!A$2:D$5000,3,FALSE)</f>
        <v/>
      </c>
      <c r="P51" s="17" t="str">
        <f>VLOOKUP($H51,'Hoja 2'!A$2:D$5000,4,FALSE)</f>
        <v/>
      </c>
      <c r="Q51" s="26" t="str">
        <f>VLOOKUP($H51,'Hoja 2'!E$2:H$5000,4,FALSE)</f>
        <v/>
      </c>
    </row>
    <row r="52" ht="15.75" customHeight="1">
      <c r="B52" s="18" t="s">
        <v>20</v>
      </c>
      <c r="C52" s="18">
        <v>826.0</v>
      </c>
      <c r="D52" s="18" t="s">
        <v>176</v>
      </c>
      <c r="E52" s="20" t="s">
        <v>177</v>
      </c>
      <c r="F52" s="18">
        <v>3.0</v>
      </c>
      <c r="G52" s="18">
        <v>71.0</v>
      </c>
      <c r="H52" s="21" t="s">
        <v>178</v>
      </c>
      <c r="I52" s="22">
        <v>27.0</v>
      </c>
      <c r="J52" s="23" t="s">
        <v>179</v>
      </c>
      <c r="K52" s="24">
        <v>-31.48851</v>
      </c>
      <c r="L52" s="25">
        <v>-68.53131</v>
      </c>
      <c r="N52" s="17" t="str">
        <f>VLOOKUP($H52,'Hoja 2'!A$2:D$5000,2,FALSE)</f>
        <v/>
      </c>
      <c r="O52" s="17" t="str">
        <f>VLOOKUP($H52,'Hoja 2'!A$2:D$5000,3,FALSE)</f>
        <v/>
      </c>
      <c r="P52" s="17" t="str">
        <f>VLOOKUP($H52,'Hoja 2'!A$2:D$5000,4,FALSE)</f>
        <v/>
      </c>
      <c r="Q52" s="26" t="str">
        <f>VLOOKUP($H52,'Hoja 2'!E$2:H$5000,4,FALSE)</f>
        <v/>
      </c>
    </row>
    <row r="53" ht="15.75" customHeight="1">
      <c r="B53" s="18" t="s">
        <v>20</v>
      </c>
      <c r="C53" s="18">
        <v>826.0</v>
      </c>
      <c r="D53" s="18" t="s">
        <v>176</v>
      </c>
      <c r="E53" s="20" t="s">
        <v>180</v>
      </c>
      <c r="F53" s="18">
        <v>3.0</v>
      </c>
      <c r="G53" s="18">
        <v>72.0</v>
      </c>
      <c r="H53" s="21" t="s">
        <v>181</v>
      </c>
      <c r="I53" s="22">
        <v>25.0</v>
      </c>
      <c r="J53" s="28" t="s">
        <v>182</v>
      </c>
      <c r="K53" s="24">
        <v>-31.488457</v>
      </c>
      <c r="L53" s="25">
        <v>-68.530821</v>
      </c>
      <c r="N53" s="17" t="str">
        <f>VLOOKUP($H53,'Hoja 2'!A$2:D$5000,2,FALSE)</f>
        <v/>
      </c>
      <c r="O53" s="17" t="str">
        <f>VLOOKUP($H53,'Hoja 2'!A$2:D$5000,3,FALSE)</f>
        <v/>
      </c>
      <c r="P53" s="17" t="str">
        <f>VLOOKUP($H53,'Hoja 2'!A$2:D$5000,4,FALSE)</f>
        <v/>
      </c>
      <c r="Q53" s="26" t="str">
        <f>VLOOKUP($H53,'Hoja 2'!E$2:H$5000,4,FALSE)</f>
        <v/>
      </c>
    </row>
    <row r="54" ht="15.75" customHeight="1">
      <c r="B54" s="18" t="s">
        <v>20</v>
      </c>
      <c r="C54" s="18">
        <v>826.0</v>
      </c>
      <c r="D54" s="18" t="s">
        <v>176</v>
      </c>
      <c r="E54" s="20" t="s">
        <v>183</v>
      </c>
      <c r="F54" s="18">
        <v>3.0</v>
      </c>
      <c r="G54" s="18">
        <v>73.0</v>
      </c>
      <c r="H54" s="21" t="s">
        <v>184</v>
      </c>
      <c r="I54" s="22">
        <v>31.0</v>
      </c>
      <c r="J54" s="23" t="s">
        <v>185</v>
      </c>
      <c r="K54" s="24">
        <v>-31.487741</v>
      </c>
      <c r="L54" s="25">
        <v>-68.52862</v>
      </c>
      <c r="N54" s="17" t="str">
        <f>VLOOKUP($H54,'Hoja 2'!A$2:D$5000,2,FALSE)</f>
        <v/>
      </c>
      <c r="O54" s="17" t="str">
        <f>VLOOKUP($H54,'Hoja 2'!A$2:D$5000,3,FALSE)</f>
        <v/>
      </c>
      <c r="P54" s="17" t="str">
        <f>VLOOKUP($H54,'Hoja 2'!A$2:D$5000,4,FALSE)</f>
        <v/>
      </c>
      <c r="Q54" s="26" t="str">
        <f>VLOOKUP($H54,'Hoja 2'!E$2:H$5000,4,FALSE)</f>
        <v/>
      </c>
    </row>
    <row r="55" ht="15.75" customHeight="1">
      <c r="B55" s="18" t="s">
        <v>20</v>
      </c>
      <c r="C55" s="18">
        <v>826.0</v>
      </c>
      <c r="D55" s="18" t="s">
        <v>176</v>
      </c>
      <c r="E55" s="20" t="s">
        <v>186</v>
      </c>
      <c r="F55" s="18">
        <v>3.0</v>
      </c>
      <c r="G55" s="18">
        <v>74.0</v>
      </c>
      <c r="H55" s="21" t="s">
        <v>187</v>
      </c>
      <c r="I55" s="22">
        <v>26.0</v>
      </c>
      <c r="J55" s="28" t="s">
        <v>188</v>
      </c>
      <c r="K55" s="24">
        <v>-31.487819</v>
      </c>
      <c r="L55" s="25">
        <v>-68.527433</v>
      </c>
      <c r="N55" s="17" t="str">
        <f>VLOOKUP($H55,'Hoja 2'!A$2:D$5000,2,FALSE)</f>
        <v/>
      </c>
      <c r="O55" s="17" t="str">
        <f>VLOOKUP($H55,'Hoja 2'!A$2:D$5000,3,FALSE)</f>
        <v/>
      </c>
      <c r="P55" s="17" t="str">
        <f>VLOOKUP($H55,'Hoja 2'!A$2:D$5000,4,FALSE)</f>
        <v/>
      </c>
      <c r="Q55" s="26" t="str">
        <f>VLOOKUP($H55,'Hoja 2'!E$2:H$5000,4,FALSE)</f>
        <v/>
      </c>
    </row>
    <row r="56" ht="15.75" customHeight="1">
      <c r="B56" s="18" t="s">
        <v>20</v>
      </c>
      <c r="C56" s="18">
        <v>826.0</v>
      </c>
      <c r="D56" s="18" t="s">
        <v>189</v>
      </c>
      <c r="E56" s="20" t="s">
        <v>190</v>
      </c>
      <c r="F56" s="18">
        <v>3.0</v>
      </c>
      <c r="G56" s="18">
        <v>75.0</v>
      </c>
      <c r="H56" s="21" t="s">
        <v>191</v>
      </c>
      <c r="I56" s="22">
        <v>23.0</v>
      </c>
      <c r="J56" s="23" t="s">
        <v>192</v>
      </c>
      <c r="K56" s="24">
        <v>-31.487395</v>
      </c>
      <c r="L56" s="25">
        <v>-68.526743</v>
      </c>
      <c r="N56" s="17" t="str">
        <f>VLOOKUP($H56,'Hoja 2'!A$2:D$5000,2,FALSE)</f>
        <v/>
      </c>
      <c r="O56" s="17" t="str">
        <f>VLOOKUP($H56,'Hoja 2'!A$2:D$5000,3,FALSE)</f>
        <v/>
      </c>
      <c r="P56" s="17" t="str">
        <f>VLOOKUP($H56,'Hoja 2'!A$2:D$5000,4,FALSE)</f>
        <v/>
      </c>
      <c r="Q56" s="26" t="str">
        <f>VLOOKUP($H56,'Hoja 2'!E$2:H$5000,4,FALSE)</f>
        <v/>
      </c>
    </row>
    <row r="57" ht="15.75" customHeight="1">
      <c r="B57" s="18" t="s">
        <v>20</v>
      </c>
      <c r="C57" s="18">
        <v>826.0</v>
      </c>
      <c r="D57" s="18" t="s">
        <v>189</v>
      </c>
      <c r="E57" s="20" t="s">
        <v>193</v>
      </c>
      <c r="F57" s="18">
        <v>3.0</v>
      </c>
      <c r="G57" s="18">
        <v>76.0</v>
      </c>
      <c r="H57" s="21" t="s">
        <v>194</v>
      </c>
      <c r="I57" s="22">
        <v>20.0</v>
      </c>
      <c r="J57" s="23" t="s">
        <v>195</v>
      </c>
      <c r="K57" s="24">
        <v>-31.486623</v>
      </c>
      <c r="L57" s="25">
        <v>-68.526675</v>
      </c>
      <c r="N57" s="17" t="str">
        <f>VLOOKUP($H57,'Hoja 2'!A$2:D$5000,2,FALSE)</f>
        <v/>
      </c>
      <c r="O57" s="17" t="str">
        <f>VLOOKUP($H57,'Hoja 2'!A$2:D$5000,3,FALSE)</f>
        <v/>
      </c>
      <c r="P57" s="17" t="str">
        <f>VLOOKUP($H57,'Hoja 2'!A$2:D$5000,4,FALSE)</f>
        <v/>
      </c>
      <c r="Q57" s="26" t="str">
        <f>VLOOKUP($H57,'Hoja 2'!E$2:H$5000,4,FALSE)</f>
        <v/>
      </c>
    </row>
    <row r="58" ht="15.75" customHeight="1">
      <c r="B58" s="18" t="s">
        <v>20</v>
      </c>
      <c r="C58" s="18">
        <v>826.0</v>
      </c>
      <c r="D58" s="18" t="s">
        <v>189</v>
      </c>
      <c r="E58" s="20" t="s">
        <v>196</v>
      </c>
      <c r="F58" s="18">
        <v>3.0</v>
      </c>
      <c r="G58" s="18">
        <v>77.0</v>
      </c>
      <c r="H58" s="21" t="s">
        <v>197</v>
      </c>
      <c r="I58" s="22">
        <v>20.0</v>
      </c>
      <c r="J58" s="23" t="s">
        <v>198</v>
      </c>
      <c r="K58" s="24">
        <v>-31.485378</v>
      </c>
      <c r="L58" s="25">
        <v>-68.526832</v>
      </c>
      <c r="N58" s="17" t="str">
        <f>VLOOKUP($H58,'Hoja 2'!A$2:D$5000,2,FALSE)</f>
        <v/>
      </c>
      <c r="O58" s="17" t="str">
        <f>VLOOKUP($H58,'Hoja 2'!A$2:D$5000,3,FALSE)</f>
        <v/>
      </c>
      <c r="P58" s="17" t="str">
        <f>VLOOKUP($H58,'Hoja 2'!A$2:D$5000,4,FALSE)</f>
        <v/>
      </c>
      <c r="Q58" s="26" t="str">
        <f>VLOOKUP($H58,'Hoja 2'!E$2:H$5000,4,FALSE)</f>
        <v/>
      </c>
    </row>
    <row r="59" ht="15.75" customHeight="1">
      <c r="B59" s="18" t="s">
        <v>20</v>
      </c>
      <c r="C59" s="18">
        <v>826.0</v>
      </c>
      <c r="D59" s="18" t="s">
        <v>189</v>
      </c>
      <c r="E59" s="20" t="s">
        <v>199</v>
      </c>
      <c r="F59" s="18">
        <v>3.0</v>
      </c>
      <c r="G59" s="18">
        <v>78.0</v>
      </c>
      <c r="H59" s="21" t="s">
        <v>200</v>
      </c>
      <c r="I59" s="22">
        <v>20.0</v>
      </c>
      <c r="J59" s="23" t="s">
        <v>201</v>
      </c>
      <c r="K59" s="24">
        <v>-31.484793</v>
      </c>
      <c r="L59" s="25">
        <v>-68.526898</v>
      </c>
      <c r="N59" s="17" t="str">
        <f>VLOOKUP($H59,'Hoja 2'!A$2:D$5000,2,FALSE)</f>
        <v/>
      </c>
      <c r="O59" s="17" t="str">
        <f>VLOOKUP($H59,'Hoja 2'!A$2:D$5000,3,FALSE)</f>
        <v/>
      </c>
      <c r="P59" s="17" t="str">
        <f>VLOOKUP($H59,'Hoja 2'!A$2:D$5000,4,FALSE)</f>
        <v/>
      </c>
      <c r="Q59" s="26" t="str">
        <f>VLOOKUP($H59,'Hoja 2'!E$2:H$5000,4,FALSE)</f>
        <v/>
      </c>
    </row>
    <row r="60" ht="15.75" customHeight="1">
      <c r="B60" s="18" t="s">
        <v>20</v>
      </c>
      <c r="C60" s="18">
        <v>826.0</v>
      </c>
      <c r="D60" s="18" t="s">
        <v>189</v>
      </c>
      <c r="E60" s="20" t="s">
        <v>202</v>
      </c>
      <c r="F60" s="18">
        <v>3.0</v>
      </c>
      <c r="G60" s="18">
        <v>79.0</v>
      </c>
      <c r="H60" s="21" t="s">
        <v>203</v>
      </c>
      <c r="I60" s="22">
        <v>28.0</v>
      </c>
      <c r="J60" s="28" t="s">
        <v>204</v>
      </c>
      <c r="K60" s="24">
        <v>-31.48154</v>
      </c>
      <c r="L60" s="25">
        <v>-68.52723</v>
      </c>
      <c r="N60" s="17" t="str">
        <f>VLOOKUP($H60,'Hoja 2'!A$2:D$5000,2,FALSE)</f>
        <v/>
      </c>
      <c r="O60" s="17" t="str">
        <f>VLOOKUP($H60,'Hoja 2'!A$2:D$5000,3,FALSE)</f>
        <v/>
      </c>
      <c r="P60" s="17" t="str">
        <f>VLOOKUP($H60,'Hoja 2'!A$2:D$5000,4,FALSE)</f>
        <v/>
      </c>
      <c r="Q60" s="26" t="str">
        <f>VLOOKUP($H60,'Hoja 2'!E$2:H$5000,4,FALSE)</f>
        <v/>
      </c>
    </row>
    <row r="61" ht="15.75" customHeight="1">
      <c r="B61" s="18" t="s">
        <v>20</v>
      </c>
      <c r="C61" s="18">
        <v>826.0</v>
      </c>
      <c r="D61" s="18">
        <v>44474.0</v>
      </c>
      <c r="E61" s="20" t="s">
        <v>205</v>
      </c>
      <c r="F61" s="18">
        <v>3.0</v>
      </c>
      <c r="G61" s="18">
        <v>80.0</v>
      </c>
      <c r="H61" s="21" t="s">
        <v>206</v>
      </c>
      <c r="I61" s="22">
        <v>22.0</v>
      </c>
      <c r="J61" s="28" t="s">
        <v>207</v>
      </c>
      <c r="K61" s="24">
        <v>-31.481484</v>
      </c>
      <c r="L61" s="25">
        <v>-68.527415</v>
      </c>
      <c r="N61" s="17" t="str">
        <f>VLOOKUP($H61,'Hoja 2'!A$2:D$5000,2,FALSE)</f>
        <v/>
      </c>
      <c r="O61" s="17" t="str">
        <f>VLOOKUP($H61,'Hoja 2'!A$2:D$5000,3,FALSE)</f>
        <v/>
      </c>
      <c r="P61" s="17" t="str">
        <f>VLOOKUP($H61,'Hoja 2'!A$2:D$5000,4,FALSE)</f>
        <v/>
      </c>
      <c r="Q61" s="26" t="str">
        <f>VLOOKUP($H61,'Hoja 2'!E$2:H$5000,4,FALSE)</f>
        <v/>
      </c>
    </row>
    <row r="62" ht="15.75" customHeight="1">
      <c r="B62" s="18" t="s">
        <v>20</v>
      </c>
      <c r="C62" s="18">
        <v>826.0</v>
      </c>
      <c r="D62" s="18">
        <v>44474.0</v>
      </c>
      <c r="E62" s="20" t="s">
        <v>208</v>
      </c>
      <c r="F62" s="18">
        <v>3.0</v>
      </c>
      <c r="G62" s="18" t="s">
        <v>209</v>
      </c>
      <c r="H62" s="21" t="s">
        <v>210</v>
      </c>
      <c r="I62" s="22">
        <v>25.0</v>
      </c>
      <c r="J62" s="28" t="s">
        <v>211</v>
      </c>
      <c r="K62" s="24">
        <v>-31.48125</v>
      </c>
      <c r="L62" s="25">
        <v>-68.52827</v>
      </c>
      <c r="N62" s="17" t="str">
        <f>VLOOKUP($H62,'Hoja 2'!A$2:D$5000,2,FALSE)</f>
        <v/>
      </c>
      <c r="O62" s="17" t="str">
        <f>VLOOKUP($H62,'Hoja 2'!A$2:D$5000,3,FALSE)</f>
        <v/>
      </c>
      <c r="P62" s="17" t="str">
        <f>VLOOKUP($H62,'Hoja 2'!A$2:D$5000,4,FALSE)</f>
        <v/>
      </c>
      <c r="Q62" s="26" t="str">
        <f>VLOOKUP($H62,'Hoja 2'!E$2:H$5000,4,FALSE)</f>
        <v/>
      </c>
    </row>
    <row r="63" ht="15.75" customHeight="1">
      <c r="B63" s="31" t="s">
        <v>20</v>
      </c>
      <c r="C63" s="31">
        <v>826.0</v>
      </c>
      <c r="D63" s="31" t="s">
        <v>102</v>
      </c>
      <c r="E63" s="32" t="s">
        <v>212</v>
      </c>
      <c r="F63" s="31">
        <v>3.0</v>
      </c>
      <c r="G63" s="31">
        <v>99.0</v>
      </c>
      <c r="H63" s="33" t="s">
        <v>213</v>
      </c>
      <c r="I63" s="22">
        <v>26.0</v>
      </c>
      <c r="J63" s="28" t="s">
        <v>214</v>
      </c>
      <c r="K63" s="24">
        <v>-31.50267</v>
      </c>
      <c r="L63" s="25">
        <v>-68.49861</v>
      </c>
      <c r="N63" s="17" t="str">
        <f>VLOOKUP($H63,'Hoja 2'!A$2:D$5000,2,FALSE)</f>
        <v/>
      </c>
      <c r="O63" s="17" t="str">
        <f>VLOOKUP($H63,'Hoja 2'!A$2:D$5000,3,FALSE)</f>
        <v/>
      </c>
      <c r="P63" s="17" t="str">
        <f>VLOOKUP($H63,'Hoja 2'!A$2:D$5000,4,FALSE)</f>
        <v/>
      </c>
      <c r="Q63" s="26" t="str">
        <f>VLOOKUP($H63,'Hoja 2'!E$2:H$5000,4,FALSE)</f>
        <v/>
      </c>
    </row>
    <row r="64" ht="15.75" customHeight="1">
      <c r="B64" s="31" t="s">
        <v>20</v>
      </c>
      <c r="C64" s="31">
        <v>828.0</v>
      </c>
      <c r="D64" s="31" t="s">
        <v>215</v>
      </c>
      <c r="E64" s="32" t="s">
        <v>216</v>
      </c>
      <c r="F64" s="31">
        <v>3.0</v>
      </c>
      <c r="G64" s="31">
        <v>10.0</v>
      </c>
      <c r="H64" s="21" t="s">
        <v>217</v>
      </c>
      <c r="I64" s="22">
        <v>22.0</v>
      </c>
      <c r="J64" s="23" t="s">
        <v>218</v>
      </c>
      <c r="K64" s="24">
        <v>-31.481233</v>
      </c>
      <c r="L64" s="25">
        <v>-68.528329</v>
      </c>
      <c r="N64" s="17" t="str">
        <f>VLOOKUP($H64,'Hoja 2'!A$2:D$5000,2,FALSE)</f>
        <v/>
      </c>
      <c r="O64" s="17" t="str">
        <f>VLOOKUP($H64,'Hoja 2'!A$2:D$5000,3,FALSE)</f>
        <v/>
      </c>
      <c r="P64" s="17" t="str">
        <f>VLOOKUP($H64,'Hoja 2'!A$2:D$5000,4,FALSE)</f>
        <v/>
      </c>
      <c r="Q64" s="26" t="str">
        <f>VLOOKUP($H64,'Hoja 2'!E$2:H$5000,4,FALSE)</f>
        <v/>
      </c>
    </row>
    <row r="65" ht="15.75" customHeight="1">
      <c r="B65" s="31" t="s">
        <v>20</v>
      </c>
      <c r="C65" s="31">
        <v>828.0</v>
      </c>
      <c r="D65" s="31" t="s">
        <v>102</v>
      </c>
      <c r="E65" s="32" t="s">
        <v>219</v>
      </c>
      <c r="F65" s="31">
        <v>3.0</v>
      </c>
      <c r="G65" s="31">
        <v>101.0</v>
      </c>
      <c r="H65" s="21" t="s">
        <v>220</v>
      </c>
      <c r="I65" s="22">
        <v>31.0</v>
      </c>
      <c r="J65" s="23" t="s">
        <v>221</v>
      </c>
      <c r="K65" s="24">
        <v>-31.493427</v>
      </c>
      <c r="L65" s="25">
        <v>-68.532166</v>
      </c>
      <c r="N65" s="17" t="str">
        <f>VLOOKUP($H65,'Hoja 2'!A$2:D$5000,2,FALSE)</f>
        <v/>
      </c>
      <c r="O65" s="17" t="str">
        <f>VLOOKUP($H65,'Hoja 2'!A$2:D$5000,3,FALSE)</f>
        <v/>
      </c>
      <c r="P65" s="17" t="str">
        <f>VLOOKUP($H65,'Hoja 2'!A$2:D$5000,4,FALSE)</f>
        <v/>
      </c>
      <c r="Q65" s="26" t="str">
        <f>VLOOKUP($H65,'Hoja 2'!E$2:H$5000,4,FALSE)</f>
        <v/>
      </c>
    </row>
    <row r="66" ht="15.75" customHeight="1">
      <c r="B66" s="31" t="s">
        <v>20</v>
      </c>
      <c r="C66" s="31">
        <v>828.0</v>
      </c>
      <c r="D66" s="31" t="s">
        <v>102</v>
      </c>
      <c r="E66" s="32" t="s">
        <v>222</v>
      </c>
      <c r="F66" s="31">
        <v>3.0</v>
      </c>
      <c r="G66" s="31" t="s">
        <v>223</v>
      </c>
      <c r="H66" s="21" t="s">
        <v>224</v>
      </c>
      <c r="I66" s="22">
        <v>19.0</v>
      </c>
      <c r="J66" s="23" t="s">
        <v>225</v>
      </c>
      <c r="K66" s="24">
        <v>-31.49249</v>
      </c>
      <c r="L66" s="25">
        <v>-68.53221</v>
      </c>
      <c r="N66" s="17" t="str">
        <f>VLOOKUP($H66,'Hoja 2'!A$2:D$5000,2,FALSE)</f>
        <v/>
      </c>
      <c r="O66" s="17" t="str">
        <f>VLOOKUP($H66,'Hoja 2'!A$2:D$5000,3,FALSE)</f>
        <v/>
      </c>
      <c r="P66" s="17" t="str">
        <f>VLOOKUP($H66,'Hoja 2'!A$2:D$5000,4,FALSE)</f>
        <v/>
      </c>
      <c r="Q66" s="26" t="str">
        <f>VLOOKUP($H66,'Hoja 2'!E$2:H$5000,4,FALSE)</f>
        <v/>
      </c>
    </row>
    <row r="67" ht="15.75" customHeight="1">
      <c r="B67" s="31" t="s">
        <v>20</v>
      </c>
      <c r="C67" s="31">
        <v>828.0</v>
      </c>
      <c r="D67" s="31" t="s">
        <v>140</v>
      </c>
      <c r="E67" s="32" t="s">
        <v>226</v>
      </c>
      <c r="F67" s="31">
        <v>3.0</v>
      </c>
      <c r="G67" s="31" t="s">
        <v>227</v>
      </c>
      <c r="H67" s="21" t="s">
        <v>228</v>
      </c>
      <c r="I67" s="22">
        <v>19.0</v>
      </c>
      <c r="J67" s="23" t="s">
        <v>229</v>
      </c>
      <c r="K67" s="24">
        <v>-31.49259</v>
      </c>
      <c r="L67" s="25">
        <v>-68.53253</v>
      </c>
      <c r="N67" s="17" t="str">
        <f>VLOOKUP($H67,'Hoja 2'!A$2:D$5000,2,FALSE)</f>
        <v/>
      </c>
      <c r="O67" s="17" t="str">
        <f>VLOOKUP($H67,'Hoja 2'!A$2:D$5000,3,FALSE)</f>
        <v/>
      </c>
      <c r="P67" s="17" t="str">
        <f>VLOOKUP($H67,'Hoja 2'!A$2:D$5000,4,FALSE)</f>
        <v/>
      </c>
      <c r="Q67" s="26" t="str">
        <f>VLOOKUP($H67,'Hoja 2'!E$2:H$5000,4,FALSE)</f>
        <v/>
      </c>
    </row>
    <row r="68" ht="15.75" customHeight="1">
      <c r="B68" s="31" t="s">
        <v>20</v>
      </c>
      <c r="C68" s="31">
        <v>828.0</v>
      </c>
      <c r="D68" s="31" t="s">
        <v>140</v>
      </c>
      <c r="E68" s="32" t="s">
        <v>230</v>
      </c>
      <c r="F68" s="31">
        <v>3.0</v>
      </c>
      <c r="G68" s="31">
        <v>102.0</v>
      </c>
      <c r="H68" s="21" t="s">
        <v>231</v>
      </c>
      <c r="I68" s="22">
        <v>20.0</v>
      </c>
      <c r="J68" s="23" t="s">
        <v>232</v>
      </c>
      <c r="K68" s="24">
        <v>-31.492637</v>
      </c>
      <c r="L68" s="25">
        <v>-68.535041</v>
      </c>
      <c r="N68" s="17" t="str">
        <f>VLOOKUP($H68,'Hoja 2'!A$2:D$5000,2,FALSE)</f>
        <v/>
      </c>
      <c r="O68" s="17" t="str">
        <f>VLOOKUP($H68,'Hoja 2'!A$2:D$5000,3,FALSE)</f>
        <v/>
      </c>
      <c r="P68" s="17" t="str">
        <f>VLOOKUP($H68,'Hoja 2'!A$2:D$5000,4,FALSE)</f>
        <v/>
      </c>
      <c r="Q68" s="26" t="str">
        <f>VLOOKUP($H68,'Hoja 2'!E$2:H$5000,4,FALSE)</f>
        <v/>
      </c>
    </row>
    <row r="69" ht="15.75" customHeight="1">
      <c r="B69" s="18" t="s">
        <v>20</v>
      </c>
      <c r="C69" s="18">
        <v>828.0</v>
      </c>
      <c r="D69" s="18" t="s">
        <v>140</v>
      </c>
      <c r="E69" s="20" t="s">
        <v>233</v>
      </c>
      <c r="F69" s="18">
        <v>3.0</v>
      </c>
      <c r="G69" s="18">
        <v>103.0</v>
      </c>
      <c r="H69" s="21" t="s">
        <v>234</v>
      </c>
      <c r="I69" s="22">
        <v>17.0</v>
      </c>
      <c r="J69" s="23" t="s">
        <v>235</v>
      </c>
      <c r="K69" s="24">
        <v>-31.49264</v>
      </c>
      <c r="L69" s="25">
        <v>-68.53811</v>
      </c>
      <c r="N69" s="17" t="str">
        <f>VLOOKUP($H69,'Hoja 2'!A$2:D$5000,2,FALSE)</f>
        <v/>
      </c>
      <c r="O69" s="17" t="str">
        <f>VLOOKUP($H69,'Hoja 2'!A$2:D$5000,3,FALSE)</f>
        <v/>
      </c>
      <c r="P69" s="17" t="str">
        <f>VLOOKUP($H69,'Hoja 2'!A$2:D$5000,4,FALSE)</f>
        <v/>
      </c>
      <c r="Q69" s="26" t="str">
        <f>VLOOKUP($H69,'Hoja 2'!E$2:H$5000,4,FALSE)</f>
        <v/>
      </c>
    </row>
    <row r="70" ht="15.75" customHeight="1">
      <c r="B70" s="18" t="s">
        <v>20</v>
      </c>
      <c r="C70" s="18">
        <v>828.0</v>
      </c>
      <c r="D70" s="18" t="s">
        <v>140</v>
      </c>
      <c r="E70" s="20" t="s">
        <v>236</v>
      </c>
      <c r="F70" s="18">
        <v>3.0</v>
      </c>
      <c r="G70" s="18">
        <v>104.0</v>
      </c>
      <c r="H70" s="21" t="s">
        <v>237</v>
      </c>
      <c r="I70" s="22">
        <v>28.0</v>
      </c>
      <c r="J70" s="23" t="s">
        <v>238</v>
      </c>
      <c r="K70" s="24">
        <v>-31.49274</v>
      </c>
      <c r="L70" s="25">
        <v>-68.54013</v>
      </c>
      <c r="N70" s="17" t="str">
        <f>VLOOKUP($H70,'Hoja 2'!A$2:D$5000,2,FALSE)</f>
        <v/>
      </c>
      <c r="O70" s="17" t="str">
        <f>VLOOKUP($H70,'Hoja 2'!A$2:D$5000,3,FALSE)</f>
        <v/>
      </c>
      <c r="P70" s="17" t="str">
        <f>VLOOKUP($H70,'Hoja 2'!A$2:D$5000,4,FALSE)</f>
        <v/>
      </c>
      <c r="Q70" s="26" t="str">
        <f>VLOOKUP($H70,'Hoja 2'!E$2:H$5000,4,FALSE)</f>
        <v/>
      </c>
    </row>
    <row r="71" ht="15.75" customHeight="1">
      <c r="B71" s="18" t="s">
        <v>20</v>
      </c>
      <c r="C71" s="18">
        <v>828.0</v>
      </c>
      <c r="D71" s="18" t="s">
        <v>215</v>
      </c>
      <c r="E71" s="20" t="s">
        <v>239</v>
      </c>
      <c r="F71" s="18">
        <v>3.0</v>
      </c>
      <c r="G71" s="18">
        <v>11.0</v>
      </c>
      <c r="H71" s="21" t="s">
        <v>240</v>
      </c>
      <c r="I71" s="22">
        <v>18.0</v>
      </c>
      <c r="J71" s="23" t="s">
        <v>241</v>
      </c>
      <c r="K71" s="24">
        <v>-31.49074</v>
      </c>
      <c r="L71" s="25">
        <v>-68.53816</v>
      </c>
      <c r="N71" s="17" t="str">
        <f>VLOOKUP($H71,'Hoja 2'!A$2:D$5000,2,FALSE)</f>
        <v/>
      </c>
      <c r="O71" s="17" t="str">
        <f>VLOOKUP($H71,'Hoja 2'!A$2:D$5000,3,FALSE)</f>
        <v/>
      </c>
      <c r="P71" s="17" t="str">
        <f>VLOOKUP($H71,'Hoja 2'!A$2:D$5000,4,FALSE)</f>
        <v/>
      </c>
      <c r="Q71" s="26" t="str">
        <f>VLOOKUP($H71,'Hoja 2'!E$2:H$5000,4,FALSE)</f>
        <v/>
      </c>
    </row>
    <row r="72" ht="15.75" customHeight="1">
      <c r="B72" s="18" t="s">
        <v>20</v>
      </c>
      <c r="C72" s="18">
        <v>828.0</v>
      </c>
      <c r="D72" s="18" t="s">
        <v>215</v>
      </c>
      <c r="E72" s="20" t="s">
        <v>242</v>
      </c>
      <c r="F72" s="18">
        <v>3.0</v>
      </c>
      <c r="G72" s="18">
        <v>12.0</v>
      </c>
      <c r="H72" s="21" t="s">
        <v>243</v>
      </c>
      <c r="I72" s="22">
        <v>19.0</v>
      </c>
      <c r="J72" s="23" t="s">
        <v>244</v>
      </c>
      <c r="K72" s="24">
        <v>-31.481561</v>
      </c>
      <c r="L72" s="25">
        <v>-68.527324</v>
      </c>
      <c r="N72" s="17" t="str">
        <f>VLOOKUP($H72,'Hoja 2'!A$2:D$5000,2,FALSE)</f>
        <v/>
      </c>
      <c r="O72" s="17" t="str">
        <f>VLOOKUP($H72,'Hoja 2'!A$2:D$5000,3,FALSE)</f>
        <v/>
      </c>
      <c r="P72" s="17" t="str">
        <f>VLOOKUP($H72,'Hoja 2'!A$2:D$5000,4,FALSE)</f>
        <v/>
      </c>
      <c r="Q72" s="26" t="str">
        <f>VLOOKUP($H72,'Hoja 2'!E$2:H$5000,4,FALSE)</f>
        <v/>
      </c>
    </row>
    <row r="73" ht="15.75" customHeight="1">
      <c r="B73" s="18" t="s">
        <v>20</v>
      </c>
      <c r="C73" s="18">
        <v>828.0</v>
      </c>
      <c r="D73" s="18" t="s">
        <v>176</v>
      </c>
      <c r="E73" s="20" t="s">
        <v>245</v>
      </c>
      <c r="F73" s="18">
        <v>3.0</v>
      </c>
      <c r="G73" s="18">
        <v>13.0</v>
      </c>
      <c r="H73" s="21" t="s">
        <v>246</v>
      </c>
      <c r="I73" s="22">
        <v>22.0</v>
      </c>
      <c r="J73" s="23" t="s">
        <v>247</v>
      </c>
      <c r="K73" s="24">
        <v>-31.480254</v>
      </c>
      <c r="L73" s="25">
        <v>-68.52925</v>
      </c>
      <c r="N73" s="17" t="str">
        <f>VLOOKUP($H73,'Hoja 2'!A$2:D$5000,2,FALSE)</f>
        <v/>
      </c>
      <c r="O73" s="17" t="str">
        <f>VLOOKUP($H73,'Hoja 2'!A$2:D$5000,3,FALSE)</f>
        <v/>
      </c>
      <c r="P73" s="17" t="str">
        <f>VLOOKUP($H73,'Hoja 2'!A$2:D$5000,4,FALSE)</f>
        <v/>
      </c>
      <c r="Q73" s="26" t="str">
        <f>VLOOKUP($H73,'Hoja 2'!E$2:H$5000,4,FALSE)</f>
        <v/>
      </c>
    </row>
    <row r="74" ht="15.75" customHeight="1">
      <c r="B74" s="18" t="s">
        <v>20</v>
      </c>
      <c r="C74" s="18">
        <v>828.0</v>
      </c>
      <c r="D74" s="18" t="s">
        <v>176</v>
      </c>
      <c r="E74" s="20" t="s">
        <v>248</v>
      </c>
      <c r="F74" s="18">
        <v>3.0</v>
      </c>
      <c r="G74" s="18">
        <v>14.0</v>
      </c>
      <c r="H74" s="21" t="s">
        <v>249</v>
      </c>
      <c r="I74" s="22">
        <v>24.0</v>
      </c>
      <c r="J74" s="23" t="s">
        <v>250</v>
      </c>
      <c r="K74" s="24">
        <v>-31.478135</v>
      </c>
      <c r="L74" s="25">
        <v>-68.527414</v>
      </c>
      <c r="N74" s="17" t="str">
        <f>VLOOKUP($H74,'Hoja 2'!A$2:D$5000,2,FALSE)</f>
        <v/>
      </c>
      <c r="O74" s="17" t="str">
        <f>VLOOKUP($H74,'Hoja 2'!A$2:D$5000,3,FALSE)</f>
        <v/>
      </c>
      <c r="P74" s="17" t="str">
        <f>VLOOKUP($H74,'Hoja 2'!A$2:D$5000,4,FALSE)</f>
        <v/>
      </c>
      <c r="Q74" s="26" t="str">
        <f>VLOOKUP($H74,'Hoja 2'!E$2:H$5000,4,FALSE)</f>
        <v/>
      </c>
    </row>
    <row r="75" ht="15.75" customHeight="1">
      <c r="B75" s="18" t="s">
        <v>20</v>
      </c>
      <c r="C75" s="18">
        <v>828.0</v>
      </c>
      <c r="D75" s="18" t="s">
        <v>176</v>
      </c>
      <c r="E75" s="20" t="s">
        <v>251</v>
      </c>
      <c r="F75" s="18">
        <v>3.0</v>
      </c>
      <c r="G75" s="18">
        <v>15.0</v>
      </c>
      <c r="H75" s="21" t="s">
        <v>252</v>
      </c>
      <c r="I75" s="22">
        <v>26.0</v>
      </c>
      <c r="J75" s="23" t="s">
        <v>253</v>
      </c>
      <c r="K75" s="24">
        <v>-31.477293</v>
      </c>
      <c r="L75" s="25">
        <v>-68.527555</v>
      </c>
      <c r="N75" s="17" t="str">
        <f>VLOOKUP($H75,'Hoja 2'!A$2:D$5000,2,FALSE)</f>
        <v/>
      </c>
      <c r="O75" s="17" t="str">
        <f>VLOOKUP($H75,'Hoja 2'!A$2:D$5000,3,FALSE)</f>
        <v/>
      </c>
      <c r="P75" s="17" t="str">
        <f>VLOOKUP($H75,'Hoja 2'!A$2:D$5000,4,FALSE)</f>
        <v/>
      </c>
      <c r="Q75" s="26" t="str">
        <f>VLOOKUP($H75,'Hoja 2'!E$2:H$5000,4,FALSE)</f>
        <v/>
      </c>
    </row>
    <row r="76" ht="15.75" customHeight="1">
      <c r="B76" s="18" t="s">
        <v>20</v>
      </c>
      <c r="C76" s="18">
        <v>828.0</v>
      </c>
      <c r="D76" s="18" t="s">
        <v>254</v>
      </c>
      <c r="E76" s="20" t="s">
        <v>255</v>
      </c>
      <c r="F76" s="18">
        <v>3.0</v>
      </c>
      <c r="G76" s="18">
        <v>16.0</v>
      </c>
      <c r="H76" s="21" t="s">
        <v>256</v>
      </c>
      <c r="I76" s="22">
        <v>30.0</v>
      </c>
      <c r="J76" s="23" t="s">
        <v>257</v>
      </c>
      <c r="K76" s="24">
        <v>-31.49033</v>
      </c>
      <c r="L76" s="25">
        <v>-68.5405</v>
      </c>
      <c r="N76" s="17" t="str">
        <f>VLOOKUP($H76,'Hoja 2'!A$2:D$5000,2,FALSE)</f>
        <v/>
      </c>
      <c r="O76" s="17" t="str">
        <f>VLOOKUP($H76,'Hoja 2'!A$2:D$5000,3,FALSE)</f>
        <v/>
      </c>
      <c r="P76" s="17" t="str">
        <f>VLOOKUP($H76,'Hoja 2'!A$2:D$5000,4,FALSE)</f>
        <v/>
      </c>
      <c r="Q76" s="26" t="str">
        <f>VLOOKUP($H76,'Hoja 2'!E$2:H$5000,4,FALSE)</f>
        <v/>
      </c>
    </row>
    <row r="77" ht="15.75" customHeight="1">
      <c r="B77" s="18" t="s">
        <v>20</v>
      </c>
      <c r="C77" s="18">
        <v>828.0</v>
      </c>
      <c r="D77" s="18" t="s">
        <v>254</v>
      </c>
      <c r="E77" s="20" t="s">
        <v>258</v>
      </c>
      <c r="F77" s="18">
        <v>3.0</v>
      </c>
      <c r="G77" s="18">
        <v>17.0</v>
      </c>
      <c r="H77" s="21" t="s">
        <v>259</v>
      </c>
      <c r="I77" s="22">
        <v>28.0</v>
      </c>
      <c r="J77" s="23" t="s">
        <v>260</v>
      </c>
      <c r="K77" s="24">
        <v>-31.47447</v>
      </c>
      <c r="L77" s="25">
        <v>-68.52243</v>
      </c>
      <c r="N77" s="17" t="str">
        <f>VLOOKUP($H77,'Hoja 2'!A$2:D$5000,2,FALSE)</f>
        <v/>
      </c>
      <c r="O77" s="17" t="str">
        <f>VLOOKUP($H77,'Hoja 2'!A$2:D$5000,3,FALSE)</f>
        <v/>
      </c>
      <c r="P77" s="17" t="str">
        <f>VLOOKUP($H77,'Hoja 2'!A$2:D$5000,4,FALSE)</f>
        <v/>
      </c>
      <c r="Q77" s="26" t="str">
        <f>VLOOKUP($H77,'Hoja 2'!E$2:H$5000,4,FALSE)</f>
        <v/>
      </c>
    </row>
    <row r="78" ht="15.75" customHeight="1">
      <c r="B78" s="18" t="s">
        <v>20</v>
      </c>
      <c r="C78" s="18">
        <v>828.0</v>
      </c>
      <c r="D78" s="18" t="s">
        <v>254</v>
      </c>
      <c r="E78" s="20" t="s">
        <v>261</v>
      </c>
      <c r="F78" s="18">
        <v>3.0</v>
      </c>
      <c r="G78" s="18">
        <v>18.0</v>
      </c>
      <c r="H78" s="34" t="s">
        <v>262</v>
      </c>
      <c r="I78" s="25">
        <v>25.0</v>
      </c>
      <c r="J78" s="23" t="s">
        <v>263</v>
      </c>
      <c r="K78" s="24">
        <v>-31.474214</v>
      </c>
      <c r="L78" s="25">
        <v>-68.521531</v>
      </c>
      <c r="N78" s="17" t="str">
        <f>VLOOKUP($H78,'Hoja 2'!A$2:D$5000,2,FALSE)</f>
        <v/>
      </c>
      <c r="O78" s="17" t="str">
        <f>VLOOKUP($H78,'Hoja 2'!A$2:D$5000,3,FALSE)</f>
        <v/>
      </c>
      <c r="P78" s="17" t="str">
        <f>VLOOKUP($H78,'Hoja 2'!A$2:D$5000,4,FALSE)</f>
        <v/>
      </c>
      <c r="Q78" s="26" t="str">
        <f>VLOOKUP($H78,'Hoja 2'!E$2:H$5000,4,FALSE)</f>
        <v/>
      </c>
    </row>
    <row r="79" ht="15.75" customHeight="1">
      <c r="B79" s="18" t="s">
        <v>20</v>
      </c>
      <c r="C79" s="18">
        <v>828.0</v>
      </c>
      <c r="D79" s="18" t="s">
        <v>254</v>
      </c>
      <c r="E79" s="20" t="s">
        <v>264</v>
      </c>
      <c r="F79" s="18">
        <v>3.0</v>
      </c>
      <c r="G79" s="18">
        <v>19.0</v>
      </c>
      <c r="H79" s="21" t="s">
        <v>265</v>
      </c>
      <c r="I79" s="22">
        <v>23.0</v>
      </c>
      <c r="J79" s="23" t="s">
        <v>266</v>
      </c>
      <c r="K79" s="35">
        <v>-31.4857</v>
      </c>
      <c r="L79" s="25">
        <v>-68.54118</v>
      </c>
      <c r="N79" s="17" t="str">
        <f>VLOOKUP($H79,'Hoja 2'!A$2:D$5000,2,FALSE)</f>
        <v/>
      </c>
      <c r="O79" s="17" t="str">
        <f>VLOOKUP($H79,'Hoja 2'!A$2:D$5000,3,FALSE)</f>
        <v/>
      </c>
      <c r="P79" s="17" t="str">
        <f>VLOOKUP($H79,'Hoja 2'!A$2:D$5000,4,FALSE)</f>
        <v/>
      </c>
      <c r="Q79" s="26" t="str">
        <f>VLOOKUP($H79,'Hoja 2'!E$2:H$5000,4,FALSE)</f>
        <v/>
      </c>
    </row>
    <row r="80" ht="15.75" customHeight="1">
      <c r="B80" s="18" t="s">
        <v>20</v>
      </c>
      <c r="C80" s="18">
        <v>828.0</v>
      </c>
      <c r="D80" s="18" t="s">
        <v>267</v>
      </c>
      <c r="E80" s="20" t="s">
        <v>268</v>
      </c>
      <c r="F80" s="18">
        <v>3.0</v>
      </c>
      <c r="G80" s="18">
        <v>20.0</v>
      </c>
      <c r="H80" s="21" t="s">
        <v>269</v>
      </c>
      <c r="I80" s="22">
        <v>22.0</v>
      </c>
      <c r="J80" s="23" t="s">
        <v>270</v>
      </c>
      <c r="K80" s="24">
        <v>-31.48706</v>
      </c>
      <c r="L80" s="25">
        <v>-68.53617</v>
      </c>
      <c r="N80" s="17" t="str">
        <f>VLOOKUP($H80,'Hoja 2'!A$2:D$5000,2,FALSE)</f>
        <v/>
      </c>
      <c r="O80" s="17" t="str">
        <f>VLOOKUP($H80,'Hoja 2'!A$2:D$5000,3,FALSE)</f>
        <v/>
      </c>
      <c r="P80" s="17" t="str">
        <f>VLOOKUP($H80,'Hoja 2'!A$2:D$5000,4,FALSE)</f>
        <v/>
      </c>
      <c r="Q80" s="26" t="str">
        <f>VLOOKUP($H80,'Hoja 2'!E$2:H$5000,4,FALSE)</f>
        <v/>
      </c>
    </row>
    <row r="81" ht="15.75" customHeight="1">
      <c r="B81" s="18" t="s">
        <v>20</v>
      </c>
      <c r="C81" s="18">
        <v>828.0</v>
      </c>
      <c r="D81" s="18" t="s">
        <v>267</v>
      </c>
      <c r="E81" s="20" t="s">
        <v>271</v>
      </c>
      <c r="F81" s="18">
        <v>3.0</v>
      </c>
      <c r="G81" s="18">
        <v>21.0</v>
      </c>
      <c r="H81" s="21" t="s">
        <v>272</v>
      </c>
      <c r="I81" s="22">
        <v>20.0</v>
      </c>
      <c r="J81" s="28" t="s">
        <v>273</v>
      </c>
      <c r="K81" s="24">
        <v>-31.48592</v>
      </c>
      <c r="L81" s="25">
        <v>-68.53632</v>
      </c>
      <c r="N81" s="17" t="str">
        <f>VLOOKUP($H81,'Hoja 2'!A$2:D$5000,2,FALSE)</f>
        <v/>
      </c>
      <c r="O81" s="17" t="str">
        <f>VLOOKUP($H81,'Hoja 2'!A$2:D$5000,3,FALSE)</f>
        <v/>
      </c>
      <c r="P81" s="17" t="str">
        <f>VLOOKUP($H81,'Hoja 2'!A$2:D$5000,4,FALSE)</f>
        <v/>
      </c>
      <c r="Q81" s="26" t="str">
        <f>VLOOKUP($H81,'Hoja 2'!E$2:H$5000,4,FALSE)</f>
        <v/>
      </c>
    </row>
    <row r="82" ht="15.75" customHeight="1">
      <c r="B82" s="18" t="s">
        <v>20</v>
      </c>
      <c r="C82" s="18">
        <v>828.0</v>
      </c>
      <c r="D82" s="18" t="s">
        <v>267</v>
      </c>
      <c r="E82" s="20" t="s">
        <v>274</v>
      </c>
      <c r="F82" s="18">
        <v>3.0</v>
      </c>
      <c r="G82" s="18">
        <v>22.0</v>
      </c>
      <c r="H82" s="21" t="s">
        <v>275</v>
      </c>
      <c r="I82" s="22">
        <v>21.0</v>
      </c>
      <c r="J82" s="23" t="s">
        <v>276</v>
      </c>
      <c r="K82" s="24">
        <v>-31.48411</v>
      </c>
      <c r="L82" s="25">
        <v>-68.53663</v>
      </c>
      <c r="N82" s="17" t="str">
        <f>VLOOKUP($H82,'Hoja 2'!A$2:D$5000,2,FALSE)</f>
        <v/>
      </c>
      <c r="O82" s="17" t="str">
        <f>VLOOKUP($H82,'Hoja 2'!A$2:D$5000,3,FALSE)</f>
        <v/>
      </c>
      <c r="P82" s="17" t="str">
        <f>VLOOKUP($H82,'Hoja 2'!A$2:D$5000,4,FALSE)</f>
        <v/>
      </c>
      <c r="Q82" s="26" t="str">
        <f>VLOOKUP($H82,'Hoja 2'!E$2:H$5000,4,FALSE)</f>
        <v/>
      </c>
    </row>
    <row r="83" ht="15.75" customHeight="1">
      <c r="B83" s="18" t="s">
        <v>20</v>
      </c>
      <c r="C83" s="18">
        <v>828.0</v>
      </c>
      <c r="D83" s="18" t="s">
        <v>102</v>
      </c>
      <c r="E83" s="20" t="s">
        <v>277</v>
      </c>
      <c r="F83" s="18">
        <v>3.0</v>
      </c>
      <c r="G83" s="18">
        <v>23.0</v>
      </c>
      <c r="H83" s="21" t="s">
        <v>278</v>
      </c>
      <c r="I83" s="22">
        <v>16.0</v>
      </c>
      <c r="J83" s="23" t="s">
        <v>279</v>
      </c>
      <c r="K83" s="24">
        <v>-31.48676</v>
      </c>
      <c r="L83" s="25">
        <v>-68.5321</v>
      </c>
      <c r="N83" s="17" t="str">
        <f>VLOOKUP($H83,'Hoja 2'!A$2:D$5000,2,FALSE)</f>
        <v/>
      </c>
      <c r="O83" s="17" t="str">
        <f>VLOOKUP($H83,'Hoja 2'!A$2:D$5000,3,FALSE)</f>
        <v/>
      </c>
      <c r="P83" s="17" t="str">
        <f>VLOOKUP($H83,'Hoja 2'!A$2:D$5000,4,FALSE)</f>
        <v/>
      </c>
      <c r="Q83" s="26" t="str">
        <f>VLOOKUP($H83,'Hoja 2'!E$2:H$5000,4,FALSE)</f>
        <v/>
      </c>
    </row>
    <row r="84" ht="15.75" customHeight="1">
      <c r="B84" s="18" t="s">
        <v>20</v>
      </c>
      <c r="C84" s="18">
        <v>828.0</v>
      </c>
      <c r="D84" s="18" t="s">
        <v>102</v>
      </c>
      <c r="E84" s="20" t="s">
        <v>280</v>
      </c>
      <c r="F84" s="18">
        <v>3.0</v>
      </c>
      <c r="G84" s="18">
        <v>24.0</v>
      </c>
      <c r="H84" s="21" t="s">
        <v>281</v>
      </c>
      <c r="I84" s="22">
        <v>21.0</v>
      </c>
      <c r="J84" s="23" t="s">
        <v>282</v>
      </c>
      <c r="K84" s="24">
        <v>-31.511863</v>
      </c>
      <c r="L84" s="25">
        <v>-68.517952</v>
      </c>
      <c r="N84" s="17" t="str">
        <f>VLOOKUP($H84,'Hoja 2'!A$2:D$5000,2,FALSE)</f>
        <v/>
      </c>
      <c r="O84" s="17" t="str">
        <f>VLOOKUP($H84,'Hoja 2'!A$2:D$5000,3,FALSE)</f>
        <v/>
      </c>
      <c r="P84" s="17" t="str">
        <f>VLOOKUP($H84,'Hoja 2'!A$2:D$5000,4,FALSE)</f>
        <v/>
      </c>
      <c r="Q84" s="26" t="str">
        <f>VLOOKUP($H84,'Hoja 2'!E$2:H$5000,4,FALSE)</f>
        <v/>
      </c>
    </row>
    <row r="85" ht="15.75" customHeight="1">
      <c r="B85" s="18" t="s">
        <v>20</v>
      </c>
      <c r="C85" s="18">
        <v>828.0</v>
      </c>
      <c r="D85" s="18" t="s">
        <v>102</v>
      </c>
      <c r="E85" s="20" t="s">
        <v>283</v>
      </c>
      <c r="F85" s="18">
        <v>3.0</v>
      </c>
      <c r="G85" s="18">
        <v>25.0</v>
      </c>
      <c r="H85" s="21" t="s">
        <v>284</v>
      </c>
      <c r="I85" s="22">
        <v>22.0</v>
      </c>
      <c r="J85" s="23" t="s">
        <v>285</v>
      </c>
      <c r="K85" s="24">
        <v>-31.511583</v>
      </c>
      <c r="L85" s="25">
        <v>-68.517287</v>
      </c>
      <c r="N85" s="17" t="str">
        <f>VLOOKUP($H85,'Hoja 2'!A$2:D$5000,2,FALSE)</f>
        <v/>
      </c>
      <c r="O85" s="17" t="str">
        <f>VLOOKUP($H85,'Hoja 2'!A$2:D$5000,3,FALSE)</f>
        <v/>
      </c>
      <c r="P85" s="17" t="str">
        <f>VLOOKUP($H85,'Hoja 2'!A$2:D$5000,4,FALSE)</f>
        <v/>
      </c>
      <c r="Q85" s="26" t="str">
        <f>VLOOKUP($H85,'Hoja 2'!E$2:H$5000,4,FALSE)</f>
        <v/>
      </c>
    </row>
    <row r="86" ht="15.75" customHeight="1">
      <c r="B86" s="18" t="s">
        <v>20</v>
      </c>
      <c r="C86" s="18">
        <v>828.0</v>
      </c>
      <c r="D86" s="18" t="s">
        <v>25</v>
      </c>
      <c r="E86" s="20" t="s">
        <v>286</v>
      </c>
      <c r="F86" s="18">
        <v>3.0</v>
      </c>
      <c r="G86" s="18">
        <v>26.0</v>
      </c>
      <c r="H86" s="21" t="s">
        <v>287</v>
      </c>
      <c r="I86" s="22">
        <v>15.0</v>
      </c>
      <c r="J86" s="23" t="s">
        <v>288</v>
      </c>
      <c r="K86" s="24">
        <v>-31.50963</v>
      </c>
      <c r="L86" s="25">
        <v>-68.517869</v>
      </c>
      <c r="N86" s="17" t="str">
        <f>VLOOKUP($H86,'Hoja 2'!A$2:D$5000,2,FALSE)</f>
        <v/>
      </c>
      <c r="O86" s="17" t="str">
        <f>VLOOKUP($H86,'Hoja 2'!A$2:D$5000,3,FALSE)</f>
        <v/>
      </c>
      <c r="P86" s="17" t="str">
        <f>VLOOKUP($H86,'Hoja 2'!A$2:D$5000,4,FALSE)</f>
        <v/>
      </c>
      <c r="Q86" s="26" t="str">
        <f>VLOOKUP($H86,'Hoja 2'!E$2:H$5000,4,FALSE)</f>
        <v/>
      </c>
    </row>
    <row r="87" ht="15.75" customHeight="1">
      <c r="B87" s="18" t="s">
        <v>20</v>
      </c>
      <c r="C87" s="18">
        <v>828.0</v>
      </c>
      <c r="D87" s="18" t="s">
        <v>25</v>
      </c>
      <c r="E87" s="20" t="s">
        <v>289</v>
      </c>
      <c r="F87" s="18">
        <v>3.0</v>
      </c>
      <c r="G87" s="18">
        <v>27.0</v>
      </c>
      <c r="H87" s="21" t="s">
        <v>290</v>
      </c>
      <c r="I87" s="22">
        <v>20.0</v>
      </c>
      <c r="J87" s="28" t="s">
        <v>19</v>
      </c>
      <c r="K87" s="24">
        <v>-31.509631</v>
      </c>
      <c r="L87" s="25">
        <v>-68.517176</v>
      </c>
      <c r="N87" s="17" t="str">
        <f>VLOOKUP($H87,'Hoja 2'!A$2:D$5000,2,FALSE)</f>
        <v/>
      </c>
      <c r="O87" s="17" t="str">
        <f>VLOOKUP($H87,'Hoja 2'!A$2:D$5000,3,FALSE)</f>
        <v/>
      </c>
      <c r="P87" s="17" t="str">
        <f>VLOOKUP($H87,'Hoja 2'!A$2:D$5000,4,FALSE)</f>
        <v/>
      </c>
      <c r="Q87" s="26" t="str">
        <f>VLOOKUP($H87,'Hoja 2'!E$2:H$5000,4,FALSE)</f>
        <v/>
      </c>
    </row>
    <row r="88" ht="15.75" customHeight="1">
      <c r="B88" s="18" t="s">
        <v>20</v>
      </c>
      <c r="C88" s="18">
        <v>828.0</v>
      </c>
      <c r="D88" s="18" t="s">
        <v>140</v>
      </c>
      <c r="E88" s="20" t="s">
        <v>291</v>
      </c>
      <c r="F88" s="18">
        <v>3.0</v>
      </c>
      <c r="G88" s="18">
        <v>5.0</v>
      </c>
      <c r="H88" s="21" t="s">
        <v>292</v>
      </c>
      <c r="I88" s="22">
        <v>26.0</v>
      </c>
      <c r="J88" s="23" t="s">
        <v>293</v>
      </c>
      <c r="K88" s="24">
        <v>-31.479213</v>
      </c>
      <c r="L88" s="25">
        <v>-68.520891</v>
      </c>
      <c r="N88" s="17" t="str">
        <f>VLOOKUP($H88,'Hoja 2'!A$2:D$5000,2,FALSE)</f>
        <v/>
      </c>
      <c r="O88" s="17" t="str">
        <f>VLOOKUP($H88,'Hoja 2'!A$2:D$5000,3,FALSE)</f>
        <v/>
      </c>
      <c r="P88" s="17" t="str">
        <f>VLOOKUP($H88,'Hoja 2'!A$2:D$5000,4,FALSE)</f>
        <v/>
      </c>
      <c r="Q88" s="26" t="str">
        <f>VLOOKUP($H88,'Hoja 2'!E$2:H$5000,4,FALSE)</f>
        <v/>
      </c>
    </row>
    <row r="89" ht="15.75" customHeight="1">
      <c r="B89" s="18" t="s">
        <v>20</v>
      </c>
      <c r="C89" s="18">
        <v>828.0</v>
      </c>
      <c r="D89" s="18" t="s">
        <v>140</v>
      </c>
      <c r="E89" s="20" t="s">
        <v>294</v>
      </c>
      <c r="F89" s="18">
        <v>3.0</v>
      </c>
      <c r="G89" s="18">
        <v>6.0</v>
      </c>
      <c r="H89" s="21" t="s">
        <v>295</v>
      </c>
      <c r="I89" s="22">
        <v>21.0</v>
      </c>
      <c r="J89" s="23" t="s">
        <v>296</v>
      </c>
      <c r="K89" s="24">
        <v>-31.478522</v>
      </c>
      <c r="L89" s="25">
        <v>-68.520788</v>
      </c>
      <c r="N89" s="17" t="str">
        <f>VLOOKUP($H89,'Hoja 2'!A$2:D$5000,2,FALSE)</f>
        <v/>
      </c>
      <c r="O89" s="17" t="str">
        <f>VLOOKUP($H89,'Hoja 2'!A$2:D$5000,3,FALSE)</f>
        <v/>
      </c>
      <c r="P89" s="17" t="str">
        <f>VLOOKUP($H89,'Hoja 2'!A$2:D$5000,4,FALSE)</f>
        <v/>
      </c>
      <c r="Q89" s="26" t="str">
        <f>VLOOKUP($H89,'Hoja 2'!E$2:H$5000,4,FALSE)</f>
        <v/>
      </c>
    </row>
    <row r="90" ht="15.75" customHeight="1">
      <c r="B90" s="18" t="s">
        <v>20</v>
      </c>
      <c r="C90" s="18">
        <v>828.0</v>
      </c>
      <c r="D90" s="18" t="s">
        <v>102</v>
      </c>
      <c r="E90" s="20" t="s">
        <v>297</v>
      </c>
      <c r="F90" s="18">
        <v>3.0</v>
      </c>
      <c r="G90" s="18">
        <v>69.0</v>
      </c>
      <c r="H90" s="21" t="s">
        <v>298</v>
      </c>
      <c r="I90" s="22">
        <v>28.0</v>
      </c>
      <c r="J90" s="23" t="s">
        <v>171</v>
      </c>
      <c r="K90" s="24">
        <v>-31.489007</v>
      </c>
      <c r="L90" s="25">
        <v>-68.532004</v>
      </c>
      <c r="N90" s="17" t="str">
        <f>VLOOKUP($H90,'Hoja 2'!A$2:D$5000,2,FALSE)</f>
        <v/>
      </c>
      <c r="O90" s="17" t="str">
        <f>VLOOKUP($H90,'Hoja 2'!A$2:D$5000,3,FALSE)</f>
        <v/>
      </c>
      <c r="P90" s="17" t="str">
        <f>VLOOKUP($H90,'Hoja 2'!A$2:D$5000,4,FALSE)</f>
        <v/>
      </c>
      <c r="Q90" s="26" t="str">
        <f>VLOOKUP($H90,'Hoja 2'!E$2:H$5000,4,FALSE)</f>
        <v/>
      </c>
    </row>
    <row r="91" ht="15.75" customHeight="1">
      <c r="B91" s="18" t="s">
        <v>20</v>
      </c>
      <c r="C91" s="18">
        <v>828.0</v>
      </c>
      <c r="D91" s="18" t="s">
        <v>102</v>
      </c>
      <c r="E91" s="20" t="s">
        <v>299</v>
      </c>
      <c r="F91" s="18">
        <v>3.0</v>
      </c>
      <c r="G91" s="18" t="s">
        <v>300</v>
      </c>
      <c r="H91" s="21" t="s">
        <v>301</v>
      </c>
      <c r="I91" s="22">
        <v>28.0</v>
      </c>
      <c r="J91" s="28" t="s">
        <v>302</v>
      </c>
      <c r="K91" s="24">
        <v>-31.48967</v>
      </c>
      <c r="L91" s="25">
        <v>-68.53217</v>
      </c>
      <c r="N91" s="17" t="str">
        <f>VLOOKUP($H91,'Hoja 2'!A$2:D$5000,2,FALSE)</f>
        <v/>
      </c>
      <c r="O91" s="17" t="str">
        <f>VLOOKUP($H91,'Hoja 2'!A$2:D$5000,3,FALSE)</f>
        <v/>
      </c>
      <c r="P91" s="17" t="str">
        <f>VLOOKUP($H91,'Hoja 2'!A$2:D$5000,4,FALSE)</f>
        <v/>
      </c>
      <c r="Q91" s="26" t="str">
        <f>VLOOKUP($H91,'Hoja 2'!E$2:H$5000,4,FALSE)</f>
        <v/>
      </c>
    </row>
    <row r="92" ht="15.75" customHeight="1">
      <c r="B92" s="18" t="s">
        <v>20</v>
      </c>
      <c r="C92" s="18">
        <v>828.0</v>
      </c>
      <c r="D92" s="18" t="s">
        <v>140</v>
      </c>
      <c r="E92" s="20" t="s">
        <v>303</v>
      </c>
      <c r="F92" s="18">
        <v>3.0</v>
      </c>
      <c r="G92" s="18">
        <v>7.0</v>
      </c>
      <c r="H92" s="21" t="s">
        <v>304</v>
      </c>
      <c r="I92" s="22">
        <v>21.0</v>
      </c>
      <c r="J92" s="28" t="s">
        <v>305</v>
      </c>
      <c r="K92" s="24">
        <v>-31.478637</v>
      </c>
      <c r="L92" s="25">
        <v>-68.521578</v>
      </c>
      <c r="N92" s="17" t="str">
        <f>VLOOKUP($H92,'Hoja 2'!A$2:D$5000,2,FALSE)</f>
        <v/>
      </c>
      <c r="O92" s="17" t="str">
        <f>VLOOKUP($H92,'Hoja 2'!A$2:D$5000,3,FALSE)</f>
        <v/>
      </c>
      <c r="P92" s="17" t="str">
        <f>VLOOKUP($H92,'Hoja 2'!A$2:D$5000,4,FALSE)</f>
        <v/>
      </c>
      <c r="Q92" s="26" t="str">
        <f>VLOOKUP($H92,'Hoja 2'!E$2:H$5000,4,FALSE)</f>
        <v/>
      </c>
    </row>
    <row r="93" ht="15.75" customHeight="1">
      <c r="B93" s="18" t="s">
        <v>20</v>
      </c>
      <c r="C93" s="18">
        <v>828.0</v>
      </c>
      <c r="D93" s="18" t="s">
        <v>102</v>
      </c>
      <c r="E93" s="20" t="s">
        <v>306</v>
      </c>
      <c r="F93" s="18">
        <v>3.0</v>
      </c>
      <c r="G93" s="18">
        <v>70.0</v>
      </c>
      <c r="H93" s="21" t="s">
        <v>307</v>
      </c>
      <c r="I93" s="22">
        <v>23.0</v>
      </c>
      <c r="J93" s="28" t="s">
        <v>308</v>
      </c>
      <c r="K93" s="24">
        <v>-31.488874</v>
      </c>
      <c r="L93" s="25">
        <v>-68.532128</v>
      </c>
      <c r="N93" s="17" t="str">
        <f>VLOOKUP($H93,'Hoja 2'!A$2:D$5000,2,FALSE)</f>
        <v/>
      </c>
      <c r="O93" s="17" t="str">
        <f>VLOOKUP($H93,'Hoja 2'!A$2:D$5000,3,FALSE)</f>
        <v/>
      </c>
      <c r="P93" s="17" t="str">
        <f>VLOOKUP($H93,'Hoja 2'!A$2:D$5000,4,FALSE)</f>
        <v/>
      </c>
      <c r="Q93" s="26" t="str">
        <f>VLOOKUP($H93,'Hoja 2'!E$2:H$5000,4,FALSE)</f>
        <v/>
      </c>
    </row>
    <row r="94" ht="15.75" customHeight="1">
      <c r="B94" s="18" t="s">
        <v>20</v>
      </c>
      <c r="C94" s="18">
        <v>828.0</v>
      </c>
      <c r="D94" s="18" t="s">
        <v>140</v>
      </c>
      <c r="E94" s="20" t="s">
        <v>309</v>
      </c>
      <c r="F94" s="18">
        <v>3.0</v>
      </c>
      <c r="G94" s="18">
        <v>8.0</v>
      </c>
      <c r="H94" s="21" t="s">
        <v>310</v>
      </c>
      <c r="I94" s="22">
        <v>16.0</v>
      </c>
      <c r="J94" s="23" t="s">
        <v>311</v>
      </c>
      <c r="K94" s="24">
        <v>-31.479998</v>
      </c>
      <c r="L94" s="25">
        <v>-68.525016</v>
      </c>
      <c r="N94" s="17" t="str">
        <f>VLOOKUP($H94,'Hoja 2'!A$2:D$5000,2,FALSE)</f>
        <v/>
      </c>
      <c r="O94" s="17" t="str">
        <f>VLOOKUP($H94,'Hoja 2'!A$2:D$5000,3,FALSE)</f>
        <v/>
      </c>
      <c r="P94" s="17" t="str">
        <f>VLOOKUP($H94,'Hoja 2'!A$2:D$5000,4,FALSE)</f>
        <v/>
      </c>
      <c r="Q94" s="26" t="str">
        <f>VLOOKUP($H94,'Hoja 2'!E$2:H$5000,4,FALSE)</f>
        <v/>
      </c>
    </row>
    <row r="95" ht="15.75" customHeight="1">
      <c r="B95" s="18" t="s">
        <v>20</v>
      </c>
      <c r="C95" s="18">
        <v>828.0</v>
      </c>
      <c r="D95" s="18">
        <v>44386.0</v>
      </c>
      <c r="E95" s="20" t="s">
        <v>312</v>
      </c>
      <c r="F95" s="18">
        <v>3.0</v>
      </c>
      <c r="G95" s="18">
        <v>9.0</v>
      </c>
      <c r="H95" s="21" t="s">
        <v>313</v>
      </c>
      <c r="I95" s="22">
        <v>23.0</v>
      </c>
      <c r="J95" s="23" t="s">
        <v>314</v>
      </c>
      <c r="K95" s="24">
        <v>-31.49092</v>
      </c>
      <c r="L95" s="25">
        <v>-68.53997</v>
      </c>
      <c r="N95" s="17" t="str">
        <f>VLOOKUP($H95,'Hoja 2'!A$2:D$5000,2,FALSE)</f>
        <v/>
      </c>
      <c r="O95" s="17" t="str">
        <f>VLOOKUP($H95,'Hoja 2'!A$2:D$5000,3,FALSE)</f>
        <v/>
      </c>
      <c r="P95" s="17" t="str">
        <f>VLOOKUP($H95,'Hoja 2'!A$2:D$5000,4,FALSE)</f>
        <v/>
      </c>
      <c r="Q95" s="26" t="str">
        <f>VLOOKUP($H95,'Hoja 2'!E$2:H$5000,4,FALSE)</f>
        <v/>
      </c>
    </row>
    <row r="96" ht="15.75" customHeight="1">
      <c r="B96" s="18" t="s">
        <v>20</v>
      </c>
      <c r="C96" s="18">
        <v>828.0</v>
      </c>
      <c r="D96" s="18" t="s">
        <v>315</v>
      </c>
      <c r="E96" s="20" t="s">
        <v>316</v>
      </c>
      <c r="F96" s="18">
        <v>3.0</v>
      </c>
      <c r="G96" s="18" t="s">
        <v>317</v>
      </c>
      <c r="H96" s="21" t="s">
        <v>318</v>
      </c>
      <c r="I96" s="22">
        <v>24.0</v>
      </c>
      <c r="J96" s="23" t="s">
        <v>319</v>
      </c>
      <c r="K96" s="24">
        <v>-31.49061</v>
      </c>
      <c r="L96" s="25">
        <v>-68.54107</v>
      </c>
      <c r="N96" s="17" t="str">
        <f>VLOOKUP($H96,'Hoja 2'!A$2:D$5000,2,FALSE)</f>
        <v/>
      </c>
      <c r="O96" s="17" t="str">
        <f>VLOOKUP($H96,'Hoja 2'!A$2:D$5000,3,FALSE)</f>
        <v/>
      </c>
      <c r="P96" s="17" t="str">
        <f>VLOOKUP($H96,'Hoja 2'!A$2:D$5000,4,FALSE)</f>
        <v/>
      </c>
      <c r="Q96" s="26" t="str">
        <f>VLOOKUP($H96,'Hoja 2'!E$2:H$5000,4,FALSE)</f>
        <v/>
      </c>
    </row>
    <row r="97" ht="15.75" customHeight="1">
      <c r="B97" s="18" t="s">
        <v>20</v>
      </c>
      <c r="C97" s="18">
        <v>828.0</v>
      </c>
      <c r="D97" s="18" t="s">
        <v>315</v>
      </c>
      <c r="E97" s="20" t="s">
        <v>320</v>
      </c>
      <c r="F97" s="18">
        <v>3.0</v>
      </c>
      <c r="G97" s="18" t="s">
        <v>321</v>
      </c>
      <c r="H97" s="21" t="s">
        <v>322</v>
      </c>
      <c r="I97" s="22">
        <v>28.0</v>
      </c>
      <c r="J97" s="23" t="s">
        <v>323</v>
      </c>
      <c r="K97" s="24">
        <v>-31.49132</v>
      </c>
      <c r="L97" s="25">
        <v>-68.54395</v>
      </c>
      <c r="N97" s="17" t="str">
        <f>VLOOKUP($H97,'Hoja 2'!A$2:D$5000,2,FALSE)</f>
        <v/>
      </c>
      <c r="O97" s="17" t="str">
        <f>VLOOKUP($H97,'Hoja 2'!A$2:D$5000,3,FALSE)</f>
        <v/>
      </c>
      <c r="P97" s="17" t="str">
        <f>VLOOKUP($H97,'Hoja 2'!A$2:D$5000,4,FALSE)</f>
        <v/>
      </c>
      <c r="Q97" s="26" t="str">
        <f>VLOOKUP($H97,'Hoja 2'!E$2:H$5000,4,FALSE)</f>
        <v/>
      </c>
    </row>
    <row r="98" ht="15.75" customHeight="1">
      <c r="B98" s="18" t="s">
        <v>20</v>
      </c>
      <c r="C98" s="18">
        <v>842.0</v>
      </c>
      <c r="D98" s="18" t="s">
        <v>324</v>
      </c>
      <c r="E98" s="20" t="s">
        <v>325</v>
      </c>
      <c r="F98" s="18">
        <v>3.0</v>
      </c>
      <c r="G98" s="18">
        <v>34.0</v>
      </c>
      <c r="H98" s="21" t="s">
        <v>326</v>
      </c>
      <c r="I98" s="22">
        <v>22.0</v>
      </c>
      <c r="J98" s="23" t="s">
        <v>53</v>
      </c>
      <c r="K98" s="24">
        <v>-31.506207</v>
      </c>
      <c r="L98" s="25">
        <v>-68.522438</v>
      </c>
      <c r="N98" s="17" t="str">
        <f>VLOOKUP($H98,'Hoja 2'!A$2:D$5000,2,FALSE)</f>
        <v/>
      </c>
      <c r="O98" s="17" t="str">
        <f>VLOOKUP($H98,'Hoja 2'!A$2:D$5000,3,FALSE)</f>
        <v/>
      </c>
      <c r="P98" s="17" t="str">
        <f>VLOOKUP($H98,'Hoja 2'!A$2:D$5000,4,FALSE)</f>
        <v/>
      </c>
      <c r="Q98" s="26" t="str">
        <f>VLOOKUP($H98,'Hoja 2'!E$2:H$5000,4,FALSE)</f>
        <v/>
      </c>
    </row>
    <row r="99" ht="15.75" customHeight="1">
      <c r="B99" s="18" t="s">
        <v>20</v>
      </c>
      <c r="C99" s="18">
        <v>842.0</v>
      </c>
      <c r="D99" s="18" t="s">
        <v>324</v>
      </c>
      <c r="E99" s="20" t="s">
        <v>327</v>
      </c>
      <c r="F99" s="18">
        <v>3.0</v>
      </c>
      <c r="G99" s="18">
        <v>35.0</v>
      </c>
      <c r="H99" s="21" t="s">
        <v>328</v>
      </c>
      <c r="I99" s="22">
        <v>24.0</v>
      </c>
      <c r="J99" s="23" t="s">
        <v>56</v>
      </c>
      <c r="K99" s="24">
        <v>-31.505989</v>
      </c>
      <c r="L99" s="25">
        <v>-68.522346</v>
      </c>
      <c r="N99" s="17" t="str">
        <f>VLOOKUP($H99,'Hoja 2'!A$2:D$5000,2,FALSE)</f>
        <v/>
      </c>
      <c r="O99" s="17" t="str">
        <f>VLOOKUP($H99,'Hoja 2'!A$2:D$5000,3,FALSE)</f>
        <v/>
      </c>
      <c r="P99" s="17" t="str">
        <f>VLOOKUP($H99,'Hoja 2'!A$2:D$5000,4,FALSE)</f>
        <v/>
      </c>
      <c r="Q99" s="26" t="str">
        <f>VLOOKUP($H99,'Hoja 2'!E$2:H$5000,4,FALSE)</f>
        <v/>
      </c>
    </row>
    <row r="100" ht="15.75" customHeight="1">
      <c r="B100" s="18" t="s">
        <v>20</v>
      </c>
      <c r="C100" s="18">
        <v>842.0</v>
      </c>
      <c r="D100" s="18" t="s">
        <v>324</v>
      </c>
      <c r="E100" s="20" t="s">
        <v>329</v>
      </c>
      <c r="F100" s="18">
        <v>3.0</v>
      </c>
      <c r="G100" s="18">
        <v>39.0</v>
      </c>
      <c r="H100" s="21" t="s">
        <v>330</v>
      </c>
      <c r="I100" s="22">
        <v>30.0</v>
      </c>
      <c r="J100" s="23" t="s">
        <v>331</v>
      </c>
      <c r="K100" s="24">
        <v>-31.504138</v>
      </c>
      <c r="L100" s="25">
        <v>-68.51815</v>
      </c>
      <c r="N100" s="17" t="str">
        <f>VLOOKUP($H100,'Hoja 2'!A$2:D$5000,2,FALSE)</f>
        <v/>
      </c>
      <c r="O100" s="17" t="str">
        <f>VLOOKUP($H100,'Hoja 2'!A$2:D$5000,3,FALSE)</f>
        <v/>
      </c>
      <c r="P100" s="17" t="str">
        <f>VLOOKUP($H100,'Hoja 2'!A$2:D$5000,4,FALSE)</f>
        <v/>
      </c>
      <c r="Q100" s="26" t="str">
        <f>VLOOKUP($H100,'Hoja 2'!E$2:H$5000,4,FALSE)</f>
        <v/>
      </c>
    </row>
    <row r="101" ht="15.75" customHeight="1">
      <c r="B101" s="18" t="s">
        <v>20</v>
      </c>
      <c r="C101" s="18">
        <v>842.0</v>
      </c>
      <c r="D101" s="18" t="s">
        <v>324</v>
      </c>
      <c r="E101" s="20" t="s">
        <v>332</v>
      </c>
      <c r="F101" s="18">
        <v>3.0</v>
      </c>
      <c r="G101" s="18">
        <v>40.0</v>
      </c>
      <c r="H101" s="21" t="s">
        <v>333</v>
      </c>
      <c r="I101" s="22">
        <v>32.0</v>
      </c>
      <c r="J101" s="23" t="s">
        <v>334</v>
      </c>
      <c r="K101" s="24">
        <v>-31.504033</v>
      </c>
      <c r="L101" s="25">
        <v>-68.520838</v>
      </c>
      <c r="N101" s="17" t="str">
        <f>VLOOKUP($H101,'Hoja 2'!A$2:D$5000,2,FALSE)</f>
        <v/>
      </c>
      <c r="O101" s="17" t="str">
        <f>VLOOKUP($H101,'Hoja 2'!A$2:D$5000,3,FALSE)</f>
        <v/>
      </c>
      <c r="P101" s="17" t="str">
        <f>VLOOKUP($H101,'Hoja 2'!A$2:D$5000,4,FALSE)</f>
        <v/>
      </c>
      <c r="Q101" s="26" t="str">
        <f>VLOOKUP($H101,'Hoja 2'!E$2:H$5000,4,FALSE)</f>
        <v/>
      </c>
    </row>
    <row r="102" ht="15.75" customHeight="1">
      <c r="B102" s="18" t="s">
        <v>20</v>
      </c>
      <c r="C102" s="18">
        <v>842.0</v>
      </c>
      <c r="D102" s="18" t="s">
        <v>102</v>
      </c>
      <c r="E102" s="20" t="s">
        <v>335</v>
      </c>
      <c r="F102" s="18">
        <v>3.0</v>
      </c>
      <c r="G102" s="18">
        <v>85.0</v>
      </c>
      <c r="H102" s="21" t="s">
        <v>336</v>
      </c>
      <c r="I102" s="22">
        <v>23.0</v>
      </c>
      <c r="J102" s="23" t="s">
        <v>337</v>
      </c>
      <c r="K102" s="24">
        <v>-31.509763</v>
      </c>
      <c r="L102" s="25">
        <v>-68.531191</v>
      </c>
      <c r="N102" s="17" t="str">
        <f>VLOOKUP($H102,'Hoja 2'!A$2:D$5000,2,FALSE)</f>
        <v/>
      </c>
      <c r="O102" s="17" t="str">
        <f>VLOOKUP($H102,'Hoja 2'!A$2:D$5000,3,FALSE)</f>
        <v/>
      </c>
      <c r="P102" s="17" t="str">
        <f>VLOOKUP($H102,'Hoja 2'!A$2:D$5000,4,FALSE)</f>
        <v/>
      </c>
      <c r="Q102" s="26" t="str">
        <f>VLOOKUP($H102,'Hoja 2'!E$2:H$5000,4,FALSE)</f>
        <v/>
      </c>
    </row>
    <row r="103" ht="15.75" customHeight="1">
      <c r="B103" s="18" t="s">
        <v>20</v>
      </c>
      <c r="C103" s="18">
        <v>842.0</v>
      </c>
      <c r="D103" s="18" t="s">
        <v>102</v>
      </c>
      <c r="E103" s="20" t="s">
        <v>338</v>
      </c>
      <c r="F103" s="18">
        <v>3.0</v>
      </c>
      <c r="G103" s="18">
        <v>87.0</v>
      </c>
      <c r="H103" s="21" t="s">
        <v>339</v>
      </c>
      <c r="I103" s="22">
        <v>19.0</v>
      </c>
      <c r="J103" s="28" t="s">
        <v>340</v>
      </c>
      <c r="K103" s="24">
        <v>-31.508527</v>
      </c>
      <c r="L103" s="25">
        <v>-68.531541</v>
      </c>
      <c r="N103" s="17" t="str">
        <f>VLOOKUP($H103,'Hoja 2'!A$2:D$5000,2,FALSE)</f>
        <v/>
      </c>
      <c r="O103" s="17" t="str">
        <f>VLOOKUP($H103,'Hoja 2'!A$2:D$5000,3,FALSE)</f>
        <v/>
      </c>
      <c r="P103" s="17" t="str">
        <f>VLOOKUP($H103,'Hoja 2'!A$2:D$5000,4,FALSE)</f>
        <v/>
      </c>
      <c r="Q103" s="26" t="str">
        <f>VLOOKUP($H103,'Hoja 2'!E$2:H$5000,4,FALSE)</f>
        <v/>
      </c>
    </row>
    <row r="104" ht="15.75" customHeight="1">
      <c r="B104" s="18" t="s">
        <v>20</v>
      </c>
      <c r="C104" s="18">
        <v>842.0</v>
      </c>
      <c r="D104" s="18" t="s">
        <v>102</v>
      </c>
      <c r="E104" s="20" t="s">
        <v>341</v>
      </c>
      <c r="F104" s="18">
        <v>3.0</v>
      </c>
      <c r="G104" s="18">
        <v>89.0</v>
      </c>
      <c r="H104" s="21" t="s">
        <v>342</v>
      </c>
      <c r="I104" s="22">
        <v>25.0</v>
      </c>
      <c r="J104" s="23" t="s">
        <v>343</v>
      </c>
      <c r="K104" s="24">
        <v>-31.506842</v>
      </c>
      <c r="L104" s="25">
        <v>-68.531989</v>
      </c>
      <c r="N104" s="17" t="str">
        <f>VLOOKUP($H104,'Hoja 2'!A$2:D$5000,2,FALSE)</f>
        <v/>
      </c>
      <c r="O104" s="17" t="str">
        <f>VLOOKUP($H104,'Hoja 2'!A$2:D$5000,3,FALSE)</f>
        <v/>
      </c>
      <c r="P104" s="17" t="str">
        <f>VLOOKUP($H104,'Hoja 2'!A$2:D$5000,4,FALSE)</f>
        <v/>
      </c>
      <c r="Q104" s="26" t="str">
        <f>VLOOKUP($H104,'Hoja 2'!E$2:H$5000,4,FALSE)</f>
        <v/>
      </c>
    </row>
    <row r="105" ht="15.75" customHeight="1">
      <c r="B105" s="18" t="s">
        <v>20</v>
      </c>
      <c r="C105" s="18">
        <v>842.0</v>
      </c>
      <c r="D105" s="18" t="s">
        <v>102</v>
      </c>
      <c r="E105" s="20" t="s">
        <v>344</v>
      </c>
      <c r="F105" s="18">
        <v>3.0</v>
      </c>
      <c r="G105" s="18">
        <v>91.0</v>
      </c>
      <c r="H105" s="21" t="s">
        <v>345</v>
      </c>
      <c r="I105" s="22">
        <v>26.0</v>
      </c>
      <c r="J105" s="23" t="s">
        <v>346</v>
      </c>
      <c r="K105" s="24">
        <v>-31.504664</v>
      </c>
      <c r="L105" s="25">
        <v>-68.532223</v>
      </c>
      <c r="N105" s="17" t="str">
        <f>VLOOKUP($H105,'Hoja 2'!A$2:D$5000,2,FALSE)</f>
        <v/>
      </c>
      <c r="O105" s="17" t="str">
        <f>VLOOKUP($H105,'Hoja 2'!A$2:D$5000,3,FALSE)</f>
        <v/>
      </c>
      <c r="P105" s="17" t="str">
        <f>VLOOKUP($H105,'Hoja 2'!A$2:D$5000,4,FALSE)</f>
        <v/>
      </c>
      <c r="Q105" s="26" t="str">
        <f>VLOOKUP($H105,'Hoja 2'!E$2:H$5000,4,FALSE)</f>
        <v/>
      </c>
    </row>
    <row r="106" ht="15.75" customHeight="1">
      <c r="B106" s="18" t="s">
        <v>20</v>
      </c>
      <c r="C106" s="18">
        <v>842.0</v>
      </c>
      <c r="D106" s="18" t="s">
        <v>102</v>
      </c>
      <c r="E106" s="20" t="s">
        <v>347</v>
      </c>
      <c r="F106" s="18">
        <v>3.0</v>
      </c>
      <c r="G106" s="18">
        <v>93.0</v>
      </c>
      <c r="H106" s="21" t="s">
        <v>348</v>
      </c>
      <c r="I106" s="22">
        <v>33.0</v>
      </c>
      <c r="J106" s="23" t="s">
        <v>349</v>
      </c>
      <c r="K106" s="24">
        <v>-31.502202</v>
      </c>
      <c r="L106" s="25">
        <v>-68.53213</v>
      </c>
      <c r="N106" s="17" t="str">
        <f>VLOOKUP($H106,'Hoja 2'!A$2:D$5000,2,FALSE)</f>
        <v/>
      </c>
      <c r="O106" s="17" t="str">
        <f>VLOOKUP($H106,'Hoja 2'!A$2:D$5000,3,FALSE)</f>
        <v/>
      </c>
      <c r="P106" s="17" t="str">
        <f>VLOOKUP($H106,'Hoja 2'!A$2:D$5000,4,FALSE)</f>
        <v/>
      </c>
      <c r="Q106" s="26" t="str">
        <f>VLOOKUP($H106,'Hoja 2'!E$2:H$5000,4,FALSE)</f>
        <v/>
      </c>
    </row>
    <row r="107" ht="15.75" customHeight="1">
      <c r="B107" s="18" t="s">
        <v>20</v>
      </c>
      <c r="C107" s="18">
        <v>842.0</v>
      </c>
      <c r="D107" s="18" t="s">
        <v>102</v>
      </c>
      <c r="E107" s="20" t="s">
        <v>350</v>
      </c>
      <c r="F107" s="18">
        <v>3.0</v>
      </c>
      <c r="G107" s="18">
        <v>95.0</v>
      </c>
      <c r="H107" s="21" t="s">
        <v>351</v>
      </c>
      <c r="I107" s="22">
        <v>27.0</v>
      </c>
      <c r="J107" s="23" t="s">
        <v>352</v>
      </c>
      <c r="K107" s="24">
        <v>-31.499359</v>
      </c>
      <c r="L107" s="25">
        <v>-68.532027</v>
      </c>
      <c r="N107" s="17" t="str">
        <f>VLOOKUP($H107,'Hoja 2'!A$2:D$5000,2,FALSE)</f>
        <v/>
      </c>
      <c r="O107" s="17" t="str">
        <f>VLOOKUP($H107,'Hoja 2'!A$2:D$5000,3,FALSE)</f>
        <v/>
      </c>
      <c r="P107" s="17" t="str">
        <f>VLOOKUP($H107,'Hoja 2'!A$2:D$5000,4,FALSE)</f>
        <v/>
      </c>
      <c r="Q107" s="26" t="str">
        <f>VLOOKUP($H107,'Hoja 2'!E$2:H$5000,4,FALSE)</f>
        <v/>
      </c>
    </row>
    <row r="108" ht="15.75" customHeight="1">
      <c r="B108" s="18" t="s">
        <v>20</v>
      </c>
      <c r="C108" s="18">
        <v>842.0</v>
      </c>
      <c r="D108" s="18" t="s">
        <v>102</v>
      </c>
      <c r="E108" s="20" t="s">
        <v>353</v>
      </c>
      <c r="F108" s="18">
        <v>3.0</v>
      </c>
      <c r="G108" s="18">
        <v>97.0</v>
      </c>
      <c r="H108" s="21" t="s">
        <v>354</v>
      </c>
      <c r="I108" s="22">
        <v>19.0</v>
      </c>
      <c r="J108" s="23" t="s">
        <v>355</v>
      </c>
      <c r="K108" s="24">
        <v>-31.496887</v>
      </c>
      <c r="L108" s="25">
        <v>-68.532124</v>
      </c>
      <c r="N108" s="17" t="str">
        <f>VLOOKUP($H108,'Hoja 2'!A$2:D$5000,2,FALSE)</f>
        <v/>
      </c>
      <c r="O108" s="17" t="str">
        <f>VLOOKUP($H108,'Hoja 2'!A$2:D$5000,3,FALSE)</f>
        <v/>
      </c>
      <c r="P108" s="17" t="str">
        <f>VLOOKUP($H108,'Hoja 2'!A$2:D$5000,4,FALSE)</f>
        <v/>
      </c>
      <c r="Q108" s="26" t="str">
        <f>VLOOKUP($H108,'Hoja 2'!E$2:H$5000,4,FALSE)</f>
        <v/>
      </c>
    </row>
    <row r="109" ht="15.75" customHeight="1">
      <c r="B109" s="18" t="s">
        <v>20</v>
      </c>
      <c r="C109" s="18">
        <v>842.0</v>
      </c>
      <c r="D109" s="18" t="s">
        <v>102</v>
      </c>
      <c r="E109" s="20" t="s">
        <v>356</v>
      </c>
      <c r="F109" s="18">
        <v>3.0</v>
      </c>
      <c r="G109" s="18">
        <v>98.0</v>
      </c>
      <c r="H109" s="21" t="s">
        <v>357</v>
      </c>
      <c r="I109" s="22">
        <v>22.0</v>
      </c>
      <c r="J109" s="23" t="s">
        <v>358</v>
      </c>
      <c r="K109" s="24">
        <v>-31.496909</v>
      </c>
      <c r="L109" s="25">
        <v>-68.531999</v>
      </c>
      <c r="N109" s="17" t="str">
        <f>VLOOKUP($H109,'Hoja 2'!A$2:D$5000,2,FALSE)</f>
        <v/>
      </c>
      <c r="O109" s="17" t="str">
        <f>VLOOKUP($H109,'Hoja 2'!A$2:D$5000,3,FALSE)</f>
        <v/>
      </c>
      <c r="P109" s="17" t="str">
        <f>VLOOKUP($H109,'Hoja 2'!A$2:D$5000,4,FALSE)</f>
        <v/>
      </c>
      <c r="Q109" s="26" t="str">
        <f>VLOOKUP($H109,'Hoja 2'!E$2:H$5000,4,FALSE)</f>
        <v/>
      </c>
    </row>
    <row r="110" ht="15.75" customHeight="1">
      <c r="B110" s="18" t="s">
        <v>20</v>
      </c>
      <c r="C110" s="18">
        <v>844.0</v>
      </c>
      <c r="D110" s="18" t="s">
        <v>153</v>
      </c>
      <c r="E110" s="20" t="s">
        <v>359</v>
      </c>
      <c r="F110" s="18">
        <v>3.0</v>
      </c>
      <c r="G110" s="18">
        <v>32.0</v>
      </c>
      <c r="H110" s="21" t="s">
        <v>360</v>
      </c>
      <c r="I110" s="22">
        <v>24.0</v>
      </c>
      <c r="J110" s="28" t="s">
        <v>46</v>
      </c>
      <c r="K110" s="24">
        <v>-31.508439</v>
      </c>
      <c r="L110" s="25">
        <v>-68.521966</v>
      </c>
      <c r="N110" s="17" t="str">
        <f>VLOOKUP($H110,'Hoja 2'!A$2:D$5000,2,FALSE)</f>
        <v/>
      </c>
      <c r="O110" s="17" t="str">
        <f>VLOOKUP($H110,'Hoja 2'!A$2:D$5000,3,FALSE)</f>
        <v/>
      </c>
      <c r="P110" s="17" t="str">
        <f>VLOOKUP($H110,'Hoja 2'!A$2:D$5000,4,FALSE)</f>
        <v/>
      </c>
      <c r="Q110" s="26" t="str">
        <f>VLOOKUP($H110,'Hoja 2'!E$2:H$5000,4,FALSE)</f>
        <v/>
      </c>
    </row>
    <row r="111" ht="15.75" customHeight="1">
      <c r="B111" s="18" t="s">
        <v>20</v>
      </c>
      <c r="C111" s="18">
        <v>844.0</v>
      </c>
      <c r="D111" s="18" t="s">
        <v>153</v>
      </c>
      <c r="E111" s="20" t="s">
        <v>361</v>
      </c>
      <c r="F111" s="18">
        <v>3.0</v>
      </c>
      <c r="G111" s="18">
        <v>33.0</v>
      </c>
      <c r="H111" s="21" t="s">
        <v>362</v>
      </c>
      <c r="I111" s="22">
        <v>17.0</v>
      </c>
      <c r="J111" s="23" t="s">
        <v>49</v>
      </c>
      <c r="K111" s="24">
        <v>-31.507971</v>
      </c>
      <c r="L111" s="25">
        <v>-68.521942</v>
      </c>
      <c r="N111" s="17" t="str">
        <f>VLOOKUP($H111,'Hoja 2'!A$2:D$5000,2,FALSE)</f>
        <v/>
      </c>
      <c r="O111" s="17" t="str">
        <f>VLOOKUP($H111,'Hoja 2'!A$2:D$5000,3,FALSE)</f>
        <v/>
      </c>
      <c r="P111" s="17" t="str">
        <f>VLOOKUP($H111,'Hoja 2'!A$2:D$5000,4,FALSE)</f>
        <v/>
      </c>
      <c r="Q111" s="26" t="str">
        <f>VLOOKUP($H111,'Hoja 2'!E$2:H$5000,4,FALSE)</f>
        <v/>
      </c>
    </row>
    <row r="112" ht="15.75" customHeight="1">
      <c r="B112" s="18" t="s">
        <v>20</v>
      </c>
      <c r="C112" s="18">
        <v>844.0</v>
      </c>
      <c r="D112" s="18" t="s">
        <v>153</v>
      </c>
      <c r="E112" s="20" t="s">
        <v>363</v>
      </c>
      <c r="F112" s="18">
        <v>3.0</v>
      </c>
      <c r="G112" s="18">
        <v>34.0</v>
      </c>
      <c r="H112" s="21" t="s">
        <v>364</v>
      </c>
      <c r="I112" s="22">
        <v>19.0</v>
      </c>
      <c r="J112" s="23" t="s">
        <v>53</v>
      </c>
      <c r="K112" s="24">
        <v>-31.506207</v>
      </c>
      <c r="L112" s="25">
        <v>-68.522438</v>
      </c>
      <c r="N112" s="17" t="str">
        <f>VLOOKUP($H112,'Hoja 2'!A$2:D$5000,2,FALSE)</f>
        <v/>
      </c>
      <c r="O112" s="17" t="str">
        <f>VLOOKUP($H112,'Hoja 2'!A$2:D$5000,3,FALSE)</f>
        <v/>
      </c>
      <c r="P112" s="17" t="str">
        <f>VLOOKUP($H112,'Hoja 2'!A$2:D$5000,4,FALSE)</f>
        <v/>
      </c>
      <c r="Q112" s="26" t="str">
        <f>VLOOKUP($H112,'Hoja 2'!E$2:H$5000,4,FALSE)</f>
        <v/>
      </c>
    </row>
    <row r="113" ht="15.75" customHeight="1">
      <c r="B113" s="18" t="s">
        <v>20</v>
      </c>
      <c r="C113" s="18">
        <v>844.0</v>
      </c>
      <c r="D113" s="18" t="s">
        <v>365</v>
      </c>
      <c r="E113" s="20" t="s">
        <v>366</v>
      </c>
      <c r="F113" s="18">
        <v>3.0</v>
      </c>
      <c r="G113" s="18">
        <v>35.0</v>
      </c>
      <c r="H113" s="21" t="s">
        <v>367</v>
      </c>
      <c r="I113" s="22">
        <v>27.0</v>
      </c>
      <c r="J113" s="23" t="s">
        <v>56</v>
      </c>
      <c r="K113" s="24">
        <v>-31.505989</v>
      </c>
      <c r="L113" s="25">
        <v>-68.522346</v>
      </c>
      <c r="N113" s="17" t="str">
        <f>VLOOKUP($H113,'Hoja 2'!A$2:D$5000,2,FALSE)</f>
        <v/>
      </c>
      <c r="O113" s="17" t="str">
        <f>VLOOKUP($H113,'Hoja 2'!A$2:D$5000,3,FALSE)</f>
        <v/>
      </c>
      <c r="P113" s="17" t="str">
        <f>VLOOKUP($H113,'Hoja 2'!A$2:D$5000,4,FALSE)</f>
        <v/>
      </c>
      <c r="Q113" s="26" t="str">
        <f>VLOOKUP($H113,'Hoja 2'!E$2:H$5000,4,FALSE)</f>
        <v/>
      </c>
    </row>
    <row r="114" ht="15.75" customHeight="1">
      <c r="B114" s="18" t="s">
        <v>20</v>
      </c>
      <c r="C114" s="18">
        <v>844.0</v>
      </c>
      <c r="D114" s="18" t="s">
        <v>365</v>
      </c>
      <c r="E114" s="20" t="s">
        <v>368</v>
      </c>
      <c r="F114" s="18">
        <v>3.0</v>
      </c>
      <c r="G114" s="18">
        <v>36.0</v>
      </c>
      <c r="H114" s="21" t="s">
        <v>369</v>
      </c>
      <c r="I114" s="22">
        <v>16.0</v>
      </c>
      <c r="J114" s="23" t="s">
        <v>60</v>
      </c>
      <c r="K114" s="24">
        <v>-31.505651</v>
      </c>
      <c r="L114" s="25">
        <v>-68.520742</v>
      </c>
      <c r="N114" s="17" t="str">
        <f>VLOOKUP($H114,'Hoja 2'!A$2:D$5000,2,FALSE)</f>
        <v/>
      </c>
      <c r="O114" s="17" t="str">
        <f>VLOOKUP($H114,'Hoja 2'!A$2:D$5000,3,FALSE)</f>
        <v/>
      </c>
      <c r="P114" s="17" t="str">
        <f>VLOOKUP($H114,'Hoja 2'!A$2:D$5000,4,FALSE)</f>
        <v/>
      </c>
      <c r="Q114" s="26" t="str">
        <f>VLOOKUP($H114,'Hoja 2'!E$2:H$5000,4,FALSE)</f>
        <v/>
      </c>
    </row>
    <row r="115" ht="15.75" customHeight="1">
      <c r="B115" s="18" t="s">
        <v>20</v>
      </c>
      <c r="C115" s="18">
        <v>844.0</v>
      </c>
      <c r="D115" s="18" t="s">
        <v>370</v>
      </c>
      <c r="E115" s="20" t="s">
        <v>371</v>
      </c>
      <c r="F115" s="18">
        <v>3.0</v>
      </c>
      <c r="G115" s="18">
        <v>37.0</v>
      </c>
      <c r="H115" s="21" t="s">
        <v>372</v>
      </c>
      <c r="I115" s="22">
        <v>18.0</v>
      </c>
      <c r="J115" s="23" t="s">
        <v>373</v>
      </c>
      <c r="K115" s="24">
        <v>-31.505501</v>
      </c>
      <c r="L115" s="25">
        <v>-68.52071</v>
      </c>
      <c r="N115" s="17" t="str">
        <f>VLOOKUP($H115,'Hoja 2'!A$2:D$5000,2,FALSE)</f>
        <v/>
      </c>
      <c r="O115" s="17" t="str">
        <f>VLOOKUP($H115,'Hoja 2'!A$2:D$5000,3,FALSE)</f>
        <v/>
      </c>
      <c r="P115" s="17" t="str">
        <f>VLOOKUP($H115,'Hoja 2'!A$2:D$5000,4,FALSE)</f>
        <v/>
      </c>
      <c r="Q115" s="26" t="str">
        <f>VLOOKUP($H115,'Hoja 2'!E$2:H$5000,4,FALSE)</f>
        <v/>
      </c>
    </row>
    <row r="116" ht="15.75" customHeight="1">
      <c r="B116" s="18" t="s">
        <v>20</v>
      </c>
      <c r="C116" s="18">
        <v>844.0</v>
      </c>
      <c r="D116" s="18" t="s">
        <v>370</v>
      </c>
      <c r="E116" s="20" t="s">
        <v>374</v>
      </c>
      <c r="F116" s="18">
        <v>3.0</v>
      </c>
      <c r="G116" s="18">
        <v>39.0</v>
      </c>
      <c r="H116" s="21" t="s">
        <v>375</v>
      </c>
      <c r="I116" s="22">
        <v>19.0</v>
      </c>
      <c r="J116" s="23" t="s">
        <v>331</v>
      </c>
      <c r="K116" s="24">
        <v>-31.504138</v>
      </c>
      <c r="L116" s="25">
        <v>-68.51815</v>
      </c>
      <c r="N116" s="17" t="str">
        <f>VLOOKUP($H116,'Hoja 2'!A$2:D$5000,2,FALSE)</f>
        <v/>
      </c>
      <c r="O116" s="17" t="str">
        <f>VLOOKUP($H116,'Hoja 2'!A$2:D$5000,3,FALSE)</f>
        <v/>
      </c>
      <c r="P116" s="17" t="str">
        <f>VLOOKUP($H116,'Hoja 2'!A$2:D$5000,4,FALSE)</f>
        <v/>
      </c>
      <c r="Q116" s="26" t="str">
        <f>VLOOKUP($H116,'Hoja 2'!E$2:H$5000,4,FALSE)</f>
        <v/>
      </c>
    </row>
    <row r="117" ht="15.75" customHeight="1">
      <c r="B117" s="18" t="s">
        <v>20</v>
      </c>
      <c r="C117" s="18">
        <v>844.0</v>
      </c>
      <c r="D117" s="18" t="s">
        <v>370</v>
      </c>
      <c r="E117" s="20" t="s">
        <v>376</v>
      </c>
      <c r="F117" s="18">
        <v>3.0</v>
      </c>
      <c r="G117" s="18">
        <v>40.0</v>
      </c>
      <c r="H117" s="21" t="s">
        <v>377</v>
      </c>
      <c r="I117" s="22">
        <v>17.0</v>
      </c>
      <c r="J117" s="23" t="s">
        <v>334</v>
      </c>
      <c r="K117" s="24">
        <v>-31.504033</v>
      </c>
      <c r="L117" s="25">
        <v>-68.520838</v>
      </c>
      <c r="N117" s="17" t="str">
        <f>VLOOKUP($H117,'Hoja 2'!A$2:D$5000,2,FALSE)</f>
        <v/>
      </c>
      <c r="O117" s="17" t="str">
        <f>VLOOKUP($H117,'Hoja 2'!A$2:D$5000,3,FALSE)</f>
        <v/>
      </c>
      <c r="P117" s="17" t="str">
        <f>VLOOKUP($H117,'Hoja 2'!A$2:D$5000,4,FALSE)</f>
        <v/>
      </c>
      <c r="Q117" s="26" t="str">
        <f>VLOOKUP($H117,'Hoja 2'!E$2:H$5000,4,FALSE)</f>
        <v/>
      </c>
    </row>
    <row r="118" ht="15.75" customHeight="1">
      <c r="B118" s="18" t="s">
        <v>20</v>
      </c>
      <c r="C118" s="18">
        <v>844.0</v>
      </c>
      <c r="D118" s="18" t="s">
        <v>370</v>
      </c>
      <c r="E118" s="20" t="s">
        <v>378</v>
      </c>
      <c r="F118" s="18">
        <v>3.0</v>
      </c>
      <c r="G118" s="18">
        <v>41.0</v>
      </c>
      <c r="H118" s="21" t="s">
        <v>379</v>
      </c>
      <c r="I118" s="22">
        <v>16.0</v>
      </c>
      <c r="J118" s="28" t="s">
        <v>380</v>
      </c>
      <c r="K118" s="24">
        <v>-31.502842</v>
      </c>
      <c r="L118" s="25">
        <v>-68.520941</v>
      </c>
      <c r="N118" s="17" t="str">
        <f>VLOOKUP($H118,'Hoja 2'!A$2:D$5000,2,FALSE)</f>
        <v/>
      </c>
      <c r="O118" s="17" t="str">
        <f>VLOOKUP($H118,'Hoja 2'!A$2:D$5000,3,FALSE)</f>
        <v/>
      </c>
      <c r="P118" s="17" t="str">
        <f>VLOOKUP($H118,'Hoja 2'!A$2:D$5000,4,FALSE)</f>
        <v/>
      </c>
      <c r="Q118" s="26" t="str">
        <f>VLOOKUP($H118,'Hoja 2'!E$2:H$5000,4,FALSE)</f>
        <v/>
      </c>
    </row>
    <row r="119" ht="15.75" customHeight="1">
      <c r="B119" s="18" t="s">
        <v>20</v>
      </c>
      <c r="C119" s="18">
        <v>844.0</v>
      </c>
      <c r="D119" s="29" t="s">
        <v>381</v>
      </c>
      <c r="E119" s="20" t="s">
        <v>382</v>
      </c>
      <c r="F119" s="18">
        <v>3.0</v>
      </c>
      <c r="G119" s="18">
        <v>42.0</v>
      </c>
      <c r="H119" s="21" t="s">
        <v>383</v>
      </c>
      <c r="I119" s="22">
        <v>16.0</v>
      </c>
      <c r="J119" s="23" t="s">
        <v>384</v>
      </c>
      <c r="K119" s="24">
        <v>-31.502825</v>
      </c>
      <c r="L119" s="25">
        <v>-68.521167</v>
      </c>
      <c r="N119" s="17" t="str">
        <f>VLOOKUP($H119,'Hoja 2'!A$2:D$5000,2,FALSE)</f>
        <v/>
      </c>
      <c r="O119" s="17" t="str">
        <f>VLOOKUP($H119,'Hoja 2'!A$2:D$5000,3,FALSE)</f>
        <v/>
      </c>
      <c r="P119" s="17" t="str">
        <f>VLOOKUP($H119,'Hoja 2'!A$2:D$5000,4,FALSE)</f>
        <v/>
      </c>
      <c r="Q119" s="26" t="str">
        <f>VLOOKUP($H119,'Hoja 2'!E$2:H$5000,4,FALSE)</f>
        <v/>
      </c>
    </row>
    <row r="120" ht="15.75" customHeight="1">
      <c r="B120" s="18" t="s">
        <v>20</v>
      </c>
      <c r="C120" s="18">
        <v>844.0</v>
      </c>
      <c r="D120" s="29" t="s">
        <v>381</v>
      </c>
      <c r="E120" s="20" t="s">
        <v>385</v>
      </c>
      <c r="F120" s="18">
        <v>3.0</v>
      </c>
      <c r="G120" s="18">
        <v>43.0</v>
      </c>
      <c r="H120" s="21" t="s">
        <v>386</v>
      </c>
      <c r="I120" s="22">
        <v>17.0</v>
      </c>
      <c r="J120" s="28" t="s">
        <v>387</v>
      </c>
      <c r="K120" s="24">
        <v>-31.503057</v>
      </c>
      <c r="L120" s="25">
        <v>-68.522807</v>
      </c>
      <c r="N120" s="17" t="str">
        <f>VLOOKUP($H120,'Hoja 2'!A$2:D$5000,2,FALSE)</f>
        <v/>
      </c>
      <c r="O120" s="17" t="str">
        <f>VLOOKUP($H120,'Hoja 2'!A$2:D$5000,3,FALSE)</f>
        <v/>
      </c>
      <c r="P120" s="17" t="str">
        <f>VLOOKUP($H120,'Hoja 2'!A$2:D$5000,4,FALSE)</f>
        <v/>
      </c>
      <c r="Q120" s="26" t="str">
        <f>VLOOKUP($H120,'Hoja 2'!E$2:H$5000,4,FALSE)</f>
        <v/>
      </c>
    </row>
    <row r="121" ht="15.75" customHeight="1">
      <c r="B121" s="18" t="s">
        <v>20</v>
      </c>
      <c r="C121" s="18">
        <v>844.0</v>
      </c>
      <c r="D121" s="18" t="s">
        <v>388</v>
      </c>
      <c r="E121" s="20" t="s">
        <v>389</v>
      </c>
      <c r="F121" s="18">
        <v>3.0</v>
      </c>
      <c r="G121" s="18">
        <v>44.0</v>
      </c>
      <c r="H121" s="21" t="s">
        <v>390</v>
      </c>
      <c r="I121" s="22">
        <v>30.0</v>
      </c>
      <c r="J121" s="23" t="s">
        <v>391</v>
      </c>
      <c r="K121" s="24">
        <v>-31.5034</v>
      </c>
      <c r="L121" s="25">
        <v>-68.524541</v>
      </c>
      <c r="N121" s="17" t="str">
        <f>VLOOKUP($H121,'Hoja 2'!A$2:D$5000,2,FALSE)</f>
        <v/>
      </c>
      <c r="O121" s="17" t="str">
        <f>VLOOKUP($H121,'Hoja 2'!A$2:D$5000,3,FALSE)</f>
        <v/>
      </c>
      <c r="P121" s="17" t="str">
        <f>VLOOKUP($H121,'Hoja 2'!A$2:D$5000,4,FALSE)</f>
        <v/>
      </c>
      <c r="Q121" s="26" t="str">
        <f>VLOOKUP($H121,'Hoja 2'!E$2:H$5000,4,FALSE)</f>
        <v/>
      </c>
    </row>
    <row r="122" ht="15.75" customHeight="1">
      <c r="B122" s="31" t="s">
        <v>20</v>
      </c>
      <c r="C122" s="31">
        <v>844.0</v>
      </c>
      <c r="D122" s="31" t="s">
        <v>392</v>
      </c>
      <c r="E122" s="32" t="s">
        <v>393</v>
      </c>
      <c r="F122" s="31">
        <v>3.0</v>
      </c>
      <c r="G122" s="31">
        <v>45.0</v>
      </c>
      <c r="H122" s="21" t="s">
        <v>394</v>
      </c>
      <c r="I122" s="22">
        <v>19.0</v>
      </c>
      <c r="J122" s="28" t="s">
        <v>395</v>
      </c>
      <c r="K122" s="24">
        <v>-31.501205</v>
      </c>
      <c r="L122" s="25">
        <v>-68.52268</v>
      </c>
      <c r="N122" s="17" t="str">
        <f>VLOOKUP($H122,'Hoja 2'!A$2:D$5000,2,FALSE)</f>
        <v/>
      </c>
      <c r="O122" s="17" t="str">
        <f>VLOOKUP($H122,'Hoja 2'!A$2:D$5000,3,FALSE)</f>
        <v/>
      </c>
      <c r="P122" s="17" t="str">
        <f>VLOOKUP($H122,'Hoja 2'!A$2:D$5000,4,FALSE)</f>
        <v/>
      </c>
      <c r="Q122" s="26" t="str">
        <f>VLOOKUP($H122,'Hoja 2'!E$2:H$5000,4,FALSE)</f>
        <v/>
      </c>
    </row>
    <row r="123" ht="15.75" customHeight="1">
      <c r="B123" s="31" t="s">
        <v>20</v>
      </c>
      <c r="C123" s="31">
        <v>844.0</v>
      </c>
      <c r="D123" s="31" t="s">
        <v>388</v>
      </c>
      <c r="E123" s="32" t="s">
        <v>396</v>
      </c>
      <c r="F123" s="31">
        <v>3.0</v>
      </c>
      <c r="G123" s="31">
        <v>46.0</v>
      </c>
      <c r="H123" s="21" t="s">
        <v>397</v>
      </c>
      <c r="I123" s="22">
        <v>18.0</v>
      </c>
      <c r="J123" s="28" t="s">
        <v>398</v>
      </c>
      <c r="K123" s="24">
        <v>-31.500944</v>
      </c>
      <c r="L123" s="25">
        <v>-68.524484</v>
      </c>
      <c r="N123" s="17" t="str">
        <f>VLOOKUP($H123,'Hoja 2'!A$2:D$5000,2,FALSE)</f>
        <v/>
      </c>
      <c r="O123" s="17" t="str">
        <f>VLOOKUP($H123,'Hoja 2'!A$2:D$5000,3,FALSE)</f>
        <v/>
      </c>
      <c r="P123" s="17" t="str">
        <f>VLOOKUP($H123,'Hoja 2'!A$2:D$5000,4,FALSE)</f>
        <v/>
      </c>
      <c r="Q123" s="26" t="str">
        <f>VLOOKUP($H123,'Hoja 2'!E$2:H$5000,4,FALSE)</f>
        <v/>
      </c>
    </row>
    <row r="124" ht="15.75" customHeight="1">
      <c r="B124" s="31" t="s">
        <v>20</v>
      </c>
      <c r="C124" s="31">
        <v>844.0</v>
      </c>
      <c r="D124" s="31" t="s">
        <v>388</v>
      </c>
      <c r="E124" s="32" t="s">
        <v>399</v>
      </c>
      <c r="F124" s="31">
        <v>3.0</v>
      </c>
      <c r="G124" s="31" t="s">
        <v>400</v>
      </c>
      <c r="H124" s="21" t="s">
        <v>401</v>
      </c>
      <c r="I124" s="22">
        <v>27.0</v>
      </c>
      <c r="J124" s="28" t="s">
        <v>402</v>
      </c>
      <c r="K124" s="24">
        <v>-31.50241</v>
      </c>
      <c r="L124" s="25">
        <v>-68.52473</v>
      </c>
      <c r="N124" s="17" t="str">
        <f>VLOOKUP($H124,'Hoja 2'!A$2:D$5000,2,FALSE)</f>
        <v/>
      </c>
      <c r="O124" s="17" t="str">
        <f>VLOOKUP($H124,'Hoja 2'!A$2:D$5000,3,FALSE)</f>
        <v/>
      </c>
      <c r="P124" s="17" t="str">
        <f>VLOOKUP($H124,'Hoja 2'!A$2:D$5000,4,FALSE)</f>
        <v/>
      </c>
      <c r="Q124" s="26" t="str">
        <f>VLOOKUP($H124,'Hoja 2'!E$2:H$5000,4,FALSE)</f>
        <v/>
      </c>
    </row>
    <row r="125" ht="15.75" customHeight="1">
      <c r="B125" s="31" t="s">
        <v>20</v>
      </c>
      <c r="C125" s="31">
        <v>844.0</v>
      </c>
      <c r="D125" s="31" t="s">
        <v>403</v>
      </c>
      <c r="E125" s="32" t="s">
        <v>404</v>
      </c>
      <c r="F125" s="31">
        <v>3.0</v>
      </c>
      <c r="G125" s="31">
        <v>47.0</v>
      </c>
      <c r="H125" s="21" t="s">
        <v>405</v>
      </c>
      <c r="I125" s="22">
        <v>22.0</v>
      </c>
      <c r="J125" s="28" t="s">
        <v>406</v>
      </c>
      <c r="K125" s="24">
        <v>-31.499671</v>
      </c>
      <c r="L125" s="25">
        <v>-68.523054</v>
      </c>
      <c r="N125" s="17" t="str">
        <f>VLOOKUP($H125,'Hoja 2'!A$2:D$5000,2,FALSE)</f>
        <v/>
      </c>
      <c r="O125" s="17" t="str">
        <f>VLOOKUP($H125,'Hoja 2'!A$2:D$5000,3,FALSE)</f>
        <v/>
      </c>
      <c r="P125" s="17" t="str">
        <f>VLOOKUP($H125,'Hoja 2'!A$2:D$5000,4,FALSE)</f>
        <v/>
      </c>
      <c r="Q125" s="26" t="str">
        <f>VLOOKUP($H125,'Hoja 2'!E$2:H$5000,4,FALSE)</f>
        <v/>
      </c>
    </row>
    <row r="126" ht="15.75" customHeight="1">
      <c r="B126" s="31" t="s">
        <v>20</v>
      </c>
      <c r="C126" s="31">
        <v>844.0</v>
      </c>
      <c r="D126" s="31" t="s">
        <v>153</v>
      </c>
      <c r="E126" s="32" t="s">
        <v>407</v>
      </c>
      <c r="F126" s="31">
        <v>3.0</v>
      </c>
      <c r="G126" s="31">
        <v>48.0</v>
      </c>
      <c r="H126" s="21" t="s">
        <v>408</v>
      </c>
      <c r="I126" s="22">
        <v>22.0</v>
      </c>
      <c r="J126" s="28" t="s">
        <v>409</v>
      </c>
      <c r="K126" s="24">
        <v>-31.499625</v>
      </c>
      <c r="L126" s="25">
        <v>-68.523299</v>
      </c>
      <c r="N126" s="17" t="str">
        <f>VLOOKUP($H126,'Hoja 2'!A$2:D$5000,2,FALSE)</f>
        <v/>
      </c>
      <c r="O126" s="17" t="str">
        <f>VLOOKUP($H126,'Hoja 2'!A$2:D$5000,3,FALSE)</f>
        <v/>
      </c>
      <c r="P126" s="17" t="str">
        <f>VLOOKUP($H126,'Hoja 2'!A$2:D$5000,4,FALSE)</f>
        <v/>
      </c>
      <c r="Q126" s="26" t="str">
        <f>VLOOKUP($H126,'Hoja 2'!E$2:H$5000,4,FALSE)</f>
        <v/>
      </c>
    </row>
    <row r="127" ht="15.75" customHeight="1">
      <c r="B127" s="31" t="s">
        <v>20</v>
      </c>
      <c r="C127" s="31">
        <v>844.0</v>
      </c>
      <c r="D127" s="31" t="s">
        <v>153</v>
      </c>
      <c r="E127" s="32" t="s">
        <v>410</v>
      </c>
      <c r="F127" s="31">
        <v>3.0</v>
      </c>
      <c r="G127" s="31">
        <v>49.0</v>
      </c>
      <c r="H127" s="21" t="s">
        <v>411</v>
      </c>
      <c r="I127" s="22">
        <v>14.0</v>
      </c>
      <c r="J127" s="28" t="s">
        <v>412</v>
      </c>
      <c r="K127" s="24">
        <v>-31.497521</v>
      </c>
      <c r="L127" s="25">
        <v>-68.520874</v>
      </c>
      <c r="N127" s="17" t="str">
        <f>VLOOKUP($H127,'Hoja 2'!A$2:D$5000,2,FALSE)</f>
        <v/>
      </c>
      <c r="O127" s="17" t="str">
        <f>VLOOKUP($H127,'Hoja 2'!A$2:D$5000,3,FALSE)</f>
        <v/>
      </c>
      <c r="P127" s="17" t="str">
        <f>VLOOKUP($H127,'Hoja 2'!A$2:D$5000,4,FALSE)</f>
        <v/>
      </c>
      <c r="Q127" s="26" t="str">
        <f>VLOOKUP($H127,'Hoja 2'!E$2:H$5000,4,FALSE)</f>
        <v/>
      </c>
    </row>
    <row r="128" ht="15.75" customHeight="1">
      <c r="B128" s="31" t="s">
        <v>20</v>
      </c>
      <c r="C128" s="31">
        <v>844.0</v>
      </c>
      <c r="D128" s="31" t="s">
        <v>106</v>
      </c>
      <c r="E128" s="32" t="s">
        <v>413</v>
      </c>
      <c r="F128" s="31">
        <v>3.0</v>
      </c>
      <c r="G128" s="31">
        <v>51.0</v>
      </c>
      <c r="H128" s="21" t="s">
        <v>414</v>
      </c>
      <c r="I128" s="22">
        <v>17.0</v>
      </c>
      <c r="J128" s="28" t="s">
        <v>415</v>
      </c>
      <c r="K128" s="24">
        <v>-31.49752</v>
      </c>
      <c r="L128" s="25">
        <v>-68.520677</v>
      </c>
      <c r="N128" s="17" t="str">
        <f>VLOOKUP($H128,'Hoja 2'!A$2:D$5000,2,FALSE)</f>
        <v/>
      </c>
      <c r="O128" s="17" t="str">
        <f>VLOOKUP($H128,'Hoja 2'!A$2:D$5000,3,FALSE)</f>
        <v/>
      </c>
      <c r="P128" s="17" t="str">
        <f>VLOOKUP($H128,'Hoja 2'!A$2:D$5000,4,FALSE)</f>
        <v/>
      </c>
      <c r="Q128" s="26" t="str">
        <f>VLOOKUP($H128,'Hoja 2'!E$2:H$5000,4,FALSE)</f>
        <v/>
      </c>
    </row>
    <row r="129" ht="15.75" customHeight="1">
      <c r="B129" s="31" t="s">
        <v>20</v>
      </c>
      <c r="C129" s="31">
        <v>844.0</v>
      </c>
      <c r="D129" s="31" t="s">
        <v>106</v>
      </c>
      <c r="E129" s="32" t="s">
        <v>416</v>
      </c>
      <c r="F129" s="31">
        <v>3.0</v>
      </c>
      <c r="G129" s="31" t="s">
        <v>417</v>
      </c>
      <c r="H129" s="21" t="s">
        <v>418</v>
      </c>
      <c r="I129" s="22">
        <v>14.0</v>
      </c>
      <c r="J129" s="28" t="s">
        <v>419</v>
      </c>
      <c r="K129" s="24">
        <v>-31.49765</v>
      </c>
      <c r="L129" s="25">
        <v>-68.5178</v>
      </c>
      <c r="N129" s="17" t="str">
        <f>VLOOKUP($H129,'Hoja 2'!A$2:D$5000,2,FALSE)</f>
        <v/>
      </c>
      <c r="O129" s="17" t="str">
        <f>VLOOKUP($H129,'Hoja 2'!A$2:D$5000,3,FALSE)</f>
        <v/>
      </c>
      <c r="P129" s="17" t="str">
        <f>VLOOKUP($H129,'Hoja 2'!A$2:D$5000,4,FALSE)</f>
        <v/>
      </c>
      <c r="Q129" s="26" t="str">
        <f>VLOOKUP($H129,'Hoja 2'!E$2:H$5000,4,FALSE)</f>
        <v/>
      </c>
    </row>
    <row r="130" ht="15.75" customHeight="1">
      <c r="B130" s="31" t="s">
        <v>20</v>
      </c>
      <c r="C130" s="31">
        <v>844.0</v>
      </c>
      <c r="D130" s="31" t="s">
        <v>102</v>
      </c>
      <c r="E130" s="32" t="s">
        <v>420</v>
      </c>
      <c r="F130" s="31">
        <v>3.0</v>
      </c>
      <c r="G130" s="31">
        <v>86.0</v>
      </c>
      <c r="H130" s="21" t="s">
        <v>421</v>
      </c>
      <c r="I130" s="22">
        <v>16.0</v>
      </c>
      <c r="J130" s="28" t="s">
        <v>422</v>
      </c>
      <c r="K130" s="24">
        <v>-31.508511</v>
      </c>
      <c r="L130" s="25">
        <v>-68.531411</v>
      </c>
      <c r="N130" s="17" t="str">
        <f>VLOOKUP($H130,'Hoja 2'!A$2:D$5000,2,FALSE)</f>
        <v/>
      </c>
      <c r="O130" s="17" t="str">
        <f>VLOOKUP($H130,'Hoja 2'!A$2:D$5000,3,FALSE)</f>
        <v/>
      </c>
      <c r="P130" s="17" t="str">
        <f>VLOOKUP($H130,'Hoja 2'!A$2:D$5000,4,FALSE)</f>
        <v/>
      </c>
      <c r="Q130" s="26" t="str">
        <f>VLOOKUP($H130,'Hoja 2'!E$2:H$5000,4,FALSE)</f>
        <v/>
      </c>
    </row>
    <row r="131" ht="15.75" customHeight="1">
      <c r="B131" s="31" t="s">
        <v>20</v>
      </c>
      <c r="C131" s="31">
        <v>844.0</v>
      </c>
      <c r="D131" s="31" t="s">
        <v>102</v>
      </c>
      <c r="E131" s="32" t="s">
        <v>423</v>
      </c>
      <c r="F131" s="31">
        <v>3.0</v>
      </c>
      <c r="G131" s="31">
        <v>88.0</v>
      </c>
      <c r="H131" s="21" t="s">
        <v>424</v>
      </c>
      <c r="I131" s="22">
        <v>24.0</v>
      </c>
      <c r="J131" s="28" t="s">
        <v>425</v>
      </c>
      <c r="K131" s="24">
        <v>-31.506967</v>
      </c>
      <c r="L131" s="25">
        <v>-68.531856</v>
      </c>
      <c r="N131" s="17" t="str">
        <f>VLOOKUP($H131,'Hoja 2'!A$2:D$5000,2,FALSE)</f>
        <v/>
      </c>
      <c r="O131" s="17" t="str">
        <f>VLOOKUP($H131,'Hoja 2'!A$2:D$5000,3,FALSE)</f>
        <v/>
      </c>
      <c r="P131" s="17" t="str">
        <f>VLOOKUP($H131,'Hoja 2'!A$2:D$5000,4,FALSE)</f>
        <v/>
      </c>
      <c r="Q131" s="26" t="str">
        <f>VLOOKUP($H131,'Hoja 2'!E$2:H$5000,4,FALSE)</f>
        <v/>
      </c>
    </row>
    <row r="132" ht="15.75" customHeight="1">
      <c r="B132" s="31" t="s">
        <v>20</v>
      </c>
      <c r="C132" s="31">
        <v>844.0</v>
      </c>
      <c r="D132" s="31" t="s">
        <v>102</v>
      </c>
      <c r="E132" s="32" t="s">
        <v>426</v>
      </c>
      <c r="F132" s="31">
        <v>3.0</v>
      </c>
      <c r="G132" s="31">
        <v>90.0</v>
      </c>
      <c r="H132" s="33" t="s">
        <v>427</v>
      </c>
      <c r="I132" s="22">
        <v>25.0</v>
      </c>
      <c r="J132" s="28" t="s">
        <v>428</v>
      </c>
      <c r="K132" s="24">
        <v>-31.50476</v>
      </c>
      <c r="L132" s="25">
        <v>-68.532114</v>
      </c>
      <c r="N132" s="17" t="str">
        <f>VLOOKUP($H132,'Hoja 2'!A$2:D$5000,2,FALSE)</f>
        <v/>
      </c>
      <c r="O132" s="17" t="str">
        <f>VLOOKUP($H132,'Hoja 2'!A$2:D$5000,3,FALSE)</f>
        <v/>
      </c>
      <c r="P132" s="17" t="str">
        <f>VLOOKUP($H132,'Hoja 2'!A$2:D$5000,4,FALSE)</f>
        <v/>
      </c>
      <c r="Q132" s="26" t="str">
        <f>VLOOKUP($H132,'Hoja 2'!E$2:H$5000,4,FALSE)</f>
        <v/>
      </c>
    </row>
    <row r="133" ht="15.75" customHeight="1">
      <c r="B133" s="31" t="s">
        <v>20</v>
      </c>
      <c r="C133" s="31">
        <v>844.0</v>
      </c>
      <c r="D133" s="31" t="s">
        <v>102</v>
      </c>
      <c r="E133" s="32" t="s">
        <v>429</v>
      </c>
      <c r="F133" s="31">
        <v>3.0</v>
      </c>
      <c r="G133" s="31">
        <v>92.0</v>
      </c>
      <c r="H133" s="33" t="s">
        <v>430</v>
      </c>
      <c r="I133" s="22">
        <v>32.0</v>
      </c>
      <c r="J133" s="28" t="s">
        <v>431</v>
      </c>
      <c r="K133" s="24">
        <v>-31.502341</v>
      </c>
      <c r="L133" s="25">
        <v>-68.532037</v>
      </c>
      <c r="N133" s="17" t="str">
        <f>VLOOKUP($H133,'Hoja 2'!A$2:D$5000,2,FALSE)</f>
        <v/>
      </c>
      <c r="O133" s="17" t="str">
        <f>VLOOKUP($H133,'Hoja 2'!A$2:D$5000,3,FALSE)</f>
        <v/>
      </c>
      <c r="P133" s="17" t="str">
        <f>VLOOKUP($H133,'Hoja 2'!A$2:D$5000,4,FALSE)</f>
        <v/>
      </c>
      <c r="Q133" s="26" t="str">
        <f>VLOOKUP($H133,'Hoja 2'!E$2:H$5000,4,FALSE)</f>
        <v/>
      </c>
    </row>
    <row r="134" ht="15.75" customHeight="1">
      <c r="B134" s="31" t="s">
        <v>20</v>
      </c>
      <c r="C134" s="31">
        <v>844.0</v>
      </c>
      <c r="D134" s="31" t="s">
        <v>102</v>
      </c>
      <c r="E134" s="32" t="s">
        <v>432</v>
      </c>
      <c r="F134" s="31">
        <v>3.0</v>
      </c>
      <c r="G134" s="31">
        <v>94.0</v>
      </c>
      <c r="H134" s="33" t="s">
        <v>433</v>
      </c>
      <c r="I134" s="22">
        <v>26.0</v>
      </c>
      <c r="J134" s="28" t="s">
        <v>434</v>
      </c>
      <c r="K134" s="24">
        <v>-31.499348</v>
      </c>
      <c r="L134" s="25">
        <v>-68.531923</v>
      </c>
      <c r="N134" s="17" t="str">
        <f>VLOOKUP($H134,'Hoja 2'!A$2:D$5000,2,FALSE)</f>
        <v/>
      </c>
      <c r="O134" s="17" t="str">
        <f>VLOOKUP($H134,'Hoja 2'!A$2:D$5000,3,FALSE)</f>
        <v/>
      </c>
      <c r="P134" s="17" t="str">
        <f>VLOOKUP($H134,'Hoja 2'!A$2:D$5000,4,FALSE)</f>
        <v/>
      </c>
      <c r="Q134" s="26" t="str">
        <f>VLOOKUP($H134,'Hoja 2'!E$2:H$5000,4,FALSE)</f>
        <v/>
      </c>
    </row>
    <row r="135" ht="15.75" customHeight="1">
      <c r="B135" s="31" t="s">
        <v>20</v>
      </c>
      <c r="C135" s="31">
        <v>844.0</v>
      </c>
      <c r="D135" s="31" t="s">
        <v>102</v>
      </c>
      <c r="E135" s="32" t="s">
        <v>435</v>
      </c>
      <c r="F135" s="31">
        <v>3.0</v>
      </c>
      <c r="G135" s="31">
        <v>96.0</v>
      </c>
      <c r="H135" s="33" t="s">
        <v>436</v>
      </c>
      <c r="I135" s="22">
        <v>19.0</v>
      </c>
      <c r="J135" s="28" t="s">
        <v>437</v>
      </c>
      <c r="K135" s="24">
        <v>-31.497082</v>
      </c>
      <c r="L135" s="25">
        <v>-68.532009</v>
      </c>
      <c r="N135" s="17" t="str">
        <f>VLOOKUP($H135,'Hoja 2'!A$2:D$5000,2,FALSE)</f>
        <v/>
      </c>
      <c r="O135" s="17" t="str">
        <f>VLOOKUP($H135,'Hoja 2'!A$2:D$5000,3,FALSE)</f>
        <v/>
      </c>
      <c r="P135" s="17" t="str">
        <f>VLOOKUP($H135,'Hoja 2'!A$2:D$5000,4,FALSE)</f>
        <v/>
      </c>
      <c r="Q135" s="26" t="str">
        <f>VLOOKUP($H135,'Hoja 2'!E$2:H$5000,4,FALSE)</f>
        <v/>
      </c>
    </row>
    <row r="136" ht="15.75" customHeight="1">
      <c r="H136" s="1"/>
      <c r="I136" s="1"/>
      <c r="J136" s="1"/>
      <c r="K136" s="1"/>
      <c r="L136" s="1"/>
    </row>
    <row r="137" ht="15.75" customHeight="1">
      <c r="H137" s="1"/>
      <c r="I137" s="1"/>
      <c r="J137" s="1"/>
      <c r="K137" s="1"/>
      <c r="L137" s="1"/>
    </row>
    <row r="138" ht="15.75" customHeight="1">
      <c r="H138" s="1"/>
      <c r="I138" s="1"/>
      <c r="J138" s="1"/>
      <c r="K138" s="1"/>
      <c r="L138" s="1"/>
    </row>
    <row r="139" ht="15.75" customHeight="1">
      <c r="H139" s="1"/>
      <c r="I139" s="1"/>
      <c r="J139" s="1"/>
      <c r="K139" s="1"/>
      <c r="L139" s="1"/>
    </row>
    <row r="140" ht="15.75" customHeight="1">
      <c r="H140" s="1"/>
      <c r="I140" s="1"/>
      <c r="J140" s="1"/>
      <c r="K140" s="1"/>
      <c r="L140" s="1"/>
    </row>
    <row r="141" ht="15.75" customHeight="1">
      <c r="H141" s="1"/>
      <c r="I141" s="1"/>
      <c r="J141" s="1"/>
      <c r="K141" s="1"/>
      <c r="L141" s="1"/>
    </row>
    <row r="142" ht="15.75" customHeight="1">
      <c r="H142" s="1"/>
      <c r="I142" s="1"/>
      <c r="J142" s="1"/>
      <c r="K142" s="1"/>
      <c r="L142" s="1"/>
    </row>
    <row r="143" ht="15.75" customHeight="1">
      <c r="H143" s="1"/>
      <c r="I143" s="1"/>
      <c r="J143" s="1"/>
      <c r="K143" s="1"/>
      <c r="L143" s="1"/>
    </row>
    <row r="144" ht="15.75" customHeight="1">
      <c r="H144" s="1"/>
      <c r="I144" s="1"/>
      <c r="J144" s="1"/>
      <c r="K144" s="1"/>
      <c r="L144" s="1"/>
    </row>
    <row r="145" ht="15.75" customHeight="1">
      <c r="H145" s="1"/>
      <c r="I145" s="1"/>
      <c r="J145" s="1"/>
      <c r="K145" s="1"/>
      <c r="L145" s="1"/>
    </row>
    <row r="146" ht="15.75" customHeight="1">
      <c r="H146" s="1"/>
      <c r="I146" s="1"/>
      <c r="J146" s="1"/>
      <c r="K146" s="1"/>
      <c r="L146" s="1"/>
    </row>
    <row r="147" ht="15.75" customHeight="1">
      <c r="H147" s="1"/>
      <c r="I147" s="1"/>
      <c r="J147" s="1"/>
      <c r="K147" s="1"/>
      <c r="L147" s="1"/>
    </row>
    <row r="148" ht="15.75" customHeight="1">
      <c r="H148" s="1"/>
      <c r="I148" s="1"/>
      <c r="J148" s="1"/>
      <c r="K148" s="1"/>
      <c r="L148" s="1"/>
    </row>
    <row r="149" ht="15.75" customHeight="1">
      <c r="H149" s="1"/>
      <c r="I149" s="1"/>
      <c r="J149" s="1"/>
      <c r="K149" s="1"/>
      <c r="L149" s="1"/>
    </row>
    <row r="150" ht="15.75" customHeight="1">
      <c r="H150" s="1"/>
      <c r="I150" s="1"/>
      <c r="J150" s="1"/>
      <c r="K150" s="1"/>
      <c r="L150" s="1"/>
    </row>
    <row r="151" ht="15.75" customHeight="1">
      <c r="H151" s="1"/>
      <c r="I151" s="1"/>
      <c r="J151" s="1"/>
      <c r="K151" s="1"/>
      <c r="L151" s="1"/>
    </row>
    <row r="152" ht="15.75" customHeight="1">
      <c r="H152" s="1"/>
      <c r="I152" s="1"/>
      <c r="J152" s="1"/>
      <c r="K152" s="1"/>
      <c r="L152" s="1"/>
    </row>
    <row r="153" ht="15.75" customHeight="1">
      <c r="H153" s="1"/>
      <c r="I153" s="1"/>
      <c r="J153" s="1"/>
      <c r="K153" s="1"/>
      <c r="L153" s="1"/>
    </row>
    <row r="154" ht="15.75" customHeight="1">
      <c r="H154" s="1"/>
      <c r="I154" s="1"/>
      <c r="J154" s="1"/>
      <c r="K154" s="1"/>
      <c r="L154" s="1"/>
    </row>
    <row r="155" ht="15.75" customHeight="1">
      <c r="H155" s="1"/>
      <c r="I155" s="1"/>
      <c r="J155" s="1"/>
      <c r="K155" s="1"/>
      <c r="L155" s="1"/>
    </row>
    <row r="156" ht="15.75" customHeight="1">
      <c r="H156" s="1"/>
      <c r="I156" s="1"/>
      <c r="J156" s="1"/>
      <c r="K156" s="1"/>
      <c r="L156" s="1"/>
    </row>
    <row r="157" ht="15.75" customHeight="1">
      <c r="H157" s="1"/>
      <c r="I157" s="1"/>
      <c r="J157" s="1"/>
      <c r="K157" s="1"/>
      <c r="L157" s="1"/>
    </row>
    <row r="158" ht="15.75" customHeight="1">
      <c r="H158" s="1"/>
      <c r="I158" s="1"/>
      <c r="J158" s="1"/>
      <c r="K158" s="1"/>
      <c r="L158" s="1"/>
    </row>
    <row r="159" ht="15.75" customHeight="1">
      <c r="H159" s="1"/>
      <c r="I159" s="1"/>
      <c r="J159" s="1"/>
      <c r="K159" s="1"/>
      <c r="L159" s="1"/>
    </row>
    <row r="160" ht="15.75" customHeight="1">
      <c r="H160" s="1"/>
      <c r="I160" s="1"/>
      <c r="J160" s="1"/>
      <c r="K160" s="1"/>
      <c r="L160" s="1"/>
    </row>
    <row r="161" ht="15.75" customHeight="1">
      <c r="H161" s="1"/>
      <c r="I161" s="1"/>
      <c r="J161" s="1"/>
      <c r="K161" s="1"/>
      <c r="L161" s="1"/>
    </row>
    <row r="162" ht="15.75" customHeight="1">
      <c r="H162" s="1"/>
      <c r="I162" s="1"/>
      <c r="J162" s="1"/>
      <c r="K162" s="1"/>
      <c r="L162" s="1"/>
    </row>
    <row r="163" ht="15.75" customHeight="1">
      <c r="H163" s="1"/>
      <c r="I163" s="1"/>
      <c r="J163" s="1"/>
      <c r="K163" s="1"/>
      <c r="L163" s="1"/>
    </row>
    <row r="164" ht="15.75" customHeight="1">
      <c r="H164" s="1"/>
      <c r="I164" s="1"/>
      <c r="J164" s="1"/>
      <c r="K164" s="1"/>
      <c r="L164" s="1"/>
    </row>
    <row r="165" ht="15.75" customHeight="1">
      <c r="H165" s="1"/>
      <c r="I165" s="1"/>
      <c r="J165" s="1"/>
      <c r="K165" s="1"/>
      <c r="L165" s="1"/>
    </row>
    <row r="166" ht="15.75" customHeight="1">
      <c r="H166" s="1"/>
      <c r="I166" s="1"/>
      <c r="J166" s="1"/>
      <c r="K166" s="1"/>
      <c r="L166" s="1"/>
    </row>
    <row r="167" ht="15.75" customHeight="1">
      <c r="H167" s="1"/>
      <c r="I167" s="1"/>
      <c r="J167" s="1"/>
      <c r="K167" s="1"/>
      <c r="L167" s="1"/>
    </row>
    <row r="168" ht="15.75" customHeight="1">
      <c r="H168" s="1"/>
      <c r="I168" s="1"/>
      <c r="J168" s="1"/>
      <c r="K168" s="1"/>
      <c r="L168" s="1"/>
    </row>
    <row r="169" ht="15.75" customHeight="1">
      <c r="H169" s="1"/>
      <c r="I169" s="1"/>
      <c r="J169" s="1"/>
      <c r="K169" s="1"/>
      <c r="L169" s="1"/>
    </row>
    <row r="170" ht="15.75" customHeight="1">
      <c r="H170" s="1"/>
      <c r="I170" s="1"/>
      <c r="J170" s="1"/>
      <c r="K170" s="1"/>
      <c r="L170" s="1"/>
    </row>
    <row r="171" ht="15.75" customHeight="1">
      <c r="H171" s="1"/>
      <c r="I171" s="1"/>
      <c r="J171" s="1"/>
      <c r="K171" s="1"/>
      <c r="L171" s="1"/>
    </row>
    <row r="172" ht="15.75" customHeight="1">
      <c r="H172" s="1"/>
      <c r="I172" s="1"/>
      <c r="J172" s="1"/>
      <c r="K172" s="1"/>
      <c r="L172" s="1"/>
    </row>
    <row r="173" ht="15.75" customHeight="1">
      <c r="H173" s="1"/>
      <c r="I173" s="1"/>
      <c r="J173" s="1"/>
      <c r="K173" s="1"/>
      <c r="L173" s="1"/>
    </row>
    <row r="174" ht="15.75" customHeight="1">
      <c r="H174" s="1"/>
      <c r="I174" s="1"/>
      <c r="J174" s="1"/>
      <c r="K174" s="1"/>
      <c r="L174" s="1"/>
    </row>
    <row r="175" ht="15.75" customHeight="1">
      <c r="H175" s="1"/>
      <c r="I175" s="1"/>
      <c r="J175" s="1"/>
      <c r="K175" s="1"/>
      <c r="L175" s="1"/>
    </row>
    <row r="176" ht="15.75" customHeight="1">
      <c r="H176" s="1"/>
      <c r="I176" s="1"/>
      <c r="J176" s="1"/>
      <c r="K176" s="1"/>
      <c r="L176" s="1"/>
    </row>
    <row r="177" ht="15.75" customHeight="1">
      <c r="H177" s="1"/>
      <c r="I177" s="1"/>
      <c r="J177" s="1"/>
      <c r="K177" s="1"/>
      <c r="L177" s="1"/>
    </row>
    <row r="178" ht="15.75" customHeight="1">
      <c r="H178" s="1"/>
      <c r="I178" s="1"/>
      <c r="J178" s="1"/>
      <c r="K178" s="1"/>
      <c r="L178" s="1"/>
    </row>
    <row r="179" ht="15.75" customHeight="1">
      <c r="H179" s="1"/>
      <c r="I179" s="1"/>
      <c r="J179" s="1"/>
      <c r="K179" s="1"/>
      <c r="L179" s="1"/>
    </row>
    <row r="180" ht="15.75" customHeight="1">
      <c r="H180" s="1"/>
      <c r="I180" s="1"/>
      <c r="J180" s="1"/>
      <c r="K180" s="1"/>
      <c r="L180" s="1"/>
    </row>
    <row r="181" ht="15.75" customHeight="1">
      <c r="H181" s="1"/>
      <c r="I181" s="1"/>
      <c r="J181" s="1"/>
      <c r="K181" s="1"/>
      <c r="L181" s="1"/>
    </row>
    <row r="182" ht="15.75" customHeight="1">
      <c r="H182" s="1"/>
      <c r="I182" s="1"/>
      <c r="J182" s="1"/>
      <c r="K182" s="1"/>
      <c r="L182" s="1"/>
    </row>
    <row r="183" ht="15.75" customHeight="1">
      <c r="H183" s="1"/>
      <c r="I183" s="1"/>
      <c r="J183" s="1"/>
      <c r="K183" s="1"/>
      <c r="L183" s="1"/>
    </row>
    <row r="184" ht="15.75" customHeight="1">
      <c r="H184" s="1"/>
      <c r="I184" s="1"/>
      <c r="J184" s="1"/>
      <c r="K184" s="1"/>
      <c r="L184" s="1"/>
    </row>
    <row r="185" ht="15.75" customHeight="1">
      <c r="H185" s="1"/>
      <c r="I185" s="1"/>
      <c r="J185" s="1"/>
      <c r="K185" s="1"/>
      <c r="L185" s="1"/>
    </row>
    <row r="186" ht="15.75" customHeight="1">
      <c r="H186" s="1"/>
      <c r="I186" s="1"/>
      <c r="J186" s="1"/>
      <c r="K186" s="1"/>
      <c r="L186" s="1"/>
    </row>
    <row r="187" ht="15.75" customHeight="1">
      <c r="H187" s="1"/>
      <c r="I187" s="1"/>
      <c r="J187" s="1"/>
      <c r="K187" s="1"/>
      <c r="L187" s="1"/>
    </row>
    <row r="188" ht="15.75" customHeight="1">
      <c r="H188" s="1"/>
      <c r="I188" s="1"/>
      <c r="J188" s="1"/>
      <c r="K188" s="1"/>
      <c r="L188" s="1"/>
    </row>
    <row r="189" ht="15.75" customHeight="1">
      <c r="H189" s="1"/>
      <c r="I189" s="1"/>
      <c r="J189" s="1"/>
      <c r="K189" s="1"/>
      <c r="L189" s="1"/>
    </row>
    <row r="190" ht="15.75" customHeight="1">
      <c r="H190" s="1"/>
      <c r="I190" s="1"/>
      <c r="J190" s="1"/>
      <c r="K190" s="1"/>
      <c r="L190" s="1"/>
    </row>
    <row r="191" ht="15.75" customHeight="1">
      <c r="H191" s="1"/>
      <c r="I191" s="1"/>
      <c r="J191" s="1"/>
      <c r="K191" s="1"/>
      <c r="L191" s="1"/>
    </row>
    <row r="192" ht="15.75" customHeight="1">
      <c r="H192" s="1"/>
      <c r="I192" s="1"/>
      <c r="J192" s="1"/>
      <c r="K192" s="1"/>
      <c r="L192" s="1"/>
    </row>
    <row r="193" ht="15.75" customHeight="1">
      <c r="H193" s="1"/>
      <c r="I193" s="1"/>
      <c r="J193" s="1"/>
      <c r="K193" s="1"/>
      <c r="L193" s="1"/>
    </row>
    <row r="194" ht="15.75" customHeight="1">
      <c r="H194" s="1"/>
      <c r="I194" s="1"/>
      <c r="J194" s="1"/>
      <c r="K194" s="1"/>
      <c r="L194" s="1"/>
    </row>
    <row r="195" ht="15.75" customHeight="1">
      <c r="H195" s="1"/>
      <c r="I195" s="1"/>
      <c r="J195" s="1"/>
      <c r="K195" s="1"/>
      <c r="L195" s="1"/>
    </row>
    <row r="196" ht="15.75" customHeight="1">
      <c r="H196" s="1"/>
      <c r="I196" s="1"/>
      <c r="J196" s="1"/>
      <c r="K196" s="1"/>
      <c r="L196" s="1"/>
    </row>
    <row r="197" ht="15.75" customHeight="1">
      <c r="H197" s="1"/>
      <c r="I197" s="1"/>
      <c r="J197" s="1"/>
      <c r="K197" s="1"/>
      <c r="L197" s="1"/>
    </row>
    <row r="198" ht="15.75" customHeight="1">
      <c r="H198" s="1"/>
      <c r="I198" s="1"/>
      <c r="J198" s="1"/>
      <c r="K198" s="1"/>
      <c r="L198" s="1"/>
    </row>
    <row r="199" ht="15.75" customHeight="1">
      <c r="H199" s="1"/>
      <c r="I199" s="1"/>
      <c r="J199" s="1"/>
      <c r="K199" s="1"/>
      <c r="L199" s="1"/>
    </row>
    <row r="200" ht="15.75" customHeight="1">
      <c r="H200" s="1"/>
      <c r="I200" s="1"/>
      <c r="J200" s="1"/>
      <c r="K200" s="1"/>
      <c r="L200" s="1"/>
    </row>
    <row r="201" ht="15.75" customHeight="1">
      <c r="H201" s="1"/>
      <c r="I201" s="1"/>
      <c r="J201" s="1"/>
      <c r="K201" s="1"/>
      <c r="L201" s="1"/>
    </row>
    <row r="202" ht="15.75" customHeight="1">
      <c r="H202" s="1"/>
      <c r="I202" s="1"/>
      <c r="J202" s="1"/>
      <c r="K202" s="1"/>
      <c r="L202" s="1"/>
    </row>
    <row r="203" ht="15.75" customHeight="1">
      <c r="H203" s="1"/>
      <c r="I203" s="1"/>
      <c r="J203" s="1"/>
      <c r="K203" s="1"/>
      <c r="L203" s="1"/>
    </row>
    <row r="204" ht="15.75" customHeight="1">
      <c r="H204" s="1"/>
      <c r="I204" s="1"/>
      <c r="J204" s="1"/>
      <c r="K204" s="1"/>
      <c r="L204" s="1"/>
    </row>
    <row r="205" ht="15.75" customHeight="1">
      <c r="H205" s="1"/>
      <c r="I205" s="1"/>
      <c r="J205" s="1"/>
      <c r="K205" s="1"/>
      <c r="L205" s="1"/>
    </row>
    <row r="206" ht="15.75" customHeight="1">
      <c r="H206" s="1"/>
      <c r="I206" s="1"/>
      <c r="J206" s="1"/>
      <c r="K206" s="1"/>
      <c r="L206" s="1"/>
    </row>
    <row r="207" ht="15.75" customHeight="1">
      <c r="H207" s="1"/>
      <c r="I207" s="1"/>
      <c r="J207" s="1"/>
      <c r="K207" s="1"/>
      <c r="L207" s="1"/>
    </row>
    <row r="208" ht="15.75" customHeight="1">
      <c r="H208" s="1"/>
      <c r="I208" s="1"/>
      <c r="J208" s="1"/>
      <c r="K208" s="1"/>
      <c r="L208" s="1"/>
    </row>
    <row r="209" ht="15.75" customHeight="1">
      <c r="H209" s="1"/>
      <c r="I209" s="1"/>
      <c r="J209" s="1"/>
      <c r="K209" s="1"/>
      <c r="L209" s="1"/>
    </row>
    <row r="210" ht="15.75" customHeight="1">
      <c r="H210" s="1"/>
      <c r="I210" s="1"/>
      <c r="J210" s="1"/>
      <c r="K210" s="1"/>
      <c r="L210" s="1"/>
    </row>
    <row r="211" ht="15.75" customHeight="1">
      <c r="H211" s="1"/>
      <c r="I211" s="1"/>
      <c r="J211" s="1"/>
      <c r="K211" s="1"/>
      <c r="L211" s="1"/>
    </row>
    <row r="212" ht="15.75" customHeight="1">
      <c r="H212" s="1"/>
      <c r="I212" s="1"/>
      <c r="J212" s="1"/>
      <c r="K212" s="1"/>
      <c r="L212" s="1"/>
    </row>
    <row r="213" ht="15.75" customHeight="1">
      <c r="H213" s="1"/>
      <c r="I213" s="1"/>
      <c r="J213" s="1"/>
      <c r="K213" s="1"/>
      <c r="L213" s="1"/>
    </row>
    <row r="214" ht="15.75" customHeight="1">
      <c r="H214" s="1"/>
      <c r="I214" s="1"/>
      <c r="J214" s="1"/>
      <c r="K214" s="1"/>
      <c r="L214" s="1"/>
    </row>
    <row r="215" ht="15.75" customHeight="1">
      <c r="H215" s="1"/>
      <c r="I215" s="1"/>
      <c r="J215" s="1"/>
      <c r="K215" s="1"/>
      <c r="L215" s="1"/>
    </row>
    <row r="216" ht="15.75" customHeight="1">
      <c r="H216" s="1"/>
      <c r="I216" s="1"/>
      <c r="J216" s="1"/>
      <c r="K216" s="1"/>
      <c r="L216" s="1"/>
    </row>
    <row r="217" ht="15.75" customHeight="1">
      <c r="H217" s="1"/>
      <c r="I217" s="1"/>
      <c r="J217" s="1"/>
      <c r="K217" s="1"/>
      <c r="L217" s="1"/>
    </row>
    <row r="218" ht="15.75" customHeight="1">
      <c r="H218" s="1"/>
      <c r="I218" s="1"/>
      <c r="J218" s="1"/>
      <c r="K218" s="1"/>
      <c r="L218" s="1"/>
    </row>
    <row r="219" ht="15.75" customHeight="1">
      <c r="H219" s="1"/>
      <c r="I219" s="1"/>
      <c r="J219" s="1"/>
      <c r="K219" s="1"/>
      <c r="L219" s="1"/>
    </row>
    <row r="220" ht="15.75" customHeight="1">
      <c r="H220" s="1"/>
      <c r="I220" s="1"/>
      <c r="J220" s="1"/>
      <c r="K220" s="1"/>
      <c r="L220" s="1"/>
    </row>
    <row r="221" ht="15.75" customHeight="1">
      <c r="H221" s="1"/>
      <c r="I221" s="1"/>
      <c r="J221" s="1"/>
      <c r="K221" s="1"/>
      <c r="L221" s="1"/>
    </row>
    <row r="222" ht="15.75" customHeight="1">
      <c r="H222" s="1"/>
      <c r="I222" s="1"/>
      <c r="J222" s="1"/>
      <c r="K222" s="1"/>
      <c r="L222" s="1"/>
    </row>
    <row r="223" ht="15.75" customHeight="1">
      <c r="H223" s="1"/>
      <c r="I223" s="1"/>
      <c r="J223" s="1"/>
      <c r="K223" s="1"/>
      <c r="L223" s="1"/>
    </row>
    <row r="224" ht="15.75" customHeight="1">
      <c r="H224" s="1"/>
      <c r="I224" s="1"/>
      <c r="J224" s="1"/>
      <c r="K224" s="1"/>
      <c r="L224" s="1"/>
    </row>
    <row r="225" ht="15.75" customHeight="1">
      <c r="H225" s="1"/>
      <c r="I225" s="1"/>
      <c r="J225" s="1"/>
      <c r="K225" s="1"/>
      <c r="L225" s="1"/>
    </row>
    <row r="226" ht="15.75" customHeight="1">
      <c r="H226" s="1"/>
      <c r="I226" s="1"/>
      <c r="J226" s="1"/>
      <c r="K226" s="1"/>
      <c r="L226" s="1"/>
    </row>
    <row r="227" ht="15.75" customHeight="1">
      <c r="H227" s="1"/>
      <c r="I227" s="1"/>
      <c r="J227" s="1"/>
      <c r="K227" s="1"/>
      <c r="L227" s="1"/>
    </row>
    <row r="228" ht="15.75" customHeight="1">
      <c r="H228" s="1"/>
      <c r="I228" s="1"/>
      <c r="J228" s="1"/>
      <c r="K228" s="1"/>
      <c r="L228" s="1"/>
    </row>
    <row r="229" ht="15.75" customHeight="1">
      <c r="H229" s="1"/>
      <c r="I229" s="1"/>
      <c r="J229" s="1"/>
      <c r="K229" s="1"/>
      <c r="L229" s="1"/>
    </row>
    <row r="230" ht="15.75" customHeight="1">
      <c r="H230" s="1"/>
      <c r="I230" s="1"/>
      <c r="J230" s="1"/>
      <c r="K230" s="1"/>
      <c r="L230" s="1"/>
    </row>
    <row r="231" ht="15.75" customHeight="1">
      <c r="H231" s="1"/>
      <c r="I231" s="1"/>
      <c r="J231" s="1"/>
      <c r="K231" s="1"/>
      <c r="L231" s="1"/>
    </row>
    <row r="232" ht="15.75" customHeight="1">
      <c r="H232" s="1"/>
      <c r="I232" s="1"/>
      <c r="J232" s="1"/>
      <c r="K232" s="1"/>
      <c r="L232" s="1"/>
    </row>
    <row r="233" ht="15.75" customHeight="1">
      <c r="H233" s="1"/>
      <c r="I233" s="1"/>
      <c r="J233" s="1"/>
      <c r="K233" s="1"/>
      <c r="L233" s="1"/>
    </row>
    <row r="234" ht="15.75" customHeight="1">
      <c r="H234" s="1"/>
      <c r="I234" s="1"/>
      <c r="J234" s="1"/>
      <c r="K234" s="1"/>
      <c r="L234" s="1"/>
    </row>
    <row r="235" ht="15.75" customHeight="1">
      <c r="H235" s="1"/>
      <c r="I235" s="1"/>
      <c r="J235" s="1"/>
      <c r="K235" s="1"/>
      <c r="L235" s="1"/>
    </row>
    <row r="236" ht="15.75" customHeight="1">
      <c r="H236" s="1"/>
      <c r="I236" s="1"/>
      <c r="J236" s="1"/>
      <c r="K236" s="1"/>
      <c r="L236" s="1"/>
    </row>
    <row r="237" ht="15.75" customHeight="1">
      <c r="H237" s="1"/>
      <c r="I237" s="1"/>
      <c r="J237" s="1"/>
      <c r="K237" s="1"/>
      <c r="L237" s="1"/>
    </row>
    <row r="238" ht="15.75" customHeight="1">
      <c r="H238" s="1"/>
      <c r="I238" s="1"/>
      <c r="J238" s="1"/>
      <c r="K238" s="1"/>
      <c r="L238" s="1"/>
    </row>
    <row r="239" ht="15.75" customHeight="1">
      <c r="H239" s="1"/>
      <c r="I239" s="1"/>
      <c r="J239" s="1"/>
      <c r="K239" s="1"/>
      <c r="L239" s="1"/>
    </row>
    <row r="240" ht="15.75" customHeight="1">
      <c r="H240" s="1"/>
      <c r="I240" s="1"/>
      <c r="J240" s="1"/>
      <c r="K240" s="1"/>
      <c r="L240" s="1"/>
    </row>
    <row r="241" ht="15.75" customHeight="1">
      <c r="H241" s="1"/>
      <c r="I241" s="1"/>
      <c r="J241" s="1"/>
      <c r="K241" s="1"/>
      <c r="L241" s="1"/>
    </row>
    <row r="242" ht="15.75" customHeight="1">
      <c r="H242" s="1"/>
      <c r="I242" s="1"/>
      <c r="J242" s="1"/>
      <c r="K242" s="1"/>
      <c r="L242" s="1"/>
    </row>
    <row r="243" ht="15.75" customHeight="1">
      <c r="H243" s="1"/>
      <c r="I243" s="1"/>
      <c r="J243" s="1"/>
      <c r="K243" s="1"/>
      <c r="L243" s="1"/>
    </row>
    <row r="244" ht="15.75" customHeight="1">
      <c r="H244" s="1"/>
      <c r="I244" s="1"/>
      <c r="J244" s="1"/>
      <c r="K244" s="1"/>
      <c r="L244" s="1"/>
    </row>
    <row r="245" ht="15.75" customHeight="1">
      <c r="H245" s="1"/>
      <c r="I245" s="1"/>
      <c r="J245" s="1"/>
      <c r="K245" s="1"/>
      <c r="L245" s="1"/>
    </row>
    <row r="246" ht="15.75" customHeight="1">
      <c r="H246" s="1"/>
      <c r="I246" s="1"/>
      <c r="J246" s="1"/>
      <c r="K246" s="1"/>
      <c r="L246" s="1"/>
    </row>
    <row r="247" ht="15.75" customHeight="1">
      <c r="H247" s="1"/>
      <c r="I247" s="1"/>
      <c r="J247" s="1"/>
      <c r="K247" s="1"/>
      <c r="L247" s="1"/>
    </row>
    <row r="248" ht="15.75" customHeight="1">
      <c r="H248" s="1"/>
      <c r="I248" s="1"/>
      <c r="J248" s="1"/>
      <c r="K248" s="1"/>
      <c r="L248" s="1"/>
    </row>
    <row r="249" ht="15.75" customHeight="1">
      <c r="H249" s="1"/>
      <c r="I249" s="1"/>
      <c r="J249" s="1"/>
      <c r="K249" s="1"/>
      <c r="L249" s="1"/>
    </row>
    <row r="250" ht="15.75" customHeight="1">
      <c r="H250" s="1"/>
      <c r="I250" s="1"/>
      <c r="J250" s="1"/>
      <c r="K250" s="1"/>
      <c r="L250" s="1"/>
    </row>
    <row r="251" ht="15.75" customHeight="1">
      <c r="H251" s="1"/>
      <c r="I251" s="1"/>
      <c r="J251" s="1"/>
      <c r="K251" s="1"/>
      <c r="L251" s="1"/>
    </row>
    <row r="252" ht="15.75" customHeight="1">
      <c r="H252" s="1"/>
      <c r="I252" s="1"/>
      <c r="J252" s="1"/>
      <c r="K252" s="1"/>
      <c r="L252" s="1"/>
    </row>
    <row r="253" ht="15.75" customHeight="1">
      <c r="H253" s="1"/>
      <c r="I253" s="1"/>
      <c r="J253" s="1"/>
      <c r="K253" s="1"/>
      <c r="L253" s="1"/>
    </row>
    <row r="254" ht="15.75" customHeight="1">
      <c r="H254" s="1"/>
      <c r="I254" s="1"/>
      <c r="J254" s="1"/>
      <c r="K254" s="1"/>
      <c r="L254" s="1"/>
    </row>
    <row r="255" ht="15.75" customHeight="1">
      <c r="H255" s="1"/>
      <c r="I255" s="1"/>
      <c r="J255" s="1"/>
      <c r="K255" s="1"/>
      <c r="L255" s="1"/>
    </row>
    <row r="256" ht="15.75" customHeight="1">
      <c r="H256" s="1"/>
      <c r="I256" s="1"/>
      <c r="J256" s="1"/>
      <c r="K256" s="1"/>
      <c r="L256" s="1"/>
    </row>
    <row r="257" ht="15.75" customHeight="1">
      <c r="H257" s="1"/>
      <c r="I257" s="1"/>
      <c r="J257" s="1"/>
      <c r="K257" s="1"/>
      <c r="L257" s="1"/>
    </row>
    <row r="258" ht="15.75" customHeight="1">
      <c r="H258" s="1"/>
      <c r="I258" s="1"/>
      <c r="J258" s="1"/>
      <c r="K258" s="1"/>
      <c r="L258" s="1"/>
    </row>
    <row r="259" ht="15.75" customHeight="1">
      <c r="H259" s="1"/>
      <c r="I259" s="1"/>
      <c r="J259" s="1"/>
      <c r="K259" s="1"/>
      <c r="L259" s="1"/>
    </row>
    <row r="260" ht="15.75" customHeight="1">
      <c r="H260" s="1"/>
      <c r="I260" s="1"/>
      <c r="J260" s="1"/>
      <c r="K260" s="1"/>
      <c r="L260" s="1"/>
    </row>
    <row r="261" ht="15.75" customHeight="1">
      <c r="H261" s="1"/>
      <c r="I261" s="1"/>
      <c r="J261" s="1"/>
      <c r="K261" s="1"/>
      <c r="L261" s="1"/>
    </row>
    <row r="262" ht="15.75" customHeight="1">
      <c r="H262" s="1"/>
      <c r="I262" s="1"/>
      <c r="J262" s="1"/>
      <c r="K262" s="1"/>
      <c r="L262" s="1"/>
    </row>
    <row r="263" ht="15.75" customHeight="1">
      <c r="H263" s="1"/>
      <c r="I263" s="1"/>
      <c r="J263" s="1"/>
      <c r="K263" s="1"/>
      <c r="L263" s="1"/>
    </row>
    <row r="264" ht="15.75" customHeight="1">
      <c r="H264" s="1"/>
      <c r="I264" s="1"/>
      <c r="J264" s="1"/>
      <c r="K264" s="1"/>
      <c r="L264" s="1"/>
    </row>
    <row r="265" ht="15.75" customHeight="1">
      <c r="H265" s="1"/>
      <c r="I265" s="1"/>
      <c r="J265" s="1"/>
      <c r="K265" s="1"/>
      <c r="L265" s="1"/>
    </row>
    <row r="266" ht="15.75" customHeight="1">
      <c r="H266" s="1"/>
      <c r="I266" s="1"/>
      <c r="J266" s="1"/>
      <c r="K266" s="1"/>
      <c r="L266" s="1"/>
    </row>
    <row r="267" ht="15.75" customHeight="1">
      <c r="H267" s="1"/>
      <c r="I267" s="1"/>
      <c r="J267" s="1"/>
      <c r="K267" s="1"/>
      <c r="L267" s="1"/>
    </row>
    <row r="268" ht="15.75" customHeight="1">
      <c r="H268" s="1"/>
      <c r="I268" s="1"/>
      <c r="J268" s="1"/>
      <c r="K268" s="1"/>
      <c r="L268" s="1"/>
    </row>
    <row r="269" ht="15.75" customHeight="1">
      <c r="H269" s="1"/>
      <c r="I269" s="1"/>
      <c r="J269" s="1"/>
      <c r="K269" s="1"/>
      <c r="L269" s="1"/>
    </row>
    <row r="270" ht="15.75" customHeight="1">
      <c r="H270" s="1"/>
      <c r="I270" s="1"/>
      <c r="J270" s="1"/>
      <c r="K270" s="1"/>
      <c r="L270" s="1"/>
    </row>
    <row r="271" ht="15.75" customHeight="1">
      <c r="H271" s="1"/>
      <c r="I271" s="1"/>
      <c r="J271" s="1"/>
      <c r="K271" s="1"/>
      <c r="L271" s="1"/>
    </row>
    <row r="272" ht="15.75" customHeight="1">
      <c r="H272" s="1"/>
      <c r="I272" s="1"/>
      <c r="J272" s="1"/>
      <c r="K272" s="1"/>
      <c r="L272" s="1"/>
    </row>
    <row r="273" ht="15.75" customHeight="1">
      <c r="H273" s="1"/>
      <c r="I273" s="1"/>
      <c r="J273" s="1"/>
      <c r="K273" s="1"/>
      <c r="L273" s="1"/>
    </row>
    <row r="274" ht="15.75" customHeight="1">
      <c r="H274" s="1"/>
      <c r="I274" s="1"/>
      <c r="J274" s="1"/>
      <c r="K274" s="1"/>
      <c r="L274" s="1"/>
    </row>
    <row r="275" ht="15.75" customHeight="1">
      <c r="H275" s="1"/>
      <c r="I275" s="1"/>
      <c r="J275" s="1"/>
      <c r="K275" s="1"/>
      <c r="L275" s="1"/>
    </row>
    <row r="276" ht="15.75" customHeight="1">
      <c r="H276" s="1"/>
      <c r="I276" s="1"/>
      <c r="J276" s="1"/>
      <c r="K276" s="1"/>
      <c r="L276" s="1"/>
    </row>
    <row r="277" ht="15.75" customHeight="1">
      <c r="H277" s="1"/>
      <c r="I277" s="1"/>
      <c r="J277" s="1"/>
      <c r="K277" s="1"/>
      <c r="L277" s="1"/>
    </row>
    <row r="278" ht="15.75" customHeight="1">
      <c r="H278" s="1"/>
      <c r="I278" s="1"/>
      <c r="J278" s="1"/>
      <c r="K278" s="1"/>
      <c r="L278" s="1"/>
    </row>
    <row r="279" ht="15.75" customHeight="1">
      <c r="H279" s="1"/>
      <c r="I279" s="1"/>
      <c r="J279" s="1"/>
      <c r="K279" s="1"/>
      <c r="L279" s="1"/>
    </row>
    <row r="280" ht="15.75" customHeight="1">
      <c r="H280" s="1"/>
      <c r="I280" s="1"/>
      <c r="J280" s="1"/>
      <c r="K280" s="1"/>
      <c r="L280" s="1"/>
    </row>
    <row r="281" ht="15.75" customHeight="1">
      <c r="H281" s="1"/>
      <c r="I281" s="1"/>
      <c r="J281" s="1"/>
      <c r="K281" s="1"/>
      <c r="L281" s="1"/>
    </row>
    <row r="282" ht="15.75" customHeight="1">
      <c r="H282" s="1"/>
      <c r="I282" s="1"/>
      <c r="J282" s="1"/>
      <c r="K282" s="1"/>
      <c r="L282" s="1"/>
    </row>
    <row r="283" ht="15.75" customHeight="1">
      <c r="H283" s="1"/>
      <c r="I283" s="1"/>
      <c r="J283" s="1"/>
      <c r="K283" s="1"/>
      <c r="L283" s="1"/>
    </row>
    <row r="284" ht="15.75" customHeight="1">
      <c r="H284" s="1"/>
      <c r="I284" s="1"/>
      <c r="J284" s="1"/>
      <c r="K284" s="1"/>
      <c r="L284" s="1"/>
    </row>
    <row r="285" ht="15.75" customHeight="1">
      <c r="H285" s="1"/>
      <c r="I285" s="1"/>
      <c r="J285" s="1"/>
      <c r="K285" s="1"/>
      <c r="L285" s="1"/>
    </row>
    <row r="286" ht="15.75" customHeight="1">
      <c r="H286" s="1"/>
      <c r="I286" s="1"/>
      <c r="J286" s="1"/>
      <c r="K286" s="1"/>
      <c r="L286" s="1"/>
    </row>
    <row r="287" ht="15.75" customHeight="1">
      <c r="H287" s="1"/>
      <c r="I287" s="1"/>
      <c r="J287" s="1"/>
      <c r="K287" s="1"/>
      <c r="L287" s="1"/>
    </row>
    <row r="288" ht="15.75" customHeight="1">
      <c r="H288" s="1"/>
      <c r="I288" s="1"/>
      <c r="J288" s="1"/>
      <c r="K288" s="1"/>
      <c r="L288" s="1"/>
    </row>
    <row r="289" ht="15.75" customHeight="1">
      <c r="H289" s="1"/>
      <c r="I289" s="1"/>
      <c r="J289" s="1"/>
      <c r="K289" s="1"/>
      <c r="L289" s="1"/>
    </row>
    <row r="290" ht="15.75" customHeight="1">
      <c r="H290" s="1"/>
      <c r="I290" s="1"/>
      <c r="J290" s="1"/>
      <c r="K290" s="1"/>
      <c r="L290" s="1"/>
    </row>
    <row r="291" ht="15.75" customHeight="1">
      <c r="H291" s="1"/>
      <c r="I291" s="1"/>
      <c r="J291" s="1"/>
      <c r="K291" s="1"/>
      <c r="L291" s="1"/>
    </row>
    <row r="292" ht="15.75" customHeight="1">
      <c r="H292" s="1"/>
      <c r="I292" s="1"/>
      <c r="J292" s="1"/>
      <c r="K292" s="1"/>
      <c r="L292" s="1"/>
    </row>
    <row r="293" ht="15.75" customHeight="1">
      <c r="H293" s="1"/>
      <c r="I293" s="1"/>
      <c r="J293" s="1"/>
      <c r="K293" s="1"/>
      <c r="L293" s="1"/>
    </row>
    <row r="294" ht="15.75" customHeight="1">
      <c r="H294" s="1"/>
      <c r="I294" s="1"/>
      <c r="J294" s="1"/>
      <c r="K294" s="1"/>
      <c r="L294" s="1"/>
    </row>
    <row r="295" ht="15.75" customHeight="1">
      <c r="H295" s="1"/>
      <c r="I295" s="1"/>
      <c r="J295" s="1"/>
      <c r="K295" s="1"/>
      <c r="L295" s="1"/>
    </row>
    <row r="296" ht="15.75" customHeight="1">
      <c r="H296" s="1"/>
      <c r="I296" s="1"/>
      <c r="J296" s="1"/>
      <c r="K296" s="1"/>
      <c r="L296" s="1"/>
    </row>
    <row r="297" ht="15.75" customHeight="1">
      <c r="H297" s="1"/>
      <c r="I297" s="1"/>
      <c r="J297" s="1"/>
      <c r="K297" s="1"/>
      <c r="L297" s="1"/>
    </row>
    <row r="298" ht="15.75" customHeight="1">
      <c r="H298" s="1"/>
      <c r="I298" s="1"/>
      <c r="J298" s="1"/>
      <c r="K298" s="1"/>
      <c r="L298" s="1"/>
    </row>
    <row r="299" ht="15.75" customHeight="1">
      <c r="H299" s="1"/>
      <c r="I299" s="1"/>
      <c r="J299" s="1"/>
      <c r="K299" s="1"/>
      <c r="L299" s="1"/>
    </row>
    <row r="300" ht="15.75" customHeight="1">
      <c r="H300" s="1"/>
      <c r="I300" s="1"/>
      <c r="J300" s="1"/>
      <c r="K300" s="1"/>
      <c r="L300" s="1"/>
    </row>
    <row r="301" ht="15.75" customHeight="1">
      <c r="H301" s="1"/>
      <c r="I301" s="1"/>
      <c r="J301" s="1"/>
      <c r="K301" s="1"/>
      <c r="L301" s="1"/>
    </row>
    <row r="302" ht="15.75" customHeight="1">
      <c r="H302" s="1"/>
      <c r="I302" s="1"/>
      <c r="J302" s="1"/>
      <c r="K302" s="1"/>
      <c r="L302" s="1"/>
    </row>
    <row r="303" ht="15.75" customHeight="1">
      <c r="H303" s="1"/>
      <c r="I303" s="1"/>
      <c r="J303" s="1"/>
      <c r="K303" s="1"/>
      <c r="L303" s="1"/>
    </row>
    <row r="304" ht="15.75" customHeight="1">
      <c r="H304" s="1"/>
      <c r="I304" s="1"/>
      <c r="J304" s="1"/>
      <c r="K304" s="1"/>
      <c r="L304" s="1"/>
    </row>
    <row r="305" ht="15.75" customHeight="1">
      <c r="H305" s="1"/>
      <c r="I305" s="1"/>
      <c r="J305" s="1"/>
      <c r="K305" s="1"/>
      <c r="L305" s="1"/>
    </row>
    <row r="306" ht="15.75" customHeight="1">
      <c r="H306" s="1"/>
      <c r="I306" s="1"/>
      <c r="J306" s="1"/>
      <c r="K306" s="1"/>
      <c r="L306" s="1"/>
    </row>
    <row r="307" ht="15.75" customHeight="1">
      <c r="H307" s="1"/>
      <c r="I307" s="1"/>
      <c r="J307" s="1"/>
      <c r="K307" s="1"/>
      <c r="L307" s="1"/>
    </row>
    <row r="308" ht="15.75" customHeight="1">
      <c r="H308" s="1"/>
      <c r="I308" s="1"/>
      <c r="J308" s="1"/>
      <c r="K308" s="1"/>
      <c r="L308" s="1"/>
    </row>
    <row r="309" ht="15.75" customHeight="1">
      <c r="H309" s="1"/>
      <c r="I309" s="1"/>
      <c r="J309" s="1"/>
      <c r="K309" s="1"/>
      <c r="L309" s="1"/>
    </row>
    <row r="310" ht="15.75" customHeight="1">
      <c r="H310" s="1"/>
      <c r="I310" s="1"/>
      <c r="J310" s="1"/>
      <c r="K310" s="1"/>
      <c r="L310" s="1"/>
    </row>
    <row r="311" ht="15.75" customHeight="1">
      <c r="H311" s="1"/>
      <c r="I311" s="1"/>
      <c r="J311" s="1"/>
      <c r="K311" s="1"/>
      <c r="L311" s="1"/>
    </row>
    <row r="312" ht="15.75" customHeight="1">
      <c r="H312" s="1"/>
      <c r="I312" s="1"/>
      <c r="J312" s="1"/>
      <c r="K312" s="1"/>
      <c r="L312" s="1"/>
    </row>
    <row r="313" ht="15.75" customHeight="1">
      <c r="H313" s="1"/>
      <c r="I313" s="1"/>
      <c r="J313" s="1"/>
      <c r="K313" s="1"/>
      <c r="L313" s="1"/>
    </row>
    <row r="314" ht="15.75" customHeight="1">
      <c r="H314" s="1"/>
      <c r="I314" s="1"/>
      <c r="J314" s="1"/>
      <c r="K314" s="1"/>
      <c r="L314" s="1"/>
    </row>
    <row r="315" ht="15.75" customHeight="1">
      <c r="H315" s="1"/>
      <c r="I315" s="1"/>
      <c r="J315" s="1"/>
      <c r="K315" s="1"/>
      <c r="L315" s="1"/>
    </row>
    <row r="316" ht="15.75" customHeight="1">
      <c r="H316" s="1"/>
      <c r="I316" s="1"/>
      <c r="J316" s="1"/>
      <c r="K316" s="1"/>
      <c r="L316" s="1"/>
    </row>
    <row r="317" ht="15.75" customHeight="1">
      <c r="H317" s="1"/>
      <c r="I317" s="1"/>
      <c r="J317" s="1"/>
      <c r="K317" s="1"/>
      <c r="L317" s="1"/>
    </row>
    <row r="318" ht="15.75" customHeight="1">
      <c r="H318" s="1"/>
      <c r="I318" s="1"/>
      <c r="J318" s="1"/>
      <c r="K318" s="1"/>
      <c r="L318" s="1"/>
    </row>
    <row r="319" ht="15.75" customHeight="1">
      <c r="H319" s="1"/>
      <c r="I319" s="1"/>
      <c r="J319" s="1"/>
      <c r="K319" s="1"/>
      <c r="L319" s="1"/>
    </row>
    <row r="320" ht="15.75" customHeight="1">
      <c r="H320" s="1"/>
      <c r="I320" s="1"/>
      <c r="J320" s="1"/>
      <c r="K320" s="1"/>
      <c r="L320" s="1"/>
    </row>
    <row r="321" ht="15.75" customHeight="1">
      <c r="H321" s="1"/>
      <c r="I321" s="1"/>
      <c r="J321" s="1"/>
      <c r="K321" s="1"/>
      <c r="L321" s="1"/>
    </row>
    <row r="322" ht="15.75" customHeight="1">
      <c r="H322" s="1"/>
      <c r="I322" s="1"/>
      <c r="J322" s="1"/>
      <c r="K322" s="1"/>
      <c r="L322" s="1"/>
    </row>
    <row r="323" ht="15.75" customHeight="1">
      <c r="H323" s="1"/>
      <c r="I323" s="1"/>
      <c r="J323" s="1"/>
      <c r="K323" s="1"/>
      <c r="L323" s="1"/>
    </row>
    <row r="324" ht="15.75" customHeight="1">
      <c r="H324" s="1"/>
      <c r="I324" s="1"/>
      <c r="J324" s="1"/>
      <c r="K324" s="1"/>
      <c r="L324" s="1"/>
    </row>
    <row r="325" ht="15.75" customHeight="1">
      <c r="H325" s="1"/>
      <c r="I325" s="1"/>
      <c r="J325" s="1"/>
      <c r="K325" s="1"/>
      <c r="L325" s="1"/>
    </row>
    <row r="326" ht="15.75" customHeight="1">
      <c r="H326" s="1"/>
      <c r="I326" s="1"/>
      <c r="J326" s="1"/>
      <c r="K326" s="1"/>
      <c r="L326" s="1"/>
    </row>
    <row r="327" ht="15.75" customHeight="1">
      <c r="H327" s="1"/>
      <c r="I327" s="1"/>
      <c r="J327" s="1"/>
      <c r="K327" s="1"/>
      <c r="L327" s="1"/>
    </row>
    <row r="328" ht="15.75" customHeight="1">
      <c r="H328" s="1"/>
      <c r="I328" s="1"/>
      <c r="J328" s="1"/>
      <c r="K328" s="1"/>
      <c r="L328" s="1"/>
    </row>
    <row r="329" ht="15.75" customHeight="1">
      <c r="H329" s="1"/>
      <c r="I329" s="1"/>
      <c r="J329" s="1"/>
      <c r="K329" s="1"/>
      <c r="L329" s="1"/>
    </row>
    <row r="330" ht="15.75" customHeight="1">
      <c r="H330" s="1"/>
      <c r="I330" s="1"/>
      <c r="J330" s="1"/>
      <c r="K330" s="1"/>
      <c r="L330" s="1"/>
    </row>
    <row r="331" ht="15.75" customHeight="1">
      <c r="H331" s="1"/>
      <c r="I331" s="1"/>
      <c r="J331" s="1"/>
      <c r="K331" s="1"/>
      <c r="L331" s="1"/>
    </row>
    <row r="332" ht="15.75" customHeight="1">
      <c r="H332" s="1"/>
      <c r="I332" s="1"/>
      <c r="J332" s="1"/>
      <c r="K332" s="1"/>
      <c r="L332" s="1"/>
    </row>
    <row r="333" ht="15.75" customHeight="1">
      <c r="H333" s="1"/>
      <c r="I333" s="1"/>
      <c r="J333" s="1"/>
      <c r="K333" s="1"/>
      <c r="L333" s="1"/>
    </row>
    <row r="334" ht="15.75" customHeight="1">
      <c r="H334" s="1"/>
      <c r="I334" s="1"/>
      <c r="J334" s="1"/>
      <c r="K334" s="1"/>
      <c r="L334" s="1"/>
    </row>
    <row r="335" ht="15.75" customHeight="1">
      <c r="H335" s="1"/>
      <c r="I335" s="1"/>
      <c r="J335" s="1"/>
      <c r="K335" s="1"/>
      <c r="L335" s="1"/>
    </row>
    <row r="336" ht="15.75" customHeight="1">
      <c r="H336" s="1"/>
      <c r="I336" s="1"/>
      <c r="J336" s="1"/>
      <c r="K336" s="1"/>
      <c r="L336" s="1"/>
    </row>
    <row r="337" ht="15.75" customHeight="1">
      <c r="H337" s="1"/>
      <c r="I337" s="1"/>
      <c r="J337" s="1"/>
      <c r="K337" s="1"/>
      <c r="L337" s="1"/>
    </row>
    <row r="338" ht="15.75" customHeight="1">
      <c r="H338" s="1"/>
      <c r="I338" s="1"/>
      <c r="J338" s="1"/>
      <c r="K338" s="1"/>
      <c r="L338" s="1"/>
    </row>
    <row r="339" ht="15.75" customHeight="1">
      <c r="H339" s="1"/>
      <c r="I339" s="1"/>
      <c r="J339" s="1"/>
      <c r="K339" s="1"/>
      <c r="L339" s="1"/>
    </row>
    <row r="340" ht="15.75" customHeight="1">
      <c r="H340" s="1"/>
      <c r="I340" s="1"/>
      <c r="J340" s="1"/>
      <c r="K340" s="1"/>
      <c r="L340" s="1"/>
    </row>
    <row r="341" ht="15.75" customHeight="1">
      <c r="H341" s="1"/>
      <c r="I341" s="1"/>
      <c r="J341" s="1"/>
      <c r="K341" s="1"/>
      <c r="L341" s="1"/>
    </row>
    <row r="342" ht="15.75" customHeight="1">
      <c r="H342" s="1"/>
      <c r="I342" s="1"/>
      <c r="J342" s="1"/>
      <c r="K342" s="1"/>
      <c r="L342" s="1"/>
    </row>
    <row r="343" ht="15.75" customHeight="1">
      <c r="H343" s="1"/>
      <c r="I343" s="1"/>
      <c r="J343" s="1"/>
      <c r="K343" s="1"/>
      <c r="L343" s="1"/>
    </row>
    <row r="344" ht="15.75" customHeight="1">
      <c r="H344" s="1"/>
      <c r="I344" s="1"/>
      <c r="J344" s="1"/>
      <c r="K344" s="1"/>
      <c r="L344" s="1"/>
    </row>
    <row r="345" ht="15.75" customHeight="1">
      <c r="H345" s="1"/>
      <c r="I345" s="1"/>
      <c r="J345" s="1"/>
      <c r="K345" s="1"/>
      <c r="L345" s="1"/>
    </row>
    <row r="346" ht="15.75" customHeight="1">
      <c r="H346" s="1"/>
      <c r="I346" s="1"/>
      <c r="J346" s="1"/>
      <c r="K346" s="1"/>
      <c r="L346" s="1"/>
    </row>
    <row r="347" ht="15.75" customHeight="1">
      <c r="H347" s="1"/>
      <c r="I347" s="1"/>
      <c r="J347" s="1"/>
      <c r="K347" s="1"/>
      <c r="L347" s="1"/>
    </row>
    <row r="348" ht="15.75" customHeight="1">
      <c r="H348" s="1"/>
      <c r="I348" s="1"/>
      <c r="J348" s="1"/>
      <c r="K348" s="1"/>
      <c r="L348" s="1"/>
    </row>
    <row r="349" ht="15.75" customHeight="1">
      <c r="H349" s="1"/>
      <c r="I349" s="1"/>
      <c r="J349" s="1"/>
      <c r="K349" s="1"/>
      <c r="L349" s="1"/>
    </row>
    <row r="350" ht="15.75" customHeight="1">
      <c r="H350" s="1"/>
      <c r="I350" s="1"/>
      <c r="J350" s="1"/>
      <c r="K350" s="1"/>
      <c r="L350" s="1"/>
    </row>
    <row r="351" ht="15.75" customHeight="1">
      <c r="H351" s="1"/>
      <c r="I351" s="1"/>
      <c r="J351" s="1"/>
      <c r="K351" s="1"/>
      <c r="L351" s="1"/>
    </row>
    <row r="352" ht="15.75" customHeight="1">
      <c r="H352" s="1"/>
      <c r="I352" s="1"/>
      <c r="J352" s="1"/>
      <c r="K352" s="1"/>
      <c r="L352" s="1"/>
    </row>
    <row r="353" ht="15.75" customHeight="1">
      <c r="H353" s="1"/>
      <c r="I353" s="1"/>
      <c r="J353" s="1"/>
      <c r="K353" s="1"/>
      <c r="L353" s="1"/>
    </row>
    <row r="354" ht="15.75" customHeight="1">
      <c r="H354" s="1"/>
      <c r="I354" s="1"/>
      <c r="J354" s="1"/>
      <c r="K354" s="1"/>
      <c r="L354" s="1"/>
    </row>
    <row r="355" ht="15.75" customHeight="1">
      <c r="H355" s="1"/>
      <c r="I355" s="1"/>
      <c r="J355" s="1"/>
      <c r="K355" s="1"/>
      <c r="L355" s="1"/>
    </row>
    <row r="356" ht="15.75" customHeight="1">
      <c r="H356" s="1"/>
      <c r="I356" s="1"/>
      <c r="J356" s="1"/>
      <c r="K356" s="1"/>
      <c r="L356" s="1"/>
    </row>
    <row r="357" ht="15.75" customHeight="1">
      <c r="H357" s="1"/>
      <c r="I357" s="1"/>
      <c r="J357" s="1"/>
      <c r="K357" s="1"/>
      <c r="L357" s="1"/>
    </row>
    <row r="358" ht="15.75" customHeight="1">
      <c r="H358" s="1"/>
      <c r="I358" s="1"/>
      <c r="J358" s="1"/>
      <c r="K358" s="1"/>
      <c r="L358" s="1"/>
    </row>
    <row r="359" ht="15.75" customHeight="1">
      <c r="H359" s="1"/>
      <c r="I359" s="1"/>
      <c r="J359" s="1"/>
      <c r="K359" s="1"/>
      <c r="L359" s="1"/>
    </row>
    <row r="360" ht="15.75" customHeight="1">
      <c r="H360" s="1"/>
      <c r="I360" s="1"/>
      <c r="J360" s="1"/>
      <c r="K360" s="1"/>
      <c r="L360" s="1"/>
    </row>
    <row r="361" ht="15.75" customHeight="1">
      <c r="H361" s="1"/>
      <c r="I361" s="1"/>
      <c r="J361" s="1"/>
      <c r="K361" s="1"/>
      <c r="L361" s="1"/>
    </row>
    <row r="362" ht="15.75" customHeight="1">
      <c r="H362" s="1"/>
      <c r="I362" s="1"/>
      <c r="J362" s="1"/>
      <c r="K362" s="1"/>
      <c r="L362" s="1"/>
    </row>
    <row r="363" ht="15.75" customHeight="1">
      <c r="H363" s="1"/>
      <c r="I363" s="1"/>
      <c r="J363" s="1"/>
      <c r="K363" s="1"/>
      <c r="L363" s="1"/>
    </row>
    <row r="364" ht="15.75" customHeight="1">
      <c r="H364" s="1"/>
      <c r="I364" s="1"/>
      <c r="J364" s="1"/>
      <c r="K364" s="1"/>
      <c r="L364" s="1"/>
    </row>
    <row r="365" ht="15.75" customHeight="1">
      <c r="H365" s="1"/>
      <c r="I365" s="1"/>
      <c r="J365" s="1"/>
      <c r="K365" s="1"/>
      <c r="L365" s="1"/>
    </row>
    <row r="366" ht="15.75" customHeight="1">
      <c r="H366" s="1"/>
      <c r="I366" s="1"/>
      <c r="J366" s="1"/>
      <c r="K366" s="1"/>
      <c r="L366" s="1"/>
    </row>
    <row r="367" ht="15.75" customHeight="1">
      <c r="H367" s="1"/>
      <c r="I367" s="1"/>
      <c r="J367" s="1"/>
      <c r="K367" s="1"/>
      <c r="L367" s="1"/>
    </row>
    <row r="368" ht="15.75" customHeight="1">
      <c r="H368" s="1"/>
      <c r="I368" s="1"/>
      <c r="J368" s="1"/>
      <c r="K368" s="1"/>
      <c r="L368" s="1"/>
    </row>
    <row r="369" ht="15.75" customHeight="1">
      <c r="H369" s="1"/>
      <c r="I369" s="1"/>
      <c r="J369" s="1"/>
      <c r="K369" s="1"/>
      <c r="L369" s="1"/>
    </row>
    <row r="370" ht="15.75" customHeight="1">
      <c r="H370" s="1"/>
      <c r="I370" s="1"/>
      <c r="J370" s="1"/>
      <c r="K370" s="1"/>
      <c r="L370" s="1"/>
    </row>
    <row r="371" ht="15.75" customHeight="1">
      <c r="H371" s="1"/>
      <c r="I371" s="1"/>
      <c r="J371" s="1"/>
      <c r="K371" s="1"/>
      <c r="L371" s="1"/>
    </row>
    <row r="372" ht="15.75" customHeight="1">
      <c r="H372" s="1"/>
      <c r="I372" s="1"/>
      <c r="J372" s="1"/>
      <c r="K372" s="1"/>
      <c r="L372" s="1"/>
    </row>
    <row r="373" ht="15.75" customHeight="1">
      <c r="H373" s="1"/>
      <c r="I373" s="1"/>
      <c r="J373" s="1"/>
      <c r="K373" s="1"/>
      <c r="L373" s="1"/>
    </row>
    <row r="374" ht="15.75" customHeight="1">
      <c r="H374" s="1"/>
      <c r="I374" s="1"/>
      <c r="J374" s="1"/>
      <c r="K374" s="1"/>
      <c r="L374" s="1"/>
    </row>
    <row r="375" ht="15.75" customHeight="1">
      <c r="H375" s="1"/>
      <c r="I375" s="1"/>
      <c r="J375" s="1"/>
      <c r="K375" s="1"/>
      <c r="L375" s="1"/>
    </row>
    <row r="376" ht="15.75" customHeight="1">
      <c r="H376" s="1"/>
      <c r="I376" s="1"/>
      <c r="J376" s="1"/>
      <c r="K376" s="1"/>
      <c r="L376" s="1"/>
    </row>
    <row r="377" ht="15.75" customHeight="1">
      <c r="H377" s="1"/>
      <c r="I377" s="1"/>
      <c r="J377" s="1"/>
      <c r="K377" s="1"/>
      <c r="L377" s="1"/>
    </row>
    <row r="378" ht="15.75" customHeight="1">
      <c r="H378" s="1"/>
      <c r="I378" s="1"/>
      <c r="J378" s="1"/>
      <c r="K378" s="1"/>
      <c r="L378" s="1"/>
    </row>
    <row r="379" ht="15.75" customHeight="1">
      <c r="H379" s="1"/>
      <c r="I379" s="1"/>
      <c r="J379" s="1"/>
      <c r="K379" s="1"/>
      <c r="L379" s="1"/>
    </row>
    <row r="380" ht="15.75" customHeight="1">
      <c r="H380" s="1"/>
      <c r="I380" s="1"/>
      <c r="J380" s="1"/>
      <c r="K380" s="1"/>
      <c r="L380" s="1"/>
    </row>
    <row r="381" ht="15.75" customHeight="1">
      <c r="H381" s="1"/>
      <c r="I381" s="1"/>
      <c r="J381" s="1"/>
      <c r="K381" s="1"/>
      <c r="L381" s="1"/>
    </row>
    <row r="382" ht="15.75" customHeight="1">
      <c r="H382" s="1"/>
      <c r="I382" s="1"/>
      <c r="J382" s="1"/>
      <c r="K382" s="1"/>
      <c r="L382" s="1"/>
    </row>
    <row r="383" ht="15.75" customHeight="1">
      <c r="H383" s="1"/>
      <c r="I383" s="1"/>
      <c r="J383" s="1"/>
      <c r="K383" s="1"/>
      <c r="L383" s="1"/>
    </row>
    <row r="384" ht="15.75" customHeight="1">
      <c r="H384" s="1"/>
      <c r="I384" s="1"/>
      <c r="J384" s="1"/>
      <c r="K384" s="1"/>
      <c r="L384" s="1"/>
    </row>
    <row r="385" ht="15.75" customHeight="1">
      <c r="H385" s="1"/>
      <c r="I385" s="1"/>
      <c r="J385" s="1"/>
      <c r="K385" s="1"/>
      <c r="L385" s="1"/>
    </row>
    <row r="386" ht="15.75" customHeight="1">
      <c r="H386" s="1"/>
      <c r="I386" s="1"/>
      <c r="J386" s="1"/>
      <c r="K386" s="1"/>
      <c r="L386" s="1"/>
    </row>
    <row r="387" ht="15.75" customHeight="1">
      <c r="H387" s="1"/>
      <c r="I387" s="1"/>
      <c r="J387" s="1"/>
      <c r="K387" s="1"/>
      <c r="L387" s="1"/>
    </row>
    <row r="388" ht="15.75" customHeight="1">
      <c r="H388" s="1"/>
      <c r="I388" s="1"/>
      <c r="J388" s="1"/>
      <c r="K388" s="1"/>
      <c r="L388" s="1"/>
    </row>
    <row r="389" ht="15.75" customHeight="1">
      <c r="H389" s="1"/>
      <c r="I389" s="1"/>
      <c r="J389" s="1"/>
      <c r="K389" s="1"/>
      <c r="L389" s="1"/>
    </row>
    <row r="390" ht="15.75" customHeight="1">
      <c r="H390" s="1"/>
      <c r="I390" s="1"/>
      <c r="J390" s="1"/>
      <c r="K390" s="1"/>
      <c r="L390" s="1"/>
    </row>
    <row r="391" ht="15.75" customHeight="1">
      <c r="H391" s="1"/>
      <c r="I391" s="1"/>
      <c r="J391" s="1"/>
      <c r="K391" s="1"/>
      <c r="L391" s="1"/>
    </row>
    <row r="392" ht="15.75" customHeight="1">
      <c r="H392" s="1"/>
      <c r="I392" s="1"/>
      <c r="J392" s="1"/>
      <c r="K392" s="1"/>
      <c r="L392" s="1"/>
    </row>
    <row r="393" ht="15.75" customHeight="1">
      <c r="H393" s="1"/>
      <c r="I393" s="1"/>
      <c r="J393" s="1"/>
      <c r="K393" s="1"/>
      <c r="L393" s="1"/>
    </row>
    <row r="394" ht="15.75" customHeight="1">
      <c r="H394" s="1"/>
      <c r="I394" s="1"/>
      <c r="J394" s="1"/>
      <c r="K394" s="1"/>
      <c r="L394" s="1"/>
    </row>
    <row r="395" ht="15.75" customHeight="1">
      <c r="H395" s="1"/>
      <c r="I395" s="1"/>
      <c r="J395" s="1"/>
      <c r="K395" s="1"/>
      <c r="L395" s="1"/>
    </row>
    <row r="396" ht="15.75" customHeight="1">
      <c r="H396" s="1"/>
      <c r="I396" s="1"/>
      <c r="J396" s="1"/>
      <c r="K396" s="1"/>
      <c r="L396" s="1"/>
    </row>
    <row r="397" ht="15.75" customHeight="1">
      <c r="H397" s="1"/>
      <c r="I397" s="1"/>
      <c r="J397" s="1"/>
      <c r="K397" s="1"/>
      <c r="L397" s="1"/>
    </row>
    <row r="398" ht="15.75" customHeight="1">
      <c r="H398" s="1"/>
      <c r="I398" s="1"/>
      <c r="J398" s="1"/>
      <c r="K398" s="1"/>
      <c r="L398" s="1"/>
    </row>
    <row r="399" ht="15.75" customHeight="1">
      <c r="H399" s="1"/>
      <c r="I399" s="1"/>
      <c r="J399" s="1"/>
      <c r="K399" s="1"/>
      <c r="L399" s="1"/>
    </row>
    <row r="400" ht="15.75" customHeight="1">
      <c r="H400" s="1"/>
      <c r="I400" s="1"/>
      <c r="J400" s="1"/>
      <c r="K400" s="1"/>
      <c r="L400" s="1"/>
    </row>
    <row r="401" ht="15.75" customHeight="1">
      <c r="H401" s="1"/>
      <c r="I401" s="1"/>
      <c r="J401" s="1"/>
      <c r="K401" s="1"/>
      <c r="L401" s="1"/>
    </row>
    <row r="402" ht="15.75" customHeight="1">
      <c r="H402" s="1"/>
      <c r="I402" s="1"/>
      <c r="J402" s="1"/>
      <c r="K402" s="1"/>
      <c r="L402" s="1"/>
    </row>
    <row r="403" ht="15.75" customHeight="1">
      <c r="H403" s="1"/>
      <c r="I403" s="1"/>
      <c r="J403" s="1"/>
      <c r="K403" s="1"/>
      <c r="L403" s="1"/>
    </row>
    <row r="404" ht="15.75" customHeight="1">
      <c r="H404" s="1"/>
      <c r="I404" s="1"/>
      <c r="J404" s="1"/>
      <c r="K404" s="1"/>
      <c r="L404" s="1"/>
    </row>
    <row r="405" ht="15.75" customHeight="1">
      <c r="H405" s="1"/>
      <c r="I405" s="1"/>
      <c r="J405" s="1"/>
      <c r="K405" s="1"/>
      <c r="L405" s="1"/>
    </row>
    <row r="406" ht="15.75" customHeight="1">
      <c r="H406" s="1"/>
      <c r="I406" s="1"/>
      <c r="J406" s="1"/>
      <c r="K406" s="1"/>
      <c r="L406" s="1"/>
    </row>
    <row r="407" ht="15.75" customHeight="1">
      <c r="H407" s="1"/>
      <c r="I407" s="1"/>
      <c r="J407" s="1"/>
      <c r="K407" s="1"/>
      <c r="L407" s="1"/>
    </row>
    <row r="408" ht="15.75" customHeight="1">
      <c r="H408" s="1"/>
      <c r="I408" s="1"/>
      <c r="J408" s="1"/>
      <c r="K408" s="1"/>
      <c r="L408" s="1"/>
    </row>
    <row r="409" ht="15.75" customHeight="1">
      <c r="H409" s="1"/>
      <c r="I409" s="1"/>
      <c r="J409" s="1"/>
      <c r="K409" s="1"/>
      <c r="L409" s="1"/>
    </row>
    <row r="410" ht="15.75" customHeight="1">
      <c r="H410" s="1"/>
      <c r="I410" s="1"/>
      <c r="J410" s="1"/>
      <c r="K410" s="1"/>
      <c r="L410" s="1"/>
    </row>
    <row r="411" ht="15.75" customHeight="1">
      <c r="H411" s="1"/>
      <c r="I411" s="1"/>
      <c r="J411" s="1"/>
      <c r="K411" s="1"/>
      <c r="L411" s="1"/>
    </row>
    <row r="412" ht="15.75" customHeight="1">
      <c r="H412" s="1"/>
      <c r="I412" s="1"/>
      <c r="J412" s="1"/>
      <c r="K412" s="1"/>
      <c r="L412" s="1"/>
    </row>
    <row r="413" ht="15.75" customHeight="1">
      <c r="H413" s="1"/>
      <c r="I413" s="1"/>
      <c r="J413" s="1"/>
      <c r="K413" s="1"/>
      <c r="L413" s="1"/>
    </row>
    <row r="414" ht="15.75" customHeight="1">
      <c r="H414" s="1"/>
      <c r="I414" s="1"/>
      <c r="J414" s="1"/>
      <c r="K414" s="1"/>
      <c r="L414" s="1"/>
    </row>
    <row r="415" ht="15.75" customHeight="1">
      <c r="H415" s="1"/>
      <c r="I415" s="1"/>
      <c r="J415" s="1"/>
      <c r="K415" s="1"/>
      <c r="L415" s="1"/>
    </row>
    <row r="416" ht="15.75" customHeight="1">
      <c r="H416" s="1"/>
      <c r="I416" s="1"/>
      <c r="J416" s="1"/>
      <c r="K416" s="1"/>
      <c r="L416" s="1"/>
    </row>
    <row r="417" ht="15.75" customHeight="1">
      <c r="H417" s="1"/>
      <c r="I417" s="1"/>
      <c r="J417" s="1"/>
      <c r="K417" s="1"/>
      <c r="L417" s="1"/>
    </row>
    <row r="418" ht="15.75" customHeight="1">
      <c r="H418" s="1"/>
      <c r="I418" s="1"/>
      <c r="J418" s="1"/>
      <c r="K418" s="1"/>
      <c r="L418" s="1"/>
    </row>
    <row r="419" ht="15.75" customHeight="1">
      <c r="H419" s="1"/>
      <c r="I419" s="1"/>
      <c r="J419" s="1"/>
      <c r="K419" s="1"/>
      <c r="L419" s="1"/>
    </row>
    <row r="420" ht="15.75" customHeight="1">
      <c r="H420" s="1"/>
      <c r="I420" s="1"/>
      <c r="J420" s="1"/>
      <c r="K420" s="1"/>
      <c r="L420" s="1"/>
    </row>
    <row r="421" ht="15.75" customHeight="1">
      <c r="H421" s="1"/>
      <c r="I421" s="1"/>
      <c r="J421" s="1"/>
      <c r="K421" s="1"/>
      <c r="L421" s="1"/>
    </row>
    <row r="422" ht="15.75" customHeight="1">
      <c r="H422" s="1"/>
      <c r="I422" s="1"/>
      <c r="J422" s="1"/>
      <c r="K422" s="1"/>
      <c r="L422" s="1"/>
    </row>
    <row r="423" ht="15.75" customHeight="1">
      <c r="H423" s="1"/>
      <c r="I423" s="1"/>
      <c r="J423" s="1"/>
      <c r="K423" s="1"/>
      <c r="L423" s="1"/>
    </row>
    <row r="424" ht="15.75" customHeight="1">
      <c r="H424" s="1"/>
      <c r="I424" s="1"/>
      <c r="J424" s="1"/>
      <c r="K424" s="1"/>
      <c r="L424" s="1"/>
    </row>
    <row r="425" ht="15.75" customHeight="1">
      <c r="H425" s="1"/>
      <c r="I425" s="1"/>
      <c r="J425" s="1"/>
      <c r="K425" s="1"/>
      <c r="L425" s="1"/>
    </row>
    <row r="426" ht="15.75" customHeight="1">
      <c r="H426" s="1"/>
      <c r="I426" s="1"/>
      <c r="J426" s="1"/>
      <c r="K426" s="1"/>
      <c r="L426" s="1"/>
    </row>
    <row r="427" ht="15.75" customHeight="1">
      <c r="H427" s="1"/>
      <c r="I427" s="1"/>
      <c r="J427" s="1"/>
      <c r="K427" s="1"/>
      <c r="L427" s="1"/>
    </row>
    <row r="428" ht="15.75" customHeight="1">
      <c r="H428" s="1"/>
      <c r="I428" s="1"/>
      <c r="J428" s="1"/>
      <c r="K428" s="1"/>
      <c r="L428" s="1"/>
    </row>
    <row r="429" ht="15.75" customHeight="1">
      <c r="H429" s="1"/>
      <c r="I429" s="1"/>
      <c r="J429" s="1"/>
      <c r="K429" s="1"/>
      <c r="L429" s="1"/>
    </row>
    <row r="430" ht="15.75" customHeight="1">
      <c r="H430" s="1"/>
      <c r="I430" s="1"/>
      <c r="J430" s="1"/>
      <c r="K430" s="1"/>
      <c r="L430" s="1"/>
    </row>
    <row r="431" ht="15.75" customHeight="1">
      <c r="H431" s="1"/>
      <c r="I431" s="1"/>
      <c r="J431" s="1"/>
      <c r="K431" s="1"/>
      <c r="L431" s="1"/>
    </row>
    <row r="432" ht="15.75" customHeight="1">
      <c r="H432" s="1"/>
      <c r="I432" s="1"/>
      <c r="J432" s="1"/>
      <c r="K432" s="1"/>
      <c r="L432" s="1"/>
    </row>
    <row r="433" ht="15.75" customHeight="1">
      <c r="H433" s="1"/>
      <c r="I433" s="1"/>
      <c r="J433" s="1"/>
      <c r="K433" s="1"/>
      <c r="L433" s="1"/>
    </row>
    <row r="434" ht="15.75" customHeight="1">
      <c r="H434" s="1"/>
      <c r="I434" s="1"/>
      <c r="J434" s="1"/>
      <c r="K434" s="1"/>
      <c r="L434" s="1"/>
    </row>
    <row r="435" ht="15.75" customHeight="1">
      <c r="H435" s="1"/>
      <c r="I435" s="1"/>
      <c r="J435" s="1"/>
      <c r="K435" s="1"/>
      <c r="L435" s="1"/>
    </row>
    <row r="436" ht="15.75" customHeight="1">
      <c r="H436" s="1"/>
      <c r="I436" s="1"/>
      <c r="J436" s="1"/>
      <c r="K436" s="1"/>
      <c r="L436" s="1"/>
    </row>
    <row r="437" ht="15.75" customHeight="1">
      <c r="H437" s="1"/>
      <c r="I437" s="1"/>
      <c r="J437" s="1"/>
      <c r="K437" s="1"/>
      <c r="L437" s="1"/>
    </row>
    <row r="438" ht="15.75" customHeight="1">
      <c r="H438" s="1"/>
      <c r="I438" s="1"/>
      <c r="J438" s="1"/>
      <c r="K438" s="1"/>
      <c r="L438" s="1"/>
    </row>
    <row r="439" ht="15.75" customHeight="1">
      <c r="H439" s="1"/>
      <c r="I439" s="1"/>
      <c r="J439" s="1"/>
      <c r="K439" s="1"/>
      <c r="L439" s="1"/>
    </row>
    <row r="440" ht="15.75" customHeight="1">
      <c r="H440" s="1"/>
      <c r="I440" s="1"/>
      <c r="J440" s="1"/>
      <c r="K440" s="1"/>
      <c r="L440" s="1"/>
    </row>
    <row r="441" ht="15.75" customHeight="1">
      <c r="H441" s="1"/>
      <c r="I441" s="1"/>
      <c r="J441" s="1"/>
      <c r="K441" s="1"/>
      <c r="L441" s="1"/>
    </row>
    <row r="442" ht="15.75" customHeight="1">
      <c r="H442" s="1"/>
      <c r="I442" s="1"/>
      <c r="J442" s="1"/>
      <c r="K442" s="1"/>
      <c r="L442" s="1"/>
    </row>
    <row r="443" ht="15.75" customHeight="1">
      <c r="H443" s="1"/>
      <c r="I443" s="1"/>
      <c r="J443" s="1"/>
      <c r="K443" s="1"/>
      <c r="L443" s="1"/>
    </row>
    <row r="444" ht="15.75" customHeight="1">
      <c r="H444" s="1"/>
      <c r="I444" s="1"/>
      <c r="J444" s="1"/>
      <c r="K444" s="1"/>
      <c r="L444" s="1"/>
    </row>
    <row r="445" ht="15.75" customHeight="1">
      <c r="H445" s="1"/>
      <c r="I445" s="1"/>
      <c r="J445" s="1"/>
      <c r="K445" s="1"/>
      <c r="L445" s="1"/>
    </row>
    <row r="446" ht="15.75" customHeight="1">
      <c r="H446" s="1"/>
      <c r="I446" s="1"/>
      <c r="J446" s="1"/>
      <c r="K446" s="1"/>
      <c r="L446" s="1"/>
    </row>
    <row r="447" ht="15.75" customHeight="1">
      <c r="H447" s="1"/>
      <c r="I447" s="1"/>
      <c r="J447" s="1"/>
      <c r="K447" s="1"/>
      <c r="L447" s="1"/>
    </row>
    <row r="448" ht="15.75" customHeight="1">
      <c r="H448" s="1"/>
      <c r="I448" s="1"/>
      <c r="J448" s="1"/>
      <c r="K448" s="1"/>
      <c r="L448" s="1"/>
    </row>
    <row r="449" ht="15.75" customHeight="1">
      <c r="H449" s="1"/>
      <c r="I449" s="1"/>
      <c r="J449" s="1"/>
      <c r="K449" s="1"/>
      <c r="L449" s="1"/>
    </row>
    <row r="450" ht="15.75" customHeight="1">
      <c r="H450" s="1"/>
      <c r="I450" s="1"/>
      <c r="J450" s="1"/>
      <c r="K450" s="1"/>
      <c r="L450" s="1"/>
    </row>
    <row r="451" ht="15.75" customHeight="1">
      <c r="H451" s="1"/>
      <c r="I451" s="1"/>
      <c r="J451" s="1"/>
      <c r="K451" s="1"/>
      <c r="L451" s="1"/>
    </row>
    <row r="452" ht="15.75" customHeight="1">
      <c r="H452" s="1"/>
      <c r="I452" s="1"/>
      <c r="J452" s="1"/>
      <c r="K452" s="1"/>
      <c r="L452" s="1"/>
    </row>
    <row r="453" ht="15.75" customHeight="1">
      <c r="H453" s="1"/>
      <c r="I453" s="1"/>
      <c r="J453" s="1"/>
      <c r="K453" s="1"/>
      <c r="L453" s="1"/>
    </row>
    <row r="454" ht="15.75" customHeight="1">
      <c r="H454" s="1"/>
      <c r="I454" s="1"/>
      <c r="J454" s="1"/>
      <c r="K454" s="1"/>
      <c r="L454" s="1"/>
    </row>
    <row r="455" ht="15.75" customHeight="1">
      <c r="H455" s="1"/>
      <c r="I455" s="1"/>
      <c r="J455" s="1"/>
      <c r="K455" s="1"/>
      <c r="L455" s="1"/>
    </row>
    <row r="456" ht="15.75" customHeight="1">
      <c r="H456" s="1"/>
      <c r="I456" s="1"/>
      <c r="J456" s="1"/>
      <c r="K456" s="1"/>
      <c r="L456" s="1"/>
    </row>
    <row r="457" ht="15.75" customHeight="1">
      <c r="H457" s="1"/>
      <c r="I457" s="1"/>
      <c r="J457" s="1"/>
      <c r="K457" s="1"/>
      <c r="L457" s="1"/>
    </row>
    <row r="458" ht="15.75" customHeight="1">
      <c r="H458" s="1"/>
      <c r="I458" s="1"/>
      <c r="J458" s="1"/>
      <c r="K458" s="1"/>
      <c r="L458" s="1"/>
    </row>
    <row r="459" ht="15.75" customHeight="1">
      <c r="H459" s="1"/>
      <c r="I459" s="1"/>
      <c r="J459" s="1"/>
      <c r="K459" s="1"/>
      <c r="L459" s="1"/>
    </row>
    <row r="460" ht="15.75" customHeight="1">
      <c r="H460" s="1"/>
      <c r="I460" s="1"/>
      <c r="J460" s="1"/>
      <c r="K460" s="1"/>
      <c r="L460" s="1"/>
    </row>
    <row r="461" ht="15.75" customHeight="1">
      <c r="H461" s="1"/>
      <c r="I461" s="1"/>
      <c r="J461" s="1"/>
      <c r="K461" s="1"/>
      <c r="L461" s="1"/>
    </row>
    <row r="462" ht="15.75" customHeight="1">
      <c r="H462" s="1"/>
      <c r="I462" s="1"/>
      <c r="J462" s="1"/>
      <c r="K462" s="1"/>
      <c r="L462" s="1"/>
    </row>
    <row r="463" ht="15.75" customHeight="1">
      <c r="H463" s="1"/>
      <c r="I463" s="1"/>
      <c r="J463" s="1"/>
      <c r="K463" s="1"/>
      <c r="L463" s="1"/>
    </row>
    <row r="464" ht="15.75" customHeight="1">
      <c r="H464" s="1"/>
      <c r="I464" s="1"/>
      <c r="J464" s="1"/>
      <c r="K464" s="1"/>
      <c r="L464" s="1"/>
    </row>
    <row r="465" ht="15.75" customHeight="1">
      <c r="H465" s="1"/>
      <c r="I465" s="1"/>
      <c r="J465" s="1"/>
      <c r="K465" s="1"/>
      <c r="L465" s="1"/>
    </row>
    <row r="466" ht="15.75" customHeight="1">
      <c r="H466" s="1"/>
      <c r="I466" s="1"/>
      <c r="J466" s="1"/>
      <c r="K466" s="1"/>
      <c r="L466" s="1"/>
    </row>
    <row r="467" ht="15.75" customHeight="1">
      <c r="H467" s="1"/>
      <c r="I467" s="1"/>
      <c r="J467" s="1"/>
      <c r="K467" s="1"/>
      <c r="L467" s="1"/>
    </row>
    <row r="468" ht="15.75" customHeight="1">
      <c r="H468" s="1"/>
      <c r="I468" s="1"/>
      <c r="J468" s="1"/>
      <c r="K468" s="1"/>
      <c r="L468" s="1"/>
    </row>
    <row r="469" ht="15.75" customHeight="1">
      <c r="H469" s="1"/>
      <c r="I469" s="1"/>
      <c r="J469" s="1"/>
      <c r="K469" s="1"/>
      <c r="L469" s="1"/>
    </row>
    <row r="470" ht="15.75" customHeight="1">
      <c r="H470" s="1"/>
      <c r="I470" s="1"/>
      <c r="J470" s="1"/>
      <c r="K470" s="1"/>
      <c r="L470" s="1"/>
    </row>
    <row r="471" ht="15.75" customHeight="1">
      <c r="H471" s="1"/>
      <c r="I471" s="1"/>
      <c r="J471" s="1"/>
      <c r="K471" s="1"/>
      <c r="L471" s="1"/>
    </row>
    <row r="472" ht="15.75" customHeight="1">
      <c r="H472" s="1"/>
      <c r="I472" s="1"/>
      <c r="J472" s="1"/>
      <c r="K472" s="1"/>
      <c r="L472" s="1"/>
    </row>
    <row r="473" ht="15.75" customHeight="1">
      <c r="H473" s="1"/>
      <c r="I473" s="1"/>
      <c r="J473" s="1"/>
      <c r="K473" s="1"/>
      <c r="L473" s="1"/>
    </row>
    <row r="474" ht="15.75" customHeight="1">
      <c r="H474" s="1"/>
      <c r="I474" s="1"/>
      <c r="J474" s="1"/>
      <c r="K474" s="1"/>
      <c r="L474" s="1"/>
    </row>
    <row r="475" ht="15.75" customHeight="1">
      <c r="H475" s="1"/>
      <c r="I475" s="1"/>
      <c r="J475" s="1"/>
      <c r="K475" s="1"/>
      <c r="L475" s="1"/>
    </row>
    <row r="476" ht="15.75" customHeight="1">
      <c r="H476" s="1"/>
      <c r="I476" s="1"/>
      <c r="J476" s="1"/>
      <c r="K476" s="1"/>
      <c r="L476" s="1"/>
    </row>
    <row r="477" ht="15.75" customHeight="1">
      <c r="H477" s="1"/>
      <c r="I477" s="1"/>
      <c r="J477" s="1"/>
      <c r="K477" s="1"/>
      <c r="L477" s="1"/>
    </row>
    <row r="478" ht="15.75" customHeight="1">
      <c r="H478" s="1"/>
      <c r="I478" s="1"/>
      <c r="J478" s="1"/>
      <c r="K478" s="1"/>
      <c r="L478" s="1"/>
    </row>
    <row r="479" ht="15.75" customHeight="1">
      <c r="H479" s="1"/>
      <c r="I479" s="1"/>
      <c r="J479" s="1"/>
      <c r="K479" s="1"/>
      <c r="L479" s="1"/>
    </row>
    <row r="480" ht="15.75" customHeight="1">
      <c r="H480" s="1"/>
      <c r="I480" s="1"/>
      <c r="J480" s="1"/>
      <c r="K480" s="1"/>
      <c r="L480" s="1"/>
    </row>
    <row r="481" ht="15.75" customHeight="1">
      <c r="H481" s="1"/>
      <c r="I481" s="1"/>
      <c r="J481" s="1"/>
      <c r="K481" s="1"/>
      <c r="L481" s="1"/>
    </row>
    <row r="482" ht="15.75" customHeight="1">
      <c r="H482" s="1"/>
      <c r="I482" s="1"/>
      <c r="J482" s="1"/>
      <c r="K482" s="1"/>
      <c r="L482" s="1"/>
    </row>
    <row r="483" ht="15.75" customHeight="1">
      <c r="H483" s="1"/>
      <c r="I483" s="1"/>
      <c r="J483" s="1"/>
      <c r="K483" s="1"/>
      <c r="L483" s="1"/>
    </row>
    <row r="484" ht="15.75" customHeight="1">
      <c r="H484" s="1"/>
      <c r="I484" s="1"/>
      <c r="J484" s="1"/>
      <c r="K484" s="1"/>
      <c r="L484" s="1"/>
    </row>
    <row r="485" ht="15.75" customHeight="1">
      <c r="H485" s="1"/>
      <c r="I485" s="1"/>
      <c r="J485" s="1"/>
      <c r="K485" s="1"/>
      <c r="L485" s="1"/>
    </row>
    <row r="486" ht="15.75" customHeight="1">
      <c r="H486" s="1"/>
      <c r="I486" s="1"/>
      <c r="J486" s="1"/>
      <c r="K486" s="1"/>
      <c r="L486" s="1"/>
    </row>
    <row r="487" ht="15.75" customHeight="1">
      <c r="H487" s="1"/>
      <c r="I487" s="1"/>
      <c r="J487" s="1"/>
      <c r="K487" s="1"/>
      <c r="L487" s="1"/>
    </row>
    <row r="488" ht="15.75" customHeight="1">
      <c r="H488" s="1"/>
      <c r="I488" s="1"/>
      <c r="J488" s="1"/>
      <c r="K488" s="1"/>
      <c r="L488" s="1"/>
    </row>
    <row r="489" ht="15.75" customHeight="1">
      <c r="H489" s="1"/>
      <c r="I489" s="1"/>
      <c r="J489" s="1"/>
      <c r="K489" s="1"/>
      <c r="L489" s="1"/>
    </row>
    <row r="490" ht="15.75" customHeight="1">
      <c r="H490" s="1"/>
      <c r="I490" s="1"/>
      <c r="J490" s="1"/>
      <c r="K490" s="1"/>
      <c r="L490" s="1"/>
    </row>
    <row r="491" ht="15.75" customHeight="1">
      <c r="H491" s="1"/>
      <c r="I491" s="1"/>
      <c r="J491" s="1"/>
      <c r="K491" s="1"/>
      <c r="L491" s="1"/>
    </row>
    <row r="492" ht="15.75" customHeight="1">
      <c r="H492" s="1"/>
      <c r="I492" s="1"/>
      <c r="J492" s="1"/>
      <c r="K492" s="1"/>
      <c r="L492" s="1"/>
    </row>
    <row r="493" ht="15.75" customHeight="1">
      <c r="H493" s="1"/>
      <c r="I493" s="1"/>
      <c r="J493" s="1"/>
      <c r="K493" s="1"/>
      <c r="L493" s="1"/>
    </row>
    <row r="494" ht="15.75" customHeight="1">
      <c r="H494" s="1"/>
      <c r="I494" s="1"/>
      <c r="J494" s="1"/>
      <c r="K494" s="1"/>
      <c r="L494" s="1"/>
    </row>
    <row r="495" ht="15.75" customHeight="1">
      <c r="H495" s="1"/>
      <c r="I495" s="1"/>
      <c r="J495" s="1"/>
      <c r="K495" s="1"/>
      <c r="L495" s="1"/>
    </row>
    <row r="496" ht="15.75" customHeight="1">
      <c r="H496" s="1"/>
      <c r="I496" s="1"/>
      <c r="J496" s="1"/>
      <c r="K496" s="1"/>
      <c r="L496" s="1"/>
    </row>
    <row r="497" ht="15.75" customHeight="1">
      <c r="H497" s="1"/>
      <c r="I497" s="1"/>
      <c r="J497" s="1"/>
      <c r="K497" s="1"/>
      <c r="L497" s="1"/>
    </row>
    <row r="498" ht="15.75" customHeight="1">
      <c r="H498" s="1"/>
      <c r="I498" s="1"/>
      <c r="J498" s="1"/>
      <c r="K498" s="1"/>
      <c r="L498" s="1"/>
    </row>
    <row r="499" ht="15.75" customHeight="1">
      <c r="H499" s="1"/>
      <c r="I499" s="1"/>
      <c r="J499" s="1"/>
      <c r="K499" s="1"/>
      <c r="L499" s="1"/>
    </row>
    <row r="500" ht="15.75" customHeight="1">
      <c r="H500" s="1"/>
      <c r="I500" s="1"/>
      <c r="J500" s="1"/>
      <c r="K500" s="1"/>
      <c r="L500" s="1"/>
    </row>
    <row r="501" ht="15.75" customHeight="1">
      <c r="H501" s="1"/>
      <c r="I501" s="1"/>
      <c r="J501" s="1"/>
      <c r="K501" s="1"/>
      <c r="L501" s="1"/>
    </row>
    <row r="502" ht="15.75" customHeight="1">
      <c r="H502" s="1"/>
      <c r="I502" s="1"/>
      <c r="J502" s="1"/>
      <c r="K502" s="1"/>
      <c r="L502" s="1"/>
    </row>
    <row r="503" ht="15.75" customHeight="1">
      <c r="H503" s="1"/>
      <c r="I503" s="1"/>
      <c r="J503" s="1"/>
      <c r="K503" s="1"/>
      <c r="L503" s="1"/>
    </row>
    <row r="504" ht="15.75" customHeight="1">
      <c r="H504" s="1"/>
      <c r="I504" s="1"/>
      <c r="J504" s="1"/>
      <c r="K504" s="1"/>
      <c r="L504" s="1"/>
    </row>
    <row r="505" ht="15.75" customHeight="1">
      <c r="H505" s="1"/>
      <c r="I505" s="1"/>
      <c r="J505" s="1"/>
      <c r="K505" s="1"/>
      <c r="L505" s="1"/>
    </row>
    <row r="506" ht="15.75" customHeight="1">
      <c r="H506" s="1"/>
      <c r="I506" s="1"/>
      <c r="J506" s="1"/>
      <c r="K506" s="1"/>
      <c r="L506" s="1"/>
    </row>
    <row r="507" ht="15.75" customHeight="1">
      <c r="H507" s="1"/>
      <c r="I507" s="1"/>
      <c r="J507" s="1"/>
      <c r="K507" s="1"/>
      <c r="L507" s="1"/>
    </row>
    <row r="508" ht="15.75" customHeight="1">
      <c r="H508" s="1"/>
      <c r="I508" s="1"/>
      <c r="J508" s="1"/>
      <c r="K508" s="1"/>
      <c r="L508" s="1"/>
    </row>
    <row r="509" ht="15.75" customHeight="1">
      <c r="H509" s="1"/>
      <c r="I509" s="1"/>
      <c r="J509" s="1"/>
      <c r="K509" s="1"/>
      <c r="L509" s="1"/>
    </row>
    <row r="510" ht="15.75" customHeight="1">
      <c r="H510" s="1"/>
      <c r="I510" s="1"/>
      <c r="J510" s="1"/>
      <c r="K510" s="1"/>
      <c r="L510" s="1"/>
    </row>
    <row r="511" ht="15.75" customHeight="1">
      <c r="H511" s="1"/>
      <c r="I511" s="1"/>
      <c r="J511" s="1"/>
      <c r="K511" s="1"/>
      <c r="L511" s="1"/>
    </row>
    <row r="512" ht="15.75" customHeight="1">
      <c r="H512" s="1"/>
      <c r="I512" s="1"/>
      <c r="J512" s="1"/>
      <c r="K512" s="1"/>
      <c r="L512" s="1"/>
    </row>
    <row r="513" ht="15.75" customHeight="1">
      <c r="H513" s="1"/>
      <c r="I513" s="1"/>
      <c r="J513" s="1"/>
      <c r="K513" s="1"/>
      <c r="L513" s="1"/>
    </row>
    <row r="514" ht="15.75" customHeight="1">
      <c r="H514" s="1"/>
      <c r="I514" s="1"/>
      <c r="J514" s="1"/>
      <c r="K514" s="1"/>
      <c r="L514" s="1"/>
    </row>
    <row r="515" ht="15.75" customHeight="1">
      <c r="H515" s="1"/>
      <c r="I515" s="1"/>
      <c r="J515" s="1"/>
      <c r="K515" s="1"/>
      <c r="L515" s="1"/>
    </row>
    <row r="516" ht="15.75" customHeight="1">
      <c r="H516" s="1"/>
      <c r="I516" s="1"/>
      <c r="J516" s="1"/>
      <c r="K516" s="1"/>
      <c r="L516" s="1"/>
    </row>
    <row r="517" ht="15.75" customHeight="1">
      <c r="H517" s="1"/>
      <c r="I517" s="1"/>
      <c r="J517" s="1"/>
      <c r="K517" s="1"/>
      <c r="L517" s="1"/>
    </row>
    <row r="518" ht="15.75" customHeight="1">
      <c r="H518" s="1"/>
      <c r="I518" s="1"/>
      <c r="J518" s="1"/>
      <c r="K518" s="1"/>
      <c r="L518" s="1"/>
    </row>
    <row r="519" ht="15.75" customHeight="1">
      <c r="H519" s="1"/>
      <c r="I519" s="1"/>
      <c r="J519" s="1"/>
      <c r="K519" s="1"/>
      <c r="L519" s="1"/>
    </row>
    <row r="520" ht="15.75" customHeight="1">
      <c r="H520" s="1"/>
      <c r="I520" s="1"/>
      <c r="J520" s="1"/>
      <c r="K520" s="1"/>
      <c r="L520" s="1"/>
    </row>
    <row r="521" ht="15.75" customHeight="1">
      <c r="H521" s="1"/>
      <c r="I521" s="1"/>
      <c r="J521" s="1"/>
      <c r="K521" s="1"/>
      <c r="L521" s="1"/>
    </row>
    <row r="522" ht="15.75" customHeight="1">
      <c r="H522" s="1"/>
      <c r="I522" s="1"/>
      <c r="J522" s="1"/>
      <c r="K522" s="1"/>
      <c r="L522" s="1"/>
    </row>
    <row r="523" ht="15.75" customHeight="1">
      <c r="H523" s="1"/>
      <c r="I523" s="1"/>
      <c r="J523" s="1"/>
      <c r="K523" s="1"/>
      <c r="L523" s="1"/>
    </row>
    <row r="524" ht="15.75" customHeight="1">
      <c r="H524" s="1"/>
      <c r="I524" s="1"/>
      <c r="J524" s="1"/>
      <c r="K524" s="1"/>
      <c r="L524" s="1"/>
    </row>
    <row r="525" ht="15.75" customHeight="1">
      <c r="H525" s="1"/>
      <c r="I525" s="1"/>
      <c r="J525" s="1"/>
      <c r="K525" s="1"/>
      <c r="L525" s="1"/>
    </row>
    <row r="526" ht="15.75" customHeight="1">
      <c r="H526" s="1"/>
      <c r="I526" s="1"/>
      <c r="J526" s="1"/>
      <c r="K526" s="1"/>
      <c r="L526" s="1"/>
    </row>
    <row r="527" ht="15.75" customHeight="1">
      <c r="H527" s="1"/>
      <c r="I527" s="1"/>
      <c r="J527" s="1"/>
      <c r="K527" s="1"/>
      <c r="L527" s="1"/>
    </row>
    <row r="528" ht="15.75" customHeight="1">
      <c r="H528" s="1"/>
      <c r="I528" s="1"/>
      <c r="J528" s="1"/>
      <c r="K528" s="1"/>
      <c r="L528" s="1"/>
    </row>
    <row r="529" ht="15.75" customHeight="1">
      <c r="H529" s="1"/>
      <c r="I529" s="1"/>
      <c r="J529" s="1"/>
      <c r="K529" s="1"/>
      <c r="L529" s="1"/>
    </row>
    <row r="530" ht="15.75" customHeight="1">
      <c r="H530" s="1"/>
      <c r="I530" s="1"/>
      <c r="J530" s="1"/>
      <c r="K530" s="1"/>
      <c r="L530" s="1"/>
    </row>
    <row r="531" ht="15.75" customHeight="1">
      <c r="H531" s="1"/>
      <c r="I531" s="1"/>
      <c r="J531" s="1"/>
      <c r="K531" s="1"/>
      <c r="L531" s="1"/>
    </row>
    <row r="532" ht="15.75" customHeight="1">
      <c r="H532" s="1"/>
      <c r="I532" s="1"/>
      <c r="J532" s="1"/>
      <c r="K532" s="1"/>
      <c r="L532" s="1"/>
    </row>
    <row r="533" ht="15.75" customHeight="1">
      <c r="H533" s="1"/>
      <c r="I533" s="1"/>
      <c r="J533" s="1"/>
      <c r="K533" s="1"/>
      <c r="L533" s="1"/>
    </row>
    <row r="534" ht="15.75" customHeight="1">
      <c r="H534" s="1"/>
      <c r="I534" s="1"/>
      <c r="J534" s="1"/>
      <c r="K534" s="1"/>
      <c r="L534" s="1"/>
    </row>
    <row r="535" ht="15.75" customHeight="1">
      <c r="H535" s="1"/>
      <c r="I535" s="1"/>
      <c r="J535" s="1"/>
      <c r="K535" s="1"/>
      <c r="L535" s="1"/>
    </row>
    <row r="536" ht="15.75" customHeight="1">
      <c r="H536" s="1"/>
      <c r="I536" s="1"/>
      <c r="J536" s="1"/>
      <c r="K536" s="1"/>
      <c r="L536" s="1"/>
    </row>
    <row r="537" ht="15.75" customHeight="1">
      <c r="H537" s="1"/>
      <c r="I537" s="1"/>
      <c r="J537" s="1"/>
      <c r="K537" s="1"/>
      <c r="L537" s="1"/>
    </row>
    <row r="538" ht="15.75" customHeight="1">
      <c r="H538" s="1"/>
      <c r="I538" s="1"/>
      <c r="J538" s="1"/>
      <c r="K538" s="1"/>
      <c r="L538" s="1"/>
    </row>
    <row r="539" ht="15.75" customHeight="1">
      <c r="H539" s="1"/>
      <c r="I539" s="1"/>
      <c r="J539" s="1"/>
      <c r="K539" s="1"/>
      <c r="L539" s="1"/>
    </row>
    <row r="540" ht="15.75" customHeight="1">
      <c r="H540" s="1"/>
      <c r="I540" s="1"/>
      <c r="J540" s="1"/>
      <c r="K540" s="1"/>
      <c r="L540" s="1"/>
    </row>
    <row r="541" ht="15.75" customHeight="1">
      <c r="H541" s="1"/>
      <c r="I541" s="1"/>
      <c r="J541" s="1"/>
      <c r="K541" s="1"/>
      <c r="L541" s="1"/>
    </row>
    <row r="542" ht="15.75" customHeight="1">
      <c r="H542" s="1"/>
      <c r="I542" s="1"/>
      <c r="J542" s="1"/>
      <c r="K542" s="1"/>
      <c r="L542" s="1"/>
    </row>
    <row r="543" ht="15.75" customHeight="1">
      <c r="H543" s="1"/>
      <c r="I543" s="1"/>
      <c r="J543" s="1"/>
      <c r="K543" s="1"/>
      <c r="L543" s="1"/>
    </row>
    <row r="544" ht="15.75" customHeight="1">
      <c r="H544" s="1"/>
      <c r="I544" s="1"/>
      <c r="J544" s="1"/>
      <c r="K544" s="1"/>
      <c r="L544" s="1"/>
    </row>
    <row r="545" ht="15.75" customHeight="1">
      <c r="H545" s="1"/>
      <c r="I545" s="1"/>
      <c r="J545" s="1"/>
      <c r="K545" s="1"/>
      <c r="L545" s="1"/>
    </row>
    <row r="546" ht="15.75" customHeight="1">
      <c r="H546" s="1"/>
      <c r="I546" s="1"/>
      <c r="J546" s="1"/>
      <c r="K546" s="1"/>
      <c r="L546" s="1"/>
    </row>
    <row r="547" ht="15.75" customHeight="1">
      <c r="H547" s="1"/>
      <c r="I547" s="1"/>
      <c r="J547" s="1"/>
      <c r="K547" s="1"/>
      <c r="L547" s="1"/>
    </row>
    <row r="548" ht="15.75" customHeight="1">
      <c r="H548" s="1"/>
      <c r="I548" s="1"/>
      <c r="J548" s="1"/>
      <c r="K548" s="1"/>
      <c r="L548" s="1"/>
    </row>
    <row r="549" ht="15.75" customHeight="1">
      <c r="H549" s="1"/>
      <c r="I549" s="1"/>
      <c r="J549" s="1"/>
      <c r="K549" s="1"/>
      <c r="L549" s="1"/>
    </row>
    <row r="550" ht="15.75" customHeight="1">
      <c r="H550" s="1"/>
      <c r="I550" s="1"/>
      <c r="J550" s="1"/>
      <c r="K550" s="1"/>
      <c r="L550" s="1"/>
    </row>
    <row r="551" ht="15.75" customHeight="1">
      <c r="H551" s="1"/>
      <c r="I551" s="1"/>
      <c r="J551" s="1"/>
      <c r="K551" s="1"/>
      <c r="L551" s="1"/>
    </row>
    <row r="552" ht="15.75" customHeight="1">
      <c r="H552" s="1"/>
      <c r="I552" s="1"/>
      <c r="J552" s="1"/>
      <c r="K552" s="1"/>
      <c r="L552" s="1"/>
    </row>
    <row r="553" ht="15.75" customHeight="1">
      <c r="H553" s="1"/>
      <c r="I553" s="1"/>
      <c r="J553" s="1"/>
      <c r="K553" s="1"/>
      <c r="L553" s="1"/>
    </row>
    <row r="554" ht="15.75" customHeight="1">
      <c r="H554" s="1"/>
      <c r="I554" s="1"/>
      <c r="J554" s="1"/>
      <c r="K554" s="1"/>
      <c r="L554" s="1"/>
    </row>
    <row r="555" ht="15.75" customHeight="1">
      <c r="H555" s="1"/>
      <c r="I555" s="1"/>
      <c r="J555" s="1"/>
      <c r="K555" s="1"/>
      <c r="L555" s="1"/>
    </row>
    <row r="556" ht="15.75" customHeight="1">
      <c r="H556" s="1"/>
      <c r="I556" s="1"/>
      <c r="J556" s="1"/>
      <c r="K556" s="1"/>
      <c r="L556" s="1"/>
    </row>
    <row r="557" ht="15.75" customHeight="1">
      <c r="H557" s="1"/>
      <c r="I557" s="1"/>
      <c r="J557" s="1"/>
      <c r="K557" s="1"/>
      <c r="L557" s="1"/>
    </row>
    <row r="558" ht="15.75" customHeight="1">
      <c r="H558" s="1"/>
      <c r="I558" s="1"/>
      <c r="J558" s="1"/>
      <c r="K558" s="1"/>
      <c r="L558" s="1"/>
    </row>
    <row r="559" ht="15.75" customHeight="1">
      <c r="H559" s="1"/>
      <c r="I559" s="1"/>
      <c r="J559" s="1"/>
      <c r="K559" s="1"/>
      <c r="L559" s="1"/>
    </row>
    <row r="560" ht="15.75" customHeight="1">
      <c r="H560" s="1"/>
      <c r="I560" s="1"/>
      <c r="J560" s="1"/>
      <c r="K560" s="1"/>
      <c r="L560" s="1"/>
    </row>
    <row r="561" ht="15.75" customHeight="1">
      <c r="H561" s="1"/>
      <c r="I561" s="1"/>
      <c r="J561" s="1"/>
      <c r="K561" s="1"/>
      <c r="L561" s="1"/>
    </row>
    <row r="562" ht="15.75" customHeight="1">
      <c r="H562" s="1"/>
      <c r="I562" s="1"/>
      <c r="J562" s="1"/>
      <c r="K562" s="1"/>
      <c r="L562" s="1"/>
    </row>
    <row r="563" ht="15.75" customHeight="1">
      <c r="H563" s="1"/>
      <c r="I563" s="1"/>
      <c r="J563" s="1"/>
      <c r="K563" s="1"/>
      <c r="L563" s="1"/>
    </row>
    <row r="564" ht="15.75" customHeight="1">
      <c r="H564" s="1"/>
      <c r="I564" s="1"/>
      <c r="J564" s="1"/>
      <c r="K564" s="1"/>
      <c r="L564" s="1"/>
    </row>
    <row r="565" ht="15.75" customHeight="1">
      <c r="H565" s="1"/>
      <c r="I565" s="1"/>
      <c r="J565" s="1"/>
      <c r="K565" s="1"/>
      <c r="L565" s="1"/>
    </row>
    <row r="566" ht="15.75" customHeight="1">
      <c r="H566" s="1"/>
      <c r="I566" s="1"/>
      <c r="J566" s="1"/>
      <c r="K566" s="1"/>
      <c r="L566" s="1"/>
    </row>
    <row r="567" ht="15.75" customHeight="1">
      <c r="H567" s="1"/>
      <c r="I567" s="1"/>
      <c r="J567" s="1"/>
      <c r="K567" s="1"/>
      <c r="L567" s="1"/>
    </row>
    <row r="568" ht="15.75" customHeight="1">
      <c r="H568" s="1"/>
      <c r="I568" s="1"/>
      <c r="J568" s="1"/>
      <c r="K568" s="1"/>
      <c r="L568" s="1"/>
    </row>
    <row r="569" ht="15.75" customHeight="1">
      <c r="H569" s="1"/>
      <c r="I569" s="1"/>
      <c r="J569" s="1"/>
      <c r="K569" s="1"/>
      <c r="L569" s="1"/>
    </row>
    <row r="570" ht="15.75" customHeight="1">
      <c r="H570" s="1"/>
      <c r="I570" s="1"/>
      <c r="J570" s="1"/>
      <c r="K570" s="1"/>
      <c r="L570" s="1"/>
    </row>
    <row r="571" ht="15.75" customHeight="1">
      <c r="H571" s="1"/>
      <c r="I571" s="1"/>
      <c r="J571" s="1"/>
      <c r="K571" s="1"/>
      <c r="L571" s="1"/>
    </row>
    <row r="572" ht="15.75" customHeight="1">
      <c r="H572" s="1"/>
      <c r="I572" s="1"/>
      <c r="J572" s="1"/>
      <c r="K572" s="1"/>
      <c r="L572" s="1"/>
    </row>
    <row r="573" ht="15.75" customHeight="1">
      <c r="H573" s="1"/>
      <c r="I573" s="1"/>
      <c r="J573" s="1"/>
      <c r="K573" s="1"/>
      <c r="L573" s="1"/>
    </row>
    <row r="574" ht="15.75" customHeight="1">
      <c r="H574" s="1"/>
      <c r="I574" s="1"/>
      <c r="J574" s="1"/>
      <c r="K574" s="1"/>
      <c r="L574" s="1"/>
    </row>
    <row r="575" ht="15.75" customHeight="1">
      <c r="H575" s="1"/>
      <c r="I575" s="1"/>
      <c r="J575" s="1"/>
      <c r="K575" s="1"/>
      <c r="L575" s="1"/>
    </row>
    <row r="576" ht="15.75" customHeight="1">
      <c r="H576" s="1"/>
      <c r="I576" s="1"/>
      <c r="J576" s="1"/>
      <c r="K576" s="1"/>
      <c r="L576" s="1"/>
    </row>
    <row r="577" ht="15.75" customHeight="1">
      <c r="H577" s="1"/>
      <c r="I577" s="1"/>
      <c r="J577" s="1"/>
      <c r="K577" s="1"/>
      <c r="L577" s="1"/>
    </row>
    <row r="578" ht="15.75" customHeight="1">
      <c r="H578" s="1"/>
      <c r="I578" s="1"/>
      <c r="J578" s="1"/>
      <c r="K578" s="1"/>
      <c r="L578" s="1"/>
    </row>
    <row r="579" ht="15.75" customHeight="1">
      <c r="H579" s="1"/>
      <c r="I579" s="1"/>
      <c r="J579" s="1"/>
      <c r="K579" s="1"/>
      <c r="L579" s="1"/>
    </row>
    <row r="580" ht="15.75" customHeight="1">
      <c r="H580" s="1"/>
      <c r="I580" s="1"/>
      <c r="J580" s="1"/>
      <c r="K580" s="1"/>
      <c r="L580" s="1"/>
    </row>
    <row r="581" ht="15.75" customHeight="1">
      <c r="H581" s="1"/>
      <c r="I581" s="1"/>
      <c r="J581" s="1"/>
      <c r="K581" s="1"/>
      <c r="L581" s="1"/>
    </row>
    <row r="582" ht="15.75" customHeight="1">
      <c r="H582" s="1"/>
      <c r="I582" s="1"/>
      <c r="J582" s="1"/>
      <c r="K582" s="1"/>
      <c r="L582" s="1"/>
    </row>
    <row r="583" ht="15.75" customHeight="1">
      <c r="H583" s="1"/>
      <c r="I583" s="1"/>
      <c r="J583" s="1"/>
      <c r="K583" s="1"/>
      <c r="L583" s="1"/>
    </row>
    <row r="584" ht="15.75" customHeight="1">
      <c r="H584" s="1"/>
      <c r="I584" s="1"/>
      <c r="J584" s="1"/>
      <c r="K584" s="1"/>
      <c r="L584" s="1"/>
    </row>
    <row r="585" ht="15.75" customHeight="1">
      <c r="H585" s="1"/>
      <c r="I585" s="1"/>
      <c r="J585" s="1"/>
      <c r="K585" s="1"/>
      <c r="L585" s="1"/>
    </row>
    <row r="586" ht="15.75" customHeight="1">
      <c r="H586" s="1"/>
      <c r="I586" s="1"/>
      <c r="J586" s="1"/>
      <c r="K586" s="1"/>
      <c r="L586" s="1"/>
    </row>
    <row r="587" ht="15.75" customHeight="1">
      <c r="H587" s="1"/>
      <c r="I587" s="1"/>
      <c r="J587" s="1"/>
      <c r="K587" s="1"/>
      <c r="L587" s="1"/>
    </row>
    <row r="588" ht="15.75" customHeight="1">
      <c r="H588" s="1"/>
      <c r="I588" s="1"/>
      <c r="J588" s="1"/>
      <c r="K588" s="1"/>
      <c r="L588" s="1"/>
    </row>
    <row r="589" ht="15.75" customHeight="1">
      <c r="H589" s="1"/>
      <c r="I589" s="1"/>
      <c r="J589" s="1"/>
      <c r="K589" s="1"/>
      <c r="L589" s="1"/>
    </row>
    <row r="590" ht="15.75" customHeight="1">
      <c r="H590" s="1"/>
      <c r="I590" s="1"/>
      <c r="J590" s="1"/>
      <c r="K590" s="1"/>
      <c r="L590" s="1"/>
    </row>
    <row r="591" ht="15.75" customHeight="1">
      <c r="H591" s="1"/>
      <c r="I591" s="1"/>
      <c r="J591" s="1"/>
      <c r="K591" s="1"/>
      <c r="L591" s="1"/>
    </row>
    <row r="592" ht="15.75" customHeight="1">
      <c r="H592" s="1"/>
      <c r="I592" s="1"/>
      <c r="J592" s="1"/>
      <c r="K592" s="1"/>
      <c r="L592" s="1"/>
    </row>
    <row r="593" ht="15.75" customHeight="1">
      <c r="H593" s="1"/>
      <c r="I593" s="1"/>
      <c r="J593" s="1"/>
      <c r="K593" s="1"/>
      <c r="L593" s="1"/>
    </row>
    <row r="594" ht="15.75" customHeight="1">
      <c r="H594" s="1"/>
      <c r="I594" s="1"/>
      <c r="J594" s="1"/>
      <c r="K594" s="1"/>
      <c r="L594" s="1"/>
    </row>
    <row r="595" ht="15.75" customHeight="1">
      <c r="H595" s="1"/>
      <c r="I595" s="1"/>
      <c r="J595" s="1"/>
      <c r="K595" s="1"/>
      <c r="L595" s="1"/>
    </row>
    <row r="596" ht="15.75" customHeight="1">
      <c r="H596" s="1"/>
      <c r="I596" s="1"/>
      <c r="J596" s="1"/>
      <c r="K596" s="1"/>
      <c r="L596" s="1"/>
    </row>
    <row r="597" ht="15.75" customHeight="1">
      <c r="H597" s="1"/>
      <c r="I597" s="1"/>
      <c r="J597" s="1"/>
      <c r="K597" s="1"/>
      <c r="L597" s="1"/>
    </row>
    <row r="598" ht="15.75" customHeight="1">
      <c r="H598" s="1"/>
      <c r="I598" s="1"/>
      <c r="J598" s="1"/>
      <c r="K598" s="1"/>
      <c r="L598" s="1"/>
    </row>
    <row r="599" ht="15.75" customHeight="1">
      <c r="H599" s="1"/>
      <c r="I599" s="1"/>
      <c r="J599" s="1"/>
      <c r="K599" s="1"/>
      <c r="L599" s="1"/>
    </row>
    <row r="600" ht="15.75" customHeight="1">
      <c r="H600" s="1"/>
      <c r="I600" s="1"/>
      <c r="J600" s="1"/>
      <c r="K600" s="1"/>
      <c r="L600" s="1"/>
    </row>
    <row r="601" ht="15.75" customHeight="1">
      <c r="H601" s="1"/>
      <c r="I601" s="1"/>
      <c r="J601" s="1"/>
      <c r="K601" s="1"/>
      <c r="L601" s="1"/>
    </row>
    <row r="602" ht="15.75" customHeight="1">
      <c r="H602" s="1"/>
      <c r="I602" s="1"/>
      <c r="J602" s="1"/>
      <c r="K602" s="1"/>
      <c r="L602" s="1"/>
    </row>
    <row r="603" ht="15.75" customHeight="1">
      <c r="H603" s="1"/>
      <c r="I603" s="1"/>
      <c r="J603" s="1"/>
      <c r="K603" s="1"/>
      <c r="L603" s="1"/>
    </row>
    <row r="604" ht="15.75" customHeight="1">
      <c r="H604" s="1"/>
      <c r="I604" s="1"/>
      <c r="J604" s="1"/>
      <c r="K604" s="1"/>
      <c r="L604" s="1"/>
    </row>
    <row r="605" ht="15.75" customHeight="1">
      <c r="H605" s="1"/>
      <c r="I605" s="1"/>
      <c r="J605" s="1"/>
      <c r="K605" s="1"/>
      <c r="L605" s="1"/>
    </row>
    <row r="606" ht="15.75" customHeight="1">
      <c r="H606" s="1"/>
      <c r="I606" s="1"/>
      <c r="J606" s="1"/>
      <c r="K606" s="1"/>
      <c r="L606" s="1"/>
    </row>
    <row r="607" ht="15.75" customHeight="1">
      <c r="H607" s="1"/>
      <c r="I607" s="1"/>
      <c r="J607" s="1"/>
      <c r="K607" s="1"/>
      <c r="L607" s="1"/>
    </row>
    <row r="608" ht="15.75" customHeight="1">
      <c r="H608" s="1"/>
      <c r="I608" s="1"/>
      <c r="J608" s="1"/>
      <c r="K608" s="1"/>
      <c r="L608" s="1"/>
    </row>
    <row r="609" ht="15.75" customHeight="1">
      <c r="H609" s="1"/>
      <c r="I609" s="1"/>
      <c r="J609" s="1"/>
      <c r="K609" s="1"/>
      <c r="L609" s="1"/>
    </row>
    <row r="610" ht="15.75" customHeight="1">
      <c r="H610" s="1"/>
      <c r="I610" s="1"/>
      <c r="J610" s="1"/>
      <c r="K610" s="1"/>
      <c r="L610" s="1"/>
    </row>
    <row r="611" ht="15.75" customHeight="1">
      <c r="H611" s="1"/>
      <c r="I611" s="1"/>
      <c r="J611" s="1"/>
      <c r="K611" s="1"/>
      <c r="L611" s="1"/>
    </row>
    <row r="612" ht="15.75" customHeight="1">
      <c r="H612" s="1"/>
      <c r="I612" s="1"/>
      <c r="J612" s="1"/>
      <c r="K612" s="1"/>
      <c r="L612" s="1"/>
    </row>
    <row r="613" ht="15.75" customHeight="1">
      <c r="H613" s="1"/>
      <c r="I613" s="1"/>
      <c r="J613" s="1"/>
      <c r="K613" s="1"/>
      <c r="L613" s="1"/>
    </row>
    <row r="614" ht="15.75" customHeight="1">
      <c r="H614" s="1"/>
      <c r="I614" s="1"/>
      <c r="J614" s="1"/>
      <c r="K614" s="1"/>
      <c r="L614" s="1"/>
    </row>
    <row r="615" ht="15.75" customHeight="1">
      <c r="H615" s="1"/>
      <c r="I615" s="1"/>
      <c r="J615" s="1"/>
      <c r="K615" s="1"/>
      <c r="L615" s="1"/>
    </row>
    <row r="616" ht="15.75" customHeight="1">
      <c r="H616" s="1"/>
      <c r="I616" s="1"/>
      <c r="J616" s="1"/>
      <c r="K616" s="1"/>
      <c r="L616" s="1"/>
    </row>
    <row r="617" ht="15.75" customHeight="1">
      <c r="H617" s="1"/>
      <c r="I617" s="1"/>
      <c r="J617" s="1"/>
      <c r="K617" s="1"/>
      <c r="L617" s="1"/>
    </row>
    <row r="618" ht="15.75" customHeight="1">
      <c r="H618" s="1"/>
      <c r="I618" s="1"/>
      <c r="J618" s="1"/>
      <c r="K618" s="1"/>
      <c r="L618" s="1"/>
    </row>
    <row r="619" ht="15.75" customHeight="1">
      <c r="H619" s="1"/>
      <c r="I619" s="1"/>
      <c r="J619" s="1"/>
      <c r="K619" s="1"/>
      <c r="L619" s="1"/>
    </row>
    <row r="620" ht="15.75" customHeight="1">
      <c r="H620" s="1"/>
      <c r="I620" s="1"/>
      <c r="J620" s="1"/>
      <c r="K620" s="1"/>
      <c r="L620" s="1"/>
    </row>
    <row r="621" ht="15.75" customHeight="1">
      <c r="H621" s="1"/>
      <c r="I621" s="1"/>
      <c r="J621" s="1"/>
      <c r="K621" s="1"/>
      <c r="L621" s="1"/>
    </row>
    <row r="622" ht="15.75" customHeight="1">
      <c r="H622" s="1"/>
      <c r="I622" s="1"/>
      <c r="J622" s="1"/>
      <c r="K622" s="1"/>
      <c r="L622" s="1"/>
    </row>
    <row r="623" ht="15.75" customHeight="1">
      <c r="H623" s="1"/>
      <c r="I623" s="1"/>
      <c r="J623" s="1"/>
      <c r="K623" s="1"/>
      <c r="L623" s="1"/>
    </row>
    <row r="624" ht="15.75" customHeight="1">
      <c r="H624" s="1"/>
      <c r="I624" s="1"/>
      <c r="J624" s="1"/>
      <c r="K624" s="1"/>
      <c r="L624" s="1"/>
    </row>
    <row r="625" ht="15.75" customHeight="1">
      <c r="H625" s="1"/>
      <c r="I625" s="1"/>
      <c r="J625" s="1"/>
      <c r="K625" s="1"/>
      <c r="L625" s="1"/>
    </row>
    <row r="626" ht="15.75" customHeight="1">
      <c r="H626" s="1"/>
      <c r="I626" s="1"/>
      <c r="J626" s="1"/>
      <c r="K626" s="1"/>
      <c r="L626" s="1"/>
    </row>
    <row r="627" ht="15.75" customHeight="1">
      <c r="H627" s="1"/>
      <c r="I627" s="1"/>
      <c r="J627" s="1"/>
      <c r="K627" s="1"/>
      <c r="L627" s="1"/>
    </row>
    <row r="628" ht="15.75" customHeight="1">
      <c r="H628" s="1"/>
      <c r="I628" s="1"/>
      <c r="J628" s="1"/>
      <c r="K628" s="1"/>
      <c r="L628" s="1"/>
    </row>
    <row r="629" ht="15.75" customHeight="1">
      <c r="H629" s="1"/>
      <c r="I629" s="1"/>
      <c r="J629" s="1"/>
      <c r="K629" s="1"/>
      <c r="L629" s="1"/>
    </row>
    <row r="630" ht="15.75" customHeight="1">
      <c r="H630" s="1"/>
      <c r="I630" s="1"/>
      <c r="J630" s="1"/>
      <c r="K630" s="1"/>
      <c r="L630" s="1"/>
    </row>
    <row r="631" ht="15.75" customHeight="1">
      <c r="H631" s="1"/>
      <c r="I631" s="1"/>
      <c r="J631" s="1"/>
      <c r="K631" s="1"/>
      <c r="L631" s="1"/>
    </row>
    <row r="632" ht="15.75" customHeight="1">
      <c r="H632" s="1"/>
      <c r="I632" s="1"/>
      <c r="J632" s="1"/>
      <c r="K632" s="1"/>
      <c r="L632" s="1"/>
    </row>
    <row r="633" ht="15.75" customHeight="1">
      <c r="H633" s="1"/>
      <c r="I633" s="1"/>
      <c r="J633" s="1"/>
      <c r="K633" s="1"/>
      <c r="L633" s="1"/>
    </row>
    <row r="634" ht="15.75" customHeight="1">
      <c r="H634" s="1"/>
      <c r="I634" s="1"/>
      <c r="J634" s="1"/>
      <c r="K634" s="1"/>
      <c r="L634" s="1"/>
    </row>
    <row r="635" ht="15.75" customHeight="1">
      <c r="H635" s="1"/>
      <c r="I635" s="1"/>
      <c r="J635" s="1"/>
      <c r="K635" s="1"/>
      <c r="L635" s="1"/>
    </row>
    <row r="636" ht="15.75" customHeight="1">
      <c r="H636" s="1"/>
      <c r="I636" s="1"/>
      <c r="J636" s="1"/>
      <c r="K636" s="1"/>
      <c r="L636" s="1"/>
    </row>
    <row r="637" ht="15.75" customHeight="1">
      <c r="H637" s="1"/>
      <c r="I637" s="1"/>
      <c r="J637" s="1"/>
      <c r="K637" s="1"/>
      <c r="L637" s="1"/>
    </row>
    <row r="638" ht="15.75" customHeight="1">
      <c r="H638" s="1"/>
      <c r="I638" s="1"/>
      <c r="J638" s="1"/>
      <c r="K638" s="1"/>
      <c r="L638" s="1"/>
    </row>
    <row r="639" ht="15.75" customHeight="1">
      <c r="H639" s="1"/>
      <c r="I639" s="1"/>
      <c r="J639" s="1"/>
      <c r="K639" s="1"/>
      <c r="L639" s="1"/>
    </row>
    <row r="640" ht="15.75" customHeight="1">
      <c r="H640" s="1"/>
      <c r="I640" s="1"/>
      <c r="J640" s="1"/>
      <c r="K640" s="1"/>
      <c r="L640" s="1"/>
    </row>
    <row r="641" ht="15.75" customHeight="1">
      <c r="H641" s="1"/>
      <c r="I641" s="1"/>
      <c r="J641" s="1"/>
      <c r="K641" s="1"/>
      <c r="L641" s="1"/>
    </row>
    <row r="642" ht="15.75" customHeight="1">
      <c r="H642" s="1"/>
      <c r="I642" s="1"/>
      <c r="J642" s="1"/>
      <c r="K642" s="1"/>
      <c r="L642" s="1"/>
    </row>
    <row r="643" ht="15.75" customHeight="1">
      <c r="H643" s="1"/>
      <c r="I643" s="1"/>
      <c r="J643" s="1"/>
      <c r="K643" s="1"/>
      <c r="L643" s="1"/>
    </row>
    <row r="644" ht="15.75" customHeight="1">
      <c r="H644" s="1"/>
      <c r="I644" s="1"/>
      <c r="J644" s="1"/>
      <c r="K644" s="1"/>
      <c r="L644" s="1"/>
    </row>
    <row r="645" ht="15.75" customHeight="1">
      <c r="H645" s="1"/>
      <c r="I645" s="1"/>
      <c r="J645" s="1"/>
      <c r="K645" s="1"/>
      <c r="L645" s="1"/>
    </row>
    <row r="646" ht="15.75" customHeight="1">
      <c r="H646" s="1"/>
      <c r="I646" s="1"/>
      <c r="J646" s="1"/>
      <c r="K646" s="1"/>
      <c r="L646" s="1"/>
    </row>
    <row r="647" ht="15.75" customHeight="1">
      <c r="H647" s="1"/>
      <c r="I647" s="1"/>
      <c r="J647" s="1"/>
      <c r="K647" s="1"/>
      <c r="L647" s="1"/>
    </row>
    <row r="648" ht="15.75" customHeight="1">
      <c r="H648" s="1"/>
      <c r="I648" s="1"/>
      <c r="J648" s="1"/>
      <c r="K648" s="1"/>
      <c r="L648" s="1"/>
    </row>
    <row r="649" ht="15.75" customHeight="1">
      <c r="H649" s="1"/>
      <c r="I649" s="1"/>
      <c r="J649" s="1"/>
      <c r="K649" s="1"/>
      <c r="L649" s="1"/>
    </row>
    <row r="650" ht="15.75" customHeight="1">
      <c r="H650" s="1"/>
      <c r="I650" s="1"/>
      <c r="J650" s="1"/>
      <c r="K650" s="1"/>
      <c r="L650" s="1"/>
    </row>
    <row r="651" ht="15.75" customHeight="1">
      <c r="H651" s="1"/>
      <c r="I651" s="1"/>
      <c r="J651" s="1"/>
      <c r="K651" s="1"/>
      <c r="L651" s="1"/>
    </row>
    <row r="652" ht="15.75" customHeight="1">
      <c r="H652" s="1"/>
      <c r="I652" s="1"/>
      <c r="J652" s="1"/>
      <c r="K652" s="1"/>
      <c r="L652" s="1"/>
    </row>
    <row r="653" ht="15.75" customHeight="1">
      <c r="H653" s="1"/>
      <c r="I653" s="1"/>
      <c r="J653" s="1"/>
      <c r="K653" s="1"/>
      <c r="L653" s="1"/>
    </row>
    <row r="654" ht="15.75" customHeight="1">
      <c r="H654" s="1"/>
      <c r="I654" s="1"/>
      <c r="J654" s="1"/>
      <c r="K654" s="1"/>
      <c r="L654" s="1"/>
    </row>
    <row r="655" ht="15.75" customHeight="1">
      <c r="H655" s="1"/>
      <c r="I655" s="1"/>
      <c r="J655" s="1"/>
      <c r="K655" s="1"/>
      <c r="L655" s="1"/>
    </row>
    <row r="656" ht="15.75" customHeight="1">
      <c r="H656" s="1"/>
      <c r="I656" s="1"/>
      <c r="J656" s="1"/>
      <c r="K656" s="1"/>
      <c r="L656" s="1"/>
    </row>
    <row r="657" ht="15.75" customHeight="1">
      <c r="H657" s="1"/>
      <c r="I657" s="1"/>
      <c r="J657" s="1"/>
      <c r="K657" s="1"/>
      <c r="L657" s="1"/>
    </row>
    <row r="658" ht="15.75" customHeight="1">
      <c r="H658" s="1"/>
      <c r="I658" s="1"/>
      <c r="J658" s="1"/>
      <c r="K658" s="1"/>
      <c r="L658" s="1"/>
    </row>
    <row r="659" ht="15.75" customHeight="1">
      <c r="H659" s="1"/>
      <c r="I659" s="1"/>
      <c r="J659" s="1"/>
      <c r="K659" s="1"/>
      <c r="L659" s="1"/>
    </row>
    <row r="660" ht="15.75" customHeight="1">
      <c r="H660" s="1"/>
      <c r="I660" s="1"/>
      <c r="J660" s="1"/>
      <c r="K660" s="1"/>
      <c r="L660" s="1"/>
    </row>
    <row r="661" ht="15.75" customHeight="1">
      <c r="H661" s="1"/>
      <c r="I661" s="1"/>
      <c r="J661" s="1"/>
      <c r="K661" s="1"/>
      <c r="L661" s="1"/>
    </row>
    <row r="662" ht="15.75" customHeight="1">
      <c r="H662" s="1"/>
      <c r="I662" s="1"/>
      <c r="J662" s="1"/>
      <c r="K662" s="1"/>
      <c r="L662" s="1"/>
    </row>
    <row r="663" ht="15.75" customHeight="1">
      <c r="H663" s="1"/>
      <c r="I663" s="1"/>
      <c r="J663" s="1"/>
      <c r="K663" s="1"/>
      <c r="L663" s="1"/>
    </row>
    <row r="664" ht="15.75" customHeight="1">
      <c r="H664" s="1"/>
      <c r="I664" s="1"/>
      <c r="J664" s="1"/>
      <c r="K664" s="1"/>
      <c r="L664" s="1"/>
    </row>
    <row r="665" ht="15.75" customHeight="1">
      <c r="H665" s="1"/>
      <c r="I665" s="1"/>
      <c r="J665" s="1"/>
      <c r="K665" s="1"/>
      <c r="L665" s="1"/>
    </row>
    <row r="666" ht="15.75" customHeight="1">
      <c r="H666" s="1"/>
      <c r="I666" s="1"/>
      <c r="J666" s="1"/>
      <c r="K666" s="1"/>
      <c r="L666" s="1"/>
    </row>
    <row r="667" ht="15.75" customHeight="1">
      <c r="H667" s="1"/>
      <c r="I667" s="1"/>
      <c r="J667" s="1"/>
      <c r="K667" s="1"/>
      <c r="L667" s="1"/>
    </row>
    <row r="668" ht="15.75" customHeight="1">
      <c r="H668" s="1"/>
      <c r="I668" s="1"/>
      <c r="J668" s="1"/>
      <c r="K668" s="1"/>
      <c r="L668" s="1"/>
    </row>
    <row r="669" ht="15.75" customHeight="1">
      <c r="H669" s="1"/>
      <c r="I669" s="1"/>
      <c r="J669" s="1"/>
      <c r="K669" s="1"/>
      <c r="L669" s="1"/>
    </row>
    <row r="670" ht="15.75" customHeight="1">
      <c r="H670" s="1"/>
      <c r="I670" s="1"/>
      <c r="J670" s="1"/>
      <c r="K670" s="1"/>
      <c r="L670" s="1"/>
    </row>
    <row r="671" ht="15.75" customHeight="1">
      <c r="H671" s="1"/>
      <c r="I671" s="1"/>
      <c r="J671" s="1"/>
      <c r="K671" s="1"/>
      <c r="L671" s="1"/>
    </row>
    <row r="672" ht="15.75" customHeight="1">
      <c r="H672" s="1"/>
      <c r="I672" s="1"/>
      <c r="J672" s="1"/>
      <c r="K672" s="1"/>
      <c r="L672" s="1"/>
    </row>
    <row r="673" ht="15.75" customHeight="1">
      <c r="H673" s="1"/>
      <c r="I673" s="1"/>
      <c r="J673" s="1"/>
      <c r="K673" s="1"/>
      <c r="L673" s="1"/>
    </row>
    <row r="674" ht="15.75" customHeight="1">
      <c r="H674" s="1"/>
      <c r="I674" s="1"/>
      <c r="J674" s="1"/>
      <c r="K674" s="1"/>
      <c r="L674" s="1"/>
    </row>
    <row r="675" ht="15.75" customHeight="1">
      <c r="H675" s="1"/>
      <c r="I675" s="1"/>
      <c r="J675" s="1"/>
      <c r="K675" s="1"/>
      <c r="L675" s="1"/>
    </row>
    <row r="676" ht="15.75" customHeight="1">
      <c r="H676" s="1"/>
      <c r="I676" s="1"/>
      <c r="J676" s="1"/>
      <c r="K676" s="1"/>
      <c r="L676" s="1"/>
    </row>
    <row r="677" ht="15.75" customHeight="1">
      <c r="H677" s="1"/>
      <c r="I677" s="1"/>
      <c r="J677" s="1"/>
      <c r="K677" s="1"/>
      <c r="L677" s="1"/>
    </row>
    <row r="678" ht="15.75" customHeight="1">
      <c r="H678" s="1"/>
      <c r="I678" s="1"/>
      <c r="J678" s="1"/>
      <c r="K678" s="1"/>
      <c r="L678" s="1"/>
    </row>
    <row r="679" ht="15.75" customHeight="1">
      <c r="H679" s="1"/>
      <c r="I679" s="1"/>
      <c r="J679" s="1"/>
      <c r="K679" s="1"/>
      <c r="L679" s="1"/>
    </row>
    <row r="680" ht="15.75" customHeight="1">
      <c r="H680" s="1"/>
      <c r="I680" s="1"/>
      <c r="J680" s="1"/>
      <c r="K680" s="1"/>
      <c r="L680" s="1"/>
    </row>
    <row r="681" ht="15.75" customHeight="1">
      <c r="H681" s="1"/>
      <c r="I681" s="1"/>
      <c r="J681" s="1"/>
      <c r="K681" s="1"/>
      <c r="L681" s="1"/>
    </row>
    <row r="682" ht="15.75" customHeight="1">
      <c r="H682" s="1"/>
      <c r="I682" s="1"/>
      <c r="J682" s="1"/>
      <c r="K682" s="1"/>
      <c r="L682" s="1"/>
    </row>
    <row r="683" ht="15.75" customHeight="1">
      <c r="H683" s="1"/>
      <c r="I683" s="1"/>
      <c r="J683" s="1"/>
      <c r="K683" s="1"/>
      <c r="L683" s="1"/>
    </row>
    <row r="684" ht="15.75" customHeight="1">
      <c r="H684" s="1"/>
      <c r="I684" s="1"/>
      <c r="J684" s="1"/>
      <c r="K684" s="1"/>
      <c r="L684" s="1"/>
    </row>
    <row r="685" ht="15.75" customHeight="1">
      <c r="H685" s="1"/>
      <c r="I685" s="1"/>
      <c r="J685" s="1"/>
      <c r="K685" s="1"/>
      <c r="L685" s="1"/>
    </row>
    <row r="686" ht="15.75" customHeight="1">
      <c r="H686" s="1"/>
      <c r="I686" s="1"/>
      <c r="J686" s="1"/>
      <c r="K686" s="1"/>
      <c r="L686" s="1"/>
    </row>
    <row r="687" ht="15.75" customHeight="1">
      <c r="H687" s="1"/>
      <c r="I687" s="1"/>
      <c r="J687" s="1"/>
      <c r="K687" s="1"/>
      <c r="L687" s="1"/>
    </row>
    <row r="688" ht="15.75" customHeight="1">
      <c r="H688" s="1"/>
      <c r="I688" s="1"/>
      <c r="J688" s="1"/>
      <c r="K688" s="1"/>
      <c r="L688" s="1"/>
    </row>
    <row r="689" ht="15.75" customHeight="1">
      <c r="H689" s="1"/>
      <c r="I689" s="1"/>
      <c r="J689" s="1"/>
      <c r="K689" s="1"/>
      <c r="L689" s="1"/>
    </row>
    <row r="690" ht="15.75" customHeight="1">
      <c r="H690" s="1"/>
      <c r="I690" s="1"/>
      <c r="J690" s="1"/>
      <c r="K690" s="1"/>
      <c r="L690" s="1"/>
    </row>
    <row r="691" ht="15.75" customHeight="1">
      <c r="H691" s="1"/>
      <c r="I691" s="1"/>
      <c r="J691" s="1"/>
      <c r="K691" s="1"/>
      <c r="L691" s="1"/>
    </row>
    <row r="692" ht="15.75" customHeight="1">
      <c r="H692" s="1"/>
      <c r="I692" s="1"/>
      <c r="J692" s="1"/>
      <c r="K692" s="1"/>
      <c r="L692" s="1"/>
    </row>
    <row r="693" ht="15.75" customHeight="1">
      <c r="H693" s="1"/>
      <c r="I693" s="1"/>
      <c r="J693" s="1"/>
      <c r="K693" s="1"/>
      <c r="L693" s="1"/>
    </row>
    <row r="694" ht="15.75" customHeight="1">
      <c r="H694" s="1"/>
      <c r="I694" s="1"/>
      <c r="J694" s="1"/>
      <c r="K694" s="1"/>
      <c r="L694" s="1"/>
    </row>
    <row r="695" ht="15.75" customHeight="1">
      <c r="H695" s="1"/>
      <c r="I695" s="1"/>
      <c r="J695" s="1"/>
      <c r="K695" s="1"/>
      <c r="L695" s="1"/>
    </row>
    <row r="696" ht="15.75" customHeight="1">
      <c r="H696" s="1"/>
      <c r="I696" s="1"/>
      <c r="J696" s="1"/>
      <c r="K696" s="1"/>
      <c r="L696" s="1"/>
    </row>
    <row r="697" ht="15.75" customHeight="1">
      <c r="H697" s="1"/>
      <c r="I697" s="1"/>
      <c r="J697" s="1"/>
      <c r="K697" s="1"/>
      <c r="L697" s="1"/>
    </row>
    <row r="698" ht="15.75" customHeight="1">
      <c r="H698" s="1"/>
      <c r="I698" s="1"/>
      <c r="J698" s="1"/>
      <c r="K698" s="1"/>
      <c r="L698" s="1"/>
    </row>
    <row r="699" ht="15.75" customHeight="1">
      <c r="H699" s="1"/>
      <c r="I699" s="1"/>
      <c r="J699" s="1"/>
      <c r="K699" s="1"/>
      <c r="L699" s="1"/>
    </row>
    <row r="700" ht="15.75" customHeight="1">
      <c r="H700" s="1"/>
      <c r="I700" s="1"/>
      <c r="J700" s="1"/>
      <c r="K700" s="1"/>
      <c r="L700" s="1"/>
    </row>
    <row r="701" ht="15.75" customHeight="1">
      <c r="H701" s="1"/>
      <c r="I701" s="1"/>
      <c r="J701" s="1"/>
      <c r="K701" s="1"/>
      <c r="L701" s="1"/>
    </row>
    <row r="702" ht="15.75" customHeight="1">
      <c r="H702" s="1"/>
      <c r="I702" s="1"/>
      <c r="J702" s="1"/>
      <c r="K702" s="1"/>
      <c r="L702" s="1"/>
    </row>
    <row r="703" ht="15.75" customHeight="1">
      <c r="H703" s="1"/>
      <c r="I703" s="1"/>
      <c r="J703" s="1"/>
      <c r="K703" s="1"/>
      <c r="L703" s="1"/>
    </row>
    <row r="704" ht="15.75" customHeight="1">
      <c r="H704" s="1"/>
      <c r="I704" s="1"/>
      <c r="J704" s="1"/>
      <c r="K704" s="1"/>
      <c r="L704" s="1"/>
    </row>
    <row r="705" ht="15.75" customHeight="1">
      <c r="H705" s="1"/>
      <c r="I705" s="1"/>
      <c r="J705" s="1"/>
      <c r="K705" s="1"/>
      <c r="L705" s="1"/>
    </row>
    <row r="706" ht="15.75" customHeight="1">
      <c r="H706" s="1"/>
      <c r="I706" s="1"/>
      <c r="J706" s="1"/>
      <c r="K706" s="1"/>
      <c r="L706" s="1"/>
    </row>
    <row r="707" ht="15.75" customHeight="1">
      <c r="H707" s="1"/>
      <c r="I707" s="1"/>
      <c r="J707" s="1"/>
      <c r="K707" s="1"/>
      <c r="L707" s="1"/>
    </row>
    <row r="708" ht="15.75" customHeight="1">
      <c r="H708" s="1"/>
      <c r="I708" s="1"/>
      <c r="J708" s="1"/>
      <c r="K708" s="1"/>
      <c r="L708" s="1"/>
    </row>
    <row r="709" ht="15.75" customHeight="1">
      <c r="H709" s="1"/>
      <c r="I709" s="1"/>
      <c r="J709" s="1"/>
      <c r="K709" s="1"/>
      <c r="L709" s="1"/>
    </row>
    <row r="710" ht="15.75" customHeight="1">
      <c r="H710" s="1"/>
      <c r="I710" s="1"/>
      <c r="J710" s="1"/>
      <c r="K710" s="1"/>
      <c r="L710" s="1"/>
    </row>
    <row r="711" ht="15.75" customHeight="1">
      <c r="H711" s="1"/>
      <c r="I711" s="1"/>
      <c r="J711" s="1"/>
      <c r="K711" s="1"/>
      <c r="L711" s="1"/>
    </row>
    <row r="712" ht="15.75" customHeight="1">
      <c r="H712" s="1"/>
      <c r="I712" s="1"/>
      <c r="J712" s="1"/>
      <c r="K712" s="1"/>
      <c r="L712" s="1"/>
    </row>
    <row r="713" ht="15.75" customHeight="1">
      <c r="H713" s="1"/>
      <c r="I713" s="1"/>
      <c r="J713" s="1"/>
      <c r="K713" s="1"/>
      <c r="L713" s="1"/>
    </row>
    <row r="714" ht="15.75" customHeight="1">
      <c r="H714" s="1"/>
      <c r="I714" s="1"/>
      <c r="J714" s="1"/>
      <c r="K714" s="1"/>
      <c r="L714" s="1"/>
    </row>
    <row r="715" ht="15.75" customHeight="1">
      <c r="H715" s="1"/>
      <c r="I715" s="1"/>
      <c r="J715" s="1"/>
      <c r="K715" s="1"/>
      <c r="L715" s="1"/>
    </row>
    <row r="716" ht="15.75" customHeight="1">
      <c r="H716" s="1"/>
      <c r="I716" s="1"/>
      <c r="J716" s="1"/>
      <c r="K716" s="1"/>
      <c r="L716" s="1"/>
    </row>
    <row r="717" ht="15.75" customHeight="1">
      <c r="H717" s="1"/>
      <c r="I717" s="1"/>
      <c r="J717" s="1"/>
      <c r="K717" s="1"/>
      <c r="L717" s="1"/>
    </row>
    <row r="718" ht="15.75" customHeight="1">
      <c r="H718" s="1"/>
      <c r="I718" s="1"/>
      <c r="J718" s="1"/>
      <c r="K718" s="1"/>
      <c r="L718" s="1"/>
    </row>
    <row r="719" ht="15.75" customHeight="1">
      <c r="H719" s="1"/>
      <c r="I719" s="1"/>
      <c r="J719" s="1"/>
      <c r="K719" s="1"/>
      <c r="L719" s="1"/>
    </row>
    <row r="720" ht="15.75" customHeight="1">
      <c r="H720" s="1"/>
      <c r="I720" s="1"/>
      <c r="J720" s="1"/>
      <c r="K720" s="1"/>
      <c r="L720" s="1"/>
    </row>
    <row r="721" ht="15.75" customHeight="1">
      <c r="H721" s="1"/>
      <c r="I721" s="1"/>
      <c r="J721" s="1"/>
      <c r="K721" s="1"/>
      <c r="L721" s="1"/>
    </row>
    <row r="722" ht="15.75" customHeight="1">
      <c r="H722" s="1"/>
      <c r="I722" s="1"/>
      <c r="J722" s="1"/>
      <c r="K722" s="1"/>
      <c r="L722" s="1"/>
    </row>
    <row r="723" ht="15.75" customHeight="1">
      <c r="H723" s="1"/>
      <c r="I723" s="1"/>
      <c r="J723" s="1"/>
      <c r="K723" s="1"/>
      <c r="L723" s="1"/>
    </row>
    <row r="724" ht="15.75" customHeight="1">
      <c r="H724" s="1"/>
      <c r="I724" s="1"/>
      <c r="J724" s="1"/>
      <c r="K724" s="1"/>
      <c r="L724" s="1"/>
    </row>
    <row r="725" ht="15.75" customHeight="1">
      <c r="H725" s="1"/>
      <c r="I725" s="1"/>
      <c r="J725" s="1"/>
      <c r="K725" s="1"/>
      <c r="L725" s="1"/>
    </row>
    <row r="726" ht="15.75" customHeight="1">
      <c r="H726" s="1"/>
      <c r="I726" s="1"/>
      <c r="J726" s="1"/>
      <c r="K726" s="1"/>
      <c r="L726" s="1"/>
    </row>
    <row r="727" ht="15.75" customHeight="1">
      <c r="H727" s="1"/>
      <c r="I727" s="1"/>
      <c r="J727" s="1"/>
      <c r="K727" s="1"/>
      <c r="L727" s="1"/>
    </row>
    <row r="728" ht="15.75" customHeight="1">
      <c r="H728" s="1"/>
      <c r="I728" s="1"/>
      <c r="J728" s="1"/>
      <c r="K728" s="1"/>
      <c r="L728" s="1"/>
    </row>
    <row r="729" ht="15.75" customHeight="1">
      <c r="H729" s="1"/>
      <c r="I729" s="1"/>
      <c r="J729" s="1"/>
      <c r="K729" s="1"/>
      <c r="L729" s="1"/>
    </row>
    <row r="730" ht="15.75" customHeight="1">
      <c r="H730" s="1"/>
      <c r="I730" s="1"/>
      <c r="J730" s="1"/>
      <c r="K730" s="1"/>
      <c r="L730" s="1"/>
    </row>
    <row r="731" ht="15.75" customHeight="1">
      <c r="H731" s="1"/>
      <c r="I731" s="1"/>
      <c r="J731" s="1"/>
      <c r="K731" s="1"/>
      <c r="L731" s="1"/>
    </row>
    <row r="732" ht="15.75" customHeight="1">
      <c r="H732" s="1"/>
      <c r="I732" s="1"/>
      <c r="J732" s="1"/>
      <c r="K732" s="1"/>
      <c r="L732" s="1"/>
    </row>
    <row r="733" ht="15.75" customHeight="1">
      <c r="H733" s="1"/>
      <c r="I733" s="1"/>
      <c r="J733" s="1"/>
      <c r="K733" s="1"/>
      <c r="L733" s="1"/>
    </row>
    <row r="734" ht="15.75" customHeight="1">
      <c r="H734" s="1"/>
      <c r="I734" s="1"/>
      <c r="J734" s="1"/>
      <c r="K734" s="1"/>
      <c r="L734" s="1"/>
    </row>
    <row r="735" ht="15.75" customHeight="1">
      <c r="H735" s="1"/>
      <c r="I735" s="1"/>
      <c r="J735" s="1"/>
      <c r="K735" s="1"/>
      <c r="L735" s="1"/>
    </row>
    <row r="736" ht="15.75" customHeight="1">
      <c r="H736" s="1"/>
      <c r="I736" s="1"/>
      <c r="J736" s="1"/>
      <c r="K736" s="1"/>
      <c r="L736" s="1"/>
    </row>
    <row r="737" ht="15.75" customHeight="1">
      <c r="H737" s="1"/>
      <c r="I737" s="1"/>
      <c r="J737" s="1"/>
      <c r="K737" s="1"/>
      <c r="L737" s="1"/>
    </row>
    <row r="738" ht="15.75" customHeight="1">
      <c r="H738" s="1"/>
      <c r="I738" s="1"/>
      <c r="J738" s="1"/>
      <c r="K738" s="1"/>
      <c r="L738" s="1"/>
    </row>
    <row r="739" ht="15.75" customHeight="1">
      <c r="H739" s="1"/>
      <c r="I739" s="1"/>
      <c r="J739" s="1"/>
      <c r="K739" s="1"/>
      <c r="L739" s="1"/>
    </row>
    <row r="740" ht="15.75" customHeight="1">
      <c r="H740" s="1"/>
      <c r="I740" s="1"/>
      <c r="J740" s="1"/>
      <c r="K740" s="1"/>
      <c r="L740" s="1"/>
    </row>
    <row r="741" ht="15.75" customHeight="1">
      <c r="H741" s="1"/>
      <c r="I741" s="1"/>
      <c r="J741" s="1"/>
      <c r="K741" s="1"/>
      <c r="L741" s="1"/>
    </row>
    <row r="742" ht="15.75" customHeight="1">
      <c r="H742" s="1"/>
      <c r="I742" s="1"/>
      <c r="J742" s="1"/>
      <c r="K742" s="1"/>
      <c r="L742" s="1"/>
    </row>
    <row r="743" ht="15.75" customHeight="1">
      <c r="H743" s="1"/>
      <c r="I743" s="1"/>
      <c r="J743" s="1"/>
      <c r="K743" s="1"/>
      <c r="L743" s="1"/>
    </row>
    <row r="744" ht="15.75" customHeight="1">
      <c r="H744" s="1"/>
      <c r="I744" s="1"/>
      <c r="J744" s="1"/>
      <c r="K744" s="1"/>
      <c r="L744" s="1"/>
    </row>
    <row r="745" ht="15.75" customHeight="1">
      <c r="H745" s="1"/>
      <c r="I745" s="1"/>
      <c r="J745" s="1"/>
      <c r="K745" s="1"/>
      <c r="L745" s="1"/>
    </row>
    <row r="746" ht="15.75" customHeight="1">
      <c r="H746" s="1"/>
      <c r="I746" s="1"/>
      <c r="J746" s="1"/>
      <c r="K746" s="1"/>
      <c r="L746" s="1"/>
    </row>
    <row r="747" ht="15.75" customHeight="1">
      <c r="H747" s="1"/>
      <c r="I747" s="1"/>
      <c r="J747" s="1"/>
      <c r="K747" s="1"/>
      <c r="L747" s="1"/>
    </row>
    <row r="748" ht="15.75" customHeight="1">
      <c r="H748" s="1"/>
      <c r="I748" s="1"/>
      <c r="J748" s="1"/>
      <c r="K748" s="1"/>
      <c r="L748" s="1"/>
    </row>
    <row r="749" ht="15.75" customHeight="1">
      <c r="H749" s="1"/>
      <c r="I749" s="1"/>
      <c r="J749" s="1"/>
      <c r="K749" s="1"/>
      <c r="L749" s="1"/>
    </row>
    <row r="750" ht="15.75" customHeight="1">
      <c r="H750" s="1"/>
      <c r="I750" s="1"/>
      <c r="J750" s="1"/>
      <c r="K750" s="1"/>
      <c r="L750" s="1"/>
    </row>
    <row r="751" ht="15.75" customHeight="1">
      <c r="H751" s="1"/>
      <c r="I751" s="1"/>
      <c r="J751" s="1"/>
      <c r="K751" s="1"/>
      <c r="L751" s="1"/>
    </row>
    <row r="752" ht="15.75" customHeight="1">
      <c r="H752" s="1"/>
      <c r="I752" s="1"/>
      <c r="J752" s="1"/>
      <c r="K752" s="1"/>
      <c r="L752" s="1"/>
    </row>
    <row r="753" ht="15.75" customHeight="1">
      <c r="H753" s="1"/>
      <c r="I753" s="1"/>
      <c r="J753" s="1"/>
      <c r="K753" s="1"/>
      <c r="L753" s="1"/>
    </row>
    <row r="754" ht="15.75" customHeight="1">
      <c r="H754" s="1"/>
      <c r="I754" s="1"/>
      <c r="J754" s="1"/>
      <c r="K754" s="1"/>
      <c r="L754" s="1"/>
    </row>
    <row r="755" ht="15.75" customHeight="1">
      <c r="H755" s="1"/>
      <c r="I755" s="1"/>
      <c r="J755" s="1"/>
      <c r="K755" s="1"/>
      <c r="L755" s="1"/>
    </row>
    <row r="756" ht="15.75" customHeight="1">
      <c r="H756" s="1"/>
      <c r="I756" s="1"/>
      <c r="J756" s="1"/>
      <c r="K756" s="1"/>
      <c r="L756" s="1"/>
    </row>
    <row r="757" ht="15.75" customHeight="1">
      <c r="H757" s="1"/>
      <c r="I757" s="1"/>
      <c r="J757" s="1"/>
      <c r="K757" s="1"/>
      <c r="L757" s="1"/>
    </row>
    <row r="758" ht="15.75" customHeight="1">
      <c r="H758" s="1"/>
      <c r="I758" s="1"/>
      <c r="J758" s="1"/>
      <c r="K758" s="1"/>
      <c r="L758" s="1"/>
    </row>
    <row r="759" ht="15.75" customHeight="1">
      <c r="H759" s="1"/>
      <c r="I759" s="1"/>
      <c r="J759" s="1"/>
      <c r="K759" s="1"/>
      <c r="L759" s="1"/>
    </row>
    <row r="760" ht="15.75" customHeight="1">
      <c r="H760" s="1"/>
      <c r="I760" s="1"/>
      <c r="J760" s="1"/>
      <c r="K760" s="1"/>
      <c r="L760" s="1"/>
    </row>
    <row r="761" ht="15.75" customHeight="1">
      <c r="H761" s="1"/>
      <c r="I761" s="1"/>
      <c r="J761" s="1"/>
      <c r="K761" s="1"/>
      <c r="L761" s="1"/>
    </row>
    <row r="762" ht="15.75" customHeight="1">
      <c r="H762" s="1"/>
      <c r="I762" s="1"/>
      <c r="J762" s="1"/>
      <c r="K762" s="1"/>
      <c r="L762" s="1"/>
    </row>
    <row r="763" ht="15.75" customHeight="1">
      <c r="H763" s="1"/>
      <c r="I763" s="1"/>
      <c r="J763" s="1"/>
      <c r="K763" s="1"/>
      <c r="L763" s="1"/>
    </row>
    <row r="764" ht="15.75" customHeight="1">
      <c r="H764" s="1"/>
      <c r="I764" s="1"/>
      <c r="J764" s="1"/>
      <c r="K764" s="1"/>
      <c r="L764" s="1"/>
    </row>
    <row r="765" ht="15.75" customHeight="1">
      <c r="H765" s="1"/>
      <c r="I765" s="1"/>
      <c r="J765" s="1"/>
      <c r="K765" s="1"/>
      <c r="L765" s="1"/>
    </row>
    <row r="766" ht="15.75" customHeight="1">
      <c r="H766" s="1"/>
      <c r="I766" s="1"/>
      <c r="J766" s="1"/>
      <c r="K766" s="1"/>
      <c r="L766" s="1"/>
    </row>
    <row r="767" ht="15.75" customHeight="1">
      <c r="H767" s="1"/>
      <c r="I767" s="1"/>
      <c r="J767" s="1"/>
      <c r="K767" s="1"/>
      <c r="L767" s="1"/>
    </row>
    <row r="768" ht="15.75" customHeight="1">
      <c r="H768" s="1"/>
      <c r="I768" s="1"/>
      <c r="J768" s="1"/>
      <c r="K768" s="1"/>
      <c r="L768" s="1"/>
    </row>
    <row r="769" ht="15.75" customHeight="1">
      <c r="H769" s="1"/>
      <c r="I769" s="1"/>
      <c r="J769" s="1"/>
      <c r="K769" s="1"/>
      <c r="L769" s="1"/>
    </row>
    <row r="770" ht="15.75" customHeight="1">
      <c r="H770" s="1"/>
      <c r="I770" s="1"/>
      <c r="J770" s="1"/>
      <c r="K770" s="1"/>
      <c r="L770" s="1"/>
    </row>
    <row r="771" ht="15.75" customHeight="1">
      <c r="H771" s="1"/>
      <c r="I771" s="1"/>
      <c r="J771" s="1"/>
      <c r="K771" s="1"/>
      <c r="L771" s="1"/>
    </row>
    <row r="772" ht="15.75" customHeight="1">
      <c r="H772" s="1"/>
      <c r="I772" s="1"/>
      <c r="J772" s="1"/>
      <c r="K772" s="1"/>
      <c r="L772" s="1"/>
    </row>
    <row r="773" ht="15.75" customHeight="1">
      <c r="H773" s="1"/>
      <c r="I773" s="1"/>
      <c r="J773" s="1"/>
      <c r="K773" s="1"/>
      <c r="L773" s="1"/>
    </row>
    <row r="774" ht="15.75" customHeight="1">
      <c r="H774" s="1"/>
      <c r="I774" s="1"/>
      <c r="J774" s="1"/>
      <c r="K774" s="1"/>
      <c r="L774" s="1"/>
    </row>
    <row r="775" ht="15.75" customHeight="1">
      <c r="H775" s="1"/>
      <c r="I775" s="1"/>
      <c r="J775" s="1"/>
      <c r="K775" s="1"/>
      <c r="L775" s="1"/>
    </row>
    <row r="776" ht="15.75" customHeight="1">
      <c r="H776" s="1"/>
      <c r="I776" s="1"/>
      <c r="J776" s="1"/>
      <c r="K776" s="1"/>
      <c r="L776" s="1"/>
    </row>
    <row r="777" ht="15.75" customHeight="1">
      <c r="H777" s="1"/>
      <c r="I777" s="1"/>
      <c r="J777" s="1"/>
      <c r="K777" s="1"/>
      <c r="L777" s="1"/>
    </row>
    <row r="778" ht="15.75" customHeight="1">
      <c r="H778" s="1"/>
      <c r="I778" s="1"/>
      <c r="J778" s="1"/>
      <c r="K778" s="1"/>
      <c r="L778" s="1"/>
    </row>
    <row r="779" ht="15.75" customHeight="1">
      <c r="H779" s="1"/>
      <c r="I779" s="1"/>
      <c r="J779" s="1"/>
      <c r="K779" s="1"/>
      <c r="L779" s="1"/>
    </row>
    <row r="780" ht="15.75" customHeight="1">
      <c r="H780" s="1"/>
      <c r="I780" s="1"/>
      <c r="J780" s="1"/>
      <c r="K780" s="1"/>
      <c r="L780" s="1"/>
    </row>
    <row r="781" ht="15.75" customHeight="1">
      <c r="H781" s="1"/>
      <c r="I781" s="1"/>
      <c r="J781" s="1"/>
      <c r="K781" s="1"/>
      <c r="L781" s="1"/>
    </row>
    <row r="782" ht="15.75" customHeight="1">
      <c r="H782" s="1"/>
      <c r="I782" s="1"/>
      <c r="J782" s="1"/>
      <c r="K782" s="1"/>
      <c r="L782" s="1"/>
    </row>
    <row r="783" ht="15.75" customHeight="1">
      <c r="H783" s="1"/>
      <c r="I783" s="1"/>
      <c r="J783" s="1"/>
      <c r="K783" s="1"/>
      <c r="L783" s="1"/>
    </row>
    <row r="784" ht="15.75" customHeight="1">
      <c r="H784" s="1"/>
      <c r="I784" s="1"/>
      <c r="J784" s="1"/>
      <c r="K784" s="1"/>
      <c r="L784" s="1"/>
    </row>
    <row r="785" ht="15.75" customHeight="1">
      <c r="H785" s="1"/>
      <c r="I785" s="1"/>
      <c r="J785" s="1"/>
      <c r="K785" s="1"/>
      <c r="L785" s="1"/>
    </row>
    <row r="786" ht="15.75" customHeight="1">
      <c r="H786" s="1"/>
      <c r="I786" s="1"/>
      <c r="J786" s="1"/>
      <c r="K786" s="1"/>
      <c r="L786" s="1"/>
    </row>
    <row r="787" ht="15.75" customHeight="1">
      <c r="H787" s="1"/>
      <c r="I787" s="1"/>
      <c r="J787" s="1"/>
      <c r="K787" s="1"/>
      <c r="L787" s="1"/>
    </row>
    <row r="788" ht="15.75" customHeight="1">
      <c r="H788" s="1"/>
      <c r="I788" s="1"/>
      <c r="J788" s="1"/>
      <c r="K788" s="1"/>
      <c r="L788" s="1"/>
    </row>
    <row r="789" ht="15.75" customHeight="1">
      <c r="H789" s="1"/>
      <c r="I789" s="1"/>
      <c r="J789" s="1"/>
      <c r="K789" s="1"/>
      <c r="L789" s="1"/>
    </row>
    <row r="790" ht="15.75" customHeight="1">
      <c r="H790" s="1"/>
      <c r="I790" s="1"/>
      <c r="J790" s="1"/>
      <c r="K790" s="1"/>
      <c r="L790" s="1"/>
    </row>
    <row r="791" ht="15.75" customHeight="1">
      <c r="H791" s="1"/>
      <c r="I791" s="1"/>
      <c r="J791" s="1"/>
      <c r="K791" s="1"/>
      <c r="L791" s="1"/>
    </row>
    <row r="792" ht="15.75" customHeight="1">
      <c r="H792" s="1"/>
      <c r="I792" s="1"/>
      <c r="J792" s="1"/>
      <c r="K792" s="1"/>
      <c r="L792" s="1"/>
    </row>
    <row r="793" ht="15.75" customHeight="1">
      <c r="H793" s="1"/>
      <c r="I793" s="1"/>
      <c r="J793" s="1"/>
      <c r="K793" s="1"/>
      <c r="L793" s="1"/>
    </row>
    <row r="794" ht="15.75" customHeight="1">
      <c r="H794" s="1"/>
      <c r="I794" s="1"/>
      <c r="J794" s="1"/>
      <c r="K794" s="1"/>
      <c r="L794" s="1"/>
    </row>
    <row r="795" ht="15.75" customHeight="1">
      <c r="H795" s="1"/>
      <c r="I795" s="1"/>
      <c r="J795" s="1"/>
      <c r="K795" s="1"/>
      <c r="L795" s="1"/>
    </row>
    <row r="796" ht="15.75" customHeight="1">
      <c r="H796" s="1"/>
      <c r="I796" s="1"/>
      <c r="J796" s="1"/>
      <c r="K796" s="1"/>
      <c r="L796" s="1"/>
    </row>
    <row r="797" ht="15.75" customHeight="1">
      <c r="H797" s="1"/>
      <c r="I797" s="1"/>
      <c r="J797" s="1"/>
      <c r="K797" s="1"/>
      <c r="L797" s="1"/>
    </row>
    <row r="798" ht="15.75" customHeight="1">
      <c r="H798" s="1"/>
      <c r="I798" s="1"/>
      <c r="J798" s="1"/>
      <c r="K798" s="1"/>
      <c r="L798" s="1"/>
    </row>
    <row r="799" ht="15.75" customHeight="1">
      <c r="H799" s="1"/>
      <c r="I799" s="1"/>
      <c r="J799" s="1"/>
      <c r="K799" s="1"/>
      <c r="L799" s="1"/>
    </row>
    <row r="800" ht="15.75" customHeight="1">
      <c r="H800" s="1"/>
      <c r="I800" s="1"/>
      <c r="J800" s="1"/>
      <c r="K800" s="1"/>
      <c r="L800" s="1"/>
    </row>
    <row r="801" ht="15.75" customHeight="1">
      <c r="H801" s="1"/>
      <c r="I801" s="1"/>
      <c r="J801" s="1"/>
      <c r="K801" s="1"/>
      <c r="L801" s="1"/>
    </row>
    <row r="802" ht="15.75" customHeight="1">
      <c r="H802" s="1"/>
      <c r="I802" s="1"/>
      <c r="J802" s="1"/>
      <c r="K802" s="1"/>
      <c r="L802" s="1"/>
    </row>
    <row r="803" ht="15.75" customHeight="1">
      <c r="H803" s="1"/>
      <c r="I803" s="1"/>
      <c r="J803" s="1"/>
      <c r="K803" s="1"/>
      <c r="L803" s="1"/>
    </row>
    <row r="804" ht="15.75" customHeight="1">
      <c r="H804" s="1"/>
      <c r="I804" s="1"/>
      <c r="J804" s="1"/>
      <c r="K804" s="1"/>
      <c r="L804" s="1"/>
    </row>
    <row r="805" ht="15.75" customHeight="1">
      <c r="H805" s="1"/>
      <c r="I805" s="1"/>
      <c r="J805" s="1"/>
      <c r="K805" s="1"/>
      <c r="L805" s="1"/>
    </row>
    <row r="806" ht="15.75" customHeight="1">
      <c r="H806" s="1"/>
      <c r="I806" s="1"/>
      <c r="J806" s="1"/>
      <c r="K806" s="1"/>
      <c r="L806" s="1"/>
    </row>
    <row r="807" ht="15.75" customHeight="1">
      <c r="H807" s="1"/>
      <c r="I807" s="1"/>
      <c r="J807" s="1"/>
      <c r="K807" s="1"/>
      <c r="L807" s="1"/>
    </row>
    <row r="808" ht="15.75" customHeight="1">
      <c r="H808" s="1"/>
      <c r="I808" s="1"/>
      <c r="J808" s="1"/>
      <c r="K808" s="1"/>
      <c r="L808" s="1"/>
    </row>
    <row r="809" ht="15.75" customHeight="1">
      <c r="H809" s="1"/>
      <c r="I809" s="1"/>
      <c r="J809" s="1"/>
      <c r="K809" s="1"/>
      <c r="L809" s="1"/>
    </row>
    <row r="810" ht="15.75" customHeight="1">
      <c r="H810" s="1"/>
      <c r="I810" s="1"/>
      <c r="J810" s="1"/>
      <c r="K810" s="1"/>
      <c r="L810" s="1"/>
    </row>
    <row r="811" ht="15.75" customHeight="1">
      <c r="H811" s="1"/>
      <c r="I811" s="1"/>
      <c r="J811" s="1"/>
      <c r="K811" s="1"/>
      <c r="L811" s="1"/>
    </row>
    <row r="812" ht="15.75" customHeight="1">
      <c r="H812" s="1"/>
      <c r="I812" s="1"/>
      <c r="J812" s="1"/>
      <c r="K812" s="1"/>
      <c r="L812" s="1"/>
    </row>
    <row r="813" ht="15.75" customHeight="1">
      <c r="H813" s="1"/>
      <c r="I813" s="1"/>
      <c r="J813" s="1"/>
      <c r="K813" s="1"/>
      <c r="L813" s="1"/>
    </row>
    <row r="814" ht="15.75" customHeight="1">
      <c r="H814" s="1"/>
      <c r="I814" s="1"/>
      <c r="J814" s="1"/>
      <c r="K814" s="1"/>
      <c r="L814" s="1"/>
    </row>
    <row r="815" ht="15.75" customHeight="1">
      <c r="H815" s="1"/>
      <c r="I815" s="1"/>
      <c r="J815" s="1"/>
      <c r="K815" s="1"/>
      <c r="L815" s="1"/>
    </row>
    <row r="816" ht="15.75" customHeight="1">
      <c r="H816" s="1"/>
      <c r="I816" s="1"/>
      <c r="J816" s="1"/>
      <c r="K816" s="1"/>
      <c r="L816" s="1"/>
    </row>
    <row r="817" ht="15.75" customHeight="1">
      <c r="H817" s="1"/>
      <c r="I817" s="1"/>
      <c r="J817" s="1"/>
      <c r="K817" s="1"/>
      <c r="L817" s="1"/>
    </row>
    <row r="818" ht="15.75" customHeight="1">
      <c r="H818" s="1"/>
      <c r="I818" s="1"/>
      <c r="J818" s="1"/>
      <c r="K818" s="1"/>
      <c r="L818" s="1"/>
    </row>
    <row r="819" ht="15.75" customHeight="1">
      <c r="H819" s="1"/>
      <c r="I819" s="1"/>
      <c r="J819" s="1"/>
      <c r="K819" s="1"/>
      <c r="L819" s="1"/>
    </row>
    <row r="820" ht="15.75" customHeight="1">
      <c r="H820" s="1"/>
      <c r="I820" s="1"/>
      <c r="J820" s="1"/>
      <c r="K820" s="1"/>
      <c r="L820" s="1"/>
    </row>
    <row r="821" ht="15.75" customHeight="1">
      <c r="H821" s="1"/>
      <c r="I821" s="1"/>
      <c r="J821" s="1"/>
      <c r="K821" s="1"/>
      <c r="L821" s="1"/>
    </row>
    <row r="822" ht="15.75" customHeight="1">
      <c r="H822" s="1"/>
      <c r="I822" s="1"/>
      <c r="J822" s="1"/>
      <c r="K822" s="1"/>
      <c r="L822" s="1"/>
    </row>
    <row r="823" ht="15.75" customHeight="1">
      <c r="H823" s="1"/>
      <c r="I823" s="1"/>
      <c r="J823" s="1"/>
      <c r="K823" s="1"/>
      <c r="L823" s="1"/>
    </row>
    <row r="824" ht="15.75" customHeight="1">
      <c r="H824" s="1"/>
      <c r="I824" s="1"/>
      <c r="J824" s="1"/>
      <c r="K824" s="1"/>
      <c r="L824" s="1"/>
    </row>
    <row r="825" ht="15.75" customHeight="1">
      <c r="H825" s="1"/>
      <c r="I825" s="1"/>
      <c r="J825" s="1"/>
      <c r="K825" s="1"/>
      <c r="L825" s="1"/>
    </row>
    <row r="826" ht="15.75" customHeight="1">
      <c r="H826" s="1"/>
      <c r="I826" s="1"/>
      <c r="J826" s="1"/>
      <c r="K826" s="1"/>
      <c r="L826" s="1"/>
    </row>
    <row r="827" ht="15.75" customHeight="1">
      <c r="H827" s="1"/>
      <c r="I827" s="1"/>
      <c r="J827" s="1"/>
      <c r="K827" s="1"/>
      <c r="L827" s="1"/>
    </row>
    <row r="828" ht="15.75" customHeight="1">
      <c r="H828" s="1"/>
      <c r="I828" s="1"/>
      <c r="J828" s="1"/>
      <c r="K828" s="1"/>
      <c r="L828" s="1"/>
    </row>
    <row r="829" ht="15.75" customHeight="1">
      <c r="H829" s="1"/>
      <c r="I829" s="1"/>
      <c r="J829" s="1"/>
      <c r="K829" s="1"/>
      <c r="L829" s="1"/>
    </row>
    <row r="830" ht="15.75" customHeight="1">
      <c r="H830" s="1"/>
      <c r="I830" s="1"/>
      <c r="J830" s="1"/>
      <c r="K830" s="1"/>
      <c r="L830" s="1"/>
    </row>
    <row r="831" ht="15.75" customHeight="1">
      <c r="H831" s="1"/>
      <c r="I831" s="1"/>
      <c r="J831" s="1"/>
      <c r="K831" s="1"/>
      <c r="L831" s="1"/>
    </row>
    <row r="832" ht="15.75" customHeight="1">
      <c r="H832" s="1"/>
      <c r="I832" s="1"/>
      <c r="J832" s="1"/>
      <c r="K832" s="1"/>
      <c r="L832" s="1"/>
    </row>
    <row r="833" ht="15.75" customHeight="1">
      <c r="H833" s="1"/>
      <c r="I833" s="1"/>
      <c r="J833" s="1"/>
      <c r="K833" s="1"/>
      <c r="L833" s="1"/>
    </row>
    <row r="834" ht="15.75" customHeight="1">
      <c r="H834" s="1"/>
      <c r="I834" s="1"/>
      <c r="J834" s="1"/>
      <c r="K834" s="1"/>
      <c r="L834" s="1"/>
    </row>
    <row r="835" ht="15.75" customHeight="1">
      <c r="H835" s="1"/>
      <c r="I835" s="1"/>
      <c r="J835" s="1"/>
      <c r="K835" s="1"/>
      <c r="L835" s="1"/>
    </row>
    <row r="836" ht="15.75" customHeight="1">
      <c r="H836" s="1"/>
      <c r="I836" s="1"/>
      <c r="J836" s="1"/>
      <c r="K836" s="1"/>
      <c r="L836" s="1"/>
    </row>
    <row r="837" ht="15.75" customHeight="1">
      <c r="H837" s="1"/>
      <c r="I837" s="1"/>
      <c r="J837" s="1"/>
      <c r="K837" s="1"/>
      <c r="L837" s="1"/>
    </row>
    <row r="838" ht="15.75" customHeight="1">
      <c r="H838" s="1"/>
      <c r="I838" s="1"/>
      <c r="J838" s="1"/>
      <c r="K838" s="1"/>
      <c r="L838" s="1"/>
    </row>
    <row r="839" ht="15.75" customHeight="1">
      <c r="H839" s="1"/>
      <c r="I839" s="1"/>
      <c r="J839" s="1"/>
      <c r="K839" s="1"/>
      <c r="L839" s="1"/>
    </row>
    <row r="840" ht="15.75" customHeight="1">
      <c r="H840" s="1"/>
      <c r="I840" s="1"/>
      <c r="J840" s="1"/>
      <c r="K840" s="1"/>
      <c r="L840" s="1"/>
    </row>
    <row r="841" ht="15.75" customHeight="1">
      <c r="H841" s="1"/>
      <c r="I841" s="1"/>
      <c r="J841" s="1"/>
      <c r="K841" s="1"/>
      <c r="L841" s="1"/>
    </row>
    <row r="842" ht="15.75" customHeight="1">
      <c r="H842" s="1"/>
      <c r="I842" s="1"/>
      <c r="J842" s="1"/>
      <c r="K842" s="1"/>
      <c r="L842" s="1"/>
    </row>
    <row r="843" ht="15.75" customHeight="1">
      <c r="H843" s="1"/>
      <c r="I843" s="1"/>
      <c r="J843" s="1"/>
      <c r="K843" s="1"/>
      <c r="L843" s="1"/>
    </row>
    <row r="844" ht="15.75" customHeight="1">
      <c r="H844" s="1"/>
      <c r="I844" s="1"/>
      <c r="J844" s="1"/>
      <c r="K844" s="1"/>
      <c r="L844" s="1"/>
    </row>
    <row r="845" ht="15.75" customHeight="1">
      <c r="H845" s="1"/>
      <c r="I845" s="1"/>
      <c r="J845" s="1"/>
      <c r="K845" s="1"/>
      <c r="L845" s="1"/>
    </row>
    <row r="846" ht="15.75" customHeight="1">
      <c r="H846" s="1"/>
      <c r="I846" s="1"/>
      <c r="J846" s="1"/>
      <c r="K846" s="1"/>
      <c r="L846" s="1"/>
    </row>
    <row r="847" ht="15.75" customHeight="1">
      <c r="H847" s="1"/>
      <c r="I847" s="1"/>
      <c r="J847" s="1"/>
      <c r="K847" s="1"/>
      <c r="L847" s="1"/>
    </row>
    <row r="848" ht="15.75" customHeight="1">
      <c r="H848" s="1"/>
      <c r="I848" s="1"/>
      <c r="J848" s="1"/>
      <c r="K848" s="1"/>
      <c r="L848" s="1"/>
    </row>
    <row r="849" ht="15.75" customHeight="1">
      <c r="H849" s="1"/>
      <c r="I849" s="1"/>
      <c r="J849" s="1"/>
      <c r="K849" s="1"/>
      <c r="L849" s="1"/>
    </row>
    <row r="850" ht="15.75" customHeight="1">
      <c r="H850" s="1"/>
      <c r="I850" s="1"/>
      <c r="J850" s="1"/>
      <c r="K850" s="1"/>
      <c r="L850" s="1"/>
    </row>
    <row r="851" ht="15.75" customHeight="1">
      <c r="H851" s="1"/>
      <c r="I851" s="1"/>
      <c r="J851" s="1"/>
      <c r="K851" s="1"/>
      <c r="L851" s="1"/>
    </row>
    <row r="852" ht="15.75" customHeight="1">
      <c r="H852" s="1"/>
      <c r="I852" s="1"/>
      <c r="J852" s="1"/>
      <c r="K852" s="1"/>
      <c r="L852" s="1"/>
    </row>
    <row r="853" ht="15.75" customHeight="1">
      <c r="H853" s="1"/>
      <c r="I853" s="1"/>
      <c r="J853" s="1"/>
      <c r="K853" s="1"/>
      <c r="L853" s="1"/>
    </row>
    <row r="854" ht="15.75" customHeight="1">
      <c r="H854" s="1"/>
      <c r="I854" s="1"/>
      <c r="J854" s="1"/>
      <c r="K854" s="1"/>
      <c r="L854" s="1"/>
    </row>
    <row r="855" ht="15.75" customHeight="1">
      <c r="H855" s="1"/>
      <c r="I855" s="1"/>
      <c r="J855" s="1"/>
      <c r="K855" s="1"/>
      <c r="L855" s="1"/>
    </row>
    <row r="856" ht="15.75" customHeight="1">
      <c r="H856" s="1"/>
      <c r="I856" s="1"/>
      <c r="J856" s="1"/>
      <c r="K856" s="1"/>
      <c r="L856" s="1"/>
    </row>
    <row r="857" ht="15.75" customHeight="1">
      <c r="H857" s="1"/>
      <c r="I857" s="1"/>
      <c r="J857" s="1"/>
      <c r="K857" s="1"/>
      <c r="L857" s="1"/>
    </row>
    <row r="858" ht="15.75" customHeight="1">
      <c r="H858" s="1"/>
      <c r="I858" s="1"/>
      <c r="J858" s="1"/>
      <c r="K858" s="1"/>
      <c r="L858" s="1"/>
    </row>
    <row r="859" ht="15.75" customHeight="1">
      <c r="H859" s="1"/>
      <c r="I859" s="1"/>
      <c r="J859" s="1"/>
      <c r="K859" s="1"/>
      <c r="L859" s="1"/>
    </row>
    <row r="860" ht="15.75" customHeight="1">
      <c r="H860" s="1"/>
      <c r="I860" s="1"/>
      <c r="J860" s="1"/>
      <c r="K860" s="1"/>
      <c r="L860" s="1"/>
    </row>
    <row r="861" ht="15.75" customHeight="1">
      <c r="H861" s="1"/>
      <c r="I861" s="1"/>
      <c r="J861" s="1"/>
      <c r="K861" s="1"/>
      <c r="L861" s="1"/>
    </row>
    <row r="862" ht="15.75" customHeight="1">
      <c r="H862" s="1"/>
      <c r="I862" s="1"/>
      <c r="J862" s="1"/>
      <c r="K862" s="1"/>
      <c r="L862" s="1"/>
    </row>
    <row r="863" ht="15.75" customHeight="1">
      <c r="H863" s="1"/>
      <c r="I863" s="1"/>
      <c r="J863" s="1"/>
      <c r="K863" s="1"/>
      <c r="L863" s="1"/>
    </row>
    <row r="864" ht="15.75" customHeight="1">
      <c r="H864" s="1"/>
      <c r="I864" s="1"/>
      <c r="J864" s="1"/>
      <c r="K864" s="1"/>
      <c r="L864" s="1"/>
    </row>
    <row r="865" ht="15.75" customHeight="1">
      <c r="H865" s="1"/>
      <c r="I865" s="1"/>
      <c r="J865" s="1"/>
      <c r="K865" s="1"/>
      <c r="L865" s="1"/>
    </row>
    <row r="866" ht="15.75" customHeight="1">
      <c r="H866" s="1"/>
      <c r="I866" s="1"/>
      <c r="J866" s="1"/>
      <c r="K866" s="1"/>
      <c r="L866" s="1"/>
    </row>
    <row r="867" ht="15.75" customHeight="1">
      <c r="H867" s="1"/>
      <c r="I867" s="1"/>
      <c r="J867" s="1"/>
      <c r="K867" s="1"/>
      <c r="L867" s="1"/>
    </row>
    <row r="868" ht="15.75" customHeight="1">
      <c r="H868" s="1"/>
      <c r="I868" s="1"/>
      <c r="J868" s="1"/>
      <c r="K868" s="1"/>
      <c r="L868" s="1"/>
    </row>
    <row r="869" ht="15.75" customHeight="1">
      <c r="H869" s="1"/>
      <c r="I869" s="1"/>
      <c r="J869" s="1"/>
      <c r="K869" s="1"/>
      <c r="L869" s="1"/>
    </row>
    <row r="870" ht="15.75" customHeight="1">
      <c r="H870" s="1"/>
      <c r="I870" s="1"/>
      <c r="J870" s="1"/>
      <c r="K870" s="1"/>
      <c r="L870" s="1"/>
    </row>
    <row r="871" ht="15.75" customHeight="1">
      <c r="H871" s="1"/>
      <c r="I871" s="1"/>
      <c r="J871" s="1"/>
      <c r="K871" s="1"/>
      <c r="L871" s="1"/>
    </row>
    <row r="872" ht="15.75" customHeight="1">
      <c r="H872" s="1"/>
      <c r="I872" s="1"/>
      <c r="J872" s="1"/>
      <c r="K872" s="1"/>
      <c r="L872" s="1"/>
    </row>
    <row r="873" ht="15.75" customHeight="1">
      <c r="H873" s="1"/>
      <c r="I873" s="1"/>
      <c r="J873" s="1"/>
      <c r="K873" s="1"/>
      <c r="L873" s="1"/>
    </row>
    <row r="874" ht="15.75" customHeight="1">
      <c r="H874" s="1"/>
      <c r="I874" s="1"/>
      <c r="J874" s="1"/>
      <c r="K874" s="1"/>
      <c r="L874" s="1"/>
    </row>
    <row r="875" ht="15.75" customHeight="1">
      <c r="H875" s="1"/>
      <c r="I875" s="1"/>
      <c r="J875" s="1"/>
      <c r="K875" s="1"/>
      <c r="L875" s="1"/>
    </row>
    <row r="876" ht="15.75" customHeight="1">
      <c r="H876" s="1"/>
      <c r="I876" s="1"/>
      <c r="J876" s="1"/>
      <c r="K876" s="1"/>
      <c r="L876" s="1"/>
    </row>
    <row r="877" ht="15.75" customHeight="1">
      <c r="H877" s="1"/>
      <c r="I877" s="1"/>
      <c r="J877" s="1"/>
      <c r="K877" s="1"/>
      <c r="L877" s="1"/>
    </row>
    <row r="878" ht="15.75" customHeight="1">
      <c r="H878" s="1"/>
      <c r="I878" s="1"/>
      <c r="J878" s="1"/>
      <c r="K878" s="1"/>
      <c r="L878" s="1"/>
    </row>
    <row r="879" ht="15.75" customHeight="1">
      <c r="H879" s="1"/>
      <c r="I879" s="1"/>
      <c r="J879" s="1"/>
      <c r="K879" s="1"/>
      <c r="L879" s="1"/>
    </row>
    <row r="880" ht="15.75" customHeight="1">
      <c r="H880" s="1"/>
      <c r="I880" s="1"/>
      <c r="J880" s="1"/>
      <c r="K880" s="1"/>
      <c r="L880" s="1"/>
    </row>
    <row r="881" ht="15.75" customHeight="1">
      <c r="H881" s="1"/>
      <c r="I881" s="1"/>
      <c r="J881" s="1"/>
      <c r="K881" s="1"/>
      <c r="L881" s="1"/>
    </row>
    <row r="882" ht="15.75" customHeight="1">
      <c r="H882" s="1"/>
      <c r="I882" s="1"/>
      <c r="J882" s="1"/>
      <c r="K882" s="1"/>
      <c r="L882" s="1"/>
    </row>
    <row r="883" ht="15.75" customHeight="1">
      <c r="H883" s="1"/>
      <c r="I883" s="1"/>
      <c r="J883" s="1"/>
      <c r="K883" s="1"/>
      <c r="L883" s="1"/>
    </row>
    <row r="884" ht="15.75" customHeight="1">
      <c r="H884" s="1"/>
      <c r="I884" s="1"/>
      <c r="J884" s="1"/>
      <c r="K884" s="1"/>
      <c r="L884" s="1"/>
    </row>
    <row r="885" ht="15.75" customHeight="1">
      <c r="H885" s="1"/>
      <c r="I885" s="1"/>
      <c r="J885" s="1"/>
      <c r="K885" s="1"/>
      <c r="L885" s="1"/>
    </row>
    <row r="886" ht="15.75" customHeight="1">
      <c r="H886" s="1"/>
      <c r="I886" s="1"/>
      <c r="J886" s="1"/>
      <c r="K886" s="1"/>
      <c r="L886" s="1"/>
    </row>
    <row r="887" ht="15.75" customHeight="1">
      <c r="H887" s="1"/>
      <c r="I887" s="1"/>
      <c r="J887" s="1"/>
      <c r="K887" s="1"/>
      <c r="L887" s="1"/>
    </row>
    <row r="888" ht="15.75" customHeight="1">
      <c r="H888" s="1"/>
      <c r="I888" s="1"/>
      <c r="J888" s="1"/>
      <c r="K888" s="1"/>
      <c r="L888" s="1"/>
    </row>
    <row r="889" ht="15.75" customHeight="1">
      <c r="H889" s="1"/>
      <c r="I889" s="1"/>
      <c r="J889" s="1"/>
      <c r="K889" s="1"/>
      <c r="L889" s="1"/>
    </row>
    <row r="890" ht="15.75" customHeight="1">
      <c r="H890" s="1"/>
      <c r="I890" s="1"/>
      <c r="J890" s="1"/>
      <c r="K890" s="1"/>
      <c r="L890" s="1"/>
    </row>
    <row r="891" ht="15.75" customHeight="1">
      <c r="H891" s="1"/>
      <c r="I891" s="1"/>
      <c r="J891" s="1"/>
      <c r="K891" s="1"/>
      <c r="L891" s="1"/>
    </row>
    <row r="892" ht="15.75" customHeight="1">
      <c r="H892" s="1"/>
      <c r="I892" s="1"/>
      <c r="J892" s="1"/>
      <c r="K892" s="1"/>
      <c r="L892" s="1"/>
    </row>
    <row r="893" ht="15.75" customHeight="1">
      <c r="H893" s="1"/>
      <c r="I893" s="1"/>
      <c r="J893" s="1"/>
      <c r="K893" s="1"/>
      <c r="L893" s="1"/>
    </row>
    <row r="894" ht="15.75" customHeight="1">
      <c r="H894" s="1"/>
      <c r="I894" s="1"/>
      <c r="J894" s="1"/>
      <c r="K894" s="1"/>
      <c r="L894" s="1"/>
    </row>
    <row r="895" ht="15.75" customHeight="1">
      <c r="H895" s="1"/>
      <c r="I895" s="1"/>
      <c r="J895" s="1"/>
      <c r="K895" s="1"/>
      <c r="L895" s="1"/>
    </row>
    <row r="896" ht="15.75" customHeight="1">
      <c r="H896" s="1"/>
      <c r="I896" s="1"/>
      <c r="J896" s="1"/>
      <c r="K896" s="1"/>
      <c r="L896" s="1"/>
    </row>
    <row r="897" ht="15.75" customHeight="1">
      <c r="H897" s="1"/>
      <c r="I897" s="1"/>
      <c r="J897" s="1"/>
      <c r="K897" s="1"/>
      <c r="L897" s="1"/>
    </row>
    <row r="898" ht="15.75" customHeight="1">
      <c r="H898" s="1"/>
      <c r="I898" s="1"/>
      <c r="J898" s="1"/>
      <c r="K898" s="1"/>
      <c r="L898" s="1"/>
    </row>
    <row r="899" ht="15.75" customHeight="1">
      <c r="H899" s="1"/>
      <c r="I899" s="1"/>
      <c r="J899" s="1"/>
      <c r="K899" s="1"/>
      <c r="L899" s="1"/>
    </row>
    <row r="900" ht="15.75" customHeight="1">
      <c r="H900" s="1"/>
      <c r="I900" s="1"/>
      <c r="J900" s="1"/>
      <c r="K900" s="1"/>
      <c r="L900" s="1"/>
    </row>
    <row r="901" ht="15.75" customHeight="1">
      <c r="H901" s="1"/>
      <c r="I901" s="1"/>
      <c r="J901" s="1"/>
      <c r="K901" s="1"/>
      <c r="L901" s="1"/>
    </row>
    <row r="902" ht="15.75" customHeight="1">
      <c r="H902" s="1"/>
      <c r="I902" s="1"/>
      <c r="J902" s="1"/>
      <c r="K902" s="1"/>
      <c r="L902" s="1"/>
    </row>
    <row r="903" ht="15.75" customHeight="1">
      <c r="H903" s="1"/>
      <c r="I903" s="1"/>
      <c r="J903" s="1"/>
      <c r="K903" s="1"/>
      <c r="L903" s="1"/>
    </row>
    <row r="904" ht="15.75" customHeight="1">
      <c r="H904" s="1"/>
      <c r="I904" s="1"/>
      <c r="J904" s="1"/>
      <c r="K904" s="1"/>
      <c r="L904" s="1"/>
    </row>
    <row r="905" ht="15.75" customHeight="1">
      <c r="H905" s="1"/>
      <c r="I905" s="1"/>
      <c r="J905" s="1"/>
      <c r="K905" s="1"/>
      <c r="L905" s="1"/>
    </row>
    <row r="906" ht="15.75" customHeight="1">
      <c r="H906" s="1"/>
      <c r="I906" s="1"/>
      <c r="J906" s="1"/>
      <c r="K906" s="1"/>
      <c r="L906" s="1"/>
    </row>
    <row r="907" ht="15.75" customHeight="1">
      <c r="H907" s="1"/>
      <c r="I907" s="1"/>
      <c r="J907" s="1"/>
      <c r="K907" s="1"/>
      <c r="L907" s="1"/>
    </row>
    <row r="908" ht="15.75" customHeight="1">
      <c r="H908" s="1"/>
      <c r="I908" s="1"/>
      <c r="J908" s="1"/>
      <c r="K908" s="1"/>
      <c r="L908" s="1"/>
    </row>
    <row r="909" ht="15.75" customHeight="1">
      <c r="H909" s="1"/>
      <c r="I909" s="1"/>
      <c r="J909" s="1"/>
      <c r="K909" s="1"/>
      <c r="L909" s="1"/>
    </row>
    <row r="910" ht="15.75" customHeight="1">
      <c r="H910" s="1"/>
      <c r="I910" s="1"/>
      <c r="J910" s="1"/>
      <c r="K910" s="1"/>
      <c r="L910" s="1"/>
    </row>
    <row r="911" ht="15.75" customHeight="1">
      <c r="H911" s="1"/>
      <c r="I911" s="1"/>
      <c r="J911" s="1"/>
      <c r="K911" s="1"/>
      <c r="L911" s="1"/>
    </row>
    <row r="912" ht="15.75" customHeight="1">
      <c r="H912" s="1"/>
      <c r="I912" s="1"/>
      <c r="J912" s="1"/>
      <c r="K912" s="1"/>
      <c r="L912" s="1"/>
    </row>
    <row r="913" ht="15.75" customHeight="1">
      <c r="H913" s="1"/>
      <c r="I913" s="1"/>
      <c r="J913" s="1"/>
      <c r="K913" s="1"/>
      <c r="L913" s="1"/>
    </row>
    <row r="914" ht="15.75" customHeight="1">
      <c r="H914" s="1"/>
      <c r="I914" s="1"/>
      <c r="J914" s="1"/>
      <c r="K914" s="1"/>
      <c r="L914" s="1"/>
    </row>
    <row r="915" ht="15.75" customHeight="1">
      <c r="H915" s="1"/>
      <c r="I915" s="1"/>
      <c r="J915" s="1"/>
      <c r="K915" s="1"/>
      <c r="L915" s="1"/>
    </row>
    <row r="916" ht="15.75" customHeight="1">
      <c r="H916" s="1"/>
      <c r="I916" s="1"/>
      <c r="J916" s="1"/>
      <c r="K916" s="1"/>
      <c r="L916" s="1"/>
    </row>
    <row r="917" ht="15.75" customHeight="1">
      <c r="H917" s="1"/>
      <c r="I917" s="1"/>
      <c r="J917" s="1"/>
      <c r="K917" s="1"/>
      <c r="L917" s="1"/>
    </row>
    <row r="918" ht="15.75" customHeight="1">
      <c r="H918" s="1"/>
      <c r="I918" s="1"/>
      <c r="J918" s="1"/>
      <c r="K918" s="1"/>
      <c r="L918" s="1"/>
    </row>
    <row r="919" ht="15.75" customHeight="1">
      <c r="H919" s="1"/>
      <c r="I919" s="1"/>
      <c r="J919" s="1"/>
      <c r="K919" s="1"/>
      <c r="L919" s="1"/>
    </row>
    <row r="920" ht="15.75" customHeight="1">
      <c r="H920" s="1"/>
      <c r="I920" s="1"/>
      <c r="J920" s="1"/>
      <c r="K920" s="1"/>
      <c r="L920" s="1"/>
    </row>
    <row r="921" ht="15.75" customHeight="1">
      <c r="H921" s="1"/>
      <c r="I921" s="1"/>
      <c r="J921" s="1"/>
      <c r="K921" s="1"/>
      <c r="L921" s="1"/>
    </row>
    <row r="922" ht="15.75" customHeight="1">
      <c r="H922" s="1"/>
      <c r="I922" s="1"/>
      <c r="J922" s="1"/>
      <c r="K922" s="1"/>
      <c r="L922" s="1"/>
    </row>
    <row r="923" ht="15.75" customHeight="1">
      <c r="H923" s="1"/>
      <c r="I923" s="1"/>
      <c r="J923" s="1"/>
      <c r="K923" s="1"/>
      <c r="L923" s="1"/>
    </row>
    <row r="924" ht="15.75" customHeight="1">
      <c r="H924" s="1"/>
      <c r="I924" s="1"/>
      <c r="J924" s="1"/>
      <c r="K924" s="1"/>
      <c r="L924" s="1"/>
    </row>
    <row r="925" ht="15.75" customHeight="1">
      <c r="H925" s="1"/>
      <c r="I925" s="1"/>
      <c r="J925" s="1"/>
      <c r="K925" s="1"/>
      <c r="L925" s="1"/>
    </row>
    <row r="926" ht="15.75" customHeight="1">
      <c r="H926" s="1"/>
      <c r="I926" s="1"/>
      <c r="J926" s="1"/>
      <c r="K926" s="1"/>
      <c r="L926" s="1"/>
    </row>
    <row r="927" ht="15.75" customHeight="1">
      <c r="H927" s="1"/>
      <c r="I927" s="1"/>
      <c r="J927" s="1"/>
      <c r="K927" s="1"/>
      <c r="L927" s="1"/>
    </row>
    <row r="928" ht="15.75" customHeight="1">
      <c r="H928" s="1"/>
      <c r="I928" s="1"/>
      <c r="J928" s="1"/>
      <c r="K928" s="1"/>
      <c r="L928" s="1"/>
    </row>
    <row r="929" ht="15.75" customHeight="1">
      <c r="H929" s="1"/>
      <c r="I929" s="1"/>
      <c r="J929" s="1"/>
      <c r="K929" s="1"/>
      <c r="L929" s="1"/>
    </row>
    <row r="930" ht="15.75" customHeight="1">
      <c r="H930" s="1"/>
      <c r="I930" s="1"/>
      <c r="J930" s="1"/>
      <c r="K930" s="1"/>
      <c r="L930" s="1"/>
    </row>
    <row r="931" ht="15.75" customHeight="1">
      <c r="H931" s="1"/>
      <c r="I931" s="1"/>
      <c r="J931" s="1"/>
      <c r="K931" s="1"/>
      <c r="L931" s="1"/>
    </row>
    <row r="932" ht="15.75" customHeight="1">
      <c r="H932" s="1"/>
      <c r="I932" s="1"/>
      <c r="J932" s="1"/>
      <c r="K932" s="1"/>
      <c r="L932" s="1"/>
    </row>
    <row r="933" ht="15.75" customHeight="1">
      <c r="H933" s="1"/>
      <c r="I933" s="1"/>
      <c r="J933" s="1"/>
      <c r="K933" s="1"/>
      <c r="L933" s="1"/>
    </row>
    <row r="934" ht="15.75" customHeight="1">
      <c r="H934" s="1"/>
      <c r="I934" s="1"/>
      <c r="J934" s="1"/>
      <c r="K934" s="1"/>
      <c r="L934" s="1"/>
    </row>
    <row r="935" ht="15.75" customHeight="1">
      <c r="H935" s="1"/>
      <c r="I935" s="1"/>
      <c r="J935" s="1"/>
      <c r="K935" s="1"/>
      <c r="L935" s="1"/>
    </row>
    <row r="936" ht="15.75" customHeight="1">
      <c r="H936" s="1"/>
      <c r="I936" s="1"/>
      <c r="J936" s="1"/>
      <c r="K936" s="1"/>
      <c r="L936" s="1"/>
    </row>
    <row r="937" ht="15.75" customHeight="1">
      <c r="H937" s="1"/>
      <c r="I937" s="1"/>
      <c r="J937" s="1"/>
      <c r="K937" s="1"/>
      <c r="L937" s="1"/>
    </row>
    <row r="938" ht="15.75" customHeight="1">
      <c r="H938" s="1"/>
      <c r="I938" s="1"/>
      <c r="J938" s="1"/>
      <c r="K938" s="1"/>
      <c r="L938" s="1"/>
    </row>
    <row r="939" ht="15.75" customHeight="1">
      <c r="H939" s="1"/>
      <c r="I939" s="1"/>
      <c r="J939" s="1"/>
      <c r="K939" s="1"/>
      <c r="L939" s="1"/>
    </row>
    <row r="940" ht="15.75" customHeight="1">
      <c r="H940" s="1"/>
      <c r="I940" s="1"/>
      <c r="J940" s="1"/>
      <c r="K940" s="1"/>
      <c r="L940" s="1"/>
    </row>
    <row r="941" ht="15.75" customHeight="1">
      <c r="H941" s="1"/>
      <c r="I941" s="1"/>
      <c r="J941" s="1"/>
      <c r="K941" s="1"/>
      <c r="L941" s="1"/>
    </row>
    <row r="942" ht="15.75" customHeight="1">
      <c r="H942" s="1"/>
      <c r="I942" s="1"/>
      <c r="J942" s="1"/>
      <c r="K942" s="1"/>
      <c r="L942" s="1"/>
    </row>
    <row r="943" ht="15.75" customHeight="1">
      <c r="H943" s="1"/>
      <c r="I943" s="1"/>
      <c r="J943" s="1"/>
      <c r="K943" s="1"/>
      <c r="L943" s="1"/>
    </row>
    <row r="944" ht="15.75" customHeight="1">
      <c r="H944" s="1"/>
      <c r="I944" s="1"/>
      <c r="J944" s="1"/>
      <c r="K944" s="1"/>
      <c r="L944" s="1"/>
    </row>
    <row r="945" ht="15.75" customHeight="1">
      <c r="H945" s="1"/>
      <c r="I945" s="1"/>
      <c r="J945" s="1"/>
      <c r="K945" s="1"/>
      <c r="L945" s="1"/>
    </row>
    <row r="946" ht="15.75" customHeight="1">
      <c r="H946" s="1"/>
      <c r="I946" s="1"/>
      <c r="J946" s="1"/>
      <c r="K946" s="1"/>
      <c r="L946" s="1"/>
    </row>
    <row r="947" ht="15.75" customHeight="1">
      <c r="H947" s="1"/>
      <c r="I947" s="1"/>
      <c r="J947" s="1"/>
      <c r="K947" s="1"/>
      <c r="L947" s="1"/>
    </row>
    <row r="948" ht="15.75" customHeight="1">
      <c r="H948" s="1"/>
      <c r="I948" s="1"/>
      <c r="J948" s="1"/>
      <c r="K948" s="1"/>
      <c r="L948" s="1"/>
    </row>
    <row r="949" ht="15.75" customHeight="1">
      <c r="H949" s="1"/>
      <c r="I949" s="1"/>
      <c r="J949" s="1"/>
      <c r="K949" s="1"/>
      <c r="L949" s="1"/>
    </row>
    <row r="950" ht="15.75" customHeight="1">
      <c r="H950" s="1"/>
      <c r="I950" s="1"/>
      <c r="J950" s="1"/>
      <c r="K950" s="1"/>
      <c r="L950" s="1"/>
    </row>
    <row r="951" ht="15.75" customHeight="1">
      <c r="H951" s="1"/>
      <c r="I951" s="1"/>
      <c r="J951" s="1"/>
      <c r="K951" s="1"/>
      <c r="L951" s="1"/>
    </row>
    <row r="952" ht="15.75" customHeight="1">
      <c r="H952" s="1"/>
      <c r="I952" s="1"/>
      <c r="J952" s="1"/>
      <c r="K952" s="1"/>
      <c r="L952" s="1"/>
    </row>
    <row r="953" ht="15.75" customHeight="1">
      <c r="H953" s="1"/>
      <c r="I953" s="1"/>
      <c r="J953" s="1"/>
      <c r="K953" s="1"/>
      <c r="L953" s="1"/>
    </row>
    <row r="954" ht="15.75" customHeight="1">
      <c r="H954" s="1"/>
      <c r="I954" s="1"/>
      <c r="J954" s="1"/>
      <c r="K954" s="1"/>
      <c r="L954" s="1"/>
    </row>
    <row r="955" ht="15.75" customHeight="1">
      <c r="H955" s="1"/>
      <c r="I955" s="1"/>
      <c r="J955" s="1"/>
      <c r="K955" s="1"/>
      <c r="L955" s="1"/>
    </row>
    <row r="956" ht="15.75" customHeight="1">
      <c r="H956" s="1"/>
      <c r="I956" s="1"/>
      <c r="J956" s="1"/>
      <c r="K956" s="1"/>
      <c r="L956" s="1"/>
    </row>
    <row r="957" ht="15.75" customHeight="1">
      <c r="H957" s="1"/>
      <c r="I957" s="1"/>
      <c r="J957" s="1"/>
      <c r="K957" s="1"/>
      <c r="L957" s="1"/>
    </row>
    <row r="958" ht="15.75" customHeight="1">
      <c r="H958" s="1"/>
      <c r="I958" s="1"/>
      <c r="J958" s="1"/>
      <c r="K958" s="1"/>
      <c r="L958" s="1"/>
    </row>
    <row r="959" ht="15.75" customHeight="1">
      <c r="H959" s="1"/>
      <c r="I959" s="1"/>
      <c r="J959" s="1"/>
      <c r="K959" s="1"/>
      <c r="L959" s="1"/>
    </row>
    <row r="960" ht="15.75" customHeight="1">
      <c r="H960" s="1"/>
      <c r="I960" s="1"/>
      <c r="J960" s="1"/>
      <c r="K960" s="1"/>
      <c r="L960" s="1"/>
    </row>
    <row r="961" ht="15.75" customHeight="1">
      <c r="H961" s="1"/>
      <c r="I961" s="1"/>
      <c r="J961" s="1"/>
      <c r="K961" s="1"/>
      <c r="L961" s="1"/>
    </row>
    <row r="962" ht="15.75" customHeight="1">
      <c r="H962" s="1"/>
      <c r="I962" s="1"/>
      <c r="J962" s="1"/>
      <c r="K962" s="1"/>
      <c r="L962" s="1"/>
    </row>
    <row r="963" ht="15.75" customHeight="1">
      <c r="H963" s="1"/>
      <c r="I963" s="1"/>
      <c r="J963" s="1"/>
      <c r="K963" s="1"/>
      <c r="L963" s="1"/>
    </row>
    <row r="964" ht="15.75" customHeight="1">
      <c r="H964" s="1"/>
      <c r="I964" s="1"/>
      <c r="J964" s="1"/>
      <c r="K964" s="1"/>
      <c r="L964" s="1"/>
    </row>
    <row r="965" ht="15.75" customHeight="1">
      <c r="H965" s="1"/>
      <c r="I965" s="1"/>
      <c r="J965" s="1"/>
      <c r="K965" s="1"/>
      <c r="L965" s="1"/>
    </row>
    <row r="966" ht="15.75" customHeight="1">
      <c r="H966" s="1"/>
      <c r="I966" s="1"/>
      <c r="J966" s="1"/>
      <c r="K966" s="1"/>
      <c r="L966" s="1"/>
    </row>
    <row r="967" ht="15.75" customHeight="1">
      <c r="H967" s="1"/>
      <c r="I967" s="1"/>
      <c r="J967" s="1"/>
      <c r="K967" s="1"/>
      <c r="L967" s="1"/>
    </row>
    <row r="968" ht="15.75" customHeight="1">
      <c r="H968" s="1"/>
      <c r="I968" s="1"/>
      <c r="J968" s="1"/>
      <c r="K968" s="1"/>
      <c r="L968" s="1"/>
    </row>
    <row r="969" ht="15.75" customHeight="1">
      <c r="H969" s="1"/>
      <c r="I969" s="1"/>
      <c r="J969" s="1"/>
      <c r="K969" s="1"/>
      <c r="L969" s="1"/>
    </row>
    <row r="970" ht="15.75" customHeight="1">
      <c r="H970" s="1"/>
      <c r="I970" s="1"/>
      <c r="J970" s="1"/>
      <c r="K970" s="1"/>
      <c r="L970" s="1"/>
    </row>
    <row r="971" ht="15.75" customHeight="1">
      <c r="H971" s="1"/>
      <c r="I971" s="1"/>
      <c r="J971" s="1"/>
      <c r="K971" s="1"/>
      <c r="L971" s="1"/>
    </row>
    <row r="972" ht="15.75" customHeight="1">
      <c r="H972" s="1"/>
      <c r="I972" s="1"/>
      <c r="J972" s="1"/>
      <c r="K972" s="1"/>
      <c r="L972" s="1"/>
    </row>
    <row r="973" ht="15.75" customHeight="1">
      <c r="H973" s="1"/>
      <c r="I973" s="1"/>
      <c r="J973" s="1"/>
      <c r="K973" s="1"/>
      <c r="L973" s="1"/>
    </row>
    <row r="974" ht="15.75" customHeight="1">
      <c r="H974" s="1"/>
      <c r="I974" s="1"/>
      <c r="J974" s="1"/>
      <c r="K974" s="1"/>
      <c r="L974" s="1"/>
    </row>
    <row r="975" ht="15.75" customHeight="1">
      <c r="H975" s="1"/>
      <c r="I975" s="1"/>
      <c r="J975" s="1"/>
      <c r="K975" s="1"/>
      <c r="L975" s="1"/>
    </row>
    <row r="976" ht="15.75" customHeight="1">
      <c r="H976" s="1"/>
      <c r="I976" s="1"/>
      <c r="J976" s="1"/>
      <c r="K976" s="1"/>
      <c r="L976" s="1"/>
    </row>
    <row r="977" ht="15.75" customHeight="1">
      <c r="H977" s="1"/>
      <c r="I977" s="1"/>
      <c r="J977" s="1"/>
      <c r="K977" s="1"/>
      <c r="L977" s="1"/>
    </row>
    <row r="978" ht="15.75" customHeight="1">
      <c r="H978" s="1"/>
      <c r="I978" s="1"/>
      <c r="J978" s="1"/>
      <c r="K978" s="1"/>
      <c r="L978" s="1"/>
    </row>
    <row r="979" ht="15.75" customHeight="1">
      <c r="H979" s="1"/>
      <c r="I979" s="1"/>
      <c r="J979" s="1"/>
      <c r="K979" s="1"/>
      <c r="L979" s="1"/>
    </row>
    <row r="980" ht="15.75" customHeight="1">
      <c r="H980" s="1"/>
      <c r="I980" s="1"/>
      <c r="J980" s="1"/>
      <c r="K980" s="1"/>
      <c r="L980" s="1"/>
    </row>
    <row r="981" ht="15.75" customHeight="1">
      <c r="H981" s="1"/>
      <c r="I981" s="1"/>
      <c r="J981" s="1"/>
      <c r="K981" s="1"/>
      <c r="L981" s="1"/>
    </row>
    <row r="982" ht="15.75" customHeight="1">
      <c r="H982" s="1"/>
      <c r="I982" s="1"/>
      <c r="J982" s="1"/>
      <c r="K982" s="1"/>
      <c r="L982" s="1"/>
    </row>
    <row r="983" ht="15.75" customHeight="1">
      <c r="H983" s="1"/>
      <c r="I983" s="1"/>
      <c r="J983" s="1"/>
      <c r="K983" s="1"/>
      <c r="L983" s="1"/>
    </row>
    <row r="984" ht="15.75" customHeight="1">
      <c r="H984" s="1"/>
      <c r="I984" s="1"/>
      <c r="J984" s="1"/>
      <c r="K984" s="1"/>
      <c r="L984" s="1"/>
    </row>
    <row r="985" ht="15.75" customHeight="1">
      <c r="H985" s="1"/>
      <c r="I985" s="1"/>
      <c r="J985" s="1"/>
      <c r="K985" s="1"/>
      <c r="L985" s="1"/>
    </row>
    <row r="986" ht="15.75" customHeight="1">
      <c r="H986" s="1"/>
      <c r="I986" s="1"/>
      <c r="J986" s="1"/>
      <c r="K986" s="1"/>
      <c r="L986" s="1"/>
    </row>
    <row r="987" ht="15.75" customHeight="1">
      <c r="H987" s="1"/>
      <c r="I987" s="1"/>
      <c r="J987" s="1"/>
      <c r="K987" s="1"/>
      <c r="L987" s="1"/>
    </row>
    <row r="988" ht="15.75" customHeight="1">
      <c r="H988" s="1"/>
      <c r="I988" s="1"/>
      <c r="J988" s="1"/>
      <c r="K988" s="1"/>
      <c r="L988" s="1"/>
    </row>
    <row r="989" ht="15.75" customHeight="1">
      <c r="H989" s="1"/>
      <c r="I989" s="1"/>
      <c r="J989" s="1"/>
      <c r="K989" s="1"/>
      <c r="L989" s="1"/>
    </row>
    <row r="990" ht="15.75" customHeight="1">
      <c r="H990" s="1"/>
      <c r="I990" s="1"/>
      <c r="J990" s="1"/>
      <c r="K990" s="1"/>
      <c r="L990" s="1"/>
    </row>
    <row r="991" ht="15.75" customHeight="1">
      <c r="H991" s="1"/>
      <c r="I991" s="1"/>
      <c r="J991" s="1"/>
      <c r="K991" s="1"/>
      <c r="L991" s="1"/>
    </row>
    <row r="992" ht="15.75" customHeight="1">
      <c r="H992" s="1"/>
      <c r="I992" s="1"/>
      <c r="J992" s="1"/>
      <c r="K992" s="1"/>
      <c r="L992" s="1"/>
    </row>
    <row r="993" ht="15.75" customHeight="1">
      <c r="H993" s="1"/>
      <c r="I993" s="1"/>
      <c r="J993" s="1"/>
      <c r="K993" s="1"/>
      <c r="L993" s="1"/>
    </row>
    <row r="994" ht="15.75" customHeight="1">
      <c r="H994" s="1"/>
      <c r="I994" s="1"/>
      <c r="J994" s="1"/>
      <c r="K994" s="1"/>
      <c r="L994" s="1"/>
    </row>
    <row r="995" ht="15.75" customHeight="1">
      <c r="H995" s="1"/>
      <c r="I995" s="1"/>
      <c r="J995" s="1"/>
      <c r="K995" s="1"/>
      <c r="L995" s="1"/>
    </row>
    <row r="996" ht="15.75" customHeight="1">
      <c r="H996" s="1"/>
      <c r="I996" s="1"/>
      <c r="J996" s="1"/>
      <c r="K996" s="1"/>
      <c r="L996" s="1"/>
    </row>
    <row r="997" ht="15.75" customHeight="1">
      <c r="H997" s="1"/>
      <c r="I997" s="1"/>
      <c r="J997" s="1"/>
      <c r="K997" s="1"/>
      <c r="L997" s="1"/>
    </row>
    <row r="998" ht="15.75" customHeight="1">
      <c r="H998" s="1"/>
      <c r="I998" s="1"/>
      <c r="J998" s="1"/>
      <c r="K998" s="1"/>
      <c r="L998" s="1"/>
    </row>
    <row r="999" ht="15.75" customHeight="1">
      <c r="H999" s="1"/>
      <c r="I999" s="1"/>
      <c r="J999" s="1"/>
      <c r="K999" s="1"/>
      <c r="L999" s="1"/>
    </row>
  </sheetData>
  <mergeCells count="16">
    <mergeCell ref="F5:F6"/>
    <mergeCell ref="G5:G6"/>
    <mergeCell ref="H5:H6"/>
    <mergeCell ref="I5:I6"/>
    <mergeCell ref="J5:J6"/>
    <mergeCell ref="K5:K6"/>
    <mergeCell ref="N5:Q5"/>
    <mergeCell ref="L5:L6"/>
    <mergeCell ref="B7:L7"/>
    <mergeCell ref="C2:F2"/>
    <mergeCell ref="B3:L3"/>
    <mergeCell ref="B4:B6"/>
    <mergeCell ref="C4:C6"/>
    <mergeCell ref="D4:D6"/>
    <mergeCell ref="E4:L4"/>
    <mergeCell ref="E5:E6"/>
  </mergeCells>
  <conditionalFormatting sqref="I1:I2 I5:I6 I8:I999">
    <cfRule type="cellIs" dxfId="0" priority="1" operator="greaterThan">
      <formula>40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7"/>
      <c r="B1" s="15" t="s">
        <v>438</v>
      </c>
      <c r="C1" s="15" t="s">
        <v>439</v>
      </c>
      <c r="D1" s="15" t="s">
        <v>440</v>
      </c>
    </row>
    <row r="2">
      <c r="A2" s="17" t="str">
        <f>IFERROR(__xludf.DUMMYFUNCTION("IMPORTRANGE(""https://docs.google.com/spreadsheets/d/1daplFbln_4MfKWwf-PQRMWA0ZH07tI9h-HFOogFthvk/edit#gid=295520640"",""Errores!A2:H5000"")"),"02-26-01-18A")</f>
        <v>02-26-01-18A</v>
      </c>
      <c r="B2" s="17" t="str">
        <f>IFERROR(__xludf.DUMMYFUNCTION("""COMPUTED_VALUE"""),"")</f>
        <v/>
      </c>
      <c r="C2" s="17" t="str">
        <f>IFERROR(__xludf.DUMMYFUNCTION("""COMPUTED_VALUE"""),"")</f>
        <v/>
      </c>
      <c r="D2" s="17" t="str">
        <f>IFERROR(__xludf.DUMMYFUNCTION("""COMPUTED_VALUE"""),"")</f>
        <v/>
      </c>
      <c r="E2" s="36" t="str">
        <f>IFERROR(__xludf.DUMMYFUNCTION("""COMPUTED_VALUE"""),"01-40-08-128")</f>
        <v>01-40-08-128</v>
      </c>
      <c r="F2" s="36"/>
      <c r="G2" s="36" t="str">
        <f>IFERROR(__xludf.DUMMYFUNCTION("""COMPUTED_VALUE""")," 25 de Mayo y Av. Rawson ")</f>
        <v> 25 de Mayo y Av. Rawson </v>
      </c>
      <c r="H2" s="36" t="str">
        <f>IFERROR(__xludf.DUMMYFUNCTION("""COMPUTED_VALUE"""),"")</f>
        <v/>
      </c>
    </row>
    <row r="3">
      <c r="A3" s="36" t="str">
        <f>IFERROR(__xludf.DUMMYFUNCTION("""COMPUTED_VALUE"""),"02-26-01-27")</f>
        <v>02-26-01-27</v>
      </c>
      <c r="B3" s="36" t="str">
        <f>IFERROR(__xludf.DUMMYFUNCTION("""COMPUTED_VALUE"""),"")</f>
        <v/>
      </c>
      <c r="C3" s="36" t="str">
        <f>IFERROR(__xludf.DUMMYFUNCTION("""COMPUTED_VALUE"""),"")</f>
        <v/>
      </c>
      <c r="D3" s="36" t="str">
        <f>IFERROR(__xludf.DUMMYFUNCTION("""COMPUTED_VALUE"""),"")</f>
        <v/>
      </c>
      <c r="E3" s="36" t="str">
        <f>IFERROR(__xludf.DUMMYFUNCTION("""COMPUTED_VALUE"""),"02-28-01-46")</f>
        <v>02-28-01-46</v>
      </c>
      <c r="F3" s="36"/>
      <c r="G3" s="36" t="str">
        <f>IFERROR(__xludf.DUMMYFUNCTION("""COMPUTED_VALUE""")," Av. N. Benavídez y Bonduel ")</f>
        <v> Av. N. Benavídez y Bonduel </v>
      </c>
      <c r="H3" s="36"/>
    </row>
    <row r="4">
      <c r="A4" s="36" t="str">
        <f>IFERROR(__xludf.DUMMYFUNCTION("""COMPUTED_VALUE"""),"02-26-01-32")</f>
        <v>02-26-01-32</v>
      </c>
      <c r="B4" s="36" t="str">
        <f>IFERROR(__xludf.DUMMYFUNCTION("""COMPUTED_VALUE"""),"")</f>
        <v/>
      </c>
      <c r="C4" s="36" t="str">
        <f>IFERROR(__xludf.DUMMYFUNCTION("""COMPUTED_VALUE"""),"")</f>
        <v/>
      </c>
      <c r="D4" s="36" t="str">
        <f>IFERROR(__xludf.DUMMYFUNCTION("""COMPUTED_VALUE"""),"")</f>
        <v/>
      </c>
      <c r="E4" s="36" t="str">
        <f>IFERROR(__xludf.DUMMYFUNCTION("""COMPUTED_VALUE"""),"02-26-01-43")</f>
        <v>02-26-01-43</v>
      </c>
      <c r="F4" s="36"/>
      <c r="G4" s="36" t="str">
        <f>IFERROR(__xludf.DUMMYFUNCTION("""COMPUTED_VALUE""")," Av. N. Benavídez y Sanchez")</f>
        <v> Av. N. Benavídez y Sanchez</v>
      </c>
      <c r="H4" s="36" t="str">
        <f>IFERROR(__xludf.DUMMYFUNCTION("""COMPUTED_VALUE"""),"")</f>
        <v/>
      </c>
    </row>
    <row r="5">
      <c r="A5" s="36" t="str">
        <f>IFERROR(__xludf.DUMMYFUNCTION("""COMPUTED_VALUE"""),"02-26-01-43")</f>
        <v>02-26-01-43</v>
      </c>
      <c r="B5" s="36" t="str">
        <f>IFERROR(__xludf.DUMMYFUNCTION("""COMPUTED_VALUE"""),"")</f>
        <v/>
      </c>
      <c r="C5" s="36" t="str">
        <f>IFERROR(__xludf.DUMMYFUNCTION("""COMPUTED_VALUE"""),"")</f>
        <v/>
      </c>
      <c r="D5" s="36" t="str">
        <f>IFERROR(__xludf.DUMMYFUNCTION("""COMPUTED_VALUE"""),"")</f>
        <v/>
      </c>
      <c r="E5" s="36" t="str">
        <f>IFERROR(__xludf.DUMMYFUNCTION("""COMPUTED_VALUE"""),"04-45-12-29E")</f>
        <v>04-45-12-29E</v>
      </c>
      <c r="F5" s="36"/>
      <c r="G5" s="36" t="str">
        <f>IFERROR(__xludf.DUMMYFUNCTION("""COMPUTED_VALUE""")," Bº La Estación")</f>
        <v> Bº La Estación</v>
      </c>
      <c r="H5" s="36" t="str">
        <f>IFERROR(__xludf.DUMMYFUNCTION("""COMPUTED_VALUE"""),"")</f>
        <v/>
      </c>
    </row>
    <row r="6">
      <c r="A6" s="36" t="str">
        <f>IFERROR(__xludf.DUMMYFUNCTION("""COMPUTED_VALUE"""),"08-34-0-43")</f>
        <v>08-34-0-43</v>
      </c>
      <c r="B6" s="36" t="str">
        <f>IFERROR(__xludf.DUMMYFUNCTION("""COMPUTED_VALUE"""),"")</f>
        <v/>
      </c>
      <c r="C6" s="36" t="str">
        <f>IFERROR(__xludf.DUMMYFUNCTION("""COMPUTED_VALUE"""),"")</f>
        <v/>
      </c>
      <c r="D6" s="36" t="str">
        <f>IFERROR(__xludf.DUMMYFUNCTION("""COMPUTED_VALUE"""),"")</f>
        <v/>
      </c>
      <c r="E6" s="36" t="str">
        <f>IFERROR(__xludf.DUMMYFUNCTION("""COMPUTED_VALUE"""),"02-38-12-215A")</f>
        <v>02-38-12-215A</v>
      </c>
      <c r="F6" s="36"/>
      <c r="G6" s="36" t="str">
        <f>IFERROR(__xludf.DUMMYFUNCTION("""COMPUTED_VALUE""")," Comandante Cabot y B. O'Higgins")</f>
        <v> Comandante Cabot y B. O'Higgins</v>
      </c>
      <c r="H6" s="36" t="str">
        <f>IFERROR(__xludf.DUMMYFUNCTION("""COMPUTED_VALUE"""),"")</f>
        <v/>
      </c>
    </row>
    <row r="7">
      <c r="A7" s="36" t="str">
        <f>IFERROR(__xludf.DUMMYFUNCTION("""COMPUTED_VALUE"""),"02-27-01-44")</f>
        <v>02-27-01-44</v>
      </c>
      <c r="B7" s="36" t="str">
        <f>IFERROR(__xludf.DUMMYFUNCTION("""COMPUTED_VALUE"""),"")</f>
        <v/>
      </c>
      <c r="C7" s="36" t="str">
        <f>IFERROR(__xludf.DUMMYFUNCTION("""COMPUTED_VALUE"""),"")</f>
        <v/>
      </c>
      <c r="D7" s="36" t="str">
        <f>IFERROR(__xludf.DUMMYFUNCTION("""COMPUTED_VALUE"""),"")</f>
        <v/>
      </c>
      <c r="E7" s="36" t="str">
        <f>IFERROR(__xludf.DUMMYFUNCTION("""COMPUTED_VALUE"""),"02-38-12-213")</f>
        <v>02-38-12-213</v>
      </c>
      <c r="F7" s="36"/>
      <c r="G7" s="36" t="str">
        <f>IFERROR(__xludf.DUMMYFUNCTION("""COMPUTED_VALUE""")," Comandante Cabot y Buenos Aires")</f>
        <v> Comandante Cabot y Buenos Aires</v>
      </c>
      <c r="H7" s="36" t="str">
        <f>IFERROR(__xludf.DUMMYFUNCTION("""COMPUTED_VALUE"""),"")</f>
        <v/>
      </c>
    </row>
    <row r="8">
      <c r="A8" s="36" t="str">
        <f>IFERROR(__xludf.DUMMYFUNCTION("""COMPUTED_VALUE"""),"02-28-01-46")</f>
        <v>02-28-01-46</v>
      </c>
      <c r="B8" s="36" t="str">
        <f>IFERROR(__xludf.DUMMYFUNCTION("""COMPUTED_VALUE"""),"")</f>
        <v/>
      </c>
      <c r="C8" s="36" t="str">
        <f>IFERROR(__xludf.DUMMYFUNCTION("""COMPUTED_VALUE"""),"")</f>
        <v/>
      </c>
      <c r="D8" s="36" t="str">
        <f>IFERROR(__xludf.DUMMYFUNCTION("""COMPUTED_VALUE"""),"")</f>
        <v/>
      </c>
      <c r="E8" s="36" t="str">
        <f>IFERROR(__xludf.DUMMYFUNCTION("""COMPUTED_VALUE"""),"02-38-12-217")</f>
        <v>02-38-12-217</v>
      </c>
      <c r="F8" s="36"/>
      <c r="G8" s="36" t="str">
        <f>IFERROR(__xludf.DUMMYFUNCTION("""COMPUTED_VALUE""")," Comandante Cabot y Gonzáles")</f>
        <v> Comandante Cabot y Gonzáles</v>
      </c>
      <c r="H8" s="36" t="str">
        <f>IFERROR(__xludf.DUMMYFUNCTION("""COMPUTED_VALUE"""),"")</f>
        <v/>
      </c>
    </row>
    <row r="9">
      <c r="A9" s="36" t="str">
        <f>IFERROR(__xludf.DUMMYFUNCTION("""COMPUTED_VALUE"""),"08-30-01-7E")</f>
        <v>08-30-01-7E</v>
      </c>
      <c r="B9" s="36" t="str">
        <f>IFERROR(__xludf.DUMMYFUNCTION("""COMPUTED_VALUE"""),"")</f>
        <v/>
      </c>
      <c r="C9" s="36" t="str">
        <f>IFERROR(__xludf.DUMMYFUNCTION("""COMPUTED_VALUE"""),"")</f>
        <v/>
      </c>
      <c r="D9" s="36" t="str">
        <f>IFERROR(__xludf.DUMMYFUNCTION("""COMPUTED_VALUE"""),"")</f>
        <v/>
      </c>
      <c r="E9" s="36" t="str">
        <f>IFERROR(__xludf.DUMMYFUNCTION("""COMPUTED_VALUE"""),"02-38-12-211")</f>
        <v>02-38-12-211</v>
      </c>
      <c r="F9" s="36"/>
      <c r="G9" s="36" t="str">
        <f>IFERROR(__xludf.DUMMYFUNCTION("""COMPUTED_VALUE""")," Comandante Cabot y Jorge Newbery")</f>
        <v> Comandante Cabot y Jorge Newbery</v>
      </c>
      <c r="H9" s="36" t="str">
        <f>IFERROR(__xludf.DUMMYFUNCTION("""COMPUTED_VALUE"""),"")</f>
        <v/>
      </c>
    </row>
    <row r="10">
      <c r="A10" s="36" t="str">
        <f>IFERROR(__xludf.DUMMYFUNCTION("""COMPUTED_VALUE"""),"08-30-01-7F")</f>
        <v>08-30-01-7F</v>
      </c>
      <c r="B10" s="36" t="str">
        <f>IFERROR(__xludf.DUMMYFUNCTION("""COMPUTED_VALUE"""),"")</f>
        <v/>
      </c>
      <c r="C10" s="36" t="str">
        <f>IFERROR(__xludf.DUMMYFUNCTION("""COMPUTED_VALUE"""),"")</f>
        <v/>
      </c>
      <c r="D10" s="36" t="str">
        <f>IFERROR(__xludf.DUMMYFUNCTION("""COMPUTED_VALUE"""),"")</f>
        <v/>
      </c>
      <c r="E10" s="36" t="str">
        <f>IFERROR(__xludf.DUMMYFUNCTION("""COMPUTED_VALUE"""),"02-38-12-216")</f>
        <v>02-38-12-216</v>
      </c>
      <c r="F10" s="36"/>
      <c r="G10" s="36" t="str">
        <f>IFERROR(__xludf.DUMMYFUNCTION("""COMPUTED_VALUE""")," Comandante Cabot y Rio Bamba ")</f>
        <v> Comandante Cabot y Rio Bamba </v>
      </c>
      <c r="H10" s="36" t="str">
        <f>IFERROR(__xludf.DUMMYFUNCTION("""COMPUTED_VALUE"""),"")</f>
        <v/>
      </c>
    </row>
    <row r="11">
      <c r="A11" s="36" t="str">
        <f>IFERROR(__xludf.DUMMYFUNCTION("""COMPUTED_VALUE"""),"08-30-01-8")</f>
        <v>08-30-01-8</v>
      </c>
      <c r="B11" s="36" t="str">
        <f>IFERROR(__xludf.DUMMYFUNCTION("""COMPUTED_VALUE"""),"")</f>
        <v/>
      </c>
      <c r="C11" s="36" t="str">
        <f>IFERROR(__xludf.DUMMYFUNCTION("""COMPUTED_VALUE"""),"")</f>
        <v/>
      </c>
      <c r="D11" s="36" t="str">
        <f>IFERROR(__xludf.DUMMYFUNCTION("""COMPUTED_VALUE"""),"")</f>
        <v/>
      </c>
      <c r="E11" s="36" t="str">
        <f>IFERROR(__xludf.DUMMYFUNCTION("""COMPUTED_VALUE"""),"02-38-12-215")</f>
        <v>02-38-12-215</v>
      </c>
      <c r="F11" s="36"/>
      <c r="G11" s="36" t="str">
        <f>IFERROR(__xludf.DUMMYFUNCTION("""COMPUTED_VALUE""")," Comandante Cabot y Rioja")</f>
        <v> Comandante Cabot y Rioja</v>
      </c>
      <c r="H11" s="36" t="str">
        <f>IFERROR(__xludf.DUMMYFUNCTION("""COMPUTED_VALUE"""),"")</f>
        <v/>
      </c>
    </row>
    <row r="12">
      <c r="A12" s="36" t="str">
        <f>IFERROR(__xludf.DUMMYFUNCTION("""COMPUTED_VALUE"""),"08-30-01-9")</f>
        <v>08-30-01-9</v>
      </c>
      <c r="B12" s="36" t="str">
        <f>IFERROR(__xludf.DUMMYFUNCTION("""COMPUTED_VALUE"""),"")</f>
        <v/>
      </c>
      <c r="C12" s="36" t="str">
        <f>IFERROR(__xludf.DUMMYFUNCTION("""COMPUTED_VALUE"""),"")</f>
        <v/>
      </c>
      <c r="D12" s="36" t="str">
        <f>IFERROR(__xludf.DUMMYFUNCTION("""COMPUTED_VALUE"""),"")</f>
        <v/>
      </c>
      <c r="E12" s="36" t="str">
        <f>IFERROR(__xludf.DUMMYFUNCTION("""COMPUTED_VALUE"""),"02-38-12-210")</f>
        <v>02-38-12-210</v>
      </c>
      <c r="F12" s="36"/>
      <c r="G12" s="36" t="str">
        <f>IFERROR(__xludf.DUMMYFUNCTION("""COMPUTED_VALUE""")," Comandante Cabot y Rivera Indarte")</f>
        <v> Comandante Cabot y Rivera Indarte</v>
      </c>
      <c r="H12" s="36" t="str">
        <f>IFERROR(__xludf.DUMMYFUNCTION("""COMPUTED_VALUE"""),"")</f>
        <v/>
      </c>
    </row>
    <row r="13">
      <c r="A13" s="36" t="str">
        <f>IFERROR(__xludf.DUMMYFUNCTION("""COMPUTED_VALUE"""),"08-30-01-9A")</f>
        <v>08-30-01-9A</v>
      </c>
      <c r="B13" s="36" t="str">
        <f>IFERROR(__xludf.DUMMYFUNCTION("""COMPUTED_VALUE"""),"")</f>
        <v/>
      </c>
      <c r="C13" s="36" t="str">
        <f>IFERROR(__xludf.DUMMYFUNCTION("""COMPUTED_VALUE"""),"")</f>
        <v/>
      </c>
      <c r="D13" s="36" t="str">
        <f>IFERROR(__xludf.DUMMYFUNCTION("""COMPUTED_VALUE"""),"")</f>
        <v/>
      </c>
      <c r="E13" s="36" t="str">
        <f>IFERROR(__xludf.DUMMYFUNCTION("""COMPUTED_VALUE"""),"02-38-12-215B")</f>
        <v>02-38-12-215B</v>
      </c>
      <c r="F13" s="36"/>
      <c r="G13" s="36" t="str">
        <f>IFERROR(__xludf.DUMMYFUNCTION("""COMPUTED_VALUE""")," Comandante Cabot y San Luis")</f>
        <v> Comandante Cabot y San Luis</v>
      </c>
      <c r="H13" s="36" t="str">
        <f>IFERROR(__xludf.DUMMYFUNCTION("""COMPUTED_VALUE"""),"")</f>
        <v/>
      </c>
    </row>
    <row r="14">
      <c r="A14" s="36" t="str">
        <f>IFERROR(__xludf.DUMMYFUNCTION("""COMPUTED_VALUE"""),"08-30-01-9B")</f>
        <v>08-30-01-9B</v>
      </c>
      <c r="B14" s="36" t="str">
        <f>IFERROR(__xludf.DUMMYFUNCTION("""COMPUTED_VALUE"""),"")</f>
        <v/>
      </c>
      <c r="C14" s="36" t="str">
        <f>IFERROR(__xludf.DUMMYFUNCTION("""COMPUTED_VALUE"""),"")</f>
        <v/>
      </c>
      <c r="D14" s="36" t="str">
        <f>IFERROR(__xludf.DUMMYFUNCTION("""COMPUTED_VALUE"""),"")</f>
        <v/>
      </c>
      <c r="E14" s="36" t="str">
        <f>IFERROR(__xludf.DUMMYFUNCTION("""COMPUTED_VALUE"""),"02-38-12-211A")</f>
        <v>02-38-12-211A</v>
      </c>
      <c r="F14" s="36"/>
      <c r="G14" s="36" t="str">
        <f>IFERROR(__xludf.DUMMYFUNCTION("""COMPUTED_VALUE""")," Comandante Cabot y Sto. Tomas de Aquino")</f>
        <v> Comandante Cabot y Sto. Tomas de Aquino</v>
      </c>
      <c r="H14" s="36" t="str">
        <f>IFERROR(__xludf.DUMMYFUNCTION("""COMPUTED_VALUE"""),"")</f>
        <v/>
      </c>
    </row>
    <row r="15">
      <c r="A15" s="36" t="str">
        <f>IFERROR(__xludf.DUMMYFUNCTION("""COMPUTED_VALUE"""),"08-31-01-1")</f>
        <v>08-31-01-1</v>
      </c>
      <c r="B15" s="36" t="str">
        <f>IFERROR(__xludf.DUMMYFUNCTION("""COMPUTED_VALUE"""),"")</f>
        <v/>
      </c>
      <c r="C15" s="36" t="str">
        <f>IFERROR(__xludf.DUMMYFUNCTION("""COMPUTED_VALUE"""),"")</f>
        <v/>
      </c>
      <c r="D15" s="36" t="str">
        <f>IFERROR(__xludf.DUMMYFUNCTION("""COMPUTED_VALUE"""),"")</f>
        <v/>
      </c>
      <c r="E15" s="36" t="str">
        <f>IFERROR(__xludf.DUMMYFUNCTION("""COMPUTED_VALUE"""),"02-38-12-212")</f>
        <v>02-38-12-212</v>
      </c>
      <c r="F15" s="36"/>
      <c r="G15" s="36" t="str">
        <f>IFERROR(__xludf.DUMMYFUNCTION("""COMPUTED_VALUE""")," Comandante Cabot y Urquiza")</f>
        <v> Comandante Cabot y Urquiza</v>
      </c>
      <c r="H15" s="36" t="str">
        <f>IFERROR(__xludf.DUMMYFUNCTION("""COMPUTED_VALUE"""),"")</f>
        <v/>
      </c>
    </row>
    <row r="16">
      <c r="A16" s="36" t="str">
        <f>IFERROR(__xludf.DUMMYFUNCTION("""COMPUTED_VALUE"""),"08-31-01-2")</f>
        <v>08-31-01-2</v>
      </c>
      <c r="B16" s="36" t="str">
        <f>IFERROR(__xludf.DUMMYFUNCTION("""COMPUTED_VALUE"""),"")</f>
        <v/>
      </c>
      <c r="C16" s="36" t="str">
        <f>IFERROR(__xludf.DUMMYFUNCTION("""COMPUTED_VALUE"""),"")</f>
        <v/>
      </c>
      <c r="D16" s="36" t="str">
        <f>IFERROR(__xludf.DUMMYFUNCTION("""COMPUTED_VALUE"""),"")</f>
        <v/>
      </c>
      <c r="E16" s="36" t="str">
        <f>IFERROR(__xludf.DUMMYFUNCTION("""COMPUTED_VALUE"""),"02-38-12-210A")</f>
        <v>02-38-12-210A</v>
      </c>
      <c r="F16" s="36"/>
      <c r="G16" s="36" t="str">
        <f>IFERROR(__xludf.DUMMYFUNCTION("""COMPUTED_VALUE""")," Comandante Cabot y V. Lopez")</f>
        <v> Comandante Cabot y V. Lopez</v>
      </c>
      <c r="H16" s="36" t="str">
        <f>IFERROR(__xludf.DUMMYFUNCTION("""COMPUTED_VALUE"""),"")</f>
        <v/>
      </c>
    </row>
    <row r="17">
      <c r="A17" s="36" t="str">
        <f>IFERROR(__xludf.DUMMYFUNCTION("""COMPUTED_VALUE"""),"08-31-01-3")</f>
        <v>08-31-01-3</v>
      </c>
      <c r="B17" s="36" t="str">
        <f>IFERROR(__xludf.DUMMYFUNCTION("""COMPUTED_VALUE"""),"")</f>
        <v/>
      </c>
      <c r="C17" s="36" t="str">
        <f>IFERROR(__xludf.DUMMYFUNCTION("""COMPUTED_VALUE"""),"")</f>
        <v/>
      </c>
      <c r="D17" s="36" t="str">
        <f>IFERROR(__xludf.DUMMYFUNCTION("""COMPUTED_VALUE"""),"")</f>
        <v/>
      </c>
      <c r="E17" s="36" t="str">
        <f>IFERROR(__xludf.DUMMYFUNCTION("""COMPUTED_VALUE"""),"02-32-11-99")</f>
        <v>02-32-11-99</v>
      </c>
      <c r="F17" s="36"/>
      <c r="G17" s="36" t="str">
        <f>IFERROR(__xludf.DUMMYFUNCTION("""COMPUTED_VALUE""")," Dr. Cortínez y Ramón Salinas Este ")</f>
        <v> Dr. Cortínez y Ramón Salinas Este </v>
      </c>
      <c r="H17" s="36" t="str">
        <f>IFERROR(__xludf.DUMMYFUNCTION("""COMPUTED_VALUE"""),"")</f>
        <v/>
      </c>
    </row>
    <row r="18">
      <c r="A18" s="36" t="str">
        <f>IFERROR(__xludf.DUMMYFUNCTION("""COMPUTED_VALUE"""),"08-31-01-4")</f>
        <v>08-31-01-4</v>
      </c>
      <c r="B18" s="36" t="str">
        <f>IFERROR(__xludf.DUMMYFUNCTION("""COMPUTED_VALUE"""),"")</f>
        <v/>
      </c>
      <c r="C18" s="36" t="str">
        <f>IFERROR(__xludf.DUMMYFUNCTION("""COMPUTED_VALUE"""),"")</f>
        <v/>
      </c>
      <c r="D18" s="36" t="str">
        <f>IFERROR(__xludf.DUMMYFUNCTION("""COMPUTED_VALUE"""),"")</f>
        <v/>
      </c>
      <c r="E18" s="36" t="str">
        <f>IFERROR(__xludf.DUMMYFUNCTION("""COMPUTED_VALUE"""),"02-32-11-99A")</f>
        <v>02-32-11-99A</v>
      </c>
      <c r="F18" s="36"/>
      <c r="G18" s="36" t="str">
        <f>IFERROR(__xludf.DUMMYFUNCTION("""COMPUTED_VALUE""")," Dr. Cortínez y Ramón Salinas Oeste")</f>
        <v> Dr. Cortínez y Ramón Salinas Oeste</v>
      </c>
      <c r="H18" s="36" t="str">
        <f>IFERROR(__xludf.DUMMYFUNCTION("""COMPUTED_VALUE"""),"")</f>
        <v/>
      </c>
    </row>
    <row r="19">
      <c r="A19" s="36" t="str">
        <f>IFERROR(__xludf.DUMMYFUNCTION("""COMPUTED_VALUE"""),"08-31-01-5")</f>
        <v>08-31-01-5</v>
      </c>
      <c r="B19" s="36" t="str">
        <f>IFERROR(__xludf.DUMMYFUNCTION("""COMPUTED_VALUE"""),"")</f>
        <v/>
      </c>
      <c r="C19" s="36" t="str">
        <f>IFERROR(__xludf.DUMMYFUNCTION("""COMPUTED_VALUE"""),"")</f>
        <v/>
      </c>
      <c r="D19" s="36" t="str">
        <f>IFERROR(__xludf.DUMMYFUNCTION("""COMPUTED_VALUE"""),"")</f>
        <v/>
      </c>
      <c r="E19" s="36" t="str">
        <f>IFERROR(__xludf.DUMMYFUNCTION("""COMPUTED_VALUE"""),"02-38-12-214A")</f>
        <v>02-38-12-214A</v>
      </c>
      <c r="F19" s="36"/>
      <c r="G19" s="36" t="str">
        <f>IFERROR(__xludf.DUMMYFUNCTION("""COMPUTED_VALUE""")," Esquina Cmte. Cabot y B. O'Higgins Este")</f>
        <v> Esquina Cmte. Cabot y B. O'Higgins Este</v>
      </c>
      <c r="H19" s="36" t="str">
        <f>IFERROR(__xludf.DUMMYFUNCTION("""COMPUTED_VALUE"""),"")</f>
        <v/>
      </c>
    </row>
    <row r="20">
      <c r="A20" s="36" t="str">
        <f>IFERROR(__xludf.DUMMYFUNCTION("""COMPUTED_VALUE"""),"08-31-01-6")</f>
        <v>08-31-01-6</v>
      </c>
      <c r="B20" s="36" t="str">
        <f>IFERROR(__xludf.DUMMYFUNCTION("""COMPUTED_VALUE"""),"")</f>
        <v/>
      </c>
      <c r="C20" s="36" t="str">
        <f>IFERROR(__xludf.DUMMYFUNCTION("""COMPUTED_VALUE"""),"")</f>
        <v/>
      </c>
      <c r="D20" s="36" t="str">
        <f>IFERROR(__xludf.DUMMYFUNCTION("""COMPUTED_VALUE"""),"")</f>
        <v/>
      </c>
      <c r="E20" s="36" t="str">
        <f>IFERROR(__xludf.DUMMYFUNCTION("""COMPUTED_VALUE"""),"02-38-12-214")</f>
        <v>02-38-12-214</v>
      </c>
      <c r="F20" s="36"/>
      <c r="G20" s="36" t="str">
        <f>IFERROR(__xludf.DUMMYFUNCTION("""COMPUTED_VALUE""")," Esquina Cmte.Cabot y B. O'Higgins Oeste")</f>
        <v> Esquina Cmte.Cabot y B. O'Higgins Oeste</v>
      </c>
      <c r="H20" s="36" t="str">
        <f>IFERROR(__xludf.DUMMYFUNCTION("""COMPUTED_VALUE"""),"")</f>
        <v/>
      </c>
    </row>
    <row r="21">
      <c r="A21" s="36" t="str">
        <f>IFERROR(__xludf.DUMMYFUNCTION("""COMPUTED_VALUE"""),"08-31-01-7")</f>
        <v>08-31-01-7</v>
      </c>
      <c r="B21" s="36" t="str">
        <f>IFERROR(__xludf.DUMMYFUNCTION("""COMPUTED_VALUE"""),"")</f>
        <v/>
      </c>
      <c r="C21" s="36" t="str">
        <f>IFERROR(__xludf.DUMMYFUNCTION("""COMPUTED_VALUE"""),"")</f>
        <v/>
      </c>
      <c r="D21" s="36" t="str">
        <f>IFERROR(__xludf.DUMMYFUNCTION("""COMPUTED_VALUE"""),"")</f>
        <v/>
      </c>
      <c r="E21" s="36" t="str">
        <f>IFERROR(__xludf.DUMMYFUNCTION("""COMPUTED_VALUE"""),"02-38-12-219A")</f>
        <v>02-38-12-219A</v>
      </c>
      <c r="F21" s="36"/>
      <c r="G21" s="36" t="str">
        <f>IFERROR(__xludf.DUMMYFUNCTION("""COMPUTED_VALUE""")," Esquina Comandante Cabot y Rio Bamba ")</f>
        <v> Esquina Comandante Cabot y Rio Bamba </v>
      </c>
      <c r="H21" s="36" t="str">
        <f>IFERROR(__xludf.DUMMYFUNCTION("""COMPUTED_VALUE"""),"")</f>
        <v/>
      </c>
    </row>
    <row r="22">
      <c r="A22" s="36" t="str">
        <f>IFERROR(__xludf.DUMMYFUNCTION("""COMPUTED_VALUE"""),"08-31-01-7A")</f>
        <v>08-31-01-7A</v>
      </c>
      <c r="B22" s="36" t="str">
        <f>IFERROR(__xludf.DUMMYFUNCTION("""COMPUTED_VALUE"""),"")</f>
        <v/>
      </c>
      <c r="C22" s="36" t="str">
        <f>IFERROR(__xludf.DUMMYFUNCTION("""COMPUTED_VALUE"""),"")</f>
        <v/>
      </c>
      <c r="D22" s="36" t="str">
        <f>IFERROR(__xludf.DUMMYFUNCTION("""COMPUTED_VALUE"""),"")</f>
        <v/>
      </c>
      <c r="E22" s="36" t="str">
        <f>IFERROR(__xludf.DUMMYFUNCTION("""COMPUTED_VALUE"""),"04-34-12-34")</f>
        <v>04-34-12-34</v>
      </c>
      <c r="F22" s="36"/>
      <c r="G22" s="36" t="str">
        <f>IFERROR(__xludf.DUMMYFUNCTION("""COMPUTED_VALUE"""),"11 de Septiembre y Rivadavia")</f>
        <v>11 de Septiembre y Rivadavia</v>
      </c>
      <c r="H22" s="36" t="str">
        <f>IFERROR(__xludf.DUMMYFUNCTION("""COMPUTED_VALUE"""),"")</f>
        <v/>
      </c>
    </row>
    <row r="23">
      <c r="A23" s="36" t="str">
        <f>IFERROR(__xludf.DUMMYFUNCTION("""COMPUTED_VALUE"""),"08-31-01-7B")</f>
        <v>08-31-01-7B</v>
      </c>
      <c r="B23" s="36" t="str">
        <f>IFERROR(__xludf.DUMMYFUNCTION("""COMPUTED_VALUE"""),"")</f>
        <v/>
      </c>
      <c r="C23" s="36" t="str">
        <f>IFERROR(__xludf.DUMMYFUNCTION("""COMPUTED_VALUE"""),"")</f>
        <v/>
      </c>
      <c r="D23" s="36" t="str">
        <f>IFERROR(__xludf.DUMMYFUNCTION("""COMPUTED_VALUE"""),"")</f>
        <v/>
      </c>
      <c r="E23" s="36" t="str">
        <f>IFERROR(__xludf.DUMMYFUNCTION("""COMPUTED_VALUE"""),"08-22-04-36")</f>
        <v>08-22-04-36</v>
      </c>
      <c r="F23" s="36"/>
      <c r="G23" s="36" t="str">
        <f>IFERROR(__xludf.DUMMYFUNCTION("""COMPUTED_VALUE"""),"13 de Junio y 3 de Febrero")</f>
        <v>13 de Junio y 3 de Febrero</v>
      </c>
      <c r="H23" s="36" t="str">
        <f>IFERROR(__xludf.DUMMYFUNCTION("""COMPUTED_VALUE"""),"")</f>
        <v/>
      </c>
    </row>
    <row r="24">
      <c r="A24" s="36" t="str">
        <f>IFERROR(__xludf.DUMMYFUNCTION("""COMPUTED_VALUE"""),"08-31-01-7C")</f>
        <v>08-31-01-7C</v>
      </c>
      <c r="B24" s="36" t="str">
        <f>IFERROR(__xludf.DUMMYFUNCTION("""COMPUTED_VALUE"""),"")</f>
        <v/>
      </c>
      <c r="C24" s="36" t="str">
        <f>IFERROR(__xludf.DUMMYFUNCTION("""COMPUTED_VALUE"""),"")</f>
        <v/>
      </c>
      <c r="D24" s="36" t="str">
        <f>IFERROR(__xludf.DUMMYFUNCTION("""COMPUTED_VALUE"""),"")</f>
        <v/>
      </c>
      <c r="E24" s="36" t="str">
        <f>IFERROR(__xludf.DUMMYFUNCTION("""COMPUTED_VALUE"""),"08-22-04-42")</f>
        <v>08-22-04-42</v>
      </c>
      <c r="F24" s="36"/>
      <c r="G24" s="36" t="str">
        <f>IFERROR(__xludf.DUMMYFUNCTION("""COMPUTED_VALUE"""),"2 de Abril y Centenario")</f>
        <v>2 de Abril y Centenario</v>
      </c>
      <c r="H24" s="36" t="str">
        <f>IFERROR(__xludf.DUMMYFUNCTION("""COMPUTED_VALUE"""),"")</f>
        <v/>
      </c>
    </row>
    <row r="25">
      <c r="A25" s="36" t="str">
        <f>IFERROR(__xludf.DUMMYFUNCTION("""COMPUTED_VALUE"""),"08-31-01-7D")</f>
        <v>08-31-01-7D</v>
      </c>
      <c r="B25" s="36" t="str">
        <f>IFERROR(__xludf.DUMMYFUNCTION("""COMPUTED_VALUE"""),"")</f>
        <v/>
      </c>
      <c r="C25" s="36" t="str">
        <f>IFERROR(__xludf.DUMMYFUNCTION("""COMPUTED_VALUE"""),"")</f>
        <v/>
      </c>
      <c r="D25" s="36" t="str">
        <f>IFERROR(__xludf.DUMMYFUNCTION("""COMPUTED_VALUE"""),"")</f>
        <v/>
      </c>
      <c r="E25" s="36" t="str">
        <f>IFERROR(__xludf.DUMMYFUNCTION("""COMPUTED_VALUE"""),"02-31-06-64A")</f>
        <v>02-31-06-64A</v>
      </c>
      <c r="F25" s="36"/>
      <c r="G25" s="36" t="str">
        <f>IFERROR(__xludf.DUMMYFUNCTION("""COMPUTED_VALUE"""),"21 de Setiembre y Galeano")</f>
        <v>21 de Setiembre y Galeano</v>
      </c>
      <c r="H25" s="36" t="str">
        <f>IFERROR(__xludf.DUMMYFUNCTION("""COMPUTED_VALUE"""),"")</f>
        <v/>
      </c>
    </row>
    <row r="26">
      <c r="A26" s="36" t="str">
        <f>IFERROR(__xludf.DUMMYFUNCTION("""COMPUTED_VALUE"""),"08-32-01-10A")</f>
        <v>08-32-01-10A</v>
      </c>
      <c r="B26" s="36" t="str">
        <f>IFERROR(__xludf.DUMMYFUNCTION("""COMPUTED_VALUE"""),"")</f>
        <v/>
      </c>
      <c r="C26" s="36" t="str">
        <f>IFERROR(__xludf.DUMMYFUNCTION("""COMPUTED_VALUE"""),"")</f>
        <v/>
      </c>
      <c r="D26" s="36" t="str">
        <f>IFERROR(__xludf.DUMMYFUNCTION("""COMPUTED_VALUE"""),"")</f>
        <v/>
      </c>
      <c r="E26" s="36" t="str">
        <f>IFERROR(__xludf.DUMMYFUNCTION("""COMPUTED_VALUE"""),"02-31-06-63")</f>
        <v>02-31-06-63</v>
      </c>
      <c r="F26" s="36"/>
      <c r="G26" s="36" t="str">
        <f>IFERROR(__xludf.DUMMYFUNCTION("""COMPUTED_VALUE"""),"21 de Setiembre y Mercedario")</f>
        <v>21 de Setiembre y Mercedario</v>
      </c>
      <c r="H26" s="36" t="str">
        <f>IFERROR(__xludf.DUMMYFUNCTION("""COMPUTED_VALUE"""),"")</f>
        <v/>
      </c>
    </row>
    <row r="27">
      <c r="A27" s="36" t="str">
        <f>IFERROR(__xludf.DUMMYFUNCTION("""COMPUTED_VALUE"""),"08-32-01-11")</f>
        <v>08-32-01-11</v>
      </c>
      <c r="B27" s="36" t="str">
        <f>IFERROR(__xludf.DUMMYFUNCTION("""COMPUTED_VALUE"""),"")</f>
        <v/>
      </c>
      <c r="C27" s="36" t="str">
        <f>IFERROR(__xludf.DUMMYFUNCTION("""COMPUTED_VALUE"""),"")</f>
        <v/>
      </c>
      <c r="D27" s="36" t="str">
        <f>IFERROR(__xludf.DUMMYFUNCTION("""COMPUTED_VALUE"""),"")</f>
        <v/>
      </c>
      <c r="E27" s="36" t="str">
        <f>IFERROR(__xludf.DUMMYFUNCTION("""COMPUTED_VALUE"""),"02-31-06-65")</f>
        <v>02-31-06-65</v>
      </c>
      <c r="F27" s="36"/>
      <c r="G27" s="36" t="str">
        <f>IFERROR(__xludf.DUMMYFUNCTION("""COMPUTED_VALUE"""),"21 de Setiembre y Sanidad Argentina")</f>
        <v>21 de Setiembre y Sanidad Argentina</v>
      </c>
      <c r="H27" s="36" t="str">
        <f>IFERROR(__xludf.DUMMYFUNCTION("""COMPUTED_VALUE"""),"")</f>
        <v/>
      </c>
    </row>
    <row r="28">
      <c r="A28" s="36" t="str">
        <f>IFERROR(__xludf.DUMMYFUNCTION("""COMPUTED_VALUE"""),"08-32-01-11A")</f>
        <v>08-32-01-11A</v>
      </c>
      <c r="B28" s="36" t="str">
        <f>IFERROR(__xludf.DUMMYFUNCTION("""COMPUTED_VALUE"""),"")</f>
        <v/>
      </c>
      <c r="C28" s="36" t="str">
        <f>IFERROR(__xludf.DUMMYFUNCTION("""COMPUTED_VALUE"""),"")</f>
        <v/>
      </c>
      <c r="D28" s="36" t="str">
        <f>IFERROR(__xludf.DUMMYFUNCTION("""COMPUTED_VALUE"""),"")</f>
        <v/>
      </c>
      <c r="E28" s="36" t="str">
        <f>IFERROR(__xludf.DUMMYFUNCTION("""COMPUTED_VALUE"""),"02-31-06-66A")</f>
        <v>02-31-06-66A</v>
      </c>
      <c r="F28" s="36"/>
      <c r="G28" s="36" t="str">
        <f>IFERROR(__xludf.DUMMYFUNCTION("""COMPUTED_VALUE"""),"22 de Setiembre y Velázquez")</f>
        <v>22 de Setiembre y Velázquez</v>
      </c>
      <c r="H28" s="36" t="str">
        <f>IFERROR(__xludf.DUMMYFUNCTION("""COMPUTED_VALUE"""),"")</f>
        <v/>
      </c>
    </row>
    <row r="29">
      <c r="A29" s="36" t="str">
        <f>IFERROR(__xludf.DUMMYFUNCTION("""COMPUTED_VALUE"""),"08-32-01-11B")</f>
        <v>08-32-01-11B</v>
      </c>
      <c r="B29" s="36" t="str">
        <f>IFERROR(__xludf.DUMMYFUNCTION("""COMPUTED_VALUE"""),"")</f>
        <v/>
      </c>
      <c r="C29" s="36" t="str">
        <f>IFERROR(__xludf.DUMMYFUNCTION("""COMPUTED_VALUE"""),"")</f>
        <v/>
      </c>
      <c r="D29" s="36" t="str">
        <f>IFERROR(__xludf.DUMMYFUNCTION("""COMPUTED_VALUE"""),"")</f>
        <v/>
      </c>
      <c r="E29" s="36" t="str">
        <f>IFERROR(__xludf.DUMMYFUNCTION("""COMPUTED_VALUE"""),"04-35-12-65")</f>
        <v>04-35-12-65</v>
      </c>
      <c r="F29" s="36"/>
      <c r="G29" s="36" t="str">
        <f>IFERROR(__xludf.DUMMYFUNCTION("""COMPUTED_VALUE"""),"25 de Mayo Norte y J. Celman")</f>
        <v>25 de Mayo Norte y J. Celman</v>
      </c>
      <c r="H29" s="36" t="str">
        <f>IFERROR(__xludf.DUMMYFUNCTION("""COMPUTED_VALUE"""),"")</f>
        <v/>
      </c>
    </row>
    <row r="30">
      <c r="A30" s="36" t="str">
        <f>IFERROR(__xludf.DUMMYFUNCTION("""COMPUTED_VALUE"""),"08-32-01-11C")</f>
        <v>08-32-01-11C</v>
      </c>
      <c r="B30" s="36" t="str">
        <f>IFERROR(__xludf.DUMMYFUNCTION("""COMPUTED_VALUE"""),"")</f>
        <v/>
      </c>
      <c r="C30" s="36" t="str">
        <f>IFERROR(__xludf.DUMMYFUNCTION("""COMPUTED_VALUE"""),"")</f>
        <v/>
      </c>
      <c r="D30" s="36" t="str">
        <f>IFERROR(__xludf.DUMMYFUNCTION("""COMPUTED_VALUE"""),"")</f>
        <v/>
      </c>
      <c r="E30" s="36" t="str">
        <f>IFERROR(__xludf.DUMMYFUNCTION("""COMPUTED_VALUE"""),"04-35-12-64")</f>
        <v>04-35-12-64</v>
      </c>
      <c r="F30" s="36"/>
      <c r="G30" s="36" t="str">
        <f>IFERROR(__xludf.DUMMYFUNCTION("""COMPUTED_VALUE"""),"25 de Mayo Sur y J. Celman")</f>
        <v>25 de Mayo Sur y J. Celman</v>
      </c>
      <c r="H30" s="36" t="str">
        <f>IFERROR(__xludf.DUMMYFUNCTION("""COMPUTED_VALUE"""),"")</f>
        <v/>
      </c>
    </row>
    <row r="31">
      <c r="A31" s="36" t="str">
        <f>IFERROR(__xludf.DUMMYFUNCTION("""COMPUTED_VALUE"""),"08-32-01-12")</f>
        <v>08-32-01-12</v>
      </c>
      <c r="B31" s="36" t="str">
        <f>IFERROR(__xludf.DUMMYFUNCTION("""COMPUTED_VALUE"""),"")</f>
        <v/>
      </c>
      <c r="C31" s="36" t="str">
        <f>IFERROR(__xludf.DUMMYFUNCTION("""COMPUTED_VALUE"""),"")</f>
        <v/>
      </c>
      <c r="D31" s="36" t="str">
        <f>IFERROR(__xludf.DUMMYFUNCTION("""COMPUTED_VALUE"""),"")</f>
        <v/>
      </c>
      <c r="E31" s="36" t="str">
        <f>IFERROR(__xludf.DUMMYFUNCTION("""COMPUTED_VALUE"""),"01-36-07-138")</f>
        <v>01-36-07-138</v>
      </c>
      <c r="F31" s="36"/>
      <c r="G31" s="36" t="str">
        <f>IFERROR(__xludf.DUMMYFUNCTION("""COMPUTED_VALUE"""),"25 de Mayo y Aguilar")</f>
        <v>25 de Mayo y Aguilar</v>
      </c>
      <c r="H31" s="36" t="str">
        <f>IFERROR(__xludf.DUMMYFUNCTION("""COMPUTED_VALUE"""),"")</f>
        <v/>
      </c>
    </row>
    <row r="32">
      <c r="A32" s="36" t="str">
        <f>IFERROR(__xludf.DUMMYFUNCTION("""COMPUTED_VALUE"""),"08-32-01-13")</f>
        <v>08-32-01-13</v>
      </c>
      <c r="B32" s="36" t="str">
        <f>IFERROR(__xludf.DUMMYFUNCTION("""COMPUTED_VALUE"""),"")</f>
        <v/>
      </c>
      <c r="C32" s="36" t="str">
        <f>IFERROR(__xludf.DUMMYFUNCTION("""COMPUTED_VALUE"""),"")</f>
        <v/>
      </c>
      <c r="D32" s="36" t="str">
        <f>IFERROR(__xludf.DUMMYFUNCTION("""COMPUTED_VALUE"""),"")</f>
        <v/>
      </c>
      <c r="E32" s="36" t="str">
        <f>IFERROR(__xludf.DUMMYFUNCTION("""COMPUTED_VALUE"""),"01-35-07-135")</f>
        <v>01-35-07-135</v>
      </c>
      <c r="F32" s="36"/>
      <c r="G32" s="36" t="str">
        <f>IFERROR(__xludf.DUMMYFUNCTION("""COMPUTED_VALUE"""),"25 de Mayo y Ameghino")</f>
        <v>25 de Mayo y Ameghino</v>
      </c>
      <c r="H32" s="36" t="str">
        <f>IFERROR(__xludf.DUMMYFUNCTION("""COMPUTED_VALUE"""),"")</f>
        <v/>
      </c>
    </row>
    <row r="33">
      <c r="A33" s="36" t="str">
        <f>IFERROR(__xludf.DUMMYFUNCTION("""COMPUTED_VALUE"""),"08-32-01-14")</f>
        <v>08-32-01-14</v>
      </c>
      <c r="B33" s="36" t="str">
        <f>IFERROR(__xludf.DUMMYFUNCTION("""COMPUTED_VALUE"""),"")</f>
        <v/>
      </c>
      <c r="C33" s="36" t="str">
        <f>IFERROR(__xludf.DUMMYFUNCTION("""COMPUTED_VALUE"""),"")</f>
        <v/>
      </c>
      <c r="D33" s="36" t="str">
        <f>IFERROR(__xludf.DUMMYFUNCTION("""COMPUTED_VALUE"""),"")</f>
        <v/>
      </c>
      <c r="E33" s="36" t="str">
        <f>IFERROR(__xludf.DUMMYFUNCTION("""COMPUTED_VALUE"""),"01-40-09-140")</f>
        <v>01-40-09-140</v>
      </c>
      <c r="F33" s="36"/>
      <c r="G33" s="36" t="str">
        <f>IFERROR(__xludf.DUMMYFUNCTION("""COMPUTED_VALUE"""),"25 de Mayo y América del -S")</f>
        <v>25 de Mayo y América del -S</v>
      </c>
      <c r="H33" s="36" t="str">
        <f>IFERROR(__xludf.DUMMYFUNCTION("""COMPUTED_VALUE"""),"")</f>
        <v/>
      </c>
    </row>
    <row r="34">
      <c r="A34" s="36" t="str">
        <f>IFERROR(__xludf.DUMMYFUNCTION("""COMPUTED_VALUE"""),"08-32-01-14A")</f>
        <v>08-32-01-14A</v>
      </c>
      <c r="B34" s="36" t="str">
        <f>IFERROR(__xludf.DUMMYFUNCTION("""COMPUTED_VALUE"""),"")</f>
        <v/>
      </c>
      <c r="C34" s="36" t="str">
        <f>IFERROR(__xludf.DUMMYFUNCTION("""COMPUTED_VALUE"""),"")</f>
        <v/>
      </c>
      <c r="D34" s="36" t="str">
        <f>IFERROR(__xludf.DUMMYFUNCTION("""COMPUTED_VALUE"""),"")</f>
        <v/>
      </c>
      <c r="E34" s="36" t="str">
        <f>IFERROR(__xludf.DUMMYFUNCTION("""COMPUTED_VALUE"""),"01-42-08-122")</f>
        <v>01-42-08-122</v>
      </c>
      <c r="F34" s="36"/>
      <c r="G34" s="36" t="str">
        <f>IFERROR(__xludf.DUMMYFUNCTION("""COMPUTED_VALUE"""),"25 de Mayo y Av. Alem")</f>
        <v>25 de Mayo y Av. Alem</v>
      </c>
      <c r="H34" s="36" t="str">
        <f>IFERROR(__xludf.DUMMYFUNCTION("""COMPUTED_VALUE"""),"")</f>
        <v/>
      </c>
    </row>
    <row r="35">
      <c r="A35" s="36" t="str">
        <f>IFERROR(__xludf.DUMMYFUNCTION("""COMPUTED_VALUE"""),"08-32-01-15")</f>
        <v>08-32-01-15</v>
      </c>
      <c r="B35" s="36" t="str">
        <f>IFERROR(__xludf.DUMMYFUNCTION("""COMPUTED_VALUE"""),"")</f>
        <v/>
      </c>
      <c r="C35" s="36" t="str">
        <f>IFERROR(__xludf.DUMMYFUNCTION("""COMPUTED_VALUE"""),"")</f>
        <v/>
      </c>
      <c r="D35" s="36" t="str">
        <f>IFERROR(__xludf.DUMMYFUNCTION("""COMPUTED_VALUE"""),"")</f>
        <v/>
      </c>
      <c r="E35" s="36" t="str">
        <f>IFERROR(__xludf.DUMMYFUNCTION("""COMPUTED_VALUE"""),"01-41-08-126B")</f>
        <v>01-41-08-126B</v>
      </c>
      <c r="F35" s="36"/>
      <c r="G35" s="36" t="str">
        <f>IFERROR(__xludf.DUMMYFUNCTION("""COMPUTED_VALUE"""),"25 de Mayo y Av. Rioja")</f>
        <v>25 de Mayo y Av. Rioja</v>
      </c>
      <c r="H35" s="36" t="str">
        <f>IFERROR(__xludf.DUMMYFUNCTION("""COMPUTED_VALUE"""),"")</f>
        <v/>
      </c>
    </row>
    <row r="36">
      <c r="A36" s="36" t="str">
        <f>IFERROR(__xludf.DUMMYFUNCTION("""COMPUTED_VALUE"""),"08-32-01-16")</f>
        <v>08-32-01-16</v>
      </c>
      <c r="B36" s="36" t="str">
        <f>IFERROR(__xludf.DUMMYFUNCTION("""COMPUTED_VALUE"""),"")</f>
        <v/>
      </c>
      <c r="C36" s="36" t="str">
        <f>IFERROR(__xludf.DUMMYFUNCTION("""COMPUTED_VALUE"""),"")</f>
        <v/>
      </c>
      <c r="D36" s="36" t="str">
        <f>IFERROR(__xludf.DUMMYFUNCTION("""COMPUTED_VALUE"""),"")</f>
        <v/>
      </c>
      <c r="E36" s="36" t="str">
        <f>IFERROR(__xludf.DUMMYFUNCTION("""COMPUTED_VALUE"""),"01-42-08-122B")</f>
        <v>01-42-08-122B</v>
      </c>
      <c r="F36" s="36"/>
      <c r="G36" s="36" t="str">
        <f>IFERROR(__xludf.DUMMYFUNCTION("""COMPUTED_VALUE"""),"25 de Mayo y Catamarca")</f>
        <v>25 de Mayo y Catamarca</v>
      </c>
      <c r="H36" s="36" t="str">
        <f>IFERROR(__xludf.DUMMYFUNCTION("""COMPUTED_VALUE"""),"")</f>
        <v/>
      </c>
    </row>
    <row r="37">
      <c r="A37" s="36" t="str">
        <f>IFERROR(__xludf.DUMMYFUNCTION("""COMPUTED_VALUE"""),"08-32-01-17")</f>
        <v>08-32-01-17</v>
      </c>
      <c r="B37" s="36" t="str">
        <f>IFERROR(__xludf.DUMMYFUNCTION("""COMPUTED_VALUE"""),"")</f>
        <v/>
      </c>
      <c r="C37" s="36" t="str">
        <f>IFERROR(__xludf.DUMMYFUNCTION("""COMPUTED_VALUE"""),"")</f>
        <v/>
      </c>
      <c r="D37" s="36" t="str">
        <f>IFERROR(__xludf.DUMMYFUNCTION("""COMPUTED_VALUE"""),"")</f>
        <v/>
      </c>
      <c r="E37" s="36" t="str">
        <f>IFERROR(__xludf.DUMMYFUNCTION("""COMPUTED_VALUE"""),"08-36-02-84")</f>
        <v>08-36-02-84</v>
      </c>
      <c r="F37" s="36"/>
      <c r="G37" s="36" t="str">
        <f>IFERROR(__xludf.DUMMYFUNCTION("""COMPUTED_VALUE"""),"25 de Mayo y Cipolletti N")</f>
        <v>25 de Mayo y Cipolletti N</v>
      </c>
      <c r="H37" s="36" t="str">
        <f>IFERROR(__xludf.DUMMYFUNCTION("""COMPUTED_VALUE"""),"")</f>
        <v/>
      </c>
    </row>
    <row r="38">
      <c r="A38" s="36" t="str">
        <f>IFERROR(__xludf.DUMMYFUNCTION("""COMPUTED_VALUE"""),"08-32-01-18")</f>
        <v>08-32-01-18</v>
      </c>
      <c r="B38" s="36" t="str">
        <f>IFERROR(__xludf.DUMMYFUNCTION("""COMPUTED_VALUE"""),"")</f>
        <v/>
      </c>
      <c r="C38" s="36" t="str">
        <f>IFERROR(__xludf.DUMMYFUNCTION("""COMPUTED_VALUE"""),"")</f>
        <v/>
      </c>
      <c r="D38" s="36" t="str">
        <f>IFERROR(__xludf.DUMMYFUNCTION("""COMPUTED_VALUE"""),"")</f>
        <v/>
      </c>
      <c r="E38" s="36" t="str">
        <f>IFERROR(__xludf.DUMMYFUNCTION("""COMPUTED_VALUE"""),"08-36-02-83")</f>
        <v>08-36-02-83</v>
      </c>
      <c r="F38" s="36"/>
      <c r="G38" s="36" t="str">
        <f>IFERROR(__xludf.DUMMYFUNCTION("""COMPUTED_VALUE"""),"25 de Mayo y Cipolletti S")</f>
        <v>25 de Mayo y Cipolletti S</v>
      </c>
      <c r="H38" s="36" t="str">
        <f>IFERROR(__xludf.DUMMYFUNCTION("""COMPUTED_VALUE"""),"")</f>
        <v/>
      </c>
    </row>
    <row r="39">
      <c r="A39" s="36" t="str">
        <f>IFERROR(__xludf.DUMMYFUNCTION("""COMPUTED_VALUE"""),"08-32-01-22A")</f>
        <v>08-32-01-22A</v>
      </c>
      <c r="B39" s="36" t="str">
        <f>IFERROR(__xludf.DUMMYFUNCTION("""COMPUTED_VALUE"""),"")</f>
        <v/>
      </c>
      <c r="C39" s="36" t="str">
        <f>IFERROR(__xludf.DUMMYFUNCTION("""COMPUTED_VALUE"""),"")</f>
        <v/>
      </c>
      <c r="D39" s="36" t="str">
        <f>IFERROR(__xludf.DUMMYFUNCTION("""COMPUTED_VALUE"""),"")</f>
        <v/>
      </c>
      <c r="E39" s="36" t="str">
        <f>IFERROR(__xludf.DUMMYFUNCTION("""COMPUTED_VALUE"""),"04-35-12-79")</f>
        <v>04-35-12-79</v>
      </c>
      <c r="F39" s="36"/>
      <c r="G39" s="36" t="str">
        <f>IFERROR(__xludf.DUMMYFUNCTION("""COMPUTED_VALUE"""),"25 de Mayo y Confraternidad")</f>
        <v>25 de Mayo y Confraternidad</v>
      </c>
      <c r="H39" s="36" t="str">
        <f>IFERROR(__xludf.DUMMYFUNCTION("""COMPUTED_VALUE"""),"")</f>
        <v/>
      </c>
    </row>
    <row r="40">
      <c r="A40" s="36" t="str">
        <f>IFERROR(__xludf.DUMMYFUNCTION("""COMPUTED_VALUE"""),"08-32-01-22B")</f>
        <v>08-32-01-22B</v>
      </c>
      <c r="B40" s="36" t="str">
        <f>IFERROR(__xludf.DUMMYFUNCTION("""COMPUTED_VALUE"""),"")</f>
        <v/>
      </c>
      <c r="C40" s="36" t="str">
        <f>IFERROR(__xludf.DUMMYFUNCTION("""COMPUTED_VALUE"""),"")</f>
        <v/>
      </c>
      <c r="D40" s="36" t="str">
        <f>IFERROR(__xludf.DUMMYFUNCTION("""COMPUTED_VALUE"""),"")</f>
        <v/>
      </c>
      <c r="E40" s="36" t="str">
        <f>IFERROR(__xludf.DUMMYFUNCTION("""COMPUTED_VALUE"""),"01-36-07-141")</f>
        <v>01-36-07-141</v>
      </c>
      <c r="F40" s="36"/>
      <c r="G40" s="36" t="str">
        <f>IFERROR(__xludf.DUMMYFUNCTION("""COMPUTED_VALUE"""),"25 de Mayo y Dr. Ortega E
")</f>
        <v>25 de Mayo y Dr. Ortega E
</v>
      </c>
      <c r="H40" s="36" t="str">
        <f>IFERROR(__xludf.DUMMYFUNCTION("""COMPUTED_VALUE"""),"")</f>
        <v/>
      </c>
    </row>
    <row r="41">
      <c r="A41" s="36" t="str">
        <f>IFERROR(__xludf.DUMMYFUNCTION("""COMPUTED_VALUE"""),"08-34-01-10")</f>
        <v>08-34-01-10</v>
      </c>
      <c r="B41" s="36" t="str">
        <f>IFERROR(__xludf.DUMMYFUNCTION("""COMPUTED_VALUE"""),"")</f>
        <v/>
      </c>
      <c r="C41" s="36" t="str">
        <f>IFERROR(__xludf.DUMMYFUNCTION("""COMPUTED_VALUE"""),"")</f>
        <v/>
      </c>
      <c r="D41" s="36" t="str">
        <f>IFERROR(__xludf.DUMMYFUNCTION("""COMPUTED_VALUE"""),"")</f>
        <v/>
      </c>
      <c r="E41" s="36" t="str">
        <f>IFERROR(__xludf.DUMMYFUNCTION("""COMPUTED_VALUE"""),"01-36-07-141A")</f>
        <v>01-36-07-141A</v>
      </c>
      <c r="F41" s="36"/>
      <c r="G41" s="36" t="str">
        <f>IFERROR(__xludf.DUMMYFUNCTION("""COMPUTED_VALUE"""),"25 de Mayo y Dr. Ortega O")</f>
        <v>25 de Mayo y Dr. Ortega O</v>
      </c>
      <c r="H41" s="36" t="str">
        <f>IFERROR(__xludf.DUMMYFUNCTION("""COMPUTED_VALUE"""),"")</f>
        <v/>
      </c>
    </row>
    <row r="42">
      <c r="A42" s="36" t="str">
        <f>IFERROR(__xludf.DUMMYFUNCTION("""COMPUTED_VALUE"""),"08-34-01-19")</f>
        <v>08-34-01-19</v>
      </c>
      <c r="B42" s="36" t="str">
        <f>IFERROR(__xludf.DUMMYFUNCTION("""COMPUTED_VALUE"""),"")</f>
        <v/>
      </c>
      <c r="C42" s="36" t="str">
        <f>IFERROR(__xludf.DUMMYFUNCTION("""COMPUTED_VALUE"""),"")</f>
        <v/>
      </c>
      <c r="D42" s="36" t="str">
        <f>IFERROR(__xludf.DUMMYFUNCTION("""COMPUTED_VALUE"""),"")</f>
        <v/>
      </c>
      <c r="E42" s="36" t="str">
        <f>IFERROR(__xludf.DUMMYFUNCTION("""COMPUTED_VALUE"""),"01-40-09-137")</f>
        <v>01-40-09-137</v>
      </c>
      <c r="F42" s="36"/>
      <c r="G42" s="36" t="str">
        <f>IFERROR(__xludf.DUMMYFUNCTION("""COMPUTED_VALUE"""),"25 de Mayo y Estados Unidos")</f>
        <v>25 de Mayo y Estados Unidos</v>
      </c>
      <c r="H42" s="36" t="str">
        <f>IFERROR(__xludf.DUMMYFUNCTION("""COMPUTED_VALUE"""),"")</f>
        <v/>
      </c>
    </row>
    <row r="43">
      <c r="A43" s="36" t="str">
        <f>IFERROR(__xludf.DUMMYFUNCTION("""COMPUTED_VALUE"""),"08-34-01-20")</f>
        <v>08-34-01-20</v>
      </c>
      <c r="B43" s="36" t="str">
        <f>IFERROR(__xludf.DUMMYFUNCTION("""COMPUTED_VALUE"""),"")</f>
        <v/>
      </c>
      <c r="C43" s="36" t="str">
        <f>IFERROR(__xludf.DUMMYFUNCTION("""COMPUTED_VALUE"""),"")</f>
        <v/>
      </c>
      <c r="D43" s="36" t="str">
        <f>IFERROR(__xludf.DUMMYFUNCTION("""COMPUTED_VALUE"""),"")</f>
        <v/>
      </c>
      <c r="E43" s="36" t="str">
        <f>IFERROR(__xludf.DUMMYFUNCTION("""COMPUTED_VALUE"""),"08-36-02-94")</f>
        <v>08-36-02-94</v>
      </c>
      <c r="F43" s="36"/>
      <c r="G43" s="36" t="str">
        <f>IFERROR(__xludf.DUMMYFUNCTION("""COMPUTED_VALUE"""),"25 de Mayo y Favaloro")</f>
        <v>25 de Mayo y Favaloro</v>
      </c>
      <c r="H43" s="36" t="str">
        <f>IFERROR(__xludf.DUMMYFUNCTION("""COMPUTED_VALUE"""),"")</f>
        <v/>
      </c>
    </row>
    <row r="44">
      <c r="A44" s="36" t="str">
        <f>IFERROR(__xludf.DUMMYFUNCTION("""COMPUTED_VALUE"""),"08-34-01-21")</f>
        <v>08-34-01-21</v>
      </c>
      <c r="B44" s="36" t="str">
        <f>IFERROR(__xludf.DUMMYFUNCTION("""COMPUTED_VALUE"""),"")</f>
        <v/>
      </c>
      <c r="C44" s="36" t="str">
        <f>IFERROR(__xludf.DUMMYFUNCTION("""COMPUTED_VALUE"""),"")</f>
        <v/>
      </c>
      <c r="D44" s="36" t="str">
        <f>IFERROR(__xludf.DUMMYFUNCTION("""COMPUTED_VALUE"""),"")</f>
        <v/>
      </c>
      <c r="E44" s="36" t="str">
        <f>IFERROR(__xludf.DUMMYFUNCTION("""COMPUTED_VALUE"""),"01-41-08-124A")</f>
        <v>01-41-08-124A</v>
      </c>
      <c r="F44" s="36"/>
      <c r="G44" s="36" t="str">
        <f>IFERROR(__xludf.DUMMYFUNCTION("""COMPUTED_VALUE"""),"25 de Mayo y Gral. Acha")</f>
        <v>25 de Mayo y Gral. Acha</v>
      </c>
      <c r="H44" s="36" t="str">
        <f>IFERROR(__xludf.DUMMYFUNCTION("""COMPUTED_VALUE"""),"")</f>
        <v/>
      </c>
    </row>
    <row r="45">
      <c r="A45" s="36" t="str">
        <f>IFERROR(__xludf.DUMMYFUNCTION("""COMPUTED_VALUE"""),"08-34-01-22")</f>
        <v>08-34-01-22</v>
      </c>
      <c r="B45" s="36" t="str">
        <f>IFERROR(__xludf.DUMMYFUNCTION("""COMPUTED_VALUE"""),"")</f>
        <v/>
      </c>
      <c r="C45" s="36" t="str">
        <f>IFERROR(__xludf.DUMMYFUNCTION("""COMPUTED_VALUE"""),"")</f>
        <v/>
      </c>
      <c r="D45" s="36" t="str">
        <f>IFERROR(__xludf.DUMMYFUNCTION("""COMPUTED_VALUE"""),"")</f>
        <v/>
      </c>
      <c r="E45" s="36" t="str">
        <f>IFERROR(__xludf.DUMMYFUNCTION("""COMPUTED_VALUE"""),"01-36-07-33A")</f>
        <v>01-36-07-33A</v>
      </c>
      <c r="F45" s="36"/>
      <c r="G45" s="36" t="str">
        <f>IFERROR(__xludf.DUMMYFUNCTION("""COMPUTED_VALUE"""),"25 de Mayo y Las Heras")</f>
        <v>25 de Mayo y Las Heras</v>
      </c>
      <c r="H45" s="36" t="str">
        <f>IFERROR(__xludf.DUMMYFUNCTION("""COMPUTED_VALUE"""),"")</f>
        <v/>
      </c>
    </row>
    <row r="46">
      <c r="A46" s="36" t="str">
        <f>IFERROR(__xludf.DUMMYFUNCTION("""COMPUTED_VALUE"""),"08-34-01-23")</f>
        <v>08-34-01-23</v>
      </c>
      <c r="B46" s="36" t="str">
        <f>IFERROR(__xludf.DUMMYFUNCTION("""COMPUTED_VALUE"""),"")</f>
        <v/>
      </c>
      <c r="C46" s="36" t="str">
        <f>IFERROR(__xludf.DUMMYFUNCTION("""COMPUTED_VALUE"""),"")</f>
        <v/>
      </c>
      <c r="D46" s="36" t="str">
        <f>IFERROR(__xludf.DUMMYFUNCTION("""COMPUTED_VALUE"""),"")</f>
        <v/>
      </c>
      <c r="E46" s="36" t="str">
        <f>IFERROR(__xludf.DUMMYFUNCTION("""COMPUTED_VALUE"""),"01-35-07-132")</f>
        <v>01-35-07-132</v>
      </c>
      <c r="F46" s="36"/>
      <c r="G46" s="36" t="str">
        <f>IFERROR(__xludf.DUMMYFUNCTION("""COMPUTED_VALUE"""),"25 de Mayo y Marcial Quiroga")</f>
        <v>25 de Mayo y Marcial Quiroga</v>
      </c>
      <c r="H46" s="36" t="str">
        <f>IFERROR(__xludf.DUMMYFUNCTION("""COMPUTED_VALUE"""),"")</f>
        <v/>
      </c>
    </row>
    <row r="47">
      <c r="A47" s="36" t="str">
        <f>IFERROR(__xludf.DUMMYFUNCTION("""COMPUTED_VALUE"""),"08-34-01-24")</f>
        <v>08-34-01-24</v>
      </c>
      <c r="B47" s="36" t="str">
        <f>IFERROR(__xludf.DUMMYFUNCTION("""COMPUTED_VALUE"""),"")</f>
        <v/>
      </c>
      <c r="C47" s="36" t="str">
        <f>IFERROR(__xludf.DUMMYFUNCTION("""COMPUTED_VALUE"""),"")</f>
        <v/>
      </c>
      <c r="D47" s="36" t="str">
        <f>IFERROR(__xludf.DUMMYFUNCTION("""COMPUTED_VALUE"""),"")</f>
        <v/>
      </c>
      <c r="E47" s="36" t="str">
        <f>IFERROR(__xludf.DUMMYFUNCTION("""COMPUTED_VALUE"""),"01-34-07-131")</f>
        <v>01-34-07-131</v>
      </c>
      <c r="F47" s="36"/>
      <c r="G47" s="36" t="str">
        <f>IFERROR(__xludf.DUMMYFUNCTION("""COMPUTED_VALUE"""),"25 de Mayo y Matías Zavalla")</f>
        <v>25 de Mayo y Matías Zavalla</v>
      </c>
      <c r="H47" s="36" t="str">
        <f>IFERROR(__xludf.DUMMYFUNCTION("""COMPUTED_VALUE"""),"")</f>
        <v/>
      </c>
    </row>
    <row r="48">
      <c r="A48" s="36" t="str">
        <f>IFERROR(__xludf.DUMMYFUNCTION("""COMPUTED_VALUE"""),"08-34-01-25")</f>
        <v>08-34-01-25</v>
      </c>
      <c r="B48" s="36" t="str">
        <f>IFERROR(__xludf.DUMMYFUNCTION("""COMPUTED_VALUE"""),"")</f>
        <v/>
      </c>
      <c r="C48" s="36" t="str">
        <f>IFERROR(__xludf.DUMMYFUNCTION("""COMPUTED_VALUE"""),"")</f>
        <v/>
      </c>
      <c r="D48" s="36" t="str">
        <f>IFERROR(__xludf.DUMMYFUNCTION("""COMPUTED_VALUE"""),"")</f>
        <v/>
      </c>
      <c r="E48" s="36" t="str">
        <f>IFERROR(__xludf.DUMMYFUNCTION("""COMPUTED_VALUE"""),"01-42-08-124")</f>
        <v>01-42-08-124</v>
      </c>
      <c r="F48" s="36"/>
      <c r="G48" s="36" t="str">
        <f>IFERROR(__xludf.DUMMYFUNCTION("""COMPUTED_VALUE"""),"25 de Mayo y Mendoza")</f>
        <v>25 de Mayo y Mendoza</v>
      </c>
      <c r="H48" s="36" t="str">
        <f>IFERROR(__xludf.DUMMYFUNCTION("""COMPUTED_VALUE"""),"")</f>
        <v/>
      </c>
    </row>
    <row r="49">
      <c r="A49" s="36" t="str">
        <f>IFERROR(__xludf.DUMMYFUNCTION("""COMPUTED_VALUE"""),"08-34-01-26")</f>
        <v>08-34-01-26</v>
      </c>
      <c r="B49" s="36" t="str">
        <f>IFERROR(__xludf.DUMMYFUNCTION("""COMPUTED_VALUE"""),"")</f>
        <v/>
      </c>
      <c r="C49" s="36" t="str">
        <f>IFERROR(__xludf.DUMMYFUNCTION("""COMPUTED_VALUE"""),"")</f>
        <v/>
      </c>
      <c r="D49" s="36" t="str">
        <f>IFERROR(__xludf.DUMMYFUNCTION("""COMPUTED_VALUE"""),"")</f>
        <v/>
      </c>
      <c r="E49" s="36" t="str">
        <f>IFERROR(__xludf.DUMMYFUNCTION("""COMPUTED_VALUE"""),"01-40-09-138X")</f>
        <v>01-40-09-138X</v>
      </c>
      <c r="F49" s="36"/>
      <c r="G49" s="36" t="str">
        <f>IFERROR(__xludf.DUMMYFUNCTION("""COMPUTED_VALUE"""),"25 de Mayo y Misiones")</f>
        <v>25 de Mayo y Misiones</v>
      </c>
      <c r="H49" s="36" t="str">
        <f>IFERROR(__xludf.DUMMYFUNCTION("""COMPUTED_VALUE"""),"")</f>
        <v/>
      </c>
    </row>
    <row r="50">
      <c r="A50" s="36" t="str">
        <f>IFERROR(__xludf.DUMMYFUNCTION("""COMPUTED_VALUE"""),"08-34-01-26A")</f>
        <v>08-34-01-26A</v>
      </c>
      <c r="B50" s="36" t="str">
        <f>IFERROR(__xludf.DUMMYFUNCTION("""COMPUTED_VALUE"""),"")</f>
        <v/>
      </c>
      <c r="C50" s="36" t="str">
        <f>IFERROR(__xludf.DUMMYFUNCTION("""COMPUTED_VALUE"""),"")</f>
        <v/>
      </c>
      <c r="D50" s="36" t="str">
        <f>IFERROR(__xludf.DUMMYFUNCTION("""COMPUTED_VALUE"""),"")</f>
        <v/>
      </c>
      <c r="E50" s="36" t="str">
        <f>IFERROR(__xludf.DUMMYFUNCTION("""COMPUTED_VALUE"""),"01-40-09-136")</f>
        <v>01-40-09-136</v>
      </c>
      <c r="F50" s="36"/>
      <c r="G50" s="36" t="str">
        <f>IFERROR(__xludf.DUMMYFUNCTION("""COMPUTED_VALUE"""),"25 de Mayo y Patricias Sanjuaninas")</f>
        <v>25 de Mayo y Patricias Sanjuaninas</v>
      </c>
      <c r="H50" s="36" t="str">
        <f>IFERROR(__xludf.DUMMYFUNCTION("""COMPUTED_VALUE"""),"")</f>
        <v/>
      </c>
    </row>
    <row r="51">
      <c r="A51" s="36" t="str">
        <f>IFERROR(__xludf.DUMMYFUNCTION("""COMPUTED_VALUE"""),"08-34-01-26B")</f>
        <v>08-34-01-26B</v>
      </c>
      <c r="B51" s="36" t="str">
        <f>IFERROR(__xludf.DUMMYFUNCTION("""COMPUTED_VALUE"""),"")</f>
        <v/>
      </c>
      <c r="C51" s="36" t="str">
        <f>IFERROR(__xludf.DUMMYFUNCTION("""COMPUTED_VALUE"""),"")</f>
        <v/>
      </c>
      <c r="D51" s="36" t="str">
        <f>IFERROR(__xludf.DUMMYFUNCTION("""COMPUTED_VALUE"""),"")</f>
        <v/>
      </c>
      <c r="E51" s="36" t="str">
        <f>IFERROR(__xludf.DUMMYFUNCTION("""COMPUTED_VALUE"""),"01-34-07-125")</f>
        <v>01-34-07-125</v>
      </c>
      <c r="F51" s="36"/>
      <c r="G51" s="36" t="str">
        <f>IFERROR(__xludf.DUMMYFUNCTION("""COMPUTED_VALUE"""),"25 de Mayo y Paula A. de Sarmiento")</f>
        <v>25 de Mayo y Paula A. de Sarmiento</v>
      </c>
      <c r="H51" s="36" t="str">
        <f>IFERROR(__xludf.DUMMYFUNCTION("""COMPUTED_VALUE"""),"")</f>
        <v/>
      </c>
    </row>
    <row r="52">
      <c r="A52" s="36" t="str">
        <f>IFERROR(__xludf.DUMMYFUNCTION("""COMPUTED_VALUE"""),"08-34-01-28")</f>
        <v>08-34-01-28</v>
      </c>
      <c r="B52" s="36" t="str">
        <f>IFERROR(__xludf.DUMMYFUNCTION("""COMPUTED_VALUE"""),"")</f>
        <v/>
      </c>
      <c r="C52" s="36" t="str">
        <f>IFERROR(__xludf.DUMMYFUNCTION("""COMPUTED_VALUE"""),"")</f>
        <v/>
      </c>
      <c r="D52" s="36" t="str">
        <f>IFERROR(__xludf.DUMMYFUNCTION("""COMPUTED_VALUE"""),"")</f>
        <v/>
      </c>
      <c r="E52" s="36" t="str">
        <f>IFERROR(__xludf.DUMMYFUNCTION("""COMPUTED_VALUE"""),"01-40-09-139X")</f>
        <v>01-40-09-139X</v>
      </c>
      <c r="F52" s="36"/>
      <c r="G52" s="36" t="str">
        <f>IFERROR(__xludf.DUMMYFUNCTION("""COMPUTED_VALUE"""),"25 de Mayo y Pedro Echagüe")</f>
        <v>25 de Mayo y Pedro Echagüe</v>
      </c>
      <c r="H52" s="36" t="str">
        <f>IFERROR(__xludf.DUMMYFUNCTION("""COMPUTED_VALUE"""),"")</f>
        <v/>
      </c>
    </row>
    <row r="53">
      <c r="A53" s="36" t="str">
        <f>IFERROR(__xludf.DUMMYFUNCTION("""COMPUTED_VALUE"""),"08-34-01-29")</f>
        <v>08-34-01-29</v>
      </c>
      <c r="B53" s="36" t="str">
        <f>IFERROR(__xludf.DUMMYFUNCTION("""COMPUTED_VALUE"""),"")</f>
        <v/>
      </c>
      <c r="C53" s="36" t="str">
        <f>IFERROR(__xludf.DUMMYFUNCTION("""COMPUTED_VALUE"""),"")</f>
        <v/>
      </c>
      <c r="D53" s="36" t="str">
        <f>IFERROR(__xludf.DUMMYFUNCTION("""COMPUTED_VALUE"""),"")</f>
        <v/>
      </c>
      <c r="E53" s="36" t="str">
        <f>IFERROR(__xludf.DUMMYFUNCTION("""COMPUTED_VALUE"""),"01-34-07-128")</f>
        <v>01-34-07-128</v>
      </c>
      <c r="F53" s="36"/>
      <c r="G53" s="36" t="str">
        <f>IFERROR(__xludf.DUMMYFUNCTION("""COMPUTED_VALUE"""),"25 de Mayo y Perito Moreno")</f>
        <v>25 de Mayo y Perito Moreno</v>
      </c>
      <c r="H53" s="36" t="str">
        <f>IFERROR(__xludf.DUMMYFUNCTION("""COMPUTED_VALUE"""),"")</f>
        <v/>
      </c>
    </row>
    <row r="54">
      <c r="A54" s="36" t="str">
        <f>IFERROR(__xludf.DUMMYFUNCTION("""COMPUTED_VALUE"""),"08-34-01-30")</f>
        <v>08-34-01-30</v>
      </c>
      <c r="B54" s="36" t="str">
        <f>IFERROR(__xludf.DUMMYFUNCTION("""COMPUTED_VALUE"""),"")</f>
        <v/>
      </c>
      <c r="C54" s="36" t="str">
        <f>IFERROR(__xludf.DUMMYFUNCTION("""COMPUTED_VALUE"""),"")</f>
        <v/>
      </c>
      <c r="D54" s="36" t="str">
        <f>IFERROR(__xludf.DUMMYFUNCTION("""COMPUTED_VALUE"""),"")</f>
        <v/>
      </c>
      <c r="E54" s="36" t="str">
        <f>IFERROR(__xludf.DUMMYFUNCTION("""COMPUTED_VALUE"""),"01-35-07-136")</f>
        <v>01-35-07-136</v>
      </c>
      <c r="F54" s="36"/>
      <c r="G54" s="36" t="str">
        <f>IFERROR(__xludf.DUMMYFUNCTION("""COMPUTED_VALUE"""),"25 de Mayo y Ramon y Cajal")</f>
        <v>25 de Mayo y Ramon y Cajal</v>
      </c>
      <c r="H54" s="36" t="str">
        <f>IFERROR(__xludf.DUMMYFUNCTION("""COMPUTED_VALUE"""),"")</f>
        <v/>
      </c>
    </row>
    <row r="55">
      <c r="A55" s="36" t="str">
        <f>IFERROR(__xludf.DUMMYFUNCTION("""COMPUTED_VALUE"""),"08-34-01-31")</f>
        <v>08-34-01-31</v>
      </c>
      <c r="B55" s="36" t="str">
        <f>IFERROR(__xludf.DUMMYFUNCTION("""COMPUTED_VALUE"""),"")</f>
        <v/>
      </c>
      <c r="C55" s="36" t="str">
        <f>IFERROR(__xludf.DUMMYFUNCTION("""COMPUTED_VALUE"""),"")</f>
        <v/>
      </c>
      <c r="D55" s="36" t="str">
        <f>IFERROR(__xludf.DUMMYFUNCTION("""COMPUTED_VALUE"""),"")</f>
        <v/>
      </c>
      <c r="E55" s="36" t="str">
        <f>IFERROR(__xludf.DUMMYFUNCTION("""COMPUTED_VALUE"""),"04-35-12-64A")</f>
        <v>04-35-12-64A</v>
      </c>
      <c r="F55" s="36"/>
      <c r="G55" s="36" t="str">
        <f>IFERROR(__xludf.DUMMYFUNCTION("""COMPUTED_VALUE"""),"25 de Mayo y S. Albarracín")</f>
        <v>25 de Mayo y S. Albarracín</v>
      </c>
      <c r="H55" s="36" t="str">
        <f>IFERROR(__xludf.DUMMYFUNCTION("""COMPUTED_VALUE"""),"")</f>
        <v/>
      </c>
    </row>
    <row r="56">
      <c r="A56" s="36" t="str">
        <f>IFERROR(__xludf.DUMMYFUNCTION("""COMPUTED_VALUE"""),"08-34-01-33")</f>
        <v>08-34-01-33</v>
      </c>
      <c r="B56" s="36" t="str">
        <f>IFERROR(__xludf.DUMMYFUNCTION("""COMPUTED_VALUE"""),"")</f>
        <v/>
      </c>
      <c r="C56" s="36" t="str">
        <f>IFERROR(__xludf.DUMMYFUNCTION("""COMPUTED_VALUE"""),"")</f>
        <v/>
      </c>
      <c r="D56" s="36" t="str">
        <f>IFERROR(__xludf.DUMMYFUNCTION("""COMPUTED_VALUE"""),"")</f>
        <v/>
      </c>
      <c r="E56" s="36" t="str">
        <f>IFERROR(__xludf.DUMMYFUNCTION("""COMPUTED_VALUE"""),"01-43-07-2")</f>
        <v>01-43-07-2</v>
      </c>
      <c r="F56" s="36"/>
      <c r="G56" s="36" t="str">
        <f>IFERROR(__xludf.DUMMYFUNCTION("""COMPUTED_VALUE"""),"25 de Mayo y Salta")</f>
        <v>25 de Mayo y Salta</v>
      </c>
      <c r="H56" s="36" t="str">
        <f>IFERROR(__xludf.DUMMYFUNCTION("""COMPUTED_VALUE"""),"")</f>
        <v/>
      </c>
    </row>
    <row r="57">
      <c r="A57" s="36" t="str">
        <f>IFERROR(__xludf.DUMMYFUNCTION("""COMPUTED_VALUE"""),"08-34-01-34")</f>
        <v>08-34-01-34</v>
      </c>
      <c r="B57" s="36" t="str">
        <f>IFERROR(__xludf.DUMMYFUNCTION("""COMPUTED_VALUE"""),"")</f>
        <v/>
      </c>
      <c r="C57" s="36" t="str">
        <f>IFERROR(__xludf.DUMMYFUNCTION("""COMPUTED_VALUE"""),"")</f>
        <v/>
      </c>
      <c r="D57" s="36" t="str">
        <f>IFERROR(__xludf.DUMMYFUNCTION("""COMPUTED_VALUE"""),"")</f>
        <v/>
      </c>
      <c r="E57" s="36" t="str">
        <f>IFERROR(__xludf.DUMMYFUNCTION("""COMPUTED_VALUE"""),"01-42-08-123")</f>
        <v>01-42-08-123</v>
      </c>
      <c r="F57" s="36"/>
      <c r="G57" s="36" t="str">
        <f>IFERROR(__xludf.DUMMYFUNCTION("""COMPUTED_VALUE"""),"25 de Mayo y Sarmiento")</f>
        <v>25 de Mayo y Sarmiento</v>
      </c>
      <c r="H57" s="36" t="str">
        <f>IFERROR(__xludf.DUMMYFUNCTION("""COMPUTED_VALUE"""),"")</f>
        <v/>
      </c>
    </row>
    <row r="58">
      <c r="A58" s="36" t="str">
        <f>IFERROR(__xludf.DUMMYFUNCTION("""COMPUTED_VALUE"""),"08-34-01-35")</f>
        <v>08-34-01-35</v>
      </c>
      <c r="B58" s="36" t="str">
        <f>IFERROR(__xludf.DUMMYFUNCTION("""COMPUTED_VALUE"""),"")</f>
        <v/>
      </c>
      <c r="C58" s="36" t="str">
        <f>IFERROR(__xludf.DUMMYFUNCTION("""COMPUTED_VALUE"""),"")</f>
        <v/>
      </c>
      <c r="D58" s="36" t="str">
        <f>IFERROR(__xludf.DUMMYFUNCTION("""COMPUTED_VALUE"""),"")</f>
        <v/>
      </c>
      <c r="E58" s="36" t="str">
        <f>IFERROR(__xludf.DUMMYFUNCTION("""COMPUTED_VALUE"""),"01-35-07-133")</f>
        <v>01-35-07-133</v>
      </c>
      <c r="F58" s="36"/>
      <c r="G58" s="36" t="str">
        <f>IFERROR(__xludf.DUMMYFUNCTION("""COMPUTED_VALUE"""),"25 de Mayo y Toranzo")</f>
        <v>25 de Mayo y Toranzo</v>
      </c>
      <c r="H58" s="36" t="str">
        <f>IFERROR(__xludf.DUMMYFUNCTION("""COMPUTED_VALUE"""),"")</f>
        <v/>
      </c>
    </row>
    <row r="59">
      <c r="A59" s="36" t="str">
        <f>IFERROR(__xludf.DUMMYFUNCTION("""COMPUTED_VALUE"""),"08-34-01-35A")</f>
        <v>08-34-01-35A</v>
      </c>
      <c r="B59" s="36" t="str">
        <f>IFERROR(__xludf.DUMMYFUNCTION("""COMPUTED_VALUE"""),"")</f>
        <v/>
      </c>
      <c r="C59" s="36" t="str">
        <f>IFERROR(__xludf.DUMMYFUNCTION("""COMPUTED_VALUE"""),"")</f>
        <v/>
      </c>
      <c r="D59" s="36" t="str">
        <f>IFERROR(__xludf.DUMMYFUNCTION("""COMPUTED_VALUE"""),"")</f>
        <v/>
      </c>
      <c r="E59" s="36" t="str">
        <f>IFERROR(__xludf.DUMMYFUNCTION("""COMPUTED_VALUE"""),"01-41-08-125")</f>
        <v>01-41-08-125</v>
      </c>
      <c r="F59" s="36"/>
      <c r="G59" s="36" t="str">
        <f>IFERROR(__xludf.DUMMYFUNCTION("""COMPUTED_VALUE"""),"25 de Mayo y Tucumán")</f>
        <v>25 de Mayo y Tucumán</v>
      </c>
      <c r="H59" s="36" t="str">
        <f>IFERROR(__xludf.DUMMYFUNCTION("""COMPUTED_VALUE"""),"")</f>
        <v/>
      </c>
    </row>
    <row r="60">
      <c r="A60" s="36" t="str">
        <f>IFERROR(__xludf.DUMMYFUNCTION("""COMPUTED_VALUE"""),"08-34-01-36")</f>
        <v>08-34-01-36</v>
      </c>
      <c r="B60" s="36" t="str">
        <f>IFERROR(__xludf.DUMMYFUNCTION("""COMPUTED_VALUE"""),"")</f>
        <v/>
      </c>
      <c r="C60" s="36" t="str">
        <f>IFERROR(__xludf.DUMMYFUNCTION("""COMPUTED_VALUE"""),"")</f>
        <v/>
      </c>
      <c r="D60" s="36" t="str">
        <f>IFERROR(__xludf.DUMMYFUNCTION("""COMPUTED_VALUE"""),"")</f>
        <v/>
      </c>
      <c r="E60" s="36" t="str">
        <f>IFERROR(__xludf.DUMMYFUNCTION("""COMPUTED_VALUE"""),"01-36-07-137")</f>
        <v>01-36-07-137</v>
      </c>
      <c r="F60" s="36"/>
      <c r="G60" s="36" t="str">
        <f>IFERROR(__xludf.DUMMYFUNCTION("""COMPUTED_VALUE"""),"25 de Mayo y Urquiza")</f>
        <v>25 de Mayo y Urquiza</v>
      </c>
      <c r="H60" s="36" t="str">
        <f>IFERROR(__xludf.DUMMYFUNCTION("""COMPUTED_VALUE"""),"")</f>
        <v/>
      </c>
    </row>
    <row r="61">
      <c r="A61" s="36" t="str">
        <f>IFERROR(__xludf.DUMMYFUNCTION("""COMPUTED_VALUE"""),"08-34-01-37")</f>
        <v>08-34-01-37</v>
      </c>
      <c r="B61" s="36" t="str">
        <f>IFERROR(__xludf.DUMMYFUNCTION("""COMPUTED_VALUE"""),"")</f>
        <v/>
      </c>
      <c r="C61" s="36" t="str">
        <f>IFERROR(__xludf.DUMMYFUNCTION("""COMPUTED_VALUE"""),"")</f>
        <v/>
      </c>
      <c r="D61" s="36" t="str">
        <f>IFERROR(__xludf.DUMMYFUNCTION("""COMPUTED_VALUE"""),"")</f>
        <v/>
      </c>
      <c r="E61" s="36" t="str">
        <f>IFERROR(__xludf.DUMMYFUNCTION("""COMPUTED_VALUE"""),"04-35-12-78")</f>
        <v>04-35-12-78</v>
      </c>
      <c r="F61" s="36"/>
      <c r="G61" s="36" t="str">
        <f>IFERROR(__xludf.DUMMYFUNCTION("""COMPUTED_VALUE"""),"25 de Mayo y Vélez Sarsfield")</f>
        <v>25 de Mayo y Vélez Sarsfield</v>
      </c>
      <c r="H61" s="36" t="str">
        <f>IFERROR(__xludf.DUMMYFUNCTION("""COMPUTED_VALUE"""),"")</f>
        <v/>
      </c>
    </row>
    <row r="62">
      <c r="A62" s="36" t="str">
        <f>IFERROR(__xludf.DUMMYFUNCTION("""COMPUTED_VALUE"""),"08-34-01-37A")</f>
        <v>08-34-01-37A</v>
      </c>
      <c r="B62" s="36" t="str">
        <f>IFERROR(__xludf.DUMMYFUNCTION("""COMPUTED_VALUE"""),"")</f>
        <v/>
      </c>
      <c r="C62" s="36" t="str">
        <f>IFERROR(__xludf.DUMMYFUNCTION("""COMPUTED_VALUE"""),"")</f>
        <v/>
      </c>
      <c r="D62" s="36" t="str">
        <f>IFERROR(__xludf.DUMMYFUNCTION("""COMPUTED_VALUE"""),"")</f>
        <v/>
      </c>
      <c r="E62" s="36" t="str">
        <f>IFERROR(__xludf.DUMMYFUNCTION("""COMPUTED_VALUE"""),"08-22-04-38")</f>
        <v>08-22-04-38</v>
      </c>
      <c r="F62" s="36"/>
      <c r="G62" s="36" t="str">
        <f>IFERROR(__xludf.DUMMYFUNCTION("""COMPUTED_VALUE"""),"3 de Febrero y Callejón Blanco")</f>
        <v>3 de Febrero y Callejón Blanco</v>
      </c>
      <c r="H62" s="36" t="str">
        <f>IFERROR(__xludf.DUMMYFUNCTION("""COMPUTED_VALUE"""),"")</f>
        <v/>
      </c>
    </row>
    <row r="63">
      <c r="A63" s="36" t="str">
        <f>IFERROR(__xludf.DUMMYFUNCTION("""COMPUTED_VALUE"""),"08-34-01-37B")</f>
        <v>08-34-01-37B</v>
      </c>
      <c r="B63" s="36" t="str">
        <f>IFERROR(__xludf.DUMMYFUNCTION("""COMPUTED_VALUE"""),"")</f>
        <v/>
      </c>
      <c r="C63" s="36" t="str">
        <f>IFERROR(__xludf.DUMMYFUNCTION("""COMPUTED_VALUE"""),"")</f>
        <v/>
      </c>
      <c r="D63" s="36" t="str">
        <f>IFERROR(__xludf.DUMMYFUNCTION("""COMPUTED_VALUE"""),"")</f>
        <v/>
      </c>
      <c r="E63" s="36" t="str">
        <f>IFERROR(__xludf.DUMMYFUNCTION("""COMPUTED_VALUE"""),"08-22-04-37")</f>
        <v>08-22-04-37</v>
      </c>
      <c r="F63" s="36"/>
      <c r="G63" s="36" t="str">
        <f>IFERROR(__xludf.DUMMYFUNCTION("""COMPUTED_VALUE"""),"3 de Febrero y Segundo Sombra")</f>
        <v>3 de Febrero y Segundo Sombra</v>
      </c>
      <c r="H63" s="36" t="str">
        <f>IFERROR(__xludf.DUMMYFUNCTION("""COMPUTED_VALUE"""),"")</f>
        <v/>
      </c>
    </row>
    <row r="64">
      <c r="A64" s="36" t="str">
        <f>IFERROR(__xludf.DUMMYFUNCTION("""COMPUTED_VALUE"""),"08-34-01-38")</f>
        <v>08-34-01-38</v>
      </c>
      <c r="B64" s="36" t="str">
        <f>IFERROR(__xludf.DUMMYFUNCTION("""COMPUTED_VALUE"""),"")</f>
        <v/>
      </c>
      <c r="C64" s="36" t="str">
        <f>IFERROR(__xludf.DUMMYFUNCTION("""COMPUTED_VALUE"""),"")</f>
        <v/>
      </c>
      <c r="D64" s="36" t="str">
        <f>IFERROR(__xludf.DUMMYFUNCTION("""COMPUTED_VALUE"""),"")</f>
        <v/>
      </c>
      <c r="E64" s="36" t="str">
        <f>IFERROR(__xludf.DUMMYFUNCTION("""COMPUTED_VALUE"""),"03-31-09-96")</f>
        <v>03-31-09-96</v>
      </c>
      <c r="F64" s="36"/>
      <c r="G64" s="36" t="str">
        <f>IFERROR(__xludf.DUMMYFUNCTION("""COMPUTED_VALUE"""),"4 de Diciembre y Alkazar")</f>
        <v>4 de Diciembre y Alkazar</v>
      </c>
      <c r="H64" s="36" t="str">
        <f>IFERROR(__xludf.DUMMYFUNCTION("""COMPUTED_VALUE"""),"")</f>
        <v/>
      </c>
    </row>
    <row r="65">
      <c r="A65" s="36" t="str">
        <f>IFERROR(__xludf.DUMMYFUNCTION("""COMPUTED_VALUE"""),"08-34-01-39")</f>
        <v>08-34-01-39</v>
      </c>
      <c r="B65" s="36" t="str">
        <f>IFERROR(__xludf.DUMMYFUNCTION("""COMPUTED_VALUE"""),"")</f>
        <v/>
      </c>
      <c r="C65" s="36" t="str">
        <f>IFERROR(__xludf.DUMMYFUNCTION("""COMPUTED_VALUE"""),"")</f>
        <v/>
      </c>
      <c r="D65" s="36" t="str">
        <f>IFERROR(__xludf.DUMMYFUNCTION("""COMPUTED_VALUE"""),"")</f>
        <v/>
      </c>
      <c r="E65" s="36" t="str">
        <f>IFERROR(__xludf.DUMMYFUNCTION("""COMPUTED_VALUE"""),"03-31-09-98")</f>
        <v>03-31-09-98</v>
      </c>
      <c r="F65" s="36"/>
      <c r="G65" s="36" t="str">
        <f>IFERROR(__xludf.DUMMYFUNCTION("""COMPUTED_VALUE"""),"4 de Diciembre y Díaz Costa")</f>
        <v>4 de Diciembre y Díaz Costa</v>
      </c>
      <c r="H65" s="36" t="str">
        <f>IFERROR(__xludf.DUMMYFUNCTION("""COMPUTED_VALUE"""),"")</f>
        <v/>
      </c>
    </row>
    <row r="66">
      <c r="A66" s="36" t="str">
        <f>IFERROR(__xludf.DUMMYFUNCTION("""COMPUTED_VALUE"""),"08-34-01-40")</f>
        <v>08-34-01-40</v>
      </c>
      <c r="B66" s="36" t="str">
        <f>IFERROR(__xludf.DUMMYFUNCTION("""COMPUTED_VALUE"""),"")</f>
        <v/>
      </c>
      <c r="C66" s="36" t="str">
        <f>IFERROR(__xludf.DUMMYFUNCTION("""COMPUTED_VALUE"""),"")</f>
        <v/>
      </c>
      <c r="D66" s="36" t="str">
        <f>IFERROR(__xludf.DUMMYFUNCTION("""COMPUTED_VALUE"""),"")</f>
        <v/>
      </c>
      <c r="E66" s="36" t="str">
        <f>IFERROR(__xludf.DUMMYFUNCTION("""COMPUTED_VALUE"""),"03-31-09-94")</f>
        <v>03-31-09-94</v>
      </c>
      <c r="F66" s="36"/>
      <c r="G66" s="36" t="str">
        <f>IFERROR(__xludf.DUMMYFUNCTION("""COMPUTED_VALUE"""),"4 de Diciembre y Pedro Echagüe")</f>
        <v>4 de Diciembre y Pedro Echagüe</v>
      </c>
      <c r="H66" s="36" t="str">
        <f>IFERROR(__xludf.DUMMYFUNCTION("""COMPUTED_VALUE"""),"")</f>
        <v/>
      </c>
    </row>
    <row r="67">
      <c r="A67" s="36" t="str">
        <f>IFERROR(__xludf.DUMMYFUNCTION("""COMPUTED_VALUE"""),"08-34-01-41")</f>
        <v>08-34-01-41</v>
      </c>
      <c r="B67" s="36" t="str">
        <f>IFERROR(__xludf.DUMMYFUNCTION("""COMPUTED_VALUE"""),"")</f>
        <v/>
      </c>
      <c r="C67" s="36" t="str">
        <f>IFERROR(__xludf.DUMMYFUNCTION("""COMPUTED_VALUE"""),"")</f>
        <v/>
      </c>
      <c r="D67" s="36" t="str">
        <f>IFERROR(__xludf.DUMMYFUNCTION("""COMPUTED_VALUE"""),"")</f>
        <v/>
      </c>
      <c r="E67" s="36" t="str">
        <f>IFERROR(__xludf.DUMMYFUNCTION("""COMPUTED_VALUE"""),"08-26-03-80")</f>
        <v>08-26-03-80</v>
      </c>
      <c r="F67" s="36"/>
      <c r="G67" s="36" t="str">
        <f>IFERROR(__xludf.DUMMYFUNCTION("""COMPUTED_VALUE"""),"5 de Octubre y Catriel")</f>
        <v>5 de Octubre y Catriel</v>
      </c>
      <c r="H67" s="36" t="str">
        <f>IFERROR(__xludf.DUMMYFUNCTION("""COMPUTED_VALUE"""),"")</f>
        <v/>
      </c>
    </row>
    <row r="68">
      <c r="A68" s="36" t="str">
        <f>IFERROR(__xludf.DUMMYFUNCTION("""COMPUTED_VALUE"""),"08-34-01-42")</f>
        <v>08-34-01-42</v>
      </c>
      <c r="B68" s="36" t="str">
        <f>IFERROR(__xludf.DUMMYFUNCTION("""COMPUTED_VALUE"""),"")</f>
        <v/>
      </c>
      <c r="C68" s="36" t="str">
        <f>IFERROR(__xludf.DUMMYFUNCTION("""COMPUTED_VALUE"""),"")</f>
        <v/>
      </c>
      <c r="D68" s="36" t="str">
        <f>IFERROR(__xludf.DUMMYFUNCTION("""COMPUTED_VALUE"""),"")</f>
        <v/>
      </c>
      <c r="E68" s="36" t="str">
        <f>IFERROR(__xludf.DUMMYFUNCTION("""COMPUTED_VALUE"""),"08-26-03-80A")</f>
        <v>08-26-03-80A</v>
      </c>
      <c r="F68" s="36"/>
      <c r="G68" s="36" t="str">
        <f>IFERROR(__xludf.DUMMYFUNCTION("""COMPUTED_VALUE"""),"5 de Octubre y Centenario")</f>
        <v>5 de Octubre y Centenario</v>
      </c>
      <c r="H68" s="36" t="str">
        <f>IFERROR(__xludf.DUMMYFUNCTION("""COMPUTED_VALUE"""),"")</f>
        <v/>
      </c>
    </row>
    <row r="69">
      <c r="A69" s="36" t="str">
        <f>IFERROR(__xludf.DUMMYFUNCTION("""COMPUTED_VALUE"""),"08-34-01-45")</f>
        <v>08-34-01-45</v>
      </c>
      <c r="B69" s="36" t="str">
        <f>IFERROR(__xludf.DUMMYFUNCTION("""COMPUTED_VALUE"""),"")</f>
        <v/>
      </c>
      <c r="C69" s="36" t="str">
        <f>IFERROR(__xludf.DUMMYFUNCTION("""COMPUTED_VALUE"""),"")</f>
        <v/>
      </c>
      <c r="D69" s="36" t="str">
        <f>IFERROR(__xludf.DUMMYFUNCTION("""COMPUTED_VALUE"""),"")</f>
        <v/>
      </c>
      <c r="E69" s="36" t="str">
        <f>IFERROR(__xludf.DUMMYFUNCTION("""COMPUTED_VALUE"""),"08-28-03-16")</f>
        <v>08-28-03-16</v>
      </c>
      <c r="F69" s="36"/>
      <c r="G69" s="36" t="str">
        <f>IFERROR(__xludf.DUMMYFUNCTION("""COMPUTED_VALUE"""),"9 de Julio e H. Yrigoyen N")</f>
        <v>9 de Julio e H. Yrigoyen N</v>
      </c>
      <c r="H69" s="36" t="str">
        <f>IFERROR(__xludf.DUMMYFUNCTION("""COMPUTED_VALUE"""),"")</f>
        <v/>
      </c>
    </row>
    <row r="70">
      <c r="A70" s="36" t="str">
        <f>IFERROR(__xludf.DUMMYFUNCTION("""COMPUTED_VALUE"""),"08-34-01-47")</f>
        <v>08-34-01-47</v>
      </c>
      <c r="B70" s="36" t="str">
        <f>IFERROR(__xludf.DUMMYFUNCTION("""COMPUTED_VALUE"""),"")</f>
        <v/>
      </c>
      <c r="C70" s="36" t="str">
        <f>IFERROR(__xludf.DUMMYFUNCTION("""COMPUTED_VALUE"""),"")</f>
        <v/>
      </c>
      <c r="D70" s="36" t="str">
        <f>IFERROR(__xludf.DUMMYFUNCTION("""COMPUTED_VALUE"""),"")</f>
        <v/>
      </c>
      <c r="E70" s="36" t="str">
        <f>IFERROR(__xludf.DUMMYFUNCTION("""COMPUTED_VALUE"""),"08-28-03-17")</f>
        <v>08-28-03-17</v>
      </c>
      <c r="F70" s="36"/>
      <c r="G70" s="36" t="str">
        <f>IFERROR(__xludf.DUMMYFUNCTION("""COMPUTED_VALUE"""),"9 de Julio e H. Yrigoyen S")</f>
        <v>9 de Julio e H. Yrigoyen S</v>
      </c>
      <c r="H70" s="36" t="str">
        <f>IFERROR(__xludf.DUMMYFUNCTION("""COMPUTED_VALUE"""),"")</f>
        <v/>
      </c>
    </row>
    <row r="71">
      <c r="A71" s="36" t="str">
        <f>IFERROR(__xludf.DUMMYFUNCTION("""COMPUTED_VALUE"""),"08-34-01-49")</f>
        <v>08-34-01-49</v>
      </c>
      <c r="B71" s="36" t="str">
        <f>IFERROR(__xludf.DUMMYFUNCTION("""COMPUTED_VALUE"""),"")</f>
        <v/>
      </c>
      <c r="C71" s="36" t="str">
        <f>IFERROR(__xludf.DUMMYFUNCTION("""COMPUTED_VALUE"""),"")</f>
        <v/>
      </c>
      <c r="D71" s="36" t="str">
        <f>IFERROR(__xludf.DUMMYFUNCTION("""COMPUTED_VALUE"""),"")</f>
        <v/>
      </c>
      <c r="E71" s="36" t="str">
        <f>IFERROR(__xludf.DUMMYFUNCTION("""COMPUTED_VALUE"""),"08-28-03-18")</f>
        <v>08-28-03-18</v>
      </c>
      <c r="F71" s="36"/>
      <c r="G71" s="36" t="str">
        <f>IFERROR(__xludf.DUMMYFUNCTION("""COMPUTED_VALUE"""),"9 de Julio y 5 de Octubre")</f>
        <v>9 de Julio y 5 de Octubre</v>
      </c>
      <c r="H71" s="36" t="str">
        <f>IFERROR(__xludf.DUMMYFUNCTION("""COMPUTED_VALUE"""),"")</f>
        <v/>
      </c>
    </row>
    <row r="72">
      <c r="A72" s="36" t="str">
        <f>IFERROR(__xludf.DUMMYFUNCTION("""COMPUTED_VALUE"""),"08-34-01-51")</f>
        <v>08-34-01-51</v>
      </c>
      <c r="B72" s="36" t="str">
        <f>IFERROR(__xludf.DUMMYFUNCTION("""COMPUTED_VALUE"""),"")</f>
        <v/>
      </c>
      <c r="C72" s="36" t="str">
        <f>IFERROR(__xludf.DUMMYFUNCTION("""COMPUTED_VALUE"""),"")</f>
        <v/>
      </c>
      <c r="D72" s="36" t="str">
        <f>IFERROR(__xludf.DUMMYFUNCTION("""COMPUTED_VALUE"""),"")</f>
        <v/>
      </c>
      <c r="E72" s="36" t="str">
        <f>IFERROR(__xludf.DUMMYFUNCTION("""COMPUTED_VALUE"""),"01-51-08-2B")</f>
        <v>01-51-08-2B</v>
      </c>
      <c r="F72" s="36"/>
      <c r="G72" s="36" t="str">
        <f>IFERROR(__xludf.DUMMYFUNCTION("""COMPUTED_VALUE"""),"9 de Julio y Av. Alem")</f>
        <v>9 de Julio y Av. Alem</v>
      </c>
      <c r="H72" s="36" t="str">
        <f>IFERROR(__xludf.DUMMYFUNCTION("""COMPUTED_VALUE"""),"")</f>
        <v/>
      </c>
    </row>
    <row r="73">
      <c r="A73" s="36" t="str">
        <f>IFERROR(__xludf.DUMMYFUNCTION("""COMPUTED_VALUE"""),"08-34-01-53")</f>
        <v>08-34-01-53</v>
      </c>
      <c r="B73" s="36" t="str">
        <f>IFERROR(__xludf.DUMMYFUNCTION("""COMPUTED_VALUE"""),"")</f>
        <v/>
      </c>
      <c r="C73" s="36" t="str">
        <f>IFERROR(__xludf.DUMMYFUNCTION("""COMPUTED_VALUE"""),"")</f>
        <v/>
      </c>
      <c r="D73" s="36" t="str">
        <f>IFERROR(__xludf.DUMMYFUNCTION("""COMPUTED_VALUE"""),"")</f>
        <v/>
      </c>
      <c r="E73" s="36" t="str">
        <f>IFERROR(__xludf.DUMMYFUNCTION("""COMPUTED_VALUE"""),"01-52-08-24")</f>
        <v>01-52-08-24</v>
      </c>
      <c r="F73" s="36"/>
      <c r="G73" s="36" t="str">
        <f>IFERROR(__xludf.DUMMYFUNCTION("""COMPUTED_VALUE"""),"9 de Julio y Av. Rioja")</f>
        <v>9 de Julio y Av. Rioja</v>
      </c>
      <c r="H73" s="36" t="str">
        <f>IFERROR(__xludf.DUMMYFUNCTION("""COMPUTED_VALUE"""),"")</f>
        <v/>
      </c>
    </row>
    <row r="74">
      <c r="A74" s="36" t="str">
        <f>IFERROR(__xludf.DUMMYFUNCTION("""COMPUTED_VALUE"""),"08-34-01-54")</f>
        <v>08-34-01-54</v>
      </c>
      <c r="B74" s="36" t="str">
        <f>IFERROR(__xludf.DUMMYFUNCTION("""COMPUTED_VALUE"""),"")</f>
        <v/>
      </c>
      <c r="C74" s="36" t="str">
        <f>IFERROR(__xludf.DUMMYFUNCTION("""COMPUTED_VALUE"""),"")</f>
        <v/>
      </c>
      <c r="D74" s="36" t="str">
        <f>IFERROR(__xludf.DUMMYFUNCTION("""COMPUTED_VALUE"""),"")</f>
        <v/>
      </c>
      <c r="E74" s="36" t="str">
        <f>IFERROR(__xludf.DUMMYFUNCTION("""COMPUTED_VALUE"""),"08-28-03-19")</f>
        <v>08-28-03-19</v>
      </c>
      <c r="F74" s="36"/>
      <c r="G74" s="36" t="str">
        <f>IFERROR(__xludf.DUMMYFUNCTION("""COMPUTED_VALUE"""),"9 de Julio y Centenario")</f>
        <v>9 de Julio y Centenario</v>
      </c>
      <c r="H74" s="36" t="str">
        <f>IFERROR(__xludf.DUMMYFUNCTION("""COMPUTED_VALUE"""),"")</f>
        <v/>
      </c>
    </row>
    <row r="75">
      <c r="A75" s="36" t="str">
        <f>IFERROR(__xludf.DUMMYFUNCTION("""COMPUTED_VALUE"""),"08-36-01-48")</f>
        <v>08-36-01-48</v>
      </c>
      <c r="B75" s="36" t="str">
        <f>IFERROR(__xludf.DUMMYFUNCTION("""COMPUTED_VALUE"""),"")</f>
        <v/>
      </c>
      <c r="C75" s="36" t="str">
        <f>IFERROR(__xludf.DUMMYFUNCTION("""COMPUTED_VALUE"""),"")</f>
        <v/>
      </c>
      <c r="D75" s="36" t="str">
        <f>IFERROR(__xludf.DUMMYFUNCTION("""COMPUTED_VALUE"""),"")</f>
        <v/>
      </c>
      <c r="E75" s="36" t="str">
        <f>IFERROR(__xludf.DUMMYFUNCTION("""COMPUTED_VALUE"""),"01-48-12-319")</f>
        <v>01-48-12-319</v>
      </c>
      <c r="F75" s="36"/>
      <c r="G75" s="36" t="str">
        <f>IFERROR(__xludf.DUMMYFUNCTION("""COMPUTED_VALUE"""),"9 de Julio y Circunvalación Externa")</f>
        <v>9 de Julio y Circunvalación Externa</v>
      </c>
      <c r="H75" s="36" t="str">
        <f>IFERROR(__xludf.DUMMYFUNCTION("""COMPUTED_VALUE"""),"")</f>
        <v/>
      </c>
    </row>
    <row r="76">
      <c r="A76" s="36" t="str">
        <f>IFERROR(__xludf.DUMMYFUNCTION("""COMPUTED_VALUE"""),"08-36-01-50")</f>
        <v>08-36-01-50</v>
      </c>
      <c r="B76" s="36" t="str">
        <f>IFERROR(__xludf.DUMMYFUNCTION("""COMPUTED_VALUE"""),"")</f>
        <v/>
      </c>
      <c r="C76" s="36" t="str">
        <f>IFERROR(__xludf.DUMMYFUNCTION("""COMPUTED_VALUE"""),"")</f>
        <v/>
      </c>
      <c r="D76" s="36" t="str">
        <f>IFERROR(__xludf.DUMMYFUNCTION("""COMPUTED_VALUE"""),"")</f>
        <v/>
      </c>
      <c r="E76" s="36" t="str">
        <f>IFERROR(__xludf.DUMMYFUNCTION("""COMPUTED_VALUE"""),"01-48-12-320")</f>
        <v>01-48-12-320</v>
      </c>
      <c r="F76" s="36"/>
      <c r="G76" s="36" t="str">
        <f>IFERROR(__xludf.DUMMYFUNCTION("""COMPUTED_VALUE"""),"9 de Julio y Circunvalación Interna")</f>
        <v>9 de Julio y Circunvalación Interna</v>
      </c>
      <c r="H76" s="36" t="str">
        <f>IFERROR(__xludf.DUMMYFUNCTION("""COMPUTED_VALUE"""),"")</f>
        <v/>
      </c>
    </row>
    <row r="77">
      <c r="A77" s="36" t="str">
        <f>IFERROR(__xludf.DUMMYFUNCTION("""COMPUTED_VALUE"""),"08-36-01-52")</f>
        <v>08-36-01-52</v>
      </c>
      <c r="B77" s="36" t="str">
        <f>IFERROR(__xludf.DUMMYFUNCTION("""COMPUTED_VALUE"""),"")</f>
        <v/>
      </c>
      <c r="C77" s="36" t="str">
        <f>IFERROR(__xludf.DUMMYFUNCTION("""COMPUTED_VALUE"""),"")</f>
        <v/>
      </c>
      <c r="D77" s="36" t="str">
        <f>IFERROR(__xludf.DUMMYFUNCTION("""COMPUTED_VALUE"""),"")</f>
        <v/>
      </c>
      <c r="E77" s="36" t="str">
        <f>IFERROR(__xludf.DUMMYFUNCTION("""COMPUTED_VALUE"""),"08-28-03-9")</f>
        <v>08-28-03-9</v>
      </c>
      <c r="F77" s="36"/>
      <c r="G77" s="36" t="str">
        <f>IFERROR(__xludf.DUMMYFUNCTION("""COMPUTED_VALUE"""),"9 de Julio y Corrientes")</f>
        <v>9 de Julio y Corrientes</v>
      </c>
      <c r="H77" s="36" t="str">
        <f>IFERROR(__xludf.DUMMYFUNCTION("""COMPUTED_VALUE"""),"")</f>
        <v/>
      </c>
    </row>
    <row r="78">
      <c r="A78" s="36" t="str">
        <f>IFERROR(__xludf.DUMMYFUNCTION("""COMPUTED_VALUE"""),"01-20-02-122B")</f>
        <v>01-20-02-122B</v>
      </c>
      <c r="B78" s="36" t="str">
        <f>IFERROR(__xludf.DUMMYFUNCTION("""COMPUTED_VALUE"""),"")</f>
        <v/>
      </c>
      <c r="C78" s="36" t="str">
        <f>IFERROR(__xludf.DUMMYFUNCTION("""COMPUTED_VALUE"""),"")</f>
        <v/>
      </c>
      <c r="D78" s="36" t="str">
        <f>IFERROR(__xludf.DUMMYFUNCTION("""COMPUTED_VALUE"""),"")</f>
        <v/>
      </c>
      <c r="E78" s="36" t="str">
        <f>IFERROR(__xludf.DUMMYFUNCTION("""COMPUTED_VALUE"""),"01-53-09-8")</f>
        <v>01-53-09-8</v>
      </c>
      <c r="F78" s="36"/>
      <c r="G78" s="36" t="str">
        <f>IFERROR(__xludf.DUMMYFUNCTION("""COMPUTED_VALUE"""),"9 de Julio y Estados Unidos")</f>
        <v>9 de Julio y Estados Unidos</v>
      </c>
      <c r="H78" s="36" t="str">
        <f>IFERROR(__xludf.DUMMYFUNCTION("""COMPUTED_VALUE"""),"")</f>
        <v/>
      </c>
    </row>
    <row r="79">
      <c r="A79" s="36" t="str">
        <f>IFERROR(__xludf.DUMMYFUNCTION("""COMPUTED_VALUE"""),"01-21-02-15")</f>
        <v>01-21-02-15</v>
      </c>
      <c r="B79" s="36" t="str">
        <f>IFERROR(__xludf.DUMMYFUNCTION("""COMPUTED_VALUE"""),"")</f>
        <v/>
      </c>
      <c r="C79" s="36" t="str">
        <f>IFERROR(__xludf.DUMMYFUNCTION("""COMPUTED_VALUE"""),"")</f>
        <v/>
      </c>
      <c r="D79" s="36" t="str">
        <f>IFERROR(__xludf.DUMMYFUNCTION("""COMPUTED_VALUE"""),"")</f>
        <v/>
      </c>
      <c r="E79" s="36" t="str">
        <f>IFERROR(__xludf.DUMMYFUNCTION("""COMPUTED_VALUE"""),"01-47-12-291")</f>
        <v>01-47-12-291</v>
      </c>
      <c r="F79" s="36"/>
      <c r="G79" s="36" t="str">
        <f>IFERROR(__xludf.DUMMYFUNCTION("""COMPUTED_VALUE"""),"9 de Julio y Esteban Echeverría")</f>
        <v>9 de Julio y Esteban Echeverría</v>
      </c>
      <c r="H79" s="36" t="str">
        <f>IFERROR(__xludf.DUMMYFUNCTION("""COMPUTED_VALUE"""),"")</f>
        <v/>
      </c>
    </row>
    <row r="80">
      <c r="A80" s="36" t="str">
        <f>IFERROR(__xludf.DUMMYFUNCTION("""COMPUTED_VALUE"""),"08-20-02-42")</f>
        <v>08-20-02-42</v>
      </c>
      <c r="B80" s="36" t="str">
        <f>IFERROR(__xludf.DUMMYFUNCTION("""COMPUTED_VALUE"""),"")</f>
        <v/>
      </c>
      <c r="C80" s="36" t="str">
        <f>IFERROR(__xludf.DUMMYFUNCTION("""COMPUTED_VALUE"""),"")</f>
        <v/>
      </c>
      <c r="D80" s="36" t="str">
        <f>IFERROR(__xludf.DUMMYFUNCTION("""COMPUTED_VALUE"""),"")</f>
        <v/>
      </c>
      <c r="E80" s="36" t="str">
        <f>IFERROR(__xludf.DUMMYFUNCTION("""COMPUTED_VALUE"""),"01-47-12-295")</f>
        <v>01-47-12-295</v>
      </c>
      <c r="F80" s="36"/>
      <c r="G80" s="36" t="str">
        <f>IFERROR(__xludf.DUMMYFUNCTION("""COMPUTED_VALUE"""),"9 de Julio y Gral. Soler")</f>
        <v>9 de Julio y Gral. Soler</v>
      </c>
      <c r="H80" s="36" t="str">
        <f>IFERROR(__xludf.DUMMYFUNCTION("""COMPUTED_VALUE"""),"")</f>
        <v/>
      </c>
    </row>
    <row r="81">
      <c r="A81" s="36" t="str">
        <f>IFERROR(__xludf.DUMMYFUNCTION("""COMPUTED_VALUE"""),"08-20-02-48")</f>
        <v>08-20-02-48</v>
      </c>
      <c r="B81" s="36" t="str">
        <f>IFERROR(__xludf.DUMMYFUNCTION("""COMPUTED_VALUE"""),"")</f>
        <v/>
      </c>
      <c r="C81" s="36" t="str">
        <f>IFERROR(__xludf.DUMMYFUNCTION("""COMPUTED_VALUE"""),"")</f>
        <v/>
      </c>
      <c r="D81" s="36" t="str">
        <f>IFERROR(__xludf.DUMMYFUNCTION("""COMPUTED_VALUE"""),"")</f>
        <v/>
      </c>
      <c r="E81" s="36" t="str">
        <f>IFERROR(__xludf.DUMMYFUNCTION("""COMPUTED_VALUE"""),"01-47-12-294")</f>
        <v>01-47-12-294</v>
      </c>
      <c r="F81" s="36"/>
      <c r="G81" s="36" t="str">
        <f>IFERROR(__xludf.DUMMYFUNCTION("""COMPUTED_VALUE"""),"9 de Julio y Juan B. Justo")</f>
        <v>9 de Julio y Juan B. Justo</v>
      </c>
      <c r="H81" s="36" t="str">
        <f>IFERROR(__xludf.DUMMYFUNCTION("""COMPUTED_VALUE"""),"")</f>
        <v/>
      </c>
    </row>
    <row r="82">
      <c r="A82" s="36" t="str">
        <f>IFERROR(__xludf.DUMMYFUNCTION("""COMPUTED_VALUE"""),"08-20-02-49")</f>
        <v>08-20-02-49</v>
      </c>
      <c r="B82" s="36" t="str">
        <f>IFERROR(__xludf.DUMMYFUNCTION("""COMPUTED_VALUE"""),"")</f>
        <v/>
      </c>
      <c r="C82" s="36" t="str">
        <f>IFERROR(__xludf.DUMMYFUNCTION("""COMPUTED_VALUE"""),"")</f>
        <v/>
      </c>
      <c r="D82" s="36" t="str">
        <f>IFERROR(__xludf.DUMMYFUNCTION("""COMPUTED_VALUE"""),"")</f>
        <v/>
      </c>
      <c r="E82" s="36" t="str">
        <f>IFERROR(__xludf.DUMMYFUNCTION("""COMPUTED_VALUE"""),"01-50-07-50")</f>
        <v>01-50-07-50</v>
      </c>
      <c r="F82" s="36"/>
      <c r="G82" s="36" t="str">
        <f>IFERROR(__xludf.DUMMYFUNCTION("""COMPUTED_VALUE"""),"9 de Julio y Las Heras")</f>
        <v>9 de Julio y Las Heras</v>
      </c>
      <c r="H82" s="36" t="str">
        <f>IFERROR(__xludf.DUMMYFUNCTION("""COMPUTED_VALUE"""),"")</f>
        <v/>
      </c>
    </row>
    <row r="83">
      <c r="A83" s="36" t="str">
        <f>IFERROR(__xludf.DUMMYFUNCTION("""COMPUTED_VALUE"""),"08-20-02-49A")</f>
        <v>08-20-02-49A</v>
      </c>
      <c r="B83" s="36" t="str">
        <f>IFERROR(__xludf.DUMMYFUNCTION("""COMPUTED_VALUE"""),"")</f>
        <v/>
      </c>
      <c r="C83" s="36" t="str">
        <f>IFERROR(__xludf.DUMMYFUNCTION("""COMPUTED_VALUE"""),"")</f>
        <v/>
      </c>
      <c r="D83" s="36" t="str">
        <f>IFERROR(__xludf.DUMMYFUNCTION("""COMPUTED_VALUE"""),"")</f>
        <v/>
      </c>
      <c r="E83" s="36" t="str">
        <f>IFERROR(__xludf.DUMMYFUNCTION("""COMPUTED_VALUE"""),"01-48-12-321")</f>
        <v>01-48-12-321</v>
      </c>
      <c r="F83" s="36"/>
      <c r="G83" s="36" t="str">
        <f>IFERROR(__xludf.DUMMYFUNCTION("""COMPUTED_VALUE"""),"9 de Julio y Paula Albarracín")</f>
        <v>9 de Julio y Paula Albarracín</v>
      </c>
      <c r="H83" s="36" t="str">
        <f>IFERROR(__xludf.DUMMYFUNCTION("""COMPUTED_VALUE"""),"")</f>
        <v/>
      </c>
    </row>
    <row r="84">
      <c r="A84" s="36" t="str">
        <f>IFERROR(__xludf.DUMMYFUNCTION("""COMPUTED_VALUE"""),"08-20-02-49B")</f>
        <v>08-20-02-49B</v>
      </c>
      <c r="B84" s="36" t="str">
        <f>IFERROR(__xludf.DUMMYFUNCTION("""COMPUTED_VALUE"""),"")</f>
        <v/>
      </c>
      <c r="C84" s="36" t="str">
        <f>IFERROR(__xludf.DUMMYFUNCTION("""COMPUTED_VALUE"""),"")</f>
        <v/>
      </c>
      <c r="D84" s="36" t="str">
        <f>IFERROR(__xludf.DUMMYFUNCTION("""COMPUTED_VALUE"""),"")</f>
        <v/>
      </c>
      <c r="E84" s="36" t="str">
        <f>IFERROR(__xludf.DUMMYFUNCTION("""COMPUTED_VALUE"""),"01-48-12-323")</f>
        <v>01-48-12-323</v>
      </c>
      <c r="F84" s="36"/>
      <c r="G84" s="36" t="str">
        <f>IFERROR(__xludf.DUMMYFUNCTION("""COMPUTED_VALUE"""),"9 de Julio y Porres")</f>
        <v>9 de Julio y Porres</v>
      </c>
      <c r="H84" s="36" t="str">
        <f>IFERROR(__xludf.DUMMYFUNCTION("""COMPUTED_VALUE"""),"")</f>
        <v/>
      </c>
    </row>
    <row r="85">
      <c r="A85" s="36" t="str">
        <f>IFERROR(__xludf.DUMMYFUNCTION("""COMPUTED_VALUE"""),"08-20-02-50")</f>
        <v>08-20-02-50</v>
      </c>
      <c r="B85" s="36" t="str">
        <f>IFERROR(__xludf.DUMMYFUNCTION("""COMPUTED_VALUE"""),"")</f>
        <v/>
      </c>
      <c r="C85" s="36" t="str">
        <f>IFERROR(__xludf.DUMMYFUNCTION("""COMPUTED_VALUE"""),"")</f>
        <v/>
      </c>
      <c r="D85" s="36" t="str">
        <f>IFERROR(__xludf.DUMMYFUNCTION("""COMPUTED_VALUE"""),"")</f>
        <v/>
      </c>
      <c r="E85" s="36" t="str">
        <f>IFERROR(__xludf.DUMMYFUNCTION("""COMPUTED_VALUE"""),"01-48-12-318")</f>
        <v>01-48-12-318</v>
      </c>
      <c r="F85" s="36"/>
      <c r="G85" s="36" t="str">
        <f>IFERROR(__xludf.DUMMYFUNCTION("""COMPUTED_VALUE"""),"9 de Julio y Riobamba Norte")</f>
        <v>9 de Julio y Riobamba Norte</v>
      </c>
      <c r="H85" s="36" t="str">
        <f>IFERROR(__xludf.DUMMYFUNCTION("""COMPUTED_VALUE"""),"")</f>
        <v/>
      </c>
    </row>
    <row r="86">
      <c r="A86" s="36" t="str">
        <f>IFERROR(__xludf.DUMMYFUNCTION("""COMPUTED_VALUE"""),"08-20-02-51")</f>
        <v>08-20-02-51</v>
      </c>
      <c r="B86" s="36" t="str">
        <f>IFERROR(__xludf.DUMMYFUNCTION("""COMPUTED_VALUE"""),"")</f>
        <v/>
      </c>
      <c r="C86" s="36" t="str">
        <f>IFERROR(__xludf.DUMMYFUNCTION("""COMPUTED_VALUE"""),"")</f>
        <v/>
      </c>
      <c r="D86" s="36" t="str">
        <f>IFERROR(__xludf.DUMMYFUNCTION("""COMPUTED_VALUE"""),"")</f>
        <v/>
      </c>
      <c r="E86" s="36" t="str">
        <f>IFERROR(__xludf.DUMMYFUNCTION("""COMPUTED_VALUE"""),"01-48-12-317")</f>
        <v>01-48-12-317</v>
      </c>
      <c r="F86" s="36"/>
      <c r="G86" s="36" t="str">
        <f>IFERROR(__xludf.DUMMYFUNCTION("""COMPUTED_VALUE"""),"9 de Julio y Riobamba Sur")</f>
        <v>9 de Julio y Riobamba Sur</v>
      </c>
      <c r="H86" s="36" t="str">
        <f>IFERROR(__xludf.DUMMYFUNCTION("""COMPUTED_VALUE"""),"")</f>
        <v/>
      </c>
    </row>
    <row r="87">
      <c r="A87" s="36" t="str">
        <f>IFERROR(__xludf.DUMMYFUNCTION("""COMPUTED_VALUE"""),"08-20-02-52")</f>
        <v>08-20-02-52</v>
      </c>
      <c r="B87" s="36" t="str">
        <f>IFERROR(__xludf.DUMMYFUNCTION("""COMPUTED_VALUE"""),"")</f>
        <v/>
      </c>
      <c r="C87" s="36" t="str">
        <f>IFERROR(__xludf.DUMMYFUNCTION("""COMPUTED_VALUE"""),"")</f>
        <v/>
      </c>
      <c r="D87" s="36" t="str">
        <f>IFERROR(__xludf.DUMMYFUNCTION("""COMPUTED_VALUE"""),"")</f>
        <v/>
      </c>
      <c r="E87" s="36" t="str">
        <f>IFERROR(__xludf.DUMMYFUNCTION("""COMPUTED_VALUE"""),"01-48-12-285")</f>
        <v>01-48-12-285</v>
      </c>
      <c r="F87" s="36"/>
      <c r="G87" s="36" t="str">
        <f>IFERROR(__xludf.DUMMYFUNCTION("""COMPUTED_VALUE"""),"9 de Julio y Ruiz Norte")</f>
        <v>9 de Julio y Ruiz Norte</v>
      </c>
      <c r="H87" s="36" t="str">
        <f>IFERROR(__xludf.DUMMYFUNCTION("""COMPUTED_VALUE"""),"")</f>
        <v/>
      </c>
    </row>
    <row r="88">
      <c r="A88" s="36" t="str">
        <f>IFERROR(__xludf.DUMMYFUNCTION("""COMPUTED_VALUE"""),"08-20-02-53")</f>
        <v>08-20-02-53</v>
      </c>
      <c r="B88" s="36" t="str">
        <f>IFERROR(__xludf.DUMMYFUNCTION("""COMPUTED_VALUE"""),"")</f>
        <v/>
      </c>
      <c r="C88" s="36" t="str">
        <f>IFERROR(__xludf.DUMMYFUNCTION("""COMPUTED_VALUE"""),"")</f>
        <v/>
      </c>
      <c r="D88" s="36" t="str">
        <f>IFERROR(__xludf.DUMMYFUNCTION("""COMPUTED_VALUE"""),"")</f>
        <v/>
      </c>
      <c r="E88" s="36" t="str">
        <f>IFERROR(__xludf.DUMMYFUNCTION("""COMPUTED_VALUE"""),"01-51-07-47A")</f>
        <v>01-51-07-47A</v>
      </c>
      <c r="F88" s="36"/>
      <c r="G88" s="36" t="str">
        <f>IFERROR(__xludf.DUMMYFUNCTION("""COMPUTED_VALUE"""),"9 de Julio y Salta")</f>
        <v>9 de Julio y Salta</v>
      </c>
      <c r="H88" s="36" t="str">
        <f>IFERROR(__xludf.DUMMYFUNCTION("""COMPUTED_VALUE"""),"")</f>
        <v/>
      </c>
    </row>
    <row r="89">
      <c r="A89" s="36" t="str">
        <f>IFERROR(__xludf.DUMMYFUNCTION("""COMPUTED_VALUE"""),"08-20-02-54")</f>
        <v>08-20-02-54</v>
      </c>
      <c r="B89" s="36" t="str">
        <f>IFERROR(__xludf.DUMMYFUNCTION("""COMPUTED_VALUE"""),"")</f>
        <v/>
      </c>
      <c r="C89" s="36" t="str">
        <f>IFERROR(__xludf.DUMMYFUNCTION("""COMPUTED_VALUE"""),"")</f>
        <v/>
      </c>
      <c r="D89" s="36" t="str">
        <f>IFERROR(__xludf.DUMMYFUNCTION("""COMPUTED_VALUE"""),"")</f>
        <v/>
      </c>
      <c r="E89" s="36" t="str">
        <f>IFERROR(__xludf.DUMMYFUNCTION("""COMPUTED_VALUE"""),"01-51-08-20A")</f>
        <v>01-51-08-20A</v>
      </c>
      <c r="F89" s="36"/>
      <c r="G89" s="36" t="str">
        <f>IFERROR(__xludf.DUMMYFUNCTION("""COMPUTED_VALUE"""),"9 de Julio y Sarmiento ")</f>
        <v>9 de Julio y Sarmiento </v>
      </c>
      <c r="H89" s="36" t="str">
        <f>IFERROR(__xludf.DUMMYFUNCTION("""COMPUTED_VALUE"""),"")</f>
        <v/>
      </c>
    </row>
    <row r="90">
      <c r="A90" s="36" t="str">
        <f>IFERROR(__xludf.DUMMYFUNCTION("""COMPUTED_VALUE"""),"08-20-02-55")</f>
        <v>08-20-02-55</v>
      </c>
      <c r="B90" s="36" t="str">
        <f>IFERROR(__xludf.DUMMYFUNCTION("""COMPUTED_VALUE"""),"")</f>
        <v/>
      </c>
      <c r="C90" s="36" t="str">
        <f>IFERROR(__xludf.DUMMYFUNCTION("""COMPUTED_VALUE"""),"")</f>
        <v/>
      </c>
      <c r="D90" s="36" t="str">
        <f>IFERROR(__xludf.DUMMYFUNCTION("""COMPUTED_VALUE"""),"")</f>
        <v/>
      </c>
      <c r="E90" s="36" t="str">
        <f>IFERROR(__xludf.DUMMYFUNCTION("""COMPUTED_VALUE"""),"01-47-12-289")</f>
        <v>01-47-12-289</v>
      </c>
      <c r="F90" s="36"/>
      <c r="G90" s="36" t="str">
        <f>IFERROR(__xludf.DUMMYFUNCTION("""COMPUTED_VALUE"""),"9 de Julio y Victoria")</f>
        <v>9 de Julio y Victoria</v>
      </c>
      <c r="H90" s="36" t="str">
        <f>IFERROR(__xludf.DUMMYFUNCTION("""COMPUTED_VALUE"""),"")</f>
        <v/>
      </c>
    </row>
    <row r="91">
      <c r="A91" s="36" t="str">
        <f>IFERROR(__xludf.DUMMYFUNCTION("""COMPUTED_VALUE"""),"08-20-02-56")</f>
        <v>08-20-02-56</v>
      </c>
      <c r="B91" s="36" t="str">
        <f>IFERROR(__xludf.DUMMYFUNCTION("""COMPUTED_VALUE"""),"")</f>
        <v/>
      </c>
      <c r="C91" s="36" t="str">
        <f>IFERROR(__xludf.DUMMYFUNCTION("""COMPUTED_VALUE"""),"")</f>
        <v/>
      </c>
      <c r="D91" s="36" t="str">
        <f>IFERROR(__xludf.DUMMYFUNCTION("""COMPUTED_VALUE"""),"")</f>
        <v/>
      </c>
      <c r="E91" s="36" t="str">
        <f>IFERROR(__xludf.DUMMYFUNCTION("""COMPUTED_VALUE"""),"01-52-08-25A")</f>
        <v>01-52-08-25A</v>
      </c>
      <c r="F91" s="36"/>
      <c r="G91" s="36" t="str">
        <f>IFERROR(__xludf.DUMMYFUNCTION("""COMPUTED_VALUE"""),"Aberastain y 9 de Julio")</f>
        <v>Aberastain y 9 de Julio</v>
      </c>
      <c r="H91" s="36" t="str">
        <f>IFERROR(__xludf.DUMMYFUNCTION("""COMPUTED_VALUE"""),"")</f>
        <v/>
      </c>
    </row>
    <row r="92">
      <c r="A92" s="36" t="str">
        <f>IFERROR(__xludf.DUMMYFUNCTION("""COMPUTED_VALUE"""),"08-20-02-57")</f>
        <v>08-20-02-57</v>
      </c>
      <c r="B92" s="36" t="str">
        <f>IFERROR(__xludf.DUMMYFUNCTION("""COMPUTED_VALUE"""),"")</f>
        <v/>
      </c>
      <c r="C92" s="36" t="str">
        <f>IFERROR(__xludf.DUMMYFUNCTION("""COMPUTED_VALUE"""),"")</f>
        <v/>
      </c>
      <c r="D92" s="36" t="str">
        <f>IFERROR(__xludf.DUMMYFUNCTION("""COMPUTED_VALUE"""),"")</f>
        <v/>
      </c>
      <c r="E92" s="36" t="str">
        <f>IFERROR(__xludf.DUMMYFUNCTION("""COMPUTED_VALUE"""),"01-52-08-25C")</f>
        <v>01-52-08-25C</v>
      </c>
      <c r="F92" s="36"/>
      <c r="G92" s="36" t="str">
        <f>IFERROR(__xludf.DUMMYFUNCTION("""COMPUTED_VALUE"""),"Aberastain y Av. Córdoba ")</f>
        <v>Aberastain y Av. Córdoba </v>
      </c>
      <c r="H92" s="36" t="str">
        <f>IFERROR(__xludf.DUMMYFUNCTION("""COMPUTED_VALUE"""),"")</f>
        <v/>
      </c>
    </row>
    <row r="93">
      <c r="A93" s="36" t="str">
        <f>IFERROR(__xludf.DUMMYFUNCTION("""COMPUTED_VALUE"""),"08-20-02-58")</f>
        <v>08-20-02-58</v>
      </c>
      <c r="B93" s="36" t="str">
        <f>IFERROR(__xludf.DUMMYFUNCTION("""COMPUTED_VALUE"""),"")</f>
        <v/>
      </c>
      <c r="C93" s="36" t="str">
        <f>IFERROR(__xludf.DUMMYFUNCTION("""COMPUTED_VALUE"""),"")</f>
        <v/>
      </c>
      <c r="D93" s="36" t="str">
        <f>IFERROR(__xludf.DUMMYFUNCTION("""COMPUTED_VALUE"""),"")</f>
        <v/>
      </c>
      <c r="E93" s="36" t="str">
        <f>IFERROR(__xludf.DUMMYFUNCTION("""COMPUTED_VALUE"""),"01-41-08-40")</f>
        <v>01-41-08-40</v>
      </c>
      <c r="F93" s="36"/>
      <c r="G93" s="36" t="str">
        <f>IFERROR(__xludf.DUMMYFUNCTION("""COMPUTED_VALUE"""),"Aberastain y Av. Libertador")</f>
        <v>Aberastain y Av. Libertador</v>
      </c>
      <c r="H93" s="36" t="str">
        <f>IFERROR(__xludf.DUMMYFUNCTION("""COMPUTED_VALUE"""),"")</f>
        <v/>
      </c>
    </row>
    <row r="94">
      <c r="A94" s="36" t="str">
        <f>IFERROR(__xludf.DUMMYFUNCTION("""COMPUTED_VALUE"""),"08-20-02-59")</f>
        <v>08-20-02-59</v>
      </c>
      <c r="B94" s="36" t="str">
        <f>IFERROR(__xludf.DUMMYFUNCTION("""COMPUTED_VALUE"""),"")</f>
        <v/>
      </c>
      <c r="C94" s="36" t="str">
        <f>IFERROR(__xludf.DUMMYFUNCTION("""COMPUTED_VALUE"""),"")</f>
        <v/>
      </c>
      <c r="D94" s="36" t="str">
        <f>IFERROR(__xludf.DUMMYFUNCTION("""COMPUTED_VALUE"""),"")</f>
        <v/>
      </c>
      <c r="E94" s="36" t="str">
        <f>IFERROR(__xludf.DUMMYFUNCTION("""COMPUTED_VALUE"""),"01-41-08-41B")</f>
        <v>01-41-08-41B</v>
      </c>
      <c r="F94" s="36"/>
      <c r="G94" s="36" t="str">
        <f>IFERROR(__xludf.DUMMYFUNCTION("""COMPUTED_VALUE"""),"Aberastain y Av. Libertador -E")</f>
        <v>Aberastain y Av. Libertador -E</v>
      </c>
      <c r="H94" s="36" t="str">
        <f>IFERROR(__xludf.DUMMYFUNCTION("""COMPUTED_VALUE"""),"")</f>
        <v/>
      </c>
    </row>
    <row r="95">
      <c r="A95" s="36" t="str">
        <f>IFERROR(__xludf.DUMMYFUNCTION("""COMPUTED_VALUE"""),"08-20-02-60")</f>
        <v>08-20-02-60</v>
      </c>
      <c r="B95" s="36" t="str">
        <f>IFERROR(__xludf.DUMMYFUNCTION("""COMPUTED_VALUE"""),"")</f>
        <v/>
      </c>
      <c r="C95" s="36" t="str">
        <f>IFERROR(__xludf.DUMMYFUNCTION("""COMPUTED_VALUE"""),"")</f>
        <v/>
      </c>
      <c r="D95" s="36" t="str">
        <f>IFERROR(__xludf.DUMMYFUNCTION("""COMPUTED_VALUE"""),"")</f>
        <v/>
      </c>
      <c r="E95" s="36" t="str">
        <f>IFERROR(__xludf.DUMMYFUNCTION("""COMPUTED_VALUE"""),"01-38-08-52D")</f>
        <v>01-38-08-52D</v>
      </c>
      <c r="F95" s="36"/>
      <c r="G95" s="36" t="str">
        <f>IFERROR(__xludf.DUMMYFUNCTION("""COMPUTED_VALUE"""),"Aberastain y Chile")</f>
        <v>Aberastain y Chile</v>
      </c>
      <c r="H95" s="36" t="str">
        <f>IFERROR(__xludf.DUMMYFUNCTION("""COMPUTED_VALUE"""),"")</f>
        <v/>
      </c>
    </row>
    <row r="96">
      <c r="A96" s="36" t="str">
        <f>IFERROR(__xludf.DUMMYFUNCTION("""COMPUTED_VALUE"""),"08-20-02-61")</f>
        <v>08-20-02-61</v>
      </c>
      <c r="B96" s="36" t="str">
        <f>IFERROR(__xludf.DUMMYFUNCTION("""COMPUTED_VALUE"""),"")</f>
        <v/>
      </c>
      <c r="C96" s="36" t="str">
        <f>IFERROR(__xludf.DUMMYFUNCTION("""COMPUTED_VALUE"""),"")</f>
        <v/>
      </c>
      <c r="D96" s="36" t="str">
        <f>IFERROR(__xludf.DUMMYFUNCTION("""COMPUTED_VALUE"""),"")</f>
        <v/>
      </c>
      <c r="E96" s="36" t="str">
        <f>IFERROR(__xludf.DUMMYFUNCTION("""COMPUTED_VALUE"""),"01-27-08-52H")</f>
        <v>01-27-08-52H</v>
      </c>
      <c r="F96" s="36"/>
      <c r="G96" s="36" t="str">
        <f>IFERROR(__xludf.DUMMYFUNCTION("""COMPUTED_VALUE"""),"Aberastain y Colombia")</f>
        <v>Aberastain y Colombia</v>
      </c>
      <c r="H96" s="36" t="str">
        <f>IFERROR(__xludf.DUMMYFUNCTION("""COMPUTED_VALUE"""),"")</f>
        <v/>
      </c>
    </row>
    <row r="97">
      <c r="A97" s="36" t="str">
        <f>IFERROR(__xludf.DUMMYFUNCTION("""COMPUTED_VALUE"""),"08-20-02-62")</f>
        <v>08-20-02-62</v>
      </c>
      <c r="B97" s="36" t="str">
        <f>IFERROR(__xludf.DUMMYFUNCTION("""COMPUTED_VALUE"""),"")</f>
        <v/>
      </c>
      <c r="C97" s="36" t="str">
        <f>IFERROR(__xludf.DUMMYFUNCTION("""COMPUTED_VALUE"""),"")</f>
        <v/>
      </c>
      <c r="D97" s="36" t="str">
        <f>IFERROR(__xludf.DUMMYFUNCTION("""COMPUTED_VALUE"""),"")</f>
        <v/>
      </c>
      <c r="E97" s="36" t="str">
        <f>IFERROR(__xludf.DUMMYFUNCTION("""COMPUTED_VALUE"""),"03-32-09-70")</f>
        <v>03-32-09-70</v>
      </c>
      <c r="F97" s="36"/>
      <c r="G97" s="36" t="str">
        <f>IFERROR(__xludf.DUMMYFUNCTION("""COMPUTED_VALUE"""),"Aberastain y Córdoba")</f>
        <v>Aberastain y Córdoba</v>
      </c>
      <c r="H97" s="36" t="str">
        <f>IFERROR(__xludf.DUMMYFUNCTION("""COMPUTED_VALUE"""),"")</f>
        <v/>
      </c>
    </row>
    <row r="98">
      <c r="A98" s="36" t="str">
        <f>IFERROR(__xludf.DUMMYFUNCTION("""COMPUTED_VALUE"""),"08-20-02-63")</f>
        <v>08-20-02-63</v>
      </c>
      <c r="B98" s="36" t="str">
        <f>IFERROR(__xludf.DUMMYFUNCTION("""COMPUTED_VALUE"""),"")</f>
        <v/>
      </c>
      <c r="C98" s="36" t="str">
        <f>IFERROR(__xludf.DUMMYFUNCTION("""COMPUTED_VALUE"""),"")</f>
        <v/>
      </c>
      <c r="D98" s="36" t="str">
        <f>IFERROR(__xludf.DUMMYFUNCTION("""COMPUTED_VALUE"""),"")</f>
        <v/>
      </c>
      <c r="E98" s="36" t="str">
        <f>IFERROR(__xludf.DUMMYFUNCTION("""COMPUTED_VALUE"""),"03-32-09-71A")</f>
        <v>03-32-09-71A</v>
      </c>
      <c r="F98" s="36"/>
      <c r="G98" s="36" t="str">
        <f>IFERROR(__xludf.DUMMYFUNCTION("""COMPUTED_VALUE"""),"Aberastain y Córdoba -E")</f>
        <v>Aberastain y Córdoba -E</v>
      </c>
      <c r="H98" s="36" t="str">
        <f>IFERROR(__xludf.DUMMYFUNCTION("""COMPUTED_VALUE"""),"")</f>
        <v/>
      </c>
    </row>
    <row r="99">
      <c r="A99" s="36" t="str">
        <f>IFERROR(__xludf.DUMMYFUNCTION("""COMPUTED_VALUE"""),"08-20-02-64")</f>
        <v>08-20-02-64</v>
      </c>
      <c r="B99" s="36" t="str">
        <f>IFERROR(__xludf.DUMMYFUNCTION("""COMPUTED_VALUE"""),"")</f>
        <v/>
      </c>
      <c r="C99" s="36" t="str">
        <f>IFERROR(__xludf.DUMMYFUNCTION("""COMPUTED_VALUE"""),"")</f>
        <v/>
      </c>
      <c r="D99" s="36" t="str">
        <f>IFERROR(__xludf.DUMMYFUNCTION("""COMPUTED_VALUE"""),"")</f>
        <v/>
      </c>
      <c r="E99" s="36" t="str">
        <f>IFERROR(__xludf.DUMMYFUNCTION("""COMPUTED_VALUE"""),"03-32-09-69")</f>
        <v>03-32-09-69</v>
      </c>
      <c r="F99" s="36"/>
      <c r="G99" s="36" t="str">
        <f>IFERROR(__xludf.DUMMYFUNCTION("""COMPUTED_VALUE"""),"Aberastain y Gral. Paz")</f>
        <v>Aberastain y Gral. Paz</v>
      </c>
      <c r="H99" s="36" t="str">
        <f>IFERROR(__xludf.DUMMYFUNCTION("""COMPUTED_VALUE"""),"")</f>
        <v/>
      </c>
    </row>
    <row r="100">
      <c r="A100" s="36" t="str">
        <f>IFERROR(__xludf.DUMMYFUNCTION("""COMPUTED_VALUE"""),"08-20-02-65")</f>
        <v>08-20-02-65</v>
      </c>
      <c r="B100" s="36" t="str">
        <f>IFERROR(__xludf.DUMMYFUNCTION("""COMPUTED_VALUE"""),"")</f>
        <v/>
      </c>
      <c r="C100" s="36" t="str">
        <f>IFERROR(__xludf.DUMMYFUNCTION("""COMPUTED_VALUE"""),"")</f>
        <v/>
      </c>
      <c r="D100" s="36" t="str">
        <f>IFERROR(__xludf.DUMMYFUNCTION("""COMPUTED_VALUE"""),"")</f>
        <v/>
      </c>
      <c r="E100" s="36" t="str">
        <f>IFERROR(__xludf.DUMMYFUNCTION("""COMPUTED_VALUE"""),"01-52-08-25B")</f>
        <v>01-52-08-25B</v>
      </c>
      <c r="F100" s="36"/>
      <c r="G100" s="36" t="str">
        <f>IFERROR(__xludf.DUMMYFUNCTION("""COMPUTED_VALUE"""),"Aberastain y Gral. Paz Chimbas")</f>
        <v>Aberastain y Gral. Paz Chimbas</v>
      </c>
      <c r="H100" s="36" t="str">
        <f>IFERROR(__xludf.DUMMYFUNCTION("""COMPUTED_VALUE"""),"")</f>
        <v/>
      </c>
    </row>
    <row r="101">
      <c r="A101" s="36" t="str">
        <f>IFERROR(__xludf.DUMMYFUNCTION("""COMPUTED_VALUE"""),"08-20-02-66")</f>
        <v>08-20-02-66</v>
      </c>
      <c r="B101" s="36" t="str">
        <f>IFERROR(__xludf.DUMMYFUNCTION("""COMPUTED_VALUE"""),"")</f>
        <v/>
      </c>
      <c r="C101" s="36" t="str">
        <f>IFERROR(__xludf.DUMMYFUNCTION("""COMPUTED_VALUE"""),"")</f>
        <v/>
      </c>
      <c r="D101" s="36" t="str">
        <f>IFERROR(__xludf.DUMMYFUNCTION("""COMPUTED_VALUE"""),"")</f>
        <v/>
      </c>
      <c r="E101" s="36" t="str">
        <f>IFERROR(__xludf.DUMMYFUNCTION("""COMPUTED_VALUE"""),"01-41-08-39A")</f>
        <v>01-41-08-39A</v>
      </c>
      <c r="F101" s="36"/>
      <c r="G101" s="36" t="str">
        <f>IFERROR(__xludf.DUMMYFUNCTION("""COMPUTED_VALUE"""),"Aberastain y Laprida")</f>
        <v>Aberastain y Laprida</v>
      </c>
      <c r="H101" s="36" t="str">
        <f>IFERROR(__xludf.DUMMYFUNCTION("""COMPUTED_VALUE"""),"")</f>
        <v/>
      </c>
    </row>
    <row r="102">
      <c r="A102" s="36" t="str">
        <f>IFERROR(__xludf.DUMMYFUNCTION("""COMPUTED_VALUE"""),"08-20-02-67")</f>
        <v>08-20-02-67</v>
      </c>
      <c r="B102" s="36" t="str">
        <f>IFERROR(__xludf.DUMMYFUNCTION("""COMPUTED_VALUE"""),"")</f>
        <v/>
      </c>
      <c r="C102" s="36" t="str">
        <f>IFERROR(__xludf.DUMMYFUNCTION("""COMPUTED_VALUE"""),"")</f>
        <v/>
      </c>
      <c r="D102" s="36" t="str">
        <f>IFERROR(__xludf.DUMMYFUNCTION("""COMPUTED_VALUE"""),"")</f>
        <v/>
      </c>
      <c r="E102" s="36" t="str">
        <f>IFERROR(__xludf.DUMMYFUNCTION("""COMPUTED_VALUE"""),"01-38-08-52C")</f>
        <v>01-38-08-52C</v>
      </c>
      <c r="F102" s="36"/>
      <c r="G102" s="36" t="str">
        <f>IFERROR(__xludf.DUMMYFUNCTION("""COMPUTED_VALUE"""),"Aberastain y Maipú")</f>
        <v>Aberastain y Maipú</v>
      </c>
      <c r="H102" s="36" t="str">
        <f>IFERROR(__xludf.DUMMYFUNCTION("""COMPUTED_VALUE"""),"")</f>
        <v/>
      </c>
    </row>
    <row r="103">
      <c r="A103" s="36" t="str">
        <f>IFERROR(__xludf.DUMMYFUNCTION("""COMPUTED_VALUE"""),"08-20-02-68")</f>
        <v>08-20-02-68</v>
      </c>
      <c r="B103" s="36" t="str">
        <f>IFERROR(__xludf.DUMMYFUNCTION("""COMPUTED_VALUE"""),"")</f>
        <v/>
      </c>
      <c r="C103" s="36" t="str">
        <f>IFERROR(__xludf.DUMMYFUNCTION("""COMPUTED_VALUE"""),"")</f>
        <v/>
      </c>
      <c r="D103" s="36" t="str">
        <f>IFERROR(__xludf.DUMMYFUNCTION("""COMPUTED_VALUE"""),"")</f>
        <v/>
      </c>
      <c r="E103" s="36" t="str">
        <f>IFERROR(__xludf.DUMMYFUNCTION("""COMPUTED_VALUE"""),"01-38-08-52E")</f>
        <v>01-38-08-52E</v>
      </c>
      <c r="F103" s="36"/>
      <c r="G103" s="36" t="str">
        <f>IFERROR(__xludf.DUMMYFUNCTION("""COMPUTED_VALUE"""),"Aberastain y Paraguay")</f>
        <v>Aberastain y Paraguay</v>
      </c>
      <c r="H103" s="36" t="str">
        <f>IFERROR(__xludf.DUMMYFUNCTION("""COMPUTED_VALUE"""),"")</f>
        <v/>
      </c>
    </row>
    <row r="104">
      <c r="A104" s="36" t="str">
        <f>IFERROR(__xludf.DUMMYFUNCTION("""COMPUTED_VALUE"""),"08-20-02-69")</f>
        <v>08-20-02-69</v>
      </c>
      <c r="B104" s="36" t="str">
        <f>IFERROR(__xludf.DUMMYFUNCTION("""COMPUTED_VALUE"""),"")</f>
        <v/>
      </c>
      <c r="C104" s="36" t="str">
        <f>IFERROR(__xludf.DUMMYFUNCTION("""COMPUTED_VALUE"""),"")</f>
        <v/>
      </c>
      <c r="D104" s="36" t="str">
        <f>IFERROR(__xludf.DUMMYFUNCTION("""COMPUTED_VALUE"""),"")</f>
        <v/>
      </c>
      <c r="E104" s="36" t="str">
        <f>IFERROR(__xludf.DUMMYFUNCTION("""COMPUTED_VALUE"""),"01-41-08-33")</f>
        <v>01-41-08-33</v>
      </c>
      <c r="F104" s="36"/>
      <c r="G104" s="36" t="str">
        <f>IFERROR(__xludf.DUMMYFUNCTION("""COMPUTED_VALUE"""),"Aberastain y Rivadavia")</f>
        <v>Aberastain y Rivadavia</v>
      </c>
      <c r="H104" s="36" t="str">
        <f>IFERROR(__xludf.DUMMYFUNCTION("""COMPUTED_VALUE"""),"")</f>
        <v/>
      </c>
    </row>
    <row r="105">
      <c r="A105" s="36" t="str">
        <f>IFERROR(__xludf.DUMMYFUNCTION("""COMPUTED_VALUE"""),"08-20-02-70")</f>
        <v>08-20-02-70</v>
      </c>
      <c r="B105" s="36" t="str">
        <f>IFERROR(__xludf.DUMMYFUNCTION("""COMPUTED_VALUE"""),"")</f>
        <v/>
      </c>
      <c r="C105" s="36" t="str">
        <f>IFERROR(__xludf.DUMMYFUNCTION("""COMPUTED_VALUE"""),"")</f>
        <v/>
      </c>
      <c r="D105" s="36" t="str">
        <f>IFERROR(__xludf.DUMMYFUNCTION("""COMPUTED_VALUE"""),"")</f>
        <v/>
      </c>
      <c r="E105" s="36" t="str">
        <f>IFERROR(__xludf.DUMMYFUNCTION("""COMPUTED_VALUE"""),"01-27-08-52K")</f>
        <v>01-27-08-52K</v>
      </c>
      <c r="F105" s="36"/>
      <c r="G105" s="36" t="str">
        <f>IFERROR(__xludf.DUMMYFUNCTION("""COMPUTED_VALUE"""),"Aberastain y San Lorenzo")</f>
        <v>Aberastain y San Lorenzo</v>
      </c>
      <c r="H105" s="36" t="str">
        <f>IFERROR(__xludf.DUMMYFUNCTION("""COMPUTED_VALUE"""),"")</f>
        <v/>
      </c>
    </row>
    <row r="106">
      <c r="A106" s="36" t="str">
        <f>IFERROR(__xludf.DUMMYFUNCTION("""COMPUTED_VALUE"""),"08-20-02-71")</f>
        <v>08-20-02-71</v>
      </c>
      <c r="B106" s="36" t="str">
        <f>IFERROR(__xludf.DUMMYFUNCTION("""COMPUTED_VALUE"""),"")</f>
        <v/>
      </c>
      <c r="C106" s="36" t="str">
        <f>IFERROR(__xludf.DUMMYFUNCTION("""COMPUTED_VALUE"""),"")</f>
        <v/>
      </c>
      <c r="D106" s="36" t="str">
        <f>IFERROR(__xludf.DUMMYFUNCTION("""COMPUTED_VALUE"""),"")</f>
        <v/>
      </c>
      <c r="E106" s="36" t="str">
        <f>IFERROR(__xludf.DUMMYFUNCTION("""COMPUTED_VALUE"""),"01-52-08-31")</f>
        <v>01-52-08-31</v>
      </c>
      <c r="F106" s="36"/>
      <c r="G106" s="36" t="str">
        <f>IFERROR(__xludf.DUMMYFUNCTION("""COMPUTED_VALUE"""),"Aberastain y Santa Fe")</f>
        <v>Aberastain y Santa Fe</v>
      </c>
      <c r="H106" s="36" t="str">
        <f>IFERROR(__xludf.DUMMYFUNCTION("""COMPUTED_VALUE"""),"")</f>
        <v/>
      </c>
    </row>
    <row r="107">
      <c r="A107" s="36" t="str">
        <f>IFERROR(__xludf.DUMMYFUNCTION("""COMPUTED_VALUE"""),"08-20-02-72")</f>
        <v>08-20-02-72</v>
      </c>
      <c r="B107" s="36" t="str">
        <f>IFERROR(__xludf.DUMMYFUNCTION("""COMPUTED_VALUE"""),"")</f>
        <v/>
      </c>
      <c r="C107" s="36" t="str">
        <f>IFERROR(__xludf.DUMMYFUNCTION("""COMPUTED_VALUE"""),"")</f>
        <v/>
      </c>
      <c r="D107" s="36" t="str">
        <f>IFERROR(__xludf.DUMMYFUNCTION("""COMPUTED_VALUE"""),"")</f>
        <v/>
      </c>
      <c r="E107" s="36" t="str">
        <f>IFERROR(__xludf.DUMMYFUNCTION("""COMPUTED_VALUE"""),"01-64-13-228")</f>
        <v>01-64-13-228</v>
      </c>
      <c r="F107" s="36"/>
      <c r="G107" s="36" t="str">
        <f>IFERROR(__xludf.DUMMYFUNCTION("""COMPUTED_VALUE"""),"Abraham Tapia y 12 de Octubre -E")</f>
        <v>Abraham Tapia y 12 de Octubre -E</v>
      </c>
      <c r="H107" s="36" t="str">
        <f>IFERROR(__xludf.DUMMYFUNCTION("""COMPUTED_VALUE"""),"")</f>
        <v/>
      </c>
    </row>
    <row r="108">
      <c r="A108" s="36" t="str">
        <f>IFERROR(__xludf.DUMMYFUNCTION("""COMPUTED_VALUE"""),"08-20-02-73")</f>
        <v>08-20-02-73</v>
      </c>
      <c r="B108" s="36" t="str">
        <f>IFERROR(__xludf.DUMMYFUNCTION("""COMPUTED_VALUE"""),"")</f>
        <v/>
      </c>
      <c r="C108" s="36" t="str">
        <f>IFERROR(__xludf.DUMMYFUNCTION("""COMPUTED_VALUE"""),"")</f>
        <v/>
      </c>
      <c r="D108" s="36" t="str">
        <f>IFERROR(__xludf.DUMMYFUNCTION("""COMPUTED_VALUE"""),"")</f>
        <v/>
      </c>
      <c r="E108" s="36" t="str">
        <f>IFERROR(__xludf.DUMMYFUNCTION("""COMPUTED_VALUE"""),"01-65-13-227")</f>
        <v>01-65-13-227</v>
      </c>
      <c r="F108" s="36"/>
      <c r="G108" s="36" t="str">
        <f>IFERROR(__xludf.DUMMYFUNCTION("""COMPUTED_VALUE"""),"Abraham Tapia y 12 de Octubre -O")</f>
        <v>Abraham Tapia y 12 de Octubre -O</v>
      </c>
      <c r="H108" s="36" t="str">
        <f>IFERROR(__xludf.DUMMYFUNCTION("""COMPUTED_VALUE"""),"")</f>
        <v/>
      </c>
    </row>
    <row r="109">
      <c r="A109" s="36" t="str">
        <f>IFERROR(__xludf.DUMMYFUNCTION("""COMPUTED_VALUE"""),"08-20-02-74")</f>
        <v>08-20-02-74</v>
      </c>
      <c r="B109" s="36" t="str">
        <f>IFERROR(__xludf.DUMMYFUNCTION("""COMPUTED_VALUE"""),"")</f>
        <v/>
      </c>
      <c r="C109" s="36" t="str">
        <f>IFERROR(__xludf.DUMMYFUNCTION("""COMPUTED_VALUE"""),"")</f>
        <v/>
      </c>
      <c r="D109" s="36" t="str">
        <f>IFERROR(__xludf.DUMMYFUNCTION("""COMPUTED_VALUE"""),"")</f>
        <v/>
      </c>
      <c r="E109" s="36" t="str">
        <f>IFERROR(__xludf.DUMMYFUNCTION("""COMPUTED_VALUE"""),"01-62-13-232")</f>
        <v>01-62-13-232</v>
      </c>
      <c r="F109" s="36"/>
      <c r="G109" s="36" t="str">
        <f>IFERROR(__xludf.DUMMYFUNCTION("""COMPUTED_VALUE"""),"Abraham Tapia y Agustín Gómez")</f>
        <v>Abraham Tapia y Agustín Gómez</v>
      </c>
      <c r="H109" s="36" t="str">
        <f>IFERROR(__xludf.DUMMYFUNCTION("""COMPUTED_VALUE"""),"")</f>
        <v/>
      </c>
    </row>
    <row r="110">
      <c r="A110" s="36" t="str">
        <f>IFERROR(__xludf.DUMMYFUNCTION("""COMPUTED_VALUE"""),"08-20-02-75")</f>
        <v>08-20-02-75</v>
      </c>
      <c r="B110" s="36" t="str">
        <f>IFERROR(__xludf.DUMMYFUNCTION("""COMPUTED_VALUE"""),"")</f>
        <v/>
      </c>
      <c r="C110" s="36" t="str">
        <f>IFERROR(__xludf.DUMMYFUNCTION("""COMPUTED_VALUE"""),"")</f>
        <v/>
      </c>
      <c r="D110" s="36" t="str">
        <f>IFERROR(__xludf.DUMMYFUNCTION("""COMPUTED_VALUE"""),"")</f>
        <v/>
      </c>
      <c r="E110" s="36" t="str">
        <f>IFERROR(__xludf.DUMMYFUNCTION("""COMPUTED_VALUE"""),"04-22-14-65")</f>
        <v>04-22-14-65</v>
      </c>
      <c r="F110" s="36"/>
      <c r="G110" s="36" t="str">
        <f>IFERROR(__xludf.DUMMYFUNCTION("""COMPUTED_VALUE"""),"Abraham Tapia y Callejón Coria -N")</f>
        <v>Abraham Tapia y Callejón Coria -N</v>
      </c>
      <c r="H110" s="36" t="str">
        <f>IFERROR(__xludf.DUMMYFUNCTION("""COMPUTED_VALUE"""),"")</f>
        <v/>
      </c>
    </row>
    <row r="111">
      <c r="A111" s="36" t="str">
        <f>IFERROR(__xludf.DUMMYFUNCTION("""COMPUTED_VALUE"""),"08-20-02-76")</f>
        <v>08-20-02-76</v>
      </c>
      <c r="B111" s="36" t="str">
        <f>IFERROR(__xludf.DUMMYFUNCTION("""COMPUTED_VALUE"""),"")</f>
        <v/>
      </c>
      <c r="C111" s="36" t="str">
        <f>IFERROR(__xludf.DUMMYFUNCTION("""COMPUTED_VALUE"""),"")</f>
        <v/>
      </c>
      <c r="D111" s="36" t="str">
        <f>IFERROR(__xludf.DUMMYFUNCTION("""COMPUTED_VALUE"""),"")</f>
        <v/>
      </c>
      <c r="E111" s="36" t="str">
        <f>IFERROR(__xludf.DUMMYFUNCTION("""COMPUTED_VALUE"""),"04-22-14-66")</f>
        <v>04-22-14-66</v>
      </c>
      <c r="F111" s="36"/>
      <c r="G111" s="36" t="str">
        <f>IFERROR(__xludf.DUMMYFUNCTION("""COMPUTED_VALUE"""),"Abraham Tapia y Callejón Coria -S")</f>
        <v>Abraham Tapia y Callejón Coria -S</v>
      </c>
      <c r="H111" s="36" t="str">
        <f>IFERROR(__xludf.DUMMYFUNCTION("""COMPUTED_VALUE"""),"")</f>
        <v/>
      </c>
    </row>
    <row r="112">
      <c r="A112" s="36" t="str">
        <f>IFERROR(__xludf.DUMMYFUNCTION("""COMPUTED_VALUE"""),"08-20-02-85")</f>
        <v>08-20-02-85</v>
      </c>
      <c r="B112" s="36" t="str">
        <f>IFERROR(__xludf.DUMMYFUNCTION("""COMPUTED_VALUE"""),"")</f>
        <v/>
      </c>
      <c r="C112" s="36" t="str">
        <f>IFERROR(__xludf.DUMMYFUNCTION("""COMPUTED_VALUE"""),"")</f>
        <v/>
      </c>
      <c r="D112" s="36" t="str">
        <f>IFERROR(__xludf.DUMMYFUNCTION("""COMPUTED_VALUE"""),"")</f>
        <v/>
      </c>
      <c r="E112" s="36" t="str">
        <f>IFERROR(__xludf.DUMMYFUNCTION("""COMPUTED_VALUE"""),"04-22-14-67")</f>
        <v>04-22-14-67</v>
      </c>
      <c r="F112" s="36"/>
      <c r="G112" s="36" t="str">
        <f>IFERROR(__xludf.DUMMYFUNCTION("""COMPUTED_VALUE"""),"Abraham Tapia y Callejón Muñoz -N")</f>
        <v>Abraham Tapia y Callejón Muñoz -N</v>
      </c>
      <c r="H112" s="36" t="str">
        <f>IFERROR(__xludf.DUMMYFUNCTION("""COMPUTED_VALUE"""),"")</f>
        <v/>
      </c>
    </row>
    <row r="113">
      <c r="A113" s="36" t="str">
        <f>IFERROR(__xludf.DUMMYFUNCTION("""COMPUTED_VALUE"""),"08-20-02-86")</f>
        <v>08-20-02-86</v>
      </c>
      <c r="B113" s="36" t="str">
        <f>IFERROR(__xludf.DUMMYFUNCTION("""COMPUTED_VALUE"""),"")</f>
        <v/>
      </c>
      <c r="C113" s="36" t="str">
        <f>IFERROR(__xludf.DUMMYFUNCTION("""COMPUTED_VALUE"""),"")</f>
        <v/>
      </c>
      <c r="D113" s="36" t="str">
        <f>IFERROR(__xludf.DUMMYFUNCTION("""COMPUTED_VALUE"""),"")</f>
        <v/>
      </c>
      <c r="E113" s="36" t="str">
        <f>IFERROR(__xludf.DUMMYFUNCTION("""COMPUTED_VALUE"""),"04-30-14-68")</f>
        <v>04-30-14-68</v>
      </c>
      <c r="F113" s="36"/>
      <c r="G113" s="36" t="str">
        <f>IFERROR(__xludf.DUMMYFUNCTION("""COMPUTED_VALUE"""),"Abraham Tapia y Callejón Muñoz -S")</f>
        <v>Abraham Tapia y Callejón Muñoz -S</v>
      </c>
      <c r="H113" s="36" t="str">
        <f>IFERROR(__xludf.DUMMYFUNCTION("""COMPUTED_VALUE"""),"")</f>
        <v/>
      </c>
    </row>
    <row r="114">
      <c r="A114" s="36" t="str">
        <f>IFERROR(__xludf.DUMMYFUNCTION("""COMPUTED_VALUE"""),"08-21-02-38")</f>
        <v>08-21-02-38</v>
      </c>
      <c r="B114" s="36" t="str">
        <f>IFERROR(__xludf.DUMMYFUNCTION("""COMPUTED_VALUE"""),"")</f>
        <v/>
      </c>
      <c r="C114" s="36" t="str">
        <f>IFERROR(__xludf.DUMMYFUNCTION("""COMPUTED_VALUE"""),"")</f>
        <v/>
      </c>
      <c r="D114" s="36" t="str">
        <f>IFERROR(__xludf.DUMMYFUNCTION("""COMPUTED_VALUE"""),"")</f>
        <v/>
      </c>
      <c r="E114" s="36" t="str">
        <f>IFERROR(__xludf.DUMMYFUNCTION("""COMPUTED_VALUE"""),"01-56-13-126")</f>
        <v>01-56-13-126</v>
      </c>
      <c r="F114" s="36"/>
      <c r="G114" s="36" t="str">
        <f>IFERROR(__xludf.DUMMYFUNCTION("""COMPUTED_VALUE"""),"Abraham Tapia y Entre Ríos")</f>
        <v>Abraham Tapia y Entre Ríos</v>
      </c>
      <c r="H114" s="36" t="str">
        <f>IFERROR(__xludf.DUMMYFUNCTION("""COMPUTED_VALUE"""),"")</f>
        <v/>
      </c>
    </row>
    <row r="115">
      <c r="A115" s="36" t="str">
        <f>IFERROR(__xludf.DUMMYFUNCTION("""COMPUTED_VALUE"""),"08-21-02-40")</f>
        <v>08-21-02-40</v>
      </c>
      <c r="B115" s="36" t="str">
        <f>IFERROR(__xludf.DUMMYFUNCTION("""COMPUTED_VALUE"""),"")</f>
        <v/>
      </c>
      <c r="C115" s="36" t="str">
        <f>IFERROR(__xludf.DUMMYFUNCTION("""COMPUTED_VALUE"""),"")</f>
        <v/>
      </c>
      <c r="D115" s="36" t="str">
        <f>IFERROR(__xludf.DUMMYFUNCTION("""COMPUTED_VALUE"""),"")</f>
        <v/>
      </c>
      <c r="E115" s="36" t="str">
        <f>IFERROR(__xludf.DUMMYFUNCTION("""COMPUTED_VALUE"""),"04-22-14-54")</f>
        <v>04-22-14-54</v>
      </c>
      <c r="F115" s="36"/>
      <c r="G115" s="36" t="str">
        <f>IFERROR(__xludf.DUMMYFUNCTION("""COMPUTED_VALUE"""),"Abraham Tapia y La Estación")</f>
        <v>Abraham Tapia y La Estación</v>
      </c>
      <c r="H115" s="36" t="str">
        <f>IFERROR(__xludf.DUMMYFUNCTION("""COMPUTED_VALUE"""),"")</f>
        <v/>
      </c>
    </row>
    <row r="116">
      <c r="A116" s="36" t="str">
        <f>IFERROR(__xludf.DUMMYFUNCTION("""COMPUTED_VALUE"""),"08-21-02-40A")</f>
        <v>08-21-02-40A</v>
      </c>
      <c r="B116" s="36" t="str">
        <f>IFERROR(__xludf.DUMMYFUNCTION("""COMPUTED_VALUE"""),"")</f>
        <v/>
      </c>
      <c r="C116" s="36" t="str">
        <f>IFERROR(__xludf.DUMMYFUNCTION("""COMPUTED_VALUE"""),"")</f>
        <v/>
      </c>
      <c r="D116" s="36" t="str">
        <f>IFERROR(__xludf.DUMMYFUNCTION("""COMPUTED_VALUE"""),"")</f>
        <v/>
      </c>
      <c r="E116" s="36" t="str">
        <f>IFERROR(__xludf.DUMMYFUNCTION("""COMPUTED_VALUE"""),"01-65-13-226")</f>
        <v>01-65-13-226</v>
      </c>
      <c r="F116" s="36"/>
      <c r="G116" s="36" t="str">
        <f>IFERROR(__xludf.DUMMYFUNCTION("""COMPUTED_VALUE"""),"Abraham Tapia y Larraín")</f>
        <v>Abraham Tapia y Larraín</v>
      </c>
      <c r="H116" s="36" t="str">
        <f>IFERROR(__xludf.DUMMYFUNCTION("""COMPUTED_VALUE"""),"NOMBRE")</f>
        <v>NOMBRE</v>
      </c>
    </row>
    <row r="117">
      <c r="A117" s="36" t="str">
        <f>IFERROR(__xludf.DUMMYFUNCTION("""COMPUTED_VALUE"""),"08-21-02-44")</f>
        <v>08-21-02-44</v>
      </c>
      <c r="B117" s="36" t="str">
        <f>IFERROR(__xludf.DUMMYFUNCTION("""COMPUTED_VALUE"""),"")</f>
        <v/>
      </c>
      <c r="C117" s="36" t="str">
        <f>IFERROR(__xludf.DUMMYFUNCTION("""COMPUTED_VALUE"""),"")</f>
        <v/>
      </c>
      <c r="D117" s="36" t="str">
        <f>IFERROR(__xludf.DUMMYFUNCTION("""COMPUTED_VALUE"""),"")</f>
        <v/>
      </c>
      <c r="E117" s="36" t="str">
        <f>IFERROR(__xludf.DUMMYFUNCTION("""COMPUTED_VALUE"""),"01-65-13-226")</f>
        <v>01-65-13-226</v>
      </c>
      <c r="F117" s="36"/>
      <c r="G117" s="36" t="str">
        <f>IFERROR(__xludf.DUMMYFUNCTION("""COMPUTED_VALUE"""),"Abraham Tapia y Larraín")</f>
        <v>Abraham Tapia y Larraín</v>
      </c>
      <c r="H117" s="36" t="str">
        <f>IFERROR(__xludf.DUMMYFUNCTION("""COMPUTED_VALUE"""),"")</f>
        <v/>
      </c>
    </row>
    <row r="118">
      <c r="A118" s="36" t="str">
        <f>IFERROR(__xludf.DUMMYFUNCTION("""COMPUTED_VALUE"""),"08-21-02-45")</f>
        <v>08-21-02-45</v>
      </c>
      <c r="B118" s="36" t="str">
        <f>IFERROR(__xludf.DUMMYFUNCTION("""COMPUTED_VALUE"""),"")</f>
        <v/>
      </c>
      <c r="C118" s="36" t="str">
        <f>IFERROR(__xludf.DUMMYFUNCTION("""COMPUTED_VALUE"""),"")</f>
        <v/>
      </c>
      <c r="D118" s="36" t="str">
        <f>IFERROR(__xludf.DUMMYFUNCTION("""COMPUTED_VALUE"""),"")</f>
        <v/>
      </c>
      <c r="E118" s="36" t="str">
        <f>IFERROR(__xludf.DUMMYFUNCTION("""COMPUTED_VALUE"""),"04-22-14-56")</f>
        <v>04-22-14-56</v>
      </c>
      <c r="F118" s="36"/>
      <c r="G118" s="36" t="str">
        <f>IFERROR(__xludf.DUMMYFUNCTION("""COMPUTED_VALUE"""),"Abraham Tapia y Las Cañitas Este")</f>
        <v>Abraham Tapia y Las Cañitas Este</v>
      </c>
      <c r="H118" s="36" t="str">
        <f>IFERROR(__xludf.DUMMYFUNCTION("""COMPUTED_VALUE"""),"")</f>
        <v/>
      </c>
    </row>
    <row r="119">
      <c r="A119" s="36" t="str">
        <f>IFERROR(__xludf.DUMMYFUNCTION("""COMPUTED_VALUE"""),"08-21-02-45A")</f>
        <v>08-21-02-45A</v>
      </c>
      <c r="B119" s="36" t="str">
        <f>IFERROR(__xludf.DUMMYFUNCTION("""COMPUTED_VALUE"""),"")</f>
        <v/>
      </c>
      <c r="C119" s="36" t="str">
        <f>IFERROR(__xludf.DUMMYFUNCTION("""COMPUTED_VALUE"""),"")</f>
        <v/>
      </c>
      <c r="D119" s="36" t="str">
        <f>IFERROR(__xludf.DUMMYFUNCTION("""COMPUTED_VALUE"""),"")</f>
        <v/>
      </c>
      <c r="E119" s="36" t="str">
        <f>IFERROR(__xludf.DUMMYFUNCTION("""COMPUTED_VALUE"""),"04-22-14-55")</f>
        <v>04-22-14-55</v>
      </c>
      <c r="F119" s="36"/>
      <c r="G119" s="36" t="str">
        <f>IFERROR(__xludf.DUMMYFUNCTION("""COMPUTED_VALUE"""),"Abraham Tapia y Las Cañitas Oeste")</f>
        <v>Abraham Tapia y Las Cañitas Oeste</v>
      </c>
      <c r="H119" s="36" t="str">
        <f>IFERROR(__xludf.DUMMYFUNCTION("""COMPUTED_VALUE"""),"")</f>
        <v/>
      </c>
    </row>
    <row r="120">
      <c r="A120" s="36" t="str">
        <f>IFERROR(__xludf.DUMMYFUNCTION("""COMPUTED_VALUE"""),"08-28-02-35")</f>
        <v>08-28-02-35</v>
      </c>
      <c r="B120" s="36" t="str">
        <f>IFERROR(__xludf.DUMMYFUNCTION("""COMPUTED_VALUE"""),"")</f>
        <v/>
      </c>
      <c r="C120" s="36" t="str">
        <f>IFERROR(__xludf.DUMMYFUNCTION("""COMPUTED_VALUE"""),"")</f>
        <v/>
      </c>
      <c r="D120" s="36" t="str">
        <f>IFERROR(__xludf.DUMMYFUNCTION("""COMPUTED_VALUE"""),"")</f>
        <v/>
      </c>
      <c r="E120" s="36" t="str">
        <f>IFERROR(__xludf.DUMMYFUNCTION("""COMPUTED_VALUE"""),"04-22-13-225")</f>
        <v>04-22-13-225</v>
      </c>
      <c r="F120" s="36"/>
      <c r="G120" s="36" t="str">
        <f>IFERROR(__xludf.DUMMYFUNCTION("""COMPUTED_VALUE"""),"Abraham Tapia y Lat. Av. Circunvalación -E")</f>
        <v>Abraham Tapia y Lat. Av. Circunvalación -E</v>
      </c>
      <c r="H120" s="36" t="str">
        <f>IFERROR(__xludf.DUMMYFUNCTION("""COMPUTED_VALUE"""),"")</f>
        <v/>
      </c>
    </row>
    <row r="121">
      <c r="A121" s="36" t="str">
        <f>IFERROR(__xludf.DUMMYFUNCTION("""COMPUTED_VALUE"""),"08-28-02-37")</f>
        <v>08-28-02-37</v>
      </c>
      <c r="B121" s="36" t="str">
        <f>IFERROR(__xludf.DUMMYFUNCTION("""COMPUTED_VALUE"""),"")</f>
        <v/>
      </c>
      <c r="C121" s="36" t="str">
        <f>IFERROR(__xludf.DUMMYFUNCTION("""COMPUTED_VALUE"""),"")</f>
        <v/>
      </c>
      <c r="D121" s="36" t="str">
        <f>IFERROR(__xludf.DUMMYFUNCTION("""COMPUTED_VALUE"""),"")</f>
        <v/>
      </c>
      <c r="E121" s="36" t="str">
        <f>IFERROR(__xludf.DUMMYFUNCTION("""COMPUTED_VALUE"""),"04-22-13-225")</f>
        <v>04-22-13-225</v>
      </c>
      <c r="F121" s="36"/>
      <c r="G121" s="36" t="str">
        <f>IFERROR(__xludf.DUMMYFUNCTION("""COMPUTED_VALUE"""),"Abraham Tapia y Lateral -E")</f>
        <v>Abraham Tapia y Lateral -E</v>
      </c>
      <c r="H121" s="36" t="str">
        <f>IFERROR(__xludf.DUMMYFUNCTION("""COMPUTED_VALUE"""),"")</f>
        <v/>
      </c>
    </row>
    <row r="122">
      <c r="A122" s="36" t="str">
        <f>IFERROR(__xludf.DUMMYFUNCTION("""COMPUTED_VALUE"""),"08-28-02-37A")</f>
        <v>08-28-02-37A</v>
      </c>
      <c r="B122" s="36" t="str">
        <f>IFERROR(__xludf.DUMMYFUNCTION("""COMPUTED_VALUE"""),"")</f>
        <v/>
      </c>
      <c r="C122" s="36" t="str">
        <f>IFERROR(__xludf.DUMMYFUNCTION("""COMPUTED_VALUE"""),"")</f>
        <v/>
      </c>
      <c r="D122" s="36" t="str">
        <f>IFERROR(__xludf.DUMMYFUNCTION("""COMPUTED_VALUE"""),"")</f>
        <v/>
      </c>
      <c r="E122" s="36" t="str">
        <f>IFERROR(__xludf.DUMMYFUNCTION("""COMPUTED_VALUE"""),"04-22-14-50")</f>
        <v>04-22-14-50</v>
      </c>
      <c r="F122" s="36"/>
      <c r="G122" s="36" t="str">
        <f>IFERROR(__xludf.DUMMYFUNCTION("""COMPUTED_VALUE"""),"Abraham Tapia y Lateral de Circunv.")</f>
        <v>Abraham Tapia y Lateral de Circunv.</v>
      </c>
      <c r="H122" s="36" t="str">
        <f>IFERROR(__xludf.DUMMYFUNCTION("""COMPUTED_VALUE"""),"")</f>
        <v/>
      </c>
    </row>
    <row r="123">
      <c r="A123" s="36" t="str">
        <f>IFERROR(__xludf.DUMMYFUNCTION("""COMPUTED_VALUE"""),"08-28-02-39")</f>
        <v>08-28-02-39</v>
      </c>
      <c r="B123" s="36" t="str">
        <f>IFERROR(__xludf.DUMMYFUNCTION("""COMPUTED_VALUE"""),"")</f>
        <v/>
      </c>
      <c r="C123" s="36" t="str">
        <f>IFERROR(__xludf.DUMMYFUNCTION("""COMPUTED_VALUE"""),"")</f>
        <v/>
      </c>
      <c r="D123" s="36" t="str">
        <f>IFERROR(__xludf.DUMMYFUNCTION("""COMPUTED_VALUE"""),"")</f>
        <v/>
      </c>
      <c r="E123" s="36" t="str">
        <f>IFERROR(__xludf.DUMMYFUNCTION("""COMPUTED_VALUE"""),"04-22-14-22")</f>
        <v>04-22-14-22</v>
      </c>
      <c r="F123" s="36"/>
      <c r="G123" s="36" t="str">
        <f>IFERROR(__xludf.DUMMYFUNCTION("""COMPUTED_VALUE"""),"Abraham Tapia y Lateral de Circunvalación")</f>
        <v>Abraham Tapia y Lateral de Circunvalación</v>
      </c>
      <c r="H123" s="36" t="str">
        <f>IFERROR(__xludf.DUMMYFUNCTION("""COMPUTED_VALUE"""),"")</f>
        <v/>
      </c>
    </row>
    <row r="124">
      <c r="A124" s="36" t="str">
        <f>IFERROR(__xludf.DUMMYFUNCTION("""COMPUTED_VALUE"""),"08-28-02-41")</f>
        <v>08-28-02-41</v>
      </c>
      <c r="B124" s="36" t="str">
        <f>IFERROR(__xludf.DUMMYFUNCTION("""COMPUTED_VALUE"""),"")</f>
        <v/>
      </c>
      <c r="C124" s="36" t="str">
        <f>IFERROR(__xludf.DUMMYFUNCTION("""COMPUTED_VALUE"""),"")</f>
        <v/>
      </c>
      <c r="D124" s="36" t="str">
        <f>IFERROR(__xludf.DUMMYFUNCTION("""COMPUTED_VALUE"""),"")</f>
        <v/>
      </c>
      <c r="E124" s="36" t="str">
        <f>IFERROR(__xludf.DUMMYFUNCTION("""COMPUTED_VALUE"""),"04-22-14-58")</f>
        <v>04-22-14-58</v>
      </c>
      <c r="F124" s="36"/>
      <c r="G124" s="36" t="str">
        <f>IFERROR(__xludf.DUMMYFUNCTION("""COMPUTED_VALUE"""),"Abraham Tapia y Maestro de América Este")</f>
        <v>Abraham Tapia y Maestro de América Este</v>
      </c>
      <c r="H124" s="36" t="str">
        <f>IFERROR(__xludf.DUMMYFUNCTION("""COMPUTED_VALUE"""),"")</f>
        <v/>
      </c>
    </row>
    <row r="125">
      <c r="A125" s="36" t="str">
        <f>IFERROR(__xludf.DUMMYFUNCTION("""COMPUTED_VALUE"""),"08-28-02-43")</f>
        <v>08-28-02-43</v>
      </c>
      <c r="B125" s="36" t="str">
        <f>IFERROR(__xludf.DUMMYFUNCTION("""COMPUTED_VALUE"""),"")</f>
        <v/>
      </c>
      <c r="C125" s="36" t="str">
        <f>IFERROR(__xludf.DUMMYFUNCTION("""COMPUTED_VALUE"""),"")</f>
        <v/>
      </c>
      <c r="D125" s="36" t="str">
        <f>IFERROR(__xludf.DUMMYFUNCTION("""COMPUTED_VALUE"""),"")</f>
        <v/>
      </c>
      <c r="E125" s="36" t="str">
        <f>IFERROR(__xludf.DUMMYFUNCTION("""COMPUTED_VALUE"""),"04-22-14-57")</f>
        <v>04-22-14-57</v>
      </c>
      <c r="F125" s="36"/>
      <c r="G125" s="36" t="str">
        <f>IFERROR(__xludf.DUMMYFUNCTION("""COMPUTED_VALUE"""),"Abraham Tapia y Maestro de América Oeste")</f>
        <v>Abraham Tapia y Maestro de América Oeste</v>
      </c>
      <c r="H125" s="36" t="str">
        <f>IFERROR(__xludf.DUMMYFUNCTION("""COMPUTED_VALUE"""),"")</f>
        <v/>
      </c>
    </row>
    <row r="126">
      <c r="A126" s="36" t="str">
        <f>IFERROR(__xludf.DUMMYFUNCTION("""COMPUTED_VALUE"""),"08-36-02-100")</f>
        <v>08-36-02-100</v>
      </c>
      <c r="B126" s="36" t="str">
        <f>IFERROR(__xludf.DUMMYFUNCTION("""COMPUTED_VALUE"""),"")</f>
        <v/>
      </c>
      <c r="C126" s="36" t="str">
        <f>IFERROR(__xludf.DUMMYFUNCTION("""COMPUTED_VALUE"""),"")</f>
        <v/>
      </c>
      <c r="D126" s="36" t="str">
        <f>IFERROR(__xludf.DUMMYFUNCTION("""COMPUTED_VALUE"""),"")</f>
        <v/>
      </c>
      <c r="E126" s="36" t="str">
        <f>IFERROR(__xludf.DUMMYFUNCTION("""COMPUTED_VALUE"""),"01-56-13-128")</f>
        <v>01-56-13-128</v>
      </c>
      <c r="F126" s="36"/>
      <c r="G126" s="36" t="str">
        <f>IFERROR(__xludf.DUMMYFUNCTION("""COMPUTED_VALUE"""),"Abraham Tapia y Mendoza")</f>
        <v>Abraham Tapia y Mendoza</v>
      </c>
      <c r="H126" s="36" t="str">
        <f>IFERROR(__xludf.DUMMYFUNCTION("""COMPUTED_VALUE"""),"")</f>
        <v/>
      </c>
    </row>
    <row r="127">
      <c r="A127" s="36" t="str">
        <f>IFERROR(__xludf.DUMMYFUNCTION("""COMPUTED_VALUE"""),"08-36-02-101")</f>
        <v>08-36-02-101</v>
      </c>
      <c r="B127" s="36" t="str">
        <f>IFERROR(__xludf.DUMMYFUNCTION("""COMPUTED_VALUE"""),"")</f>
        <v/>
      </c>
      <c r="C127" s="36" t="str">
        <f>IFERROR(__xludf.DUMMYFUNCTION("""COMPUTED_VALUE"""),"")</f>
        <v/>
      </c>
      <c r="D127" s="36" t="str">
        <f>IFERROR(__xludf.DUMMYFUNCTION("""COMPUTED_VALUE"""),"")</f>
        <v/>
      </c>
      <c r="E127" s="36" t="str">
        <f>IFERROR(__xludf.DUMMYFUNCTION("""COMPUTED_VALUE"""),"04-30-14-70")</f>
        <v>04-30-14-70</v>
      </c>
      <c r="F127" s="36"/>
      <c r="G127" s="36" t="str">
        <f>IFERROR(__xludf.DUMMYFUNCTION("""COMPUTED_VALUE"""),"Abraham Tapia y Proyectada")</f>
        <v>Abraham Tapia y Proyectada</v>
      </c>
      <c r="H127" s="36" t="str">
        <f>IFERROR(__xludf.DUMMYFUNCTION("""COMPUTED_VALUE"""),"")</f>
        <v/>
      </c>
    </row>
    <row r="128">
      <c r="A128" s="36" t="str">
        <f>IFERROR(__xludf.DUMMYFUNCTION("""COMPUTED_VALUE"""),"08-36-02-102")</f>
        <v>08-36-02-102</v>
      </c>
      <c r="B128" s="36" t="str">
        <f>IFERROR(__xludf.DUMMYFUNCTION("""COMPUTED_VALUE"""),"")</f>
        <v/>
      </c>
      <c r="C128" s="36" t="str">
        <f>IFERROR(__xludf.DUMMYFUNCTION("""COMPUTED_VALUE"""),"")</f>
        <v/>
      </c>
      <c r="D128" s="36" t="str">
        <f>IFERROR(__xludf.DUMMYFUNCTION("""COMPUTED_VALUE"""),"")</f>
        <v/>
      </c>
      <c r="E128" s="36" t="str">
        <f>IFERROR(__xludf.DUMMYFUNCTION("""COMPUTED_VALUE"""),"04-22-14-59")</f>
        <v>04-22-14-59</v>
      </c>
      <c r="F128" s="36"/>
      <c r="G128" s="36" t="str">
        <f>IFERROR(__xludf.DUMMYFUNCTION("""COMPUTED_VALUE"""),"Abraham Tapia y Remedios Escalada -N")</f>
        <v>Abraham Tapia y Remedios Escalada -N</v>
      </c>
      <c r="H128" s="36" t="str">
        <f>IFERROR(__xludf.DUMMYFUNCTION("""COMPUTED_VALUE"""),"")</f>
        <v/>
      </c>
    </row>
    <row r="129">
      <c r="A129" s="36" t="str">
        <f>IFERROR(__xludf.DUMMYFUNCTION("""COMPUTED_VALUE"""),"08-36-02-103")</f>
        <v>08-36-02-103</v>
      </c>
      <c r="B129" s="36" t="str">
        <f>IFERROR(__xludf.DUMMYFUNCTION("""COMPUTED_VALUE"""),"")</f>
        <v/>
      </c>
      <c r="C129" s="36" t="str">
        <f>IFERROR(__xludf.DUMMYFUNCTION("""COMPUTED_VALUE"""),"")</f>
        <v/>
      </c>
      <c r="D129" s="36" t="str">
        <f>IFERROR(__xludf.DUMMYFUNCTION("""COMPUTED_VALUE"""),"")</f>
        <v/>
      </c>
      <c r="E129" s="36" t="str">
        <f>IFERROR(__xludf.DUMMYFUNCTION("""COMPUTED_VALUE"""),"04-22-14-60")</f>
        <v>04-22-14-60</v>
      </c>
      <c r="F129" s="36"/>
      <c r="G129" s="36" t="str">
        <f>IFERROR(__xludf.DUMMYFUNCTION("""COMPUTED_VALUE"""),"Abraham Tapia y Remedios Escalada -S")</f>
        <v>Abraham Tapia y Remedios Escalada -S</v>
      </c>
      <c r="H129" s="36" t="str">
        <f>IFERROR(__xludf.DUMMYFUNCTION("""COMPUTED_VALUE"""),"")</f>
        <v/>
      </c>
    </row>
    <row r="130">
      <c r="A130" s="36" t="str">
        <f>IFERROR(__xludf.DUMMYFUNCTION("""COMPUTED_VALUE"""),"08-36-02-104")</f>
        <v>08-36-02-104</v>
      </c>
      <c r="B130" s="36" t="str">
        <f>IFERROR(__xludf.DUMMYFUNCTION("""COMPUTED_VALUE"""),"")</f>
        <v/>
      </c>
      <c r="C130" s="36" t="str">
        <f>IFERROR(__xludf.DUMMYFUNCTION("""COMPUTED_VALUE"""),"")</f>
        <v/>
      </c>
      <c r="D130" s="36" t="str">
        <f>IFERROR(__xludf.DUMMYFUNCTION("""COMPUTED_VALUE"""),"")</f>
        <v/>
      </c>
      <c r="E130" s="36" t="str">
        <f>IFERROR(__xludf.DUMMYFUNCTION("""COMPUTED_VALUE"""),"01-64-13-230")</f>
        <v>01-64-13-230</v>
      </c>
      <c r="F130" s="36"/>
      <c r="G130" s="36" t="str">
        <f>IFERROR(__xludf.DUMMYFUNCTION("""COMPUTED_VALUE"""),"Abraham Tapia y S. Sarasa -S")</f>
        <v>Abraham Tapia y S. Sarasa -S</v>
      </c>
      <c r="H130" s="36" t="str">
        <f>IFERROR(__xludf.DUMMYFUNCTION("""COMPUTED_VALUE"""),"")</f>
        <v/>
      </c>
    </row>
    <row r="131">
      <c r="A131" s="36" t="str">
        <f>IFERROR(__xludf.DUMMYFUNCTION("""COMPUTED_VALUE"""),"08-36-02-105")</f>
        <v>08-36-02-105</v>
      </c>
      <c r="B131" s="36" t="str">
        <f>IFERROR(__xludf.DUMMYFUNCTION("""COMPUTED_VALUE"""),"")</f>
        <v/>
      </c>
      <c r="C131" s="36" t="str">
        <f>IFERROR(__xludf.DUMMYFUNCTION("""COMPUTED_VALUE"""),"")</f>
        <v/>
      </c>
      <c r="D131" s="36" t="str">
        <f>IFERROR(__xludf.DUMMYFUNCTION("""COMPUTED_VALUE"""),"")</f>
        <v/>
      </c>
      <c r="E131" s="36" t="str">
        <f>IFERROR(__xludf.DUMMYFUNCTION("""COMPUTED_VALUE"""),"01-56-13-125")</f>
        <v>01-56-13-125</v>
      </c>
      <c r="F131" s="36"/>
      <c r="G131" s="36" t="str">
        <f>IFERROR(__xludf.DUMMYFUNCTION("""COMPUTED_VALUE"""),"Abraham Tapia y Sarmiento")</f>
        <v>Abraham Tapia y Sarmiento</v>
      </c>
      <c r="H131" s="36" t="str">
        <f>IFERROR(__xludf.DUMMYFUNCTION("""COMPUTED_VALUE"""),"")</f>
        <v/>
      </c>
    </row>
    <row r="132">
      <c r="A132" s="36" t="str">
        <f>IFERROR(__xludf.DUMMYFUNCTION("""COMPUTED_VALUE"""),"08-36-02-106")</f>
        <v>08-36-02-106</v>
      </c>
      <c r="B132" s="36" t="str">
        <f>IFERROR(__xludf.DUMMYFUNCTION("""COMPUTED_VALUE"""),"")</f>
        <v/>
      </c>
      <c r="C132" s="36" t="str">
        <f>IFERROR(__xludf.DUMMYFUNCTION("""COMPUTED_VALUE"""),"")</f>
        <v/>
      </c>
      <c r="D132" s="36" t="str">
        <f>IFERROR(__xludf.DUMMYFUNCTION("""COMPUTED_VALUE"""),"")</f>
        <v/>
      </c>
      <c r="E132" s="36" t="str">
        <f>IFERROR(__xludf.DUMMYFUNCTION("""COMPUTED_VALUE"""),"01-62-13-231")</f>
        <v>01-62-13-231</v>
      </c>
      <c r="F132" s="36"/>
      <c r="G132" s="36" t="str">
        <f>IFERROR(__xludf.DUMMYFUNCTION("""COMPUTED_VALUE"""),"Abraham Tapia y Saturnino Sarasa -N")</f>
        <v>Abraham Tapia y Saturnino Sarasa -N</v>
      </c>
      <c r="H132" s="36" t="str">
        <f>IFERROR(__xludf.DUMMYFUNCTION("""COMPUTED_VALUE"""),"")</f>
        <v/>
      </c>
    </row>
    <row r="133">
      <c r="A133" s="36" t="str">
        <f>IFERROR(__xludf.DUMMYFUNCTION("""COMPUTED_VALUE"""),"08-36-02-107")</f>
        <v>08-36-02-107</v>
      </c>
      <c r="B133" s="36" t="str">
        <f>IFERROR(__xludf.DUMMYFUNCTION("""COMPUTED_VALUE"""),"")</f>
        <v/>
      </c>
      <c r="C133" s="36" t="str">
        <f>IFERROR(__xludf.DUMMYFUNCTION("""COMPUTED_VALUE"""),"")</f>
        <v/>
      </c>
      <c r="D133" s="36" t="str">
        <f>IFERROR(__xludf.DUMMYFUNCTION("""COMPUTED_VALUE"""),"")</f>
        <v/>
      </c>
      <c r="E133" s="36" t="str">
        <f>IFERROR(__xludf.DUMMYFUNCTION("""COMPUTED_VALUE"""),"04-22-14-53")</f>
        <v>04-22-14-53</v>
      </c>
      <c r="F133" s="36"/>
      <c r="G133" s="36" t="str">
        <f>IFERROR(__xludf.DUMMYFUNCTION("""COMPUTED_VALUE"""),"Abraham Tapia y Sebastián El Cano")</f>
        <v>Abraham Tapia y Sebastián El Cano</v>
      </c>
      <c r="H133" s="36" t="str">
        <f>IFERROR(__xludf.DUMMYFUNCTION("""COMPUTED_VALUE"""),"")</f>
        <v/>
      </c>
    </row>
    <row r="134">
      <c r="A134" s="36" t="str">
        <f>IFERROR(__xludf.DUMMYFUNCTION("""COMPUTED_VALUE"""),"08-36-02-108")</f>
        <v>08-36-02-108</v>
      </c>
      <c r="B134" s="36" t="str">
        <f>IFERROR(__xludf.DUMMYFUNCTION("""COMPUTED_VALUE"""),"")</f>
        <v/>
      </c>
      <c r="C134" s="36" t="str">
        <f>IFERROR(__xludf.DUMMYFUNCTION("""COMPUTED_VALUE"""),"")</f>
        <v/>
      </c>
      <c r="D134" s="36" t="str">
        <f>IFERROR(__xludf.DUMMYFUNCTION("""COMPUTED_VALUE"""),"")</f>
        <v/>
      </c>
      <c r="E134" s="36" t="str">
        <f>IFERROR(__xludf.DUMMYFUNCTION("""COMPUTED_VALUE"""),"01-65-13-218A")</f>
        <v>01-65-13-218A</v>
      </c>
      <c r="F134" s="36"/>
      <c r="G134" s="36" t="str">
        <f>IFERROR(__xludf.DUMMYFUNCTION("""COMPUTED_VALUE"""),"Abraham Tapia y Vicente López y Planes")</f>
        <v>Abraham Tapia y Vicente López y Planes</v>
      </c>
      <c r="H134" s="36" t="str">
        <f>IFERROR(__xludf.DUMMYFUNCTION("""COMPUTED_VALUE"""),"")</f>
        <v/>
      </c>
    </row>
    <row r="135">
      <c r="A135" s="36" t="str">
        <f>IFERROR(__xludf.DUMMYFUNCTION("""COMPUTED_VALUE"""),"08-36-02-109")</f>
        <v>08-36-02-109</v>
      </c>
      <c r="B135" s="36" t="str">
        <f>IFERROR(__xludf.DUMMYFUNCTION("""COMPUTED_VALUE"""),"")</f>
        <v/>
      </c>
      <c r="C135" s="36" t="str">
        <f>IFERROR(__xludf.DUMMYFUNCTION("""COMPUTED_VALUE"""),"")</f>
        <v/>
      </c>
      <c r="D135" s="36" t="str">
        <f>IFERROR(__xludf.DUMMYFUNCTION("""COMPUTED_VALUE"""),"")</f>
        <v/>
      </c>
      <c r="E135" s="36" t="str">
        <f>IFERROR(__xludf.DUMMYFUNCTION("""COMPUTED_VALUE"""),"04-22-14-23")</f>
        <v>04-22-14-23</v>
      </c>
      <c r="F135" s="36"/>
      <c r="G135" s="36" t="str">
        <f>IFERROR(__xludf.DUMMYFUNCTION("""COMPUTED_VALUE"""),"Abraham Tapia y Villagra")</f>
        <v>Abraham Tapia y Villagra</v>
      </c>
      <c r="H135" s="36" t="str">
        <f>IFERROR(__xludf.DUMMYFUNCTION("""COMPUTED_VALUE"""),"")</f>
        <v/>
      </c>
    </row>
    <row r="136">
      <c r="A136" s="36" t="str">
        <f>IFERROR(__xludf.DUMMYFUNCTION("""COMPUTED_VALUE"""),"08-36-02-111")</f>
        <v>08-36-02-111</v>
      </c>
      <c r="B136" s="36" t="str">
        <f>IFERROR(__xludf.DUMMYFUNCTION("""COMPUTED_VALUE"""),"")</f>
        <v/>
      </c>
      <c r="C136" s="36" t="str">
        <f>IFERROR(__xludf.DUMMYFUNCTION("""COMPUTED_VALUE"""),"")</f>
        <v/>
      </c>
      <c r="D136" s="36" t="str">
        <f>IFERROR(__xludf.DUMMYFUNCTION("""COMPUTED_VALUE"""),"")</f>
        <v/>
      </c>
      <c r="E136" s="36" t="str">
        <f>IFERROR(__xludf.DUMMYFUNCTION("""COMPUTED_VALUE"""),"02-32-05-22")</f>
        <v>02-32-05-22</v>
      </c>
      <c r="F136" s="36"/>
      <c r="G136" s="36" t="str">
        <f>IFERROR(__xludf.DUMMYFUNCTION("""COMPUTED_VALUE"""),"Acceso Hospital Dr. Marcial Quiroga")</f>
        <v>Acceso Hospital Dr. Marcial Quiroga</v>
      </c>
      <c r="H136" s="36" t="str">
        <f>IFERROR(__xludf.DUMMYFUNCTION("""COMPUTED_VALUE"""),"")</f>
        <v/>
      </c>
    </row>
    <row r="137">
      <c r="A137" s="36" t="str">
        <f>IFERROR(__xludf.DUMMYFUNCTION("""COMPUTED_VALUE"""),"08-36-02-112")</f>
        <v>08-36-02-112</v>
      </c>
      <c r="B137" s="36" t="str">
        <f>IFERROR(__xludf.DUMMYFUNCTION("""COMPUTED_VALUE"""),"")</f>
        <v/>
      </c>
      <c r="C137" s="36" t="str">
        <f>IFERROR(__xludf.DUMMYFUNCTION("""COMPUTED_VALUE"""),"")</f>
        <v/>
      </c>
      <c r="D137" s="36" t="str">
        <f>IFERROR(__xludf.DUMMYFUNCTION("""COMPUTED_VALUE"""),"")</f>
        <v/>
      </c>
      <c r="E137" s="36" t="str">
        <f>IFERROR(__xludf.DUMMYFUNCTION("""COMPUTED_VALUE"""),"04-35-12-55")</f>
        <v>04-35-12-55</v>
      </c>
      <c r="F137" s="36"/>
      <c r="G137" s="36" t="str">
        <f>IFERROR(__xludf.DUMMYFUNCTION("""COMPUTED_VALUE"""),"Aguilar y 25 de Mayo")</f>
        <v>Aguilar y 25 de Mayo</v>
      </c>
      <c r="H137" s="36" t="str">
        <f>IFERROR(__xludf.DUMMYFUNCTION("""COMPUTED_VALUE"""),"")</f>
        <v/>
      </c>
    </row>
    <row r="138">
      <c r="A138" s="36" t="str">
        <f>IFERROR(__xludf.DUMMYFUNCTION("""COMPUTED_VALUE"""),"08-36-02-113")</f>
        <v>08-36-02-113</v>
      </c>
      <c r="B138" s="36" t="str">
        <f>IFERROR(__xludf.DUMMYFUNCTION("""COMPUTED_VALUE"""),"")</f>
        <v/>
      </c>
      <c r="C138" s="36" t="str">
        <f>IFERROR(__xludf.DUMMYFUNCTION("""COMPUTED_VALUE"""),"")</f>
        <v/>
      </c>
      <c r="D138" s="36" t="str">
        <f>IFERROR(__xludf.DUMMYFUNCTION("""COMPUTED_VALUE"""),"")</f>
        <v/>
      </c>
      <c r="E138" s="36" t="str">
        <f>IFERROR(__xludf.DUMMYFUNCTION("""COMPUTED_VALUE"""),"04-35-12-52")</f>
        <v>04-35-12-52</v>
      </c>
      <c r="F138" s="36"/>
      <c r="G138" s="36" t="str">
        <f>IFERROR(__xludf.DUMMYFUNCTION("""COMPUTED_VALUE"""),"Aguilar y Bahía Blanca Sur")</f>
        <v>Aguilar y Bahía Blanca Sur</v>
      </c>
      <c r="H138" s="36" t="str">
        <f>IFERROR(__xludf.DUMMYFUNCTION("""COMPUTED_VALUE"""),"")</f>
        <v/>
      </c>
    </row>
    <row r="139">
      <c r="A139" s="36" t="str">
        <f>IFERROR(__xludf.DUMMYFUNCTION("""COMPUTED_VALUE"""),"08-36-02-114")</f>
        <v>08-36-02-114</v>
      </c>
      <c r="B139" s="36" t="str">
        <f>IFERROR(__xludf.DUMMYFUNCTION("""COMPUTED_VALUE"""),"")</f>
        <v/>
      </c>
      <c r="C139" s="36" t="str">
        <f>IFERROR(__xludf.DUMMYFUNCTION("""COMPUTED_VALUE"""),"")</f>
        <v/>
      </c>
      <c r="D139" s="36" t="str">
        <f>IFERROR(__xludf.DUMMYFUNCTION("""COMPUTED_VALUE"""),"")</f>
        <v/>
      </c>
      <c r="E139" s="36" t="str">
        <f>IFERROR(__xludf.DUMMYFUNCTION("""COMPUTED_VALUE"""),"04-35-12-15K")</f>
        <v>04-35-12-15K</v>
      </c>
      <c r="F139" s="36"/>
      <c r="G139" s="36" t="str">
        <f>IFERROR(__xludf.DUMMYFUNCTION("""COMPUTED_VALUE"""),"Aguilar y Bernasconi")</f>
        <v>Aguilar y Bernasconi</v>
      </c>
      <c r="H139" s="36" t="str">
        <f>IFERROR(__xludf.DUMMYFUNCTION("""COMPUTED_VALUE"""),"")</f>
        <v/>
      </c>
    </row>
    <row r="140">
      <c r="A140" s="36" t="str">
        <f>IFERROR(__xludf.DUMMYFUNCTION("""COMPUTED_VALUE"""),"08-36-02-115")</f>
        <v>08-36-02-115</v>
      </c>
      <c r="B140" s="36" t="str">
        <f>IFERROR(__xludf.DUMMYFUNCTION("""COMPUTED_VALUE"""),"")</f>
        <v/>
      </c>
      <c r="C140" s="36" t="str">
        <f>IFERROR(__xludf.DUMMYFUNCTION("""COMPUTED_VALUE"""),"")</f>
        <v/>
      </c>
      <c r="D140" s="36" t="str">
        <f>IFERROR(__xludf.DUMMYFUNCTION("""COMPUTED_VALUE"""),"")</f>
        <v/>
      </c>
      <c r="E140" s="36" t="str">
        <f>IFERROR(__xludf.DUMMYFUNCTION("""COMPUTED_VALUE"""),"04-35-12-57")</f>
        <v>04-35-12-57</v>
      </c>
      <c r="F140" s="36"/>
      <c r="G140" s="36" t="str">
        <f>IFERROR(__xludf.DUMMYFUNCTION("""COMPUTED_VALUE"""),"Aguilar y Esmeralda")</f>
        <v>Aguilar y Esmeralda</v>
      </c>
      <c r="H140" s="36" t="str">
        <f>IFERROR(__xludf.DUMMYFUNCTION("""COMPUTED_VALUE"""),"")</f>
        <v/>
      </c>
    </row>
    <row r="141">
      <c r="A141" s="36" t="str">
        <f>IFERROR(__xludf.DUMMYFUNCTION("""COMPUTED_VALUE"""),"08-36-02-116")</f>
        <v>08-36-02-116</v>
      </c>
      <c r="B141" s="36" t="str">
        <f>IFERROR(__xludf.DUMMYFUNCTION("""COMPUTED_VALUE"""),"")</f>
        <v/>
      </c>
      <c r="C141" s="36" t="str">
        <f>IFERROR(__xludf.DUMMYFUNCTION("""COMPUTED_VALUE"""),"")</f>
        <v/>
      </c>
      <c r="D141" s="36" t="str">
        <f>IFERROR(__xludf.DUMMYFUNCTION("""COMPUTED_VALUE"""),"")</f>
        <v/>
      </c>
      <c r="E141" s="36" t="str">
        <f>IFERROR(__xludf.DUMMYFUNCTION("""COMPUTED_VALUE"""),"04-35-12-56")</f>
        <v>04-35-12-56</v>
      </c>
      <c r="F141" s="36"/>
      <c r="G141" s="36" t="str">
        <f>IFERROR(__xludf.DUMMYFUNCTION("""COMPUTED_VALUE"""),"Aguilar y Magallanes")</f>
        <v>Aguilar y Magallanes</v>
      </c>
      <c r="H141" s="36" t="str">
        <f>IFERROR(__xludf.DUMMYFUNCTION("""COMPUTED_VALUE"""),"")</f>
        <v/>
      </c>
    </row>
    <row r="142">
      <c r="A142" s="36" t="str">
        <f>IFERROR(__xludf.DUMMYFUNCTION("""COMPUTED_VALUE"""),"08-36-02-117")</f>
        <v>08-36-02-117</v>
      </c>
      <c r="B142" s="36" t="str">
        <f>IFERROR(__xludf.DUMMYFUNCTION("""COMPUTED_VALUE"""),"")</f>
        <v/>
      </c>
      <c r="C142" s="36" t="str">
        <f>IFERROR(__xludf.DUMMYFUNCTION("""COMPUTED_VALUE"""),"")</f>
        <v/>
      </c>
      <c r="D142" s="36" t="str">
        <f>IFERROR(__xludf.DUMMYFUNCTION("""COMPUTED_VALUE"""),"")</f>
        <v/>
      </c>
      <c r="E142" s="36" t="str">
        <f>IFERROR(__xludf.DUMMYFUNCTION("""COMPUTED_VALUE"""),"04-30-14-111")</f>
        <v>04-30-14-111</v>
      </c>
      <c r="F142" s="36"/>
      <c r="G142" s="36" t="str">
        <f>IFERROR(__xludf.DUMMYFUNCTION("""COMPUTED_VALUE"""),"Agustín Gómez - B° San Guillermo N")</f>
        <v>Agustín Gómez - B° San Guillermo N</v>
      </c>
      <c r="H142" s="36" t="str">
        <f>IFERROR(__xludf.DUMMYFUNCTION("""COMPUTED_VALUE"""),"")</f>
        <v/>
      </c>
    </row>
    <row r="143">
      <c r="A143" s="36" t="str">
        <f>IFERROR(__xludf.DUMMYFUNCTION("""COMPUTED_VALUE"""),"08-36-02-118")</f>
        <v>08-36-02-118</v>
      </c>
      <c r="B143" s="36" t="str">
        <f>IFERROR(__xludf.DUMMYFUNCTION("""COMPUTED_VALUE"""),"")</f>
        <v/>
      </c>
      <c r="C143" s="36" t="str">
        <f>IFERROR(__xludf.DUMMYFUNCTION("""COMPUTED_VALUE"""),"")</f>
        <v/>
      </c>
      <c r="D143" s="36" t="str">
        <f>IFERROR(__xludf.DUMMYFUNCTION("""COMPUTED_VALUE"""),"")</f>
        <v/>
      </c>
      <c r="E143" s="36" t="str">
        <f>IFERROR(__xludf.DUMMYFUNCTION("""COMPUTED_VALUE"""),"04-50-14-110")</f>
        <v>04-50-14-110</v>
      </c>
      <c r="F143" s="36"/>
      <c r="G143" s="36" t="str">
        <f>IFERROR(__xludf.DUMMYFUNCTION("""COMPUTED_VALUE"""),"Agustín Gómez - B° San Guillermo S")</f>
        <v>Agustín Gómez - B° San Guillermo S</v>
      </c>
      <c r="H143" s="36" t="str">
        <f>IFERROR(__xludf.DUMMYFUNCTION("""COMPUTED_VALUE"""),"")</f>
        <v/>
      </c>
    </row>
    <row r="144">
      <c r="A144" s="36" t="str">
        <f>IFERROR(__xludf.DUMMYFUNCTION("""COMPUTED_VALUE"""),"08-36-02-119")</f>
        <v>08-36-02-119</v>
      </c>
      <c r="B144" s="36" t="str">
        <f>IFERROR(__xludf.DUMMYFUNCTION("""COMPUTED_VALUE"""),"")</f>
        <v/>
      </c>
      <c r="C144" s="36" t="str">
        <f>IFERROR(__xludf.DUMMYFUNCTION("""COMPUTED_VALUE"""),"")</f>
        <v/>
      </c>
      <c r="D144" s="36" t="str">
        <f>IFERROR(__xludf.DUMMYFUNCTION("""COMPUTED_VALUE"""),"")</f>
        <v/>
      </c>
      <c r="E144" s="36" t="str">
        <f>IFERROR(__xludf.DUMMYFUNCTION("""COMPUTED_VALUE"""),"04-44-12-83A")</f>
        <v>04-44-12-83A</v>
      </c>
      <c r="F144" s="36"/>
      <c r="G144" s="36" t="str">
        <f>IFERROR(__xludf.DUMMYFUNCTION("""COMPUTED_VALUE"""),"Agustín Gomez e Hipólito Yrigoyen")</f>
        <v>Agustín Gomez e Hipólito Yrigoyen</v>
      </c>
      <c r="H144" s="36" t="str">
        <f>IFERROR(__xludf.DUMMYFUNCTION("""COMPUTED_VALUE"""),"")</f>
        <v/>
      </c>
    </row>
    <row r="145">
      <c r="A145" s="36" t="str">
        <f>IFERROR(__xludf.DUMMYFUNCTION("""COMPUTED_VALUE"""),"08-36-02-121")</f>
        <v>08-36-02-121</v>
      </c>
      <c r="B145" s="36" t="str">
        <f>IFERROR(__xludf.DUMMYFUNCTION("""COMPUTED_VALUE"""),"")</f>
        <v/>
      </c>
      <c r="C145" s="36" t="str">
        <f>IFERROR(__xludf.DUMMYFUNCTION("""COMPUTED_VALUE"""),"")</f>
        <v/>
      </c>
      <c r="D145" s="36" t="str">
        <f>IFERROR(__xludf.DUMMYFUNCTION("""COMPUTED_VALUE"""),"")</f>
        <v/>
      </c>
      <c r="E145" s="36" t="str">
        <f>IFERROR(__xludf.DUMMYFUNCTION("""COMPUTED_VALUE"""),"04-43-12-81")</f>
        <v>04-43-12-81</v>
      </c>
      <c r="F145" s="36"/>
      <c r="G145" s="36" t="str">
        <f>IFERROR(__xludf.DUMMYFUNCTION("""COMPUTED_VALUE"""),"Agustín Gomez e/Meglioli e Yrigoyen N")</f>
        <v>Agustín Gomez e/Meglioli e Yrigoyen N</v>
      </c>
      <c r="H145" s="36" t="str">
        <f>IFERROR(__xludf.DUMMYFUNCTION("""COMPUTED_VALUE"""),"")</f>
        <v/>
      </c>
    </row>
    <row r="146">
      <c r="A146" s="36" t="str">
        <f>IFERROR(__xludf.DUMMYFUNCTION("""COMPUTED_VALUE"""),"08-36-02-122A")</f>
        <v>08-36-02-122A</v>
      </c>
      <c r="B146" s="36" t="str">
        <f>IFERROR(__xludf.DUMMYFUNCTION("""COMPUTED_VALUE"""),"")</f>
        <v/>
      </c>
      <c r="C146" s="36" t="str">
        <f>IFERROR(__xludf.DUMMYFUNCTION("""COMPUTED_VALUE"""),"")</f>
        <v/>
      </c>
      <c r="D146" s="36" t="str">
        <f>IFERROR(__xludf.DUMMYFUNCTION("""COMPUTED_VALUE"""),"")</f>
        <v/>
      </c>
      <c r="E146" s="36" t="str">
        <f>IFERROR(__xludf.DUMMYFUNCTION("""COMPUTED_VALUE"""),"05-20-25-82")</f>
        <v>05-20-25-82</v>
      </c>
      <c r="F146" s="36"/>
      <c r="G146" s="36" t="str">
        <f>IFERROR(__xludf.DUMMYFUNCTION("""COMPUTED_VALUE"""),"Agustín Gomez e/Meglioli e Yrigoyen S")</f>
        <v>Agustín Gomez e/Meglioli e Yrigoyen S</v>
      </c>
      <c r="H146" s="36" t="str">
        <f>IFERROR(__xludf.DUMMYFUNCTION("""COMPUTED_VALUE"""),"")</f>
        <v/>
      </c>
    </row>
    <row r="147">
      <c r="A147" s="36" t="str">
        <f>IFERROR(__xludf.DUMMYFUNCTION("""COMPUTED_VALUE"""),"08-36-02-77")</f>
        <v>08-36-02-77</v>
      </c>
      <c r="B147" s="36" t="str">
        <f>IFERROR(__xludf.DUMMYFUNCTION("""COMPUTED_VALUE"""),"")</f>
        <v/>
      </c>
      <c r="C147" s="36" t="str">
        <f>IFERROR(__xludf.DUMMYFUNCTION("""COMPUTED_VALUE"""),"")</f>
        <v/>
      </c>
      <c r="D147" s="36" t="str">
        <f>IFERROR(__xludf.DUMMYFUNCTION("""COMPUTED_VALUE"""),"")</f>
        <v/>
      </c>
      <c r="E147" s="36" t="str">
        <f>IFERROR(__xludf.DUMMYFUNCTION("""COMPUTED_VALUE"""),"04-42-11-64A")</f>
        <v>04-42-11-64A</v>
      </c>
      <c r="F147" s="36"/>
      <c r="G147" s="36" t="str">
        <f>IFERROR(__xludf.DUMMYFUNCTION("""COMPUTED_VALUE"""),"Agustín Gómez Norte")</f>
        <v>Agustín Gómez Norte</v>
      </c>
      <c r="H147" s="36" t="str">
        <f>IFERROR(__xludf.DUMMYFUNCTION("""COMPUTED_VALUE"""),"")</f>
        <v/>
      </c>
    </row>
    <row r="148">
      <c r="A148" s="36" t="str">
        <f>IFERROR(__xludf.DUMMYFUNCTION("""COMPUTED_VALUE"""),"08-36-02-78")</f>
        <v>08-36-02-78</v>
      </c>
      <c r="B148" s="36" t="str">
        <f>IFERROR(__xludf.DUMMYFUNCTION("""COMPUTED_VALUE"""),"")</f>
        <v/>
      </c>
      <c r="C148" s="36" t="str">
        <f>IFERROR(__xludf.DUMMYFUNCTION("""COMPUTED_VALUE"""),"")</f>
        <v/>
      </c>
      <c r="D148" s="36" t="str">
        <f>IFERROR(__xludf.DUMMYFUNCTION("""COMPUTED_VALUE"""),"")</f>
        <v/>
      </c>
      <c r="E148" s="36" t="str">
        <f>IFERROR(__xludf.DUMMYFUNCTION("""COMPUTED_VALUE"""),"04-42-11-66A")</f>
        <v>04-42-11-66A</v>
      </c>
      <c r="F148" s="36"/>
      <c r="G148" s="36" t="str">
        <f>IFERROR(__xludf.DUMMYFUNCTION("""COMPUTED_VALUE"""),"Agustín Gómez Norte y Meglioli")</f>
        <v>Agustín Gómez Norte y Meglioli</v>
      </c>
      <c r="H148" s="36" t="str">
        <f>IFERROR(__xludf.DUMMYFUNCTION("""COMPUTED_VALUE"""),"")</f>
        <v/>
      </c>
    </row>
    <row r="149">
      <c r="A149" s="36" t="str">
        <f>IFERROR(__xludf.DUMMYFUNCTION("""COMPUTED_VALUE"""),"08-36-02-79")</f>
        <v>08-36-02-79</v>
      </c>
      <c r="B149" s="36" t="str">
        <f>IFERROR(__xludf.DUMMYFUNCTION("""COMPUTED_VALUE"""),"")</f>
        <v/>
      </c>
      <c r="C149" s="36" t="str">
        <f>IFERROR(__xludf.DUMMYFUNCTION("""COMPUTED_VALUE"""),"")</f>
        <v/>
      </c>
      <c r="D149" s="36" t="str">
        <f>IFERROR(__xludf.DUMMYFUNCTION("""COMPUTED_VALUE"""),"")</f>
        <v/>
      </c>
      <c r="E149" s="36" t="str">
        <f>IFERROR(__xludf.DUMMYFUNCTION("""COMPUTED_VALUE"""),"05-20-11-64")</f>
        <v>05-20-11-64</v>
      </c>
      <c r="F149" s="36"/>
      <c r="G149" s="36" t="str">
        <f>IFERROR(__xludf.DUMMYFUNCTION("""COMPUTED_VALUE"""),"Agustín Gómez Sur")</f>
        <v>Agustín Gómez Sur</v>
      </c>
      <c r="H149" s="36" t="str">
        <f>IFERROR(__xludf.DUMMYFUNCTION("""COMPUTED_VALUE"""),"")</f>
        <v/>
      </c>
    </row>
    <row r="150">
      <c r="A150" s="36" t="str">
        <f>IFERROR(__xludf.DUMMYFUNCTION("""COMPUTED_VALUE"""),"08-36-02-80")</f>
        <v>08-36-02-80</v>
      </c>
      <c r="B150" s="36" t="str">
        <f>IFERROR(__xludf.DUMMYFUNCTION("""COMPUTED_VALUE"""),"")</f>
        <v/>
      </c>
      <c r="C150" s="36" t="str">
        <f>IFERROR(__xludf.DUMMYFUNCTION("""COMPUTED_VALUE"""),"")</f>
        <v/>
      </c>
      <c r="D150" s="36" t="str">
        <f>IFERROR(__xludf.DUMMYFUNCTION("""COMPUTED_VALUE"""),"")</f>
        <v/>
      </c>
      <c r="E150" s="36" t="str">
        <f>IFERROR(__xludf.DUMMYFUNCTION("""COMPUTED_VALUE"""),"05-20-11-66")</f>
        <v>05-20-11-66</v>
      </c>
      <c r="F150" s="36"/>
      <c r="G150" s="36" t="str">
        <f>IFERROR(__xludf.DUMMYFUNCTION("""COMPUTED_VALUE"""),"Agustín Gómez Sur y Meglioli")</f>
        <v>Agustín Gómez Sur y Meglioli</v>
      </c>
      <c r="H150" s="36" t="str">
        <f>IFERROR(__xludf.DUMMYFUNCTION("""COMPUTED_VALUE"""),"")</f>
        <v/>
      </c>
    </row>
    <row r="151">
      <c r="A151" s="36" t="str">
        <f>IFERROR(__xludf.DUMMYFUNCTION("""COMPUTED_VALUE"""),"08-36-02-81")</f>
        <v>08-36-02-81</v>
      </c>
      <c r="B151" s="36" t="str">
        <f>IFERROR(__xludf.DUMMYFUNCTION("""COMPUTED_VALUE"""),"")</f>
        <v/>
      </c>
      <c r="C151" s="36" t="str">
        <f>IFERROR(__xludf.DUMMYFUNCTION("""COMPUTED_VALUE"""),"")</f>
        <v/>
      </c>
      <c r="D151" s="36" t="str">
        <f>IFERROR(__xludf.DUMMYFUNCTION("""COMPUTED_VALUE"""),"")</f>
        <v/>
      </c>
      <c r="E151" s="36" t="str">
        <f>IFERROR(__xludf.DUMMYFUNCTION("""COMPUTED_VALUE"""),"01-61-13-136")</f>
        <v>01-61-13-136</v>
      </c>
      <c r="F151" s="36"/>
      <c r="G151" s="36" t="str">
        <f>IFERROR(__xludf.DUMMYFUNCTION("""COMPUTED_VALUE"""),"Agustín Gómez y Av. Alem")</f>
        <v>Agustín Gómez y Av. Alem</v>
      </c>
      <c r="H151" s="36" t="str">
        <f>IFERROR(__xludf.DUMMYFUNCTION("""COMPUTED_VALUE"""),"")</f>
        <v/>
      </c>
    </row>
    <row r="152">
      <c r="A152" s="36" t="str">
        <f>IFERROR(__xludf.DUMMYFUNCTION("""COMPUTED_VALUE"""),"08-36-02-82")</f>
        <v>08-36-02-82</v>
      </c>
      <c r="B152" s="36" t="str">
        <f>IFERROR(__xludf.DUMMYFUNCTION("""COMPUTED_VALUE"""),"")</f>
        <v/>
      </c>
      <c r="C152" s="36" t="str">
        <f>IFERROR(__xludf.DUMMYFUNCTION("""COMPUTED_VALUE"""),"")</f>
        <v/>
      </c>
      <c r="D152" s="36" t="str">
        <f>IFERROR(__xludf.DUMMYFUNCTION("""COMPUTED_VALUE"""),"")</f>
        <v/>
      </c>
      <c r="E152" s="36" t="str">
        <f>IFERROR(__xludf.DUMMYFUNCTION("""COMPUTED_VALUE"""),"05-24-13-88B")</f>
        <v>05-24-13-88B</v>
      </c>
      <c r="F152" s="36"/>
      <c r="G152" s="36" t="str">
        <f>IFERROR(__xludf.DUMMYFUNCTION("""COMPUTED_VALUE"""),"Agustín Gómez y Av. España")</f>
        <v>Agustín Gómez y Av. España</v>
      </c>
      <c r="H152" s="36" t="str">
        <f>IFERROR(__xludf.DUMMYFUNCTION("""COMPUTED_VALUE"""),"")</f>
        <v/>
      </c>
    </row>
    <row r="153">
      <c r="A153" s="36" t="str">
        <f>IFERROR(__xludf.DUMMYFUNCTION("""COMPUTED_VALUE"""),"08-36-02-83")</f>
        <v>08-36-02-83</v>
      </c>
      <c r="B153" s="36" t="str">
        <f>IFERROR(__xludf.DUMMYFUNCTION("""COMPUTED_VALUE"""),"")</f>
        <v/>
      </c>
      <c r="C153" s="36" t="str">
        <f>IFERROR(__xludf.DUMMYFUNCTION("""COMPUTED_VALUE"""),"")</f>
        <v/>
      </c>
      <c r="D153" s="36" t="str">
        <f>IFERROR(__xludf.DUMMYFUNCTION("""COMPUTED_VALUE"""),"")</f>
        <v/>
      </c>
      <c r="E153" s="36" t="str">
        <f>IFERROR(__xludf.DUMMYFUNCTION("""COMPUTED_VALUE"""),"04-47-13-476")</f>
        <v>04-47-13-476</v>
      </c>
      <c r="F153" s="36"/>
      <c r="G153" s="36" t="str">
        <f>IFERROR(__xludf.DUMMYFUNCTION("""COMPUTED_VALUE"""),"Agustín Gómez y Calingasta -N")</f>
        <v>Agustín Gómez y Calingasta -N</v>
      </c>
      <c r="H153" s="36" t="str">
        <f>IFERROR(__xludf.DUMMYFUNCTION("""COMPUTED_VALUE"""),"")</f>
        <v/>
      </c>
    </row>
    <row r="154">
      <c r="A154" s="36" t="str">
        <f>IFERROR(__xludf.DUMMYFUNCTION("""COMPUTED_VALUE"""),"08-36-02-83A")</f>
        <v>08-36-02-83A</v>
      </c>
      <c r="B154" s="36" t="str">
        <f>IFERROR(__xludf.DUMMYFUNCTION("""COMPUTED_VALUE"""),"")</f>
        <v/>
      </c>
      <c r="C154" s="36" t="str">
        <f>IFERROR(__xludf.DUMMYFUNCTION("""COMPUTED_VALUE"""),"")</f>
        <v/>
      </c>
      <c r="D154" s="36" t="str">
        <f>IFERROR(__xludf.DUMMYFUNCTION("""COMPUTED_VALUE"""),"")</f>
        <v/>
      </c>
      <c r="E154" s="36" t="str">
        <f>IFERROR(__xludf.DUMMYFUNCTION("""COMPUTED_VALUE"""),"05-26-13-476A")</f>
        <v>05-26-13-476A</v>
      </c>
      <c r="F154" s="36"/>
      <c r="G154" s="36" t="str">
        <f>IFERROR(__xludf.DUMMYFUNCTION("""COMPUTED_VALUE"""),"Agustín Gómez y Calingasta -S")</f>
        <v>Agustín Gómez y Calingasta -S</v>
      </c>
      <c r="H154" s="36" t="str">
        <f>IFERROR(__xludf.DUMMYFUNCTION("""COMPUTED_VALUE"""),"")</f>
        <v/>
      </c>
    </row>
    <row r="155">
      <c r="A155" s="36" t="str">
        <f>IFERROR(__xludf.DUMMYFUNCTION("""COMPUTED_VALUE"""),"08-36-02-83B")</f>
        <v>08-36-02-83B</v>
      </c>
      <c r="B155" s="36" t="str">
        <f>IFERROR(__xludf.DUMMYFUNCTION("""COMPUTED_VALUE"""),"")</f>
        <v/>
      </c>
      <c r="C155" s="36" t="str">
        <f>IFERROR(__xludf.DUMMYFUNCTION("""COMPUTED_VALUE"""),"")</f>
        <v/>
      </c>
      <c r="D155" s="36" t="str">
        <f>IFERROR(__xludf.DUMMYFUNCTION("""COMPUTED_VALUE"""),"")</f>
        <v/>
      </c>
      <c r="E155" s="36" t="str">
        <f>IFERROR(__xludf.DUMMYFUNCTION("""COMPUTED_VALUE"""),"04-52-14-160")</f>
        <v>04-52-14-160</v>
      </c>
      <c r="F155" s="36"/>
      <c r="G155" s="36" t="str">
        <f>IFERROR(__xludf.DUMMYFUNCTION("""COMPUTED_VALUE"""),"Agustín Gómez y Calle Vieja")</f>
        <v>Agustín Gómez y Calle Vieja</v>
      </c>
      <c r="H155" s="36" t="str">
        <f>IFERROR(__xludf.DUMMYFUNCTION("""COMPUTED_VALUE"""),"")</f>
        <v/>
      </c>
    </row>
    <row r="156">
      <c r="A156" s="36" t="str">
        <f>IFERROR(__xludf.DUMMYFUNCTION("""COMPUTED_VALUE"""),"08-36-02-84")</f>
        <v>08-36-02-84</v>
      </c>
      <c r="B156" s="36" t="str">
        <f>IFERROR(__xludf.DUMMYFUNCTION("""COMPUTED_VALUE"""),"")</f>
        <v/>
      </c>
      <c r="C156" s="36" t="str">
        <f>IFERROR(__xludf.DUMMYFUNCTION("""COMPUTED_VALUE"""),"")</f>
        <v/>
      </c>
      <c r="D156" s="36" t="str">
        <f>IFERROR(__xludf.DUMMYFUNCTION("""COMPUTED_VALUE"""),"")</f>
        <v/>
      </c>
      <c r="E156" s="36" t="str">
        <f>IFERROR(__xludf.DUMMYFUNCTION("""COMPUTED_VALUE"""),"04-30-14-139")</f>
        <v>04-30-14-139</v>
      </c>
      <c r="F156" s="36"/>
      <c r="G156" s="36" t="str">
        <f>IFERROR(__xludf.DUMMYFUNCTION("""COMPUTED_VALUE"""),"Agustín Gómez y Cervantes N")</f>
        <v>Agustín Gómez y Cervantes N</v>
      </c>
      <c r="H156" s="36" t="str">
        <f>IFERROR(__xludf.DUMMYFUNCTION("""COMPUTED_VALUE"""),"")</f>
        <v/>
      </c>
    </row>
    <row r="157">
      <c r="A157" s="36" t="str">
        <f>IFERROR(__xludf.DUMMYFUNCTION("""COMPUTED_VALUE"""),"08-36-02-87")</f>
        <v>08-36-02-87</v>
      </c>
      <c r="B157" s="36" t="str">
        <f>IFERROR(__xludf.DUMMYFUNCTION("""COMPUTED_VALUE"""),"")</f>
        <v/>
      </c>
      <c r="C157" s="36" t="str">
        <f>IFERROR(__xludf.DUMMYFUNCTION("""COMPUTED_VALUE"""),"")</f>
        <v/>
      </c>
      <c r="D157" s="36" t="str">
        <f>IFERROR(__xludf.DUMMYFUNCTION("""COMPUTED_VALUE"""),"")</f>
        <v/>
      </c>
      <c r="E157" s="36" t="str">
        <f>IFERROR(__xludf.DUMMYFUNCTION("""COMPUTED_VALUE"""),"04-50-14-138")</f>
        <v>04-50-14-138</v>
      </c>
      <c r="F157" s="36"/>
      <c r="G157" s="36" t="str">
        <f>IFERROR(__xludf.DUMMYFUNCTION("""COMPUTED_VALUE"""),"Agustín Gómez y Cervantes S")</f>
        <v>Agustín Gómez y Cervantes S</v>
      </c>
      <c r="H157" s="36" t="str">
        <f>IFERROR(__xludf.DUMMYFUNCTION("""COMPUTED_VALUE"""),"")</f>
        <v/>
      </c>
    </row>
    <row r="158">
      <c r="A158" s="36" t="str">
        <f>IFERROR(__xludf.DUMMYFUNCTION("""COMPUTED_VALUE"""),"08-36-02-88")</f>
        <v>08-36-02-88</v>
      </c>
      <c r="B158" s="36" t="str">
        <f>IFERROR(__xludf.DUMMYFUNCTION("""COMPUTED_VALUE"""),"")</f>
        <v/>
      </c>
      <c r="C158" s="36" t="str">
        <f>IFERROR(__xludf.DUMMYFUNCTION("""COMPUTED_VALUE"""),"")</f>
        <v/>
      </c>
      <c r="D158" s="36" t="str">
        <f>IFERROR(__xludf.DUMMYFUNCTION("""COMPUTED_VALUE"""),"")</f>
        <v/>
      </c>
      <c r="E158" s="36" t="str">
        <f>IFERROR(__xludf.DUMMYFUNCTION("""COMPUTED_VALUE"""),"04-47-13-475")</f>
        <v>04-47-13-475</v>
      </c>
      <c r="F158" s="36"/>
      <c r="G158" s="36" t="str">
        <f>IFERROR(__xludf.DUMMYFUNCTION("""COMPUTED_VALUE"""),"Agustín Gómez y Cobos")</f>
        <v>Agustín Gómez y Cobos</v>
      </c>
      <c r="H158" s="36" t="str">
        <f>IFERROR(__xludf.DUMMYFUNCTION("""COMPUTED_VALUE"""),"")</f>
        <v/>
      </c>
    </row>
    <row r="159">
      <c r="A159" s="36" t="str">
        <f>IFERROR(__xludf.DUMMYFUNCTION("""COMPUTED_VALUE"""),"08-36-02-89")</f>
        <v>08-36-02-89</v>
      </c>
      <c r="B159" s="36" t="str">
        <f>IFERROR(__xludf.DUMMYFUNCTION("""COMPUTED_VALUE"""),"")</f>
        <v/>
      </c>
      <c r="C159" s="36" t="str">
        <f>IFERROR(__xludf.DUMMYFUNCTION("""COMPUTED_VALUE"""),"")</f>
        <v/>
      </c>
      <c r="D159" s="36" t="str">
        <f>IFERROR(__xludf.DUMMYFUNCTION("""COMPUTED_VALUE"""),"")</f>
        <v/>
      </c>
      <c r="E159" s="36" t="str">
        <f>IFERROR(__xludf.DUMMYFUNCTION("""COMPUTED_VALUE"""),"05-26-13-477B")</f>
        <v>05-26-13-477B</v>
      </c>
      <c r="F159" s="36"/>
      <c r="G159" s="36" t="str">
        <f>IFERROR(__xludf.DUMMYFUNCTION("""COMPUTED_VALUE"""),"Agustín Gómez y Constitución")</f>
        <v>Agustín Gómez y Constitución</v>
      </c>
      <c r="H159" s="36" t="str">
        <f>IFERROR(__xludf.DUMMYFUNCTION("""COMPUTED_VALUE"""),"")</f>
        <v/>
      </c>
    </row>
    <row r="160">
      <c r="A160" s="36" t="str">
        <f>IFERROR(__xludf.DUMMYFUNCTION("""COMPUTED_VALUE"""),"08-36-02-90")</f>
        <v>08-36-02-90</v>
      </c>
      <c r="B160" s="36" t="str">
        <f>IFERROR(__xludf.DUMMYFUNCTION("""COMPUTED_VALUE"""),"")</f>
        <v/>
      </c>
      <c r="C160" s="36" t="str">
        <f>IFERROR(__xludf.DUMMYFUNCTION("""COMPUTED_VALUE"""),"")</f>
        <v/>
      </c>
      <c r="D160" s="36" t="str">
        <f>IFERROR(__xludf.DUMMYFUNCTION("""COMPUTED_VALUE"""),"")</f>
        <v/>
      </c>
      <c r="E160" s="36" t="str">
        <f>IFERROR(__xludf.DUMMYFUNCTION("""COMPUTED_VALUE"""),"01-62-13-50")</f>
        <v>01-62-13-50</v>
      </c>
      <c r="F160" s="36"/>
      <c r="G160" s="36" t="str">
        <f>IFERROR(__xludf.DUMMYFUNCTION("""COMPUTED_VALUE"""),"Agustín Gómez y General Acha")</f>
        <v>Agustín Gómez y General Acha</v>
      </c>
      <c r="H160" s="36" t="str">
        <f>IFERROR(__xludf.DUMMYFUNCTION("""COMPUTED_VALUE"""),"")</f>
        <v/>
      </c>
    </row>
    <row r="161">
      <c r="A161" s="36" t="str">
        <f>IFERROR(__xludf.DUMMYFUNCTION("""COMPUTED_VALUE"""),"08-36-02-91")</f>
        <v>08-36-02-91</v>
      </c>
      <c r="B161" s="36" t="str">
        <f>IFERROR(__xludf.DUMMYFUNCTION("""COMPUTED_VALUE"""),"")</f>
        <v/>
      </c>
      <c r="C161" s="36" t="str">
        <f>IFERROR(__xludf.DUMMYFUNCTION("""COMPUTED_VALUE"""),"")</f>
        <v/>
      </c>
      <c r="D161" s="36" t="str">
        <f>IFERROR(__xludf.DUMMYFUNCTION("""COMPUTED_VALUE"""),"")</f>
        <v/>
      </c>
      <c r="E161" s="36" t="str">
        <f>IFERROR(__xludf.DUMMYFUNCTION("""COMPUTED_VALUE"""),"04-30-14-109A")</f>
        <v>04-30-14-109A</v>
      </c>
      <c r="F161" s="36"/>
      <c r="G161" s="36" t="str">
        <f>IFERROR(__xludf.DUMMYFUNCTION("""COMPUTED_VALUE"""),"Agustín Gómez y Gral. Acha")</f>
        <v>Agustín Gómez y Gral. Acha</v>
      </c>
      <c r="H161" s="36" t="str">
        <f>IFERROR(__xludf.DUMMYFUNCTION("""COMPUTED_VALUE"""),"")</f>
        <v/>
      </c>
    </row>
    <row r="162">
      <c r="A162" s="36" t="str">
        <f>IFERROR(__xludf.DUMMYFUNCTION("""COMPUTED_VALUE"""),"08-36-02-92")</f>
        <v>08-36-02-92</v>
      </c>
      <c r="B162" s="36" t="str">
        <f>IFERROR(__xludf.DUMMYFUNCTION("""COMPUTED_VALUE"""),"")</f>
        <v/>
      </c>
      <c r="C162" s="36" t="str">
        <f>IFERROR(__xludf.DUMMYFUNCTION("""COMPUTED_VALUE"""),"")</f>
        <v/>
      </c>
      <c r="D162" s="36" t="str">
        <f>IFERROR(__xludf.DUMMYFUNCTION("""COMPUTED_VALUE"""),"")</f>
        <v/>
      </c>
      <c r="E162" s="36" t="str">
        <f>IFERROR(__xludf.DUMMYFUNCTION("""COMPUTED_VALUE"""),"04-46-13-88A")</f>
        <v>04-46-13-88A</v>
      </c>
      <c r="F162" s="36"/>
      <c r="G162" s="36" t="str">
        <f>IFERROR(__xludf.DUMMYFUNCTION("""COMPUTED_VALUE"""),"Agustín Gómez y Gral. Godoy")</f>
        <v>Agustín Gómez y Gral. Godoy</v>
      </c>
      <c r="H162" s="36" t="str">
        <f>IFERROR(__xludf.DUMMYFUNCTION("""COMPUTED_VALUE"""),"")</f>
        <v/>
      </c>
    </row>
    <row r="163">
      <c r="A163" s="36" t="str">
        <f>IFERROR(__xludf.DUMMYFUNCTION("""COMPUTED_VALUE"""),"08-36-02-93")</f>
        <v>08-36-02-93</v>
      </c>
      <c r="B163" s="36" t="str">
        <f>IFERROR(__xludf.DUMMYFUNCTION("""COMPUTED_VALUE"""),"")</f>
        <v/>
      </c>
      <c r="C163" s="36" t="str">
        <f>IFERROR(__xludf.DUMMYFUNCTION("""COMPUTED_VALUE"""),"")</f>
        <v/>
      </c>
      <c r="D163" s="36" t="str">
        <f>IFERROR(__xludf.DUMMYFUNCTION("""COMPUTED_VALUE"""),"")</f>
        <v/>
      </c>
      <c r="E163" s="36" t="str">
        <f>IFERROR(__xludf.DUMMYFUNCTION("""COMPUTED_VALUE"""),"05-26-13-475A")</f>
        <v>05-26-13-475A</v>
      </c>
      <c r="F163" s="36"/>
      <c r="G163" s="36" t="str">
        <f>IFERROR(__xludf.DUMMYFUNCTION("""COMPUTED_VALUE"""),"Agustín Gómez y J.J. Urquiza")</f>
        <v>Agustín Gómez y J.J. Urquiza</v>
      </c>
      <c r="H163" s="36" t="str">
        <f>IFERROR(__xludf.DUMMYFUNCTION("""COMPUTED_VALUE"""),"")</f>
        <v/>
      </c>
    </row>
    <row r="164">
      <c r="A164" s="36" t="str">
        <f>IFERROR(__xludf.DUMMYFUNCTION("""COMPUTED_VALUE"""),"08-36-02-94")</f>
        <v>08-36-02-94</v>
      </c>
      <c r="B164" s="36" t="str">
        <f>IFERROR(__xludf.DUMMYFUNCTION("""COMPUTED_VALUE"""),"")</f>
        <v/>
      </c>
      <c r="C164" s="36" t="str">
        <f>IFERROR(__xludf.DUMMYFUNCTION("""COMPUTED_VALUE"""),"")</f>
        <v/>
      </c>
      <c r="D164" s="36" t="str">
        <f>IFERROR(__xludf.DUMMYFUNCTION("""COMPUTED_VALUE"""),"")</f>
        <v/>
      </c>
      <c r="E164" s="36" t="str">
        <f>IFERROR(__xludf.DUMMYFUNCTION("""COMPUTED_VALUE"""),"04-45-12-55A")</f>
        <v>04-45-12-55A</v>
      </c>
      <c r="F164" s="36"/>
      <c r="G164" s="36" t="str">
        <f>IFERROR(__xludf.DUMMYFUNCTION("""COMPUTED_VALUE"""),"Agustín Gomez y Juan de la Torre")</f>
        <v>Agustín Gomez y Juan de la Torre</v>
      </c>
      <c r="H164" s="36" t="str">
        <f>IFERROR(__xludf.DUMMYFUNCTION("""COMPUTED_VALUE"""),"")</f>
        <v/>
      </c>
    </row>
    <row r="165">
      <c r="A165" s="36" t="str">
        <f>IFERROR(__xludf.DUMMYFUNCTION("""COMPUTED_VALUE"""),"08-36-02-95")</f>
        <v>08-36-02-95</v>
      </c>
      <c r="B165" s="36" t="str">
        <f>IFERROR(__xludf.DUMMYFUNCTION("""COMPUTED_VALUE"""),"")</f>
        <v/>
      </c>
      <c r="C165" s="36" t="str">
        <f>IFERROR(__xludf.DUMMYFUNCTION("""COMPUTED_VALUE"""),"")</f>
        <v/>
      </c>
      <c r="D165" s="36" t="str">
        <f>IFERROR(__xludf.DUMMYFUNCTION("""COMPUTED_VALUE"""),"")</f>
        <v/>
      </c>
      <c r="E165" s="36" t="str">
        <f>IFERROR(__xludf.DUMMYFUNCTION("""COMPUTED_VALUE"""),"04-47-13-474")</f>
        <v>04-47-13-474</v>
      </c>
      <c r="F165" s="36"/>
      <c r="G165" s="36" t="str">
        <f>IFERROR(__xludf.DUMMYFUNCTION("""COMPUTED_VALUE"""),"Agustín Gómez y Juan Jufré")</f>
        <v>Agustín Gómez y Juan Jufré</v>
      </c>
      <c r="H165" s="36" t="str">
        <f>IFERROR(__xludf.DUMMYFUNCTION("""COMPUTED_VALUE"""),"")</f>
        <v/>
      </c>
    </row>
    <row r="166">
      <c r="A166" s="36" t="str">
        <f>IFERROR(__xludf.DUMMYFUNCTION("""COMPUTED_VALUE"""),"08-36-02-96")</f>
        <v>08-36-02-96</v>
      </c>
      <c r="B166" s="36" t="str">
        <f>IFERROR(__xludf.DUMMYFUNCTION("""COMPUTED_VALUE"""),"")</f>
        <v/>
      </c>
      <c r="C166" s="36" t="str">
        <f>IFERROR(__xludf.DUMMYFUNCTION("""COMPUTED_VALUE"""),"")</f>
        <v/>
      </c>
      <c r="D166" s="36" t="str">
        <f>IFERROR(__xludf.DUMMYFUNCTION("""COMPUTED_VALUE"""),"")</f>
        <v/>
      </c>
      <c r="E166" s="36" t="str">
        <f>IFERROR(__xludf.DUMMYFUNCTION("""COMPUTED_VALUE"""),"05-26-13-474A")</f>
        <v>05-26-13-474A</v>
      </c>
      <c r="F166" s="36"/>
      <c r="G166" s="36" t="str">
        <f>IFERROR(__xludf.DUMMYFUNCTION("""COMPUTED_VALUE"""),"Agustín Gómez y Laprida")</f>
        <v>Agustín Gómez y Laprida</v>
      </c>
      <c r="H166" s="36" t="str">
        <f>IFERROR(__xludf.DUMMYFUNCTION("""COMPUTED_VALUE"""),"")</f>
        <v/>
      </c>
    </row>
    <row r="167">
      <c r="A167" s="36" t="str">
        <f>IFERROR(__xludf.DUMMYFUNCTION("""COMPUTED_VALUE"""),"08-36-02-97")</f>
        <v>08-36-02-97</v>
      </c>
      <c r="B167" s="36" t="str">
        <f>IFERROR(__xludf.DUMMYFUNCTION("""COMPUTED_VALUE"""),"")</f>
        <v/>
      </c>
      <c r="C167" s="36" t="str">
        <f>IFERROR(__xludf.DUMMYFUNCTION("""COMPUTED_VALUE"""),"")</f>
        <v/>
      </c>
      <c r="D167" s="36" t="str">
        <f>IFERROR(__xludf.DUMMYFUNCTION("""COMPUTED_VALUE"""),"")</f>
        <v/>
      </c>
      <c r="E167" s="36" t="str">
        <f>IFERROR(__xludf.DUMMYFUNCTION("""COMPUTED_VALUE"""),"04-48-14-108")</f>
        <v>04-48-14-108</v>
      </c>
      <c r="F167" s="36"/>
      <c r="G167" s="36" t="str">
        <f>IFERROR(__xludf.DUMMYFUNCTION("""COMPUTED_VALUE"""),"Agustín Gómez y Loteo Privado -N")</f>
        <v>Agustín Gómez y Loteo Privado -N</v>
      </c>
      <c r="H167" s="36" t="str">
        <f>IFERROR(__xludf.DUMMYFUNCTION("""COMPUTED_VALUE"""),"")</f>
        <v/>
      </c>
    </row>
    <row r="168">
      <c r="A168" s="36" t="str">
        <f>IFERROR(__xludf.DUMMYFUNCTION("""COMPUTED_VALUE"""),"08-36-02-98")</f>
        <v>08-36-02-98</v>
      </c>
      <c r="B168" s="36" t="str">
        <f>IFERROR(__xludf.DUMMYFUNCTION("""COMPUTED_VALUE"""),"")</f>
        <v/>
      </c>
      <c r="C168" s="36" t="str">
        <f>IFERROR(__xludf.DUMMYFUNCTION("""COMPUTED_VALUE"""),"")</f>
        <v/>
      </c>
      <c r="D168" s="36" t="str">
        <f>IFERROR(__xludf.DUMMYFUNCTION("""COMPUTED_VALUE"""),"")</f>
        <v/>
      </c>
      <c r="E168" s="36" t="str">
        <f>IFERROR(__xludf.DUMMYFUNCTION("""COMPUTED_VALUE"""),"05-28-14-107")</f>
        <v>05-28-14-107</v>
      </c>
      <c r="F168" s="36"/>
      <c r="G168" s="36" t="str">
        <f>IFERROR(__xludf.DUMMYFUNCTION("""COMPUTED_VALUE"""),"Agustín Gómez y Loteo Privado -S")</f>
        <v>Agustín Gómez y Loteo Privado -S</v>
      </c>
      <c r="H168" s="36" t="str">
        <f>IFERROR(__xludf.DUMMYFUNCTION("""COMPUTED_VALUE"""),"")</f>
        <v/>
      </c>
    </row>
    <row r="169">
      <c r="A169" s="36" t="str">
        <f>IFERROR(__xludf.DUMMYFUNCTION("""COMPUTED_VALUE"""),"08-36-02-99")</f>
        <v>08-36-02-99</v>
      </c>
      <c r="B169" s="36" t="str">
        <f>IFERROR(__xludf.DUMMYFUNCTION("""COMPUTED_VALUE"""),"")</f>
        <v/>
      </c>
      <c r="C169" s="36" t="str">
        <f>IFERROR(__xludf.DUMMYFUNCTION("""COMPUTED_VALUE"""),"")</f>
        <v/>
      </c>
      <c r="D169" s="36" t="str">
        <f>IFERROR(__xludf.DUMMYFUNCTION("""COMPUTED_VALUE"""),"")</f>
        <v/>
      </c>
      <c r="E169" s="36" t="str">
        <f>IFERROR(__xludf.DUMMYFUNCTION("""COMPUTED_VALUE"""),"01-61-13-134")</f>
        <v>01-61-13-134</v>
      </c>
      <c r="F169" s="36"/>
      <c r="G169" s="36" t="str">
        <f>IFERROR(__xludf.DUMMYFUNCTION("""COMPUTED_VALUE"""),"Agustín Gómez y Mendoza -E")</f>
        <v>Agustín Gómez y Mendoza -E</v>
      </c>
      <c r="H169" s="36" t="str">
        <f>IFERROR(__xludf.DUMMYFUNCTION("""COMPUTED_VALUE"""),"")</f>
        <v/>
      </c>
    </row>
    <row r="170">
      <c r="A170" s="36" t="str">
        <f>IFERROR(__xludf.DUMMYFUNCTION("""COMPUTED_VALUE"""),"08-38-02-20")</f>
        <v>08-38-02-20</v>
      </c>
      <c r="B170" s="36" t="str">
        <f>IFERROR(__xludf.DUMMYFUNCTION("""COMPUTED_VALUE"""),"")</f>
        <v/>
      </c>
      <c r="C170" s="36" t="str">
        <f>IFERROR(__xludf.DUMMYFUNCTION("""COMPUTED_VALUE"""),"")</f>
        <v/>
      </c>
      <c r="D170" s="36" t="str">
        <f>IFERROR(__xludf.DUMMYFUNCTION("""COMPUTED_VALUE"""),"")</f>
        <v/>
      </c>
      <c r="E170" s="36" t="str">
        <f>IFERROR(__xludf.DUMMYFUNCTION("""COMPUTED_VALUE"""),"01-61-13-133")</f>
        <v>01-61-13-133</v>
      </c>
      <c r="F170" s="36"/>
      <c r="G170" s="36" t="str">
        <f>IFERROR(__xludf.DUMMYFUNCTION("""COMPUTED_VALUE"""),"Agustín Gómez y Mendoza -O")</f>
        <v>Agustín Gómez y Mendoza -O</v>
      </c>
      <c r="H170" s="36" t="str">
        <f>IFERROR(__xludf.DUMMYFUNCTION("""COMPUTED_VALUE"""),"")</f>
        <v/>
      </c>
    </row>
    <row r="171">
      <c r="A171" s="36" t="str">
        <f>IFERROR(__xludf.DUMMYFUNCTION("""COMPUTED_VALUE"""),"08-38-02-21")</f>
        <v>08-38-02-21</v>
      </c>
      <c r="B171" s="36" t="str">
        <f>IFERROR(__xludf.DUMMYFUNCTION("""COMPUTED_VALUE"""),"")</f>
        <v/>
      </c>
      <c r="C171" s="36" t="str">
        <f>IFERROR(__xludf.DUMMYFUNCTION("""COMPUTED_VALUE"""),"")</f>
        <v/>
      </c>
      <c r="D171" s="36" t="str">
        <f>IFERROR(__xludf.DUMMYFUNCTION("""COMPUTED_VALUE"""),"")</f>
        <v/>
      </c>
      <c r="E171" s="36" t="str">
        <f>IFERROR(__xludf.DUMMYFUNCTION("""COMPUTED_VALUE"""),"01-61-13-55A")</f>
        <v>01-61-13-55A</v>
      </c>
      <c r="F171" s="36"/>
      <c r="G171" s="36" t="str">
        <f>IFERROR(__xludf.DUMMYFUNCTION("""COMPUTED_VALUE"""),"Agustín Gómez y Pasaje Peatonal")</f>
        <v>Agustín Gómez y Pasaje Peatonal</v>
      </c>
      <c r="H171" s="36" t="str">
        <f>IFERROR(__xludf.DUMMYFUNCTION("""COMPUTED_VALUE"""),"")</f>
        <v/>
      </c>
    </row>
    <row r="172">
      <c r="A172" s="36" t="str">
        <f>IFERROR(__xludf.DUMMYFUNCTION("""COMPUTED_VALUE"""),"08-38-02-22")</f>
        <v>08-38-02-22</v>
      </c>
      <c r="B172" s="36" t="str">
        <f>IFERROR(__xludf.DUMMYFUNCTION("""COMPUTED_VALUE"""),"")</f>
        <v/>
      </c>
      <c r="C172" s="36" t="str">
        <f>IFERROR(__xludf.DUMMYFUNCTION("""COMPUTED_VALUE"""),"")</f>
        <v/>
      </c>
      <c r="D172" s="36" t="str">
        <f>IFERROR(__xludf.DUMMYFUNCTION("""COMPUTED_VALUE"""),"")</f>
        <v/>
      </c>
      <c r="E172" s="36" t="str">
        <f>IFERROR(__xludf.DUMMYFUNCTION("""COMPUTED_VALUE"""),"04-47-13-477")</f>
        <v>04-47-13-477</v>
      </c>
      <c r="F172" s="36"/>
      <c r="G172" s="36" t="str">
        <f>IFERROR(__xludf.DUMMYFUNCTION("""COMPUTED_VALUE"""),"Agustín Gómez y Proyectada ")</f>
        <v>Agustín Gómez y Proyectada </v>
      </c>
      <c r="H172" s="36" t="str">
        <f>IFERROR(__xludf.DUMMYFUNCTION("""COMPUTED_VALUE"""),"")</f>
        <v/>
      </c>
    </row>
    <row r="173">
      <c r="A173" s="36" t="str">
        <f>IFERROR(__xludf.DUMMYFUNCTION("""COMPUTED_VALUE"""),"08-38-02-23")</f>
        <v>08-38-02-23</v>
      </c>
      <c r="B173" s="36" t="str">
        <f>IFERROR(__xludf.DUMMYFUNCTION("""COMPUTED_VALUE"""),"")</f>
        <v/>
      </c>
      <c r="C173" s="36" t="str">
        <f>IFERROR(__xludf.DUMMYFUNCTION("""COMPUTED_VALUE"""),"")</f>
        <v/>
      </c>
      <c r="D173" s="36" t="str">
        <f>IFERROR(__xludf.DUMMYFUNCTION("""COMPUTED_VALUE"""),"")</f>
        <v/>
      </c>
      <c r="E173" s="36" t="str">
        <f>IFERROR(__xludf.DUMMYFUNCTION("""COMPUTED_VALUE"""),"04-47-13-477A")</f>
        <v>04-47-13-477A</v>
      </c>
      <c r="F173" s="36"/>
      <c r="G173" s="36" t="str">
        <f>IFERROR(__xludf.DUMMYFUNCTION("""COMPUTED_VALUE"""),"Agustín Gómez y Proyectada -S")</f>
        <v>Agustín Gómez y Proyectada -S</v>
      </c>
      <c r="H173" s="36" t="str">
        <f>IFERROR(__xludf.DUMMYFUNCTION("""COMPUTED_VALUE"""),"")</f>
        <v/>
      </c>
    </row>
    <row r="174">
      <c r="A174" s="36" t="str">
        <f>IFERROR(__xludf.DUMMYFUNCTION("""COMPUTED_VALUE"""),"08-38-02-24")</f>
        <v>08-38-02-24</v>
      </c>
      <c r="B174" s="36" t="str">
        <f>IFERROR(__xludf.DUMMYFUNCTION("""COMPUTED_VALUE"""),"")</f>
        <v/>
      </c>
      <c r="C174" s="36" t="str">
        <f>IFERROR(__xludf.DUMMYFUNCTION("""COMPUTED_VALUE"""),"")</f>
        <v/>
      </c>
      <c r="D174" s="36" t="str">
        <f>IFERROR(__xludf.DUMMYFUNCTION("""COMPUTED_VALUE"""),"")</f>
        <v/>
      </c>
      <c r="E174" s="36" t="str">
        <f>IFERROR(__xludf.DUMMYFUNCTION("""COMPUTED_VALUE"""),"04-45-12-17")</f>
        <v>04-45-12-17</v>
      </c>
      <c r="F174" s="36"/>
      <c r="G174" s="36" t="str">
        <f>IFERROR(__xludf.DUMMYFUNCTION("""COMPUTED_VALUE"""),"Agustín Gomez y Rivadavia")</f>
        <v>Agustín Gomez y Rivadavia</v>
      </c>
      <c r="H174" s="36" t="str">
        <f>IFERROR(__xludf.DUMMYFUNCTION("""COMPUTED_VALUE"""),"")</f>
        <v/>
      </c>
    </row>
    <row r="175">
      <c r="A175" s="36" t="str">
        <f>IFERROR(__xludf.DUMMYFUNCTION("""COMPUTED_VALUE"""),"08-38-02-25")</f>
        <v>08-38-02-25</v>
      </c>
      <c r="B175" s="36" t="str">
        <f>IFERROR(__xludf.DUMMYFUNCTION("""COMPUTED_VALUE"""),"")</f>
        <v/>
      </c>
      <c r="C175" s="36" t="str">
        <f>IFERROR(__xludf.DUMMYFUNCTION("""COMPUTED_VALUE"""),"")</f>
        <v/>
      </c>
      <c r="D175" s="36" t="str">
        <f>IFERROR(__xludf.DUMMYFUNCTION("""COMPUTED_VALUE"""),"")</f>
        <v/>
      </c>
      <c r="E175" s="36" t="str">
        <f>IFERROR(__xludf.DUMMYFUNCTION("""COMPUTED_VALUE"""),"04-48-14-105")</f>
        <v>04-48-14-105</v>
      </c>
      <c r="F175" s="36"/>
      <c r="G175" s="36" t="str">
        <f>IFERROR(__xludf.DUMMYFUNCTION("""COMPUTED_VALUE"""),"Agustín Gómez y Ruta 40 -N")</f>
        <v>Agustín Gómez y Ruta 40 -N</v>
      </c>
      <c r="H175" s="36" t="str">
        <f>IFERROR(__xludf.DUMMYFUNCTION("""COMPUTED_VALUE"""),"")</f>
        <v/>
      </c>
    </row>
    <row r="176">
      <c r="A176" s="36" t="str">
        <f>IFERROR(__xludf.DUMMYFUNCTION("""COMPUTED_VALUE"""),"08-38-02-29")</f>
        <v>08-38-02-29</v>
      </c>
      <c r="B176" s="36" t="str">
        <f>IFERROR(__xludf.DUMMYFUNCTION("""COMPUTED_VALUE"""),"")</f>
        <v/>
      </c>
      <c r="C176" s="36" t="str">
        <f>IFERROR(__xludf.DUMMYFUNCTION("""COMPUTED_VALUE"""),"")</f>
        <v/>
      </c>
      <c r="D176" s="36" t="str">
        <f>IFERROR(__xludf.DUMMYFUNCTION("""COMPUTED_VALUE"""),"")</f>
        <v/>
      </c>
      <c r="E176" s="36" t="str">
        <f>IFERROR(__xludf.DUMMYFUNCTION("""COMPUTED_VALUE"""),"05-28-14-106")</f>
        <v>05-28-14-106</v>
      </c>
      <c r="F176" s="36"/>
      <c r="G176" s="36" t="str">
        <f>IFERROR(__xludf.DUMMYFUNCTION("""COMPUTED_VALUE"""),"Agustín Gómez y Ruta 40 -S")</f>
        <v>Agustín Gómez y Ruta 40 -S</v>
      </c>
      <c r="H176" s="36" t="str">
        <f>IFERROR(__xludf.DUMMYFUNCTION("""COMPUTED_VALUE"""),"")</f>
        <v/>
      </c>
    </row>
    <row r="177">
      <c r="A177" s="36" t="str">
        <f>IFERROR(__xludf.DUMMYFUNCTION("""COMPUTED_VALUE"""),"08-38-02-31")</f>
        <v>08-38-02-31</v>
      </c>
      <c r="B177" s="36" t="str">
        <f>IFERROR(__xludf.DUMMYFUNCTION("""COMPUTED_VALUE"""),"")</f>
        <v/>
      </c>
      <c r="C177" s="36" t="str">
        <f>IFERROR(__xludf.DUMMYFUNCTION("""COMPUTED_VALUE"""),"")</f>
        <v/>
      </c>
      <c r="D177" s="36" t="str">
        <f>IFERROR(__xludf.DUMMYFUNCTION("""COMPUTED_VALUE"""),"")</f>
        <v/>
      </c>
      <c r="E177" s="36" t="str">
        <f>IFERROR(__xludf.DUMMYFUNCTION("""COMPUTED_VALUE"""),"02-28-06-96A")</f>
        <v>02-28-06-96A</v>
      </c>
      <c r="F177" s="36"/>
      <c r="G177" s="36" t="str">
        <f>IFERROR(__xludf.DUMMYFUNCTION("""COMPUTED_VALUE"""),"Almirante Brown y Cabildo E")</f>
        <v>Almirante Brown y Cabildo E</v>
      </c>
      <c r="H177" s="36" t="str">
        <f>IFERROR(__xludf.DUMMYFUNCTION("""COMPUTED_VALUE"""),"")</f>
        <v/>
      </c>
    </row>
    <row r="178">
      <c r="A178" s="36" t="str">
        <f>IFERROR(__xludf.DUMMYFUNCTION("""COMPUTED_VALUE"""),"08-38-02-33")</f>
        <v>08-38-02-33</v>
      </c>
      <c r="B178" s="36" t="str">
        <f>IFERROR(__xludf.DUMMYFUNCTION("""COMPUTED_VALUE"""),"")</f>
        <v/>
      </c>
      <c r="C178" s="36" t="str">
        <f>IFERROR(__xludf.DUMMYFUNCTION("""COMPUTED_VALUE"""),"")</f>
        <v/>
      </c>
      <c r="D178" s="36" t="str">
        <f>IFERROR(__xludf.DUMMYFUNCTION("""COMPUTED_VALUE"""),"")</f>
        <v/>
      </c>
      <c r="E178" s="36" t="str">
        <f>IFERROR(__xludf.DUMMYFUNCTION("""COMPUTED_VALUE"""),"02-28-06-96")</f>
        <v>02-28-06-96</v>
      </c>
      <c r="F178" s="36"/>
      <c r="G178" s="36" t="str">
        <f>IFERROR(__xludf.DUMMYFUNCTION("""COMPUTED_VALUE"""),"Almirante Brown y Cabildo O")</f>
        <v>Almirante Brown y Cabildo O</v>
      </c>
      <c r="H178" s="36" t="str">
        <f>IFERROR(__xludf.DUMMYFUNCTION("""COMPUTED_VALUE"""),"")</f>
        <v/>
      </c>
    </row>
    <row r="179">
      <c r="A179" s="36" t="str">
        <f>IFERROR(__xludf.DUMMYFUNCTION("""COMPUTED_VALUE"""),"08-38-02-36")</f>
        <v>08-38-02-36</v>
      </c>
      <c r="B179" s="36" t="str">
        <f>IFERROR(__xludf.DUMMYFUNCTION("""COMPUTED_VALUE"""),"")</f>
        <v/>
      </c>
      <c r="C179" s="36" t="str">
        <f>IFERROR(__xludf.DUMMYFUNCTION("""COMPUTED_VALUE"""),"")</f>
        <v/>
      </c>
      <c r="D179" s="36" t="str">
        <f>IFERROR(__xludf.DUMMYFUNCTION("""COMPUTED_VALUE"""),"")</f>
        <v/>
      </c>
      <c r="E179" s="36" t="str">
        <f>IFERROR(__xludf.DUMMYFUNCTION("""COMPUTED_VALUE"""),"02-28-06-91A")</f>
        <v>02-28-06-91A</v>
      </c>
      <c r="F179" s="36"/>
      <c r="G179" s="36" t="str">
        <f>IFERROR(__xludf.DUMMYFUNCTION("""COMPUTED_VALUE"""),"Almirante Brown y Cervantes E")</f>
        <v>Almirante Brown y Cervantes E</v>
      </c>
      <c r="H179" s="36" t="str">
        <f>IFERROR(__xludf.DUMMYFUNCTION("""COMPUTED_VALUE"""),"")</f>
        <v/>
      </c>
    </row>
    <row r="180">
      <c r="A180" s="36" t="str">
        <f>IFERROR(__xludf.DUMMYFUNCTION("""COMPUTED_VALUE"""),"08-38-02-46")</f>
        <v>08-38-02-46</v>
      </c>
      <c r="B180" s="36" t="str">
        <f>IFERROR(__xludf.DUMMYFUNCTION("""COMPUTED_VALUE"""),"")</f>
        <v/>
      </c>
      <c r="C180" s="36" t="str">
        <f>IFERROR(__xludf.DUMMYFUNCTION("""COMPUTED_VALUE"""),"")</f>
        <v/>
      </c>
      <c r="D180" s="36" t="str">
        <f>IFERROR(__xludf.DUMMYFUNCTION("""COMPUTED_VALUE"""),"")</f>
        <v/>
      </c>
      <c r="E180" s="36" t="str">
        <f>IFERROR(__xludf.DUMMYFUNCTION("""COMPUTED_VALUE"""),"02-28-06-91")</f>
        <v>02-28-06-91</v>
      </c>
      <c r="F180" s="36"/>
      <c r="G180" s="36" t="str">
        <f>IFERROR(__xludf.DUMMYFUNCTION("""COMPUTED_VALUE"""),"Almirante Brown y Cervantes O")</f>
        <v>Almirante Brown y Cervantes O</v>
      </c>
      <c r="H180" s="36" t="str">
        <f>IFERROR(__xludf.DUMMYFUNCTION("""COMPUTED_VALUE"""),"")</f>
        <v/>
      </c>
    </row>
    <row r="181">
      <c r="A181" s="36" t="str">
        <f>IFERROR(__xludf.DUMMYFUNCTION("""COMPUTED_VALUE"""),"08-38-02-47")</f>
        <v>08-38-02-47</v>
      </c>
      <c r="B181" s="36" t="str">
        <f>IFERROR(__xludf.DUMMYFUNCTION("""COMPUTED_VALUE"""),"")</f>
        <v/>
      </c>
      <c r="C181" s="36" t="str">
        <f>IFERROR(__xludf.DUMMYFUNCTION("""COMPUTED_VALUE"""),"")</f>
        <v/>
      </c>
      <c r="D181" s="36" t="str">
        <f>IFERROR(__xludf.DUMMYFUNCTION("""COMPUTED_VALUE"""),"")</f>
        <v/>
      </c>
      <c r="E181" s="36" t="str">
        <f>IFERROR(__xludf.DUMMYFUNCTION("""COMPUTED_VALUE"""),"02-28-06-90B")</f>
        <v>02-28-06-90B</v>
      </c>
      <c r="F181" s="36"/>
      <c r="G181" s="36" t="str">
        <f>IFERROR(__xludf.DUMMYFUNCTION("""COMPUTED_VALUE"""),"Almirante Brown y Laprida E")</f>
        <v>Almirante Brown y Laprida E</v>
      </c>
      <c r="H181" s="36" t="str">
        <f>IFERROR(__xludf.DUMMYFUNCTION("""COMPUTED_VALUE"""),"")</f>
        <v/>
      </c>
    </row>
    <row r="182">
      <c r="A182" s="36" t="str">
        <f>IFERROR(__xludf.DUMMYFUNCTION("""COMPUTED_VALUE"""),"08-38-02-47A")</f>
        <v>08-38-02-47A</v>
      </c>
      <c r="B182" s="36" t="str">
        <f>IFERROR(__xludf.DUMMYFUNCTION("""COMPUTED_VALUE"""),"")</f>
        <v/>
      </c>
      <c r="C182" s="36" t="str">
        <f>IFERROR(__xludf.DUMMYFUNCTION("""COMPUTED_VALUE"""),"")</f>
        <v/>
      </c>
      <c r="D182" s="36" t="str">
        <f>IFERROR(__xludf.DUMMYFUNCTION("""COMPUTED_VALUE"""),"")</f>
        <v/>
      </c>
      <c r="E182" s="36" t="str">
        <f>IFERROR(__xludf.DUMMYFUNCTION("""COMPUTED_VALUE"""),"02-28-06-90")</f>
        <v>02-28-06-90</v>
      </c>
      <c r="F182" s="36"/>
      <c r="G182" s="36" t="str">
        <f>IFERROR(__xludf.DUMMYFUNCTION("""COMPUTED_VALUE"""),"Almirante Brown y Laprida O")</f>
        <v>Almirante Brown y Laprida O</v>
      </c>
      <c r="H182" s="36" t="str">
        <f>IFERROR(__xludf.DUMMYFUNCTION("""COMPUTED_VALUE"""),"")</f>
        <v/>
      </c>
    </row>
    <row r="183">
      <c r="A183" s="36" t="str">
        <f>IFERROR(__xludf.DUMMYFUNCTION("""COMPUTED_VALUE"""),"08-40-02-10")</f>
        <v>08-40-02-10</v>
      </c>
      <c r="B183" s="36" t="str">
        <f>IFERROR(__xludf.DUMMYFUNCTION("""COMPUTED_VALUE"""),"")</f>
        <v/>
      </c>
      <c r="C183" s="36" t="str">
        <f>IFERROR(__xludf.DUMMYFUNCTION("""COMPUTED_VALUE"""),"")</f>
        <v/>
      </c>
      <c r="D183" s="36" t="str">
        <f>IFERROR(__xludf.DUMMYFUNCTION("""COMPUTED_VALUE"""),"")</f>
        <v/>
      </c>
      <c r="E183" s="36" t="str">
        <f>IFERROR(__xludf.DUMMYFUNCTION("""COMPUTED_VALUE"""),"02-28-06-92C")</f>
        <v>02-28-06-92C</v>
      </c>
      <c r="F183" s="36"/>
      <c r="G183" s="36" t="str">
        <f>IFERROR(__xludf.DUMMYFUNCTION("""COMPUTED_VALUE"""),"Almirante Brown y Roque Sáenz Peña E")</f>
        <v>Almirante Brown y Roque Sáenz Peña E</v>
      </c>
      <c r="H183" s="36" t="str">
        <f>IFERROR(__xludf.DUMMYFUNCTION("""COMPUTED_VALUE"""),"")</f>
        <v/>
      </c>
    </row>
    <row r="184">
      <c r="A184" s="36" t="str">
        <f>IFERROR(__xludf.DUMMYFUNCTION("""COMPUTED_VALUE"""),"08-40-02-11")</f>
        <v>08-40-02-11</v>
      </c>
      <c r="B184" s="36" t="str">
        <f>IFERROR(__xludf.DUMMYFUNCTION("""COMPUTED_VALUE"""),"")</f>
        <v/>
      </c>
      <c r="C184" s="36" t="str">
        <f>IFERROR(__xludf.DUMMYFUNCTION("""COMPUTED_VALUE"""),"")</f>
        <v/>
      </c>
      <c r="D184" s="36" t="str">
        <f>IFERROR(__xludf.DUMMYFUNCTION("""COMPUTED_VALUE"""),"")</f>
        <v/>
      </c>
      <c r="E184" s="36" t="str">
        <f>IFERROR(__xludf.DUMMYFUNCTION("""COMPUTED_VALUE"""),"02-28-06-92")</f>
        <v>02-28-06-92</v>
      </c>
      <c r="F184" s="36"/>
      <c r="G184" s="36" t="str">
        <f>IFERROR(__xludf.DUMMYFUNCTION("""COMPUTED_VALUE"""),"Almirante Brown y Roque Sáenz Peña O")</f>
        <v>Almirante Brown y Roque Sáenz Peña O</v>
      </c>
      <c r="H184" s="36" t="str">
        <f>IFERROR(__xludf.DUMMYFUNCTION("""COMPUTED_VALUE"""),"")</f>
        <v/>
      </c>
    </row>
    <row r="185">
      <c r="A185" s="36" t="str">
        <f>IFERROR(__xludf.DUMMYFUNCTION("""COMPUTED_VALUE"""),"08-40-02-110")</f>
        <v>08-40-02-110</v>
      </c>
      <c r="B185" s="36" t="str">
        <f>IFERROR(__xludf.DUMMYFUNCTION("""COMPUTED_VALUE"""),"")</f>
        <v/>
      </c>
      <c r="C185" s="36" t="str">
        <f>IFERROR(__xludf.DUMMYFUNCTION("""COMPUTED_VALUE"""),"")</f>
        <v/>
      </c>
      <c r="D185" s="36" t="str">
        <f>IFERROR(__xludf.DUMMYFUNCTION("""COMPUTED_VALUE"""),"")</f>
        <v/>
      </c>
      <c r="E185" s="36" t="str">
        <f>IFERROR(__xludf.DUMMYFUNCTION("""COMPUTED_VALUE"""),"03-22-10-84A")</f>
        <v>03-22-10-84A</v>
      </c>
      <c r="F185" s="36"/>
      <c r="G185" s="36" t="str">
        <f>IFERROR(__xludf.DUMMYFUNCTION("""COMPUTED_VALUE"""),"Alvear y Argentina Este")</f>
        <v>Alvear y Argentina Este</v>
      </c>
      <c r="H185" s="36" t="str">
        <f>IFERROR(__xludf.DUMMYFUNCTION("""COMPUTED_VALUE"""),"")</f>
        <v/>
      </c>
    </row>
    <row r="186">
      <c r="A186" s="36" t="str">
        <f>IFERROR(__xludf.DUMMYFUNCTION("""COMPUTED_VALUE"""),"08-40-02-12")</f>
        <v>08-40-02-12</v>
      </c>
      <c r="B186" s="36" t="str">
        <f>IFERROR(__xludf.DUMMYFUNCTION("""COMPUTED_VALUE"""),"")</f>
        <v/>
      </c>
      <c r="C186" s="36" t="str">
        <f>IFERROR(__xludf.DUMMYFUNCTION("""COMPUTED_VALUE"""),"")</f>
        <v/>
      </c>
      <c r="D186" s="36" t="str">
        <f>IFERROR(__xludf.DUMMYFUNCTION("""COMPUTED_VALUE"""),"")</f>
        <v/>
      </c>
      <c r="E186" s="36" t="str">
        <f>IFERROR(__xludf.DUMMYFUNCTION("""COMPUTED_VALUE"""),"03-24-10-84B")</f>
        <v>03-24-10-84B</v>
      </c>
      <c r="F186" s="36"/>
      <c r="G186" s="36" t="str">
        <f>IFERROR(__xludf.DUMMYFUNCTION("""COMPUTED_VALUE"""),"Alvear y Argentina Oeste")</f>
        <v>Alvear y Argentina Oeste</v>
      </c>
      <c r="H186" s="36" t="str">
        <f>IFERROR(__xludf.DUMMYFUNCTION("""COMPUTED_VALUE"""),"")</f>
        <v/>
      </c>
    </row>
    <row r="187">
      <c r="A187" s="36" t="str">
        <f>IFERROR(__xludf.DUMMYFUNCTION("""COMPUTED_VALUE"""),"08-40-02-120")</f>
        <v>08-40-02-120</v>
      </c>
      <c r="B187" s="36" t="str">
        <f>IFERROR(__xludf.DUMMYFUNCTION("""COMPUTED_VALUE"""),"")</f>
        <v/>
      </c>
      <c r="C187" s="36" t="str">
        <f>IFERROR(__xludf.DUMMYFUNCTION("""COMPUTED_VALUE"""),"")</f>
        <v/>
      </c>
      <c r="D187" s="36" t="str">
        <f>IFERROR(__xludf.DUMMYFUNCTION("""COMPUTED_VALUE"""),"")</f>
        <v/>
      </c>
      <c r="E187" s="36" t="str">
        <f>IFERROR(__xludf.DUMMYFUNCTION("""COMPUTED_VALUE"""),"03-24-04-2")</f>
        <v>03-24-04-2</v>
      </c>
      <c r="F187" s="36"/>
      <c r="G187" s="36" t="str">
        <f>IFERROR(__xludf.DUMMYFUNCTION("""COMPUTED_VALUE"""),"Alvear y Av. N. Benavídez")</f>
        <v>Alvear y Av. N. Benavídez</v>
      </c>
      <c r="H187" s="36" t="str">
        <f>IFERROR(__xludf.DUMMYFUNCTION("""COMPUTED_VALUE"""),"")</f>
        <v/>
      </c>
    </row>
    <row r="188">
      <c r="A188" s="36" t="str">
        <f>IFERROR(__xludf.DUMMYFUNCTION("""COMPUTED_VALUE"""),"08-40-02-122")</f>
        <v>08-40-02-122</v>
      </c>
      <c r="B188" s="36" t="str">
        <f>IFERROR(__xludf.DUMMYFUNCTION("""COMPUTED_VALUE"""),"")</f>
        <v/>
      </c>
      <c r="C188" s="36" t="str">
        <f>IFERROR(__xludf.DUMMYFUNCTION("""COMPUTED_VALUE"""),"")</f>
        <v/>
      </c>
      <c r="D188" s="36" t="str">
        <f>IFERROR(__xludf.DUMMYFUNCTION("""COMPUTED_VALUE"""),"")</f>
        <v/>
      </c>
      <c r="E188" s="36" t="str">
        <f>IFERROR(__xludf.DUMMYFUNCTION("""COMPUTED_VALUE"""),"03-24-10-81B")</f>
        <v>03-24-10-81B</v>
      </c>
      <c r="F188" s="36"/>
      <c r="G188" s="36" t="str">
        <f>IFERROR(__xludf.DUMMYFUNCTION("""COMPUTED_VALUE"""),"Alvear y Cordillera de los Andes Este")</f>
        <v>Alvear y Cordillera de los Andes Este</v>
      </c>
      <c r="H188" s="36" t="str">
        <f>IFERROR(__xludf.DUMMYFUNCTION("""COMPUTED_VALUE"""),"")</f>
        <v/>
      </c>
    </row>
    <row r="189">
      <c r="A189" s="36" t="str">
        <f>IFERROR(__xludf.DUMMYFUNCTION("""COMPUTED_VALUE"""),"08-40-02-123")</f>
        <v>08-40-02-123</v>
      </c>
      <c r="B189" s="36" t="str">
        <f>IFERROR(__xludf.DUMMYFUNCTION("""COMPUTED_VALUE"""),"")</f>
        <v/>
      </c>
      <c r="C189" s="36" t="str">
        <f>IFERROR(__xludf.DUMMYFUNCTION("""COMPUTED_VALUE"""),"")</f>
        <v/>
      </c>
      <c r="D189" s="36" t="str">
        <f>IFERROR(__xludf.DUMMYFUNCTION("""COMPUTED_VALUE"""),"")</f>
        <v/>
      </c>
      <c r="E189" s="36" t="str">
        <f>IFERROR(__xludf.DUMMYFUNCTION("""COMPUTED_VALUE"""),"03-22-10-81A")</f>
        <v>03-22-10-81A</v>
      </c>
      <c r="F189" s="36"/>
      <c r="G189" s="36" t="str">
        <f>IFERROR(__xludf.DUMMYFUNCTION("""COMPUTED_VALUE"""),"Alvear y Cordillera de los Andes Oeste")</f>
        <v>Alvear y Cordillera de los Andes Oeste</v>
      </c>
      <c r="H189" s="36" t="str">
        <f>IFERROR(__xludf.DUMMYFUNCTION("""COMPUTED_VALUE"""),"")</f>
        <v/>
      </c>
    </row>
    <row r="190">
      <c r="A190" s="36" t="str">
        <f>IFERROR(__xludf.DUMMYFUNCTION("""COMPUTED_VALUE"""),"08-40-02-124")</f>
        <v>08-40-02-124</v>
      </c>
      <c r="B190" s="36" t="str">
        <f>IFERROR(__xludf.DUMMYFUNCTION("""COMPUTED_VALUE"""),"")</f>
        <v/>
      </c>
      <c r="C190" s="36" t="str">
        <f>IFERROR(__xludf.DUMMYFUNCTION("""COMPUTED_VALUE"""),"")</f>
        <v/>
      </c>
      <c r="D190" s="36" t="str">
        <f>IFERROR(__xludf.DUMMYFUNCTION("""COMPUTED_VALUE"""),"")</f>
        <v/>
      </c>
      <c r="E190" s="36" t="str">
        <f>IFERROR(__xludf.DUMMYFUNCTION("""COMPUTED_VALUE"""),"03-22-10-83A")</f>
        <v>03-22-10-83A</v>
      </c>
      <c r="F190" s="36"/>
      <c r="G190" s="36" t="str">
        <f>IFERROR(__xludf.DUMMYFUNCTION("""COMPUTED_VALUE"""),"Alvear y Gutierrez Este")</f>
        <v>Alvear y Gutierrez Este</v>
      </c>
      <c r="H190" s="36" t="str">
        <f>IFERROR(__xludf.DUMMYFUNCTION("""COMPUTED_VALUE"""),"")</f>
        <v/>
      </c>
    </row>
    <row r="191">
      <c r="A191" s="36" t="str">
        <f>IFERROR(__xludf.DUMMYFUNCTION("""COMPUTED_VALUE"""),"08-40-02-125")</f>
        <v>08-40-02-125</v>
      </c>
      <c r="B191" s="36" t="str">
        <f>IFERROR(__xludf.DUMMYFUNCTION("""COMPUTED_VALUE"""),"")</f>
        <v/>
      </c>
      <c r="C191" s="36" t="str">
        <f>IFERROR(__xludf.DUMMYFUNCTION("""COMPUTED_VALUE"""),"")</f>
        <v/>
      </c>
      <c r="D191" s="36" t="str">
        <f>IFERROR(__xludf.DUMMYFUNCTION("""COMPUTED_VALUE"""),"")</f>
        <v/>
      </c>
      <c r="E191" s="36" t="str">
        <f>IFERROR(__xludf.DUMMYFUNCTION("""COMPUTED_VALUE"""),"03-24-10-83B")</f>
        <v>03-24-10-83B</v>
      </c>
      <c r="F191" s="36"/>
      <c r="G191" s="36" t="str">
        <f>IFERROR(__xludf.DUMMYFUNCTION("""COMPUTED_VALUE"""),"Alvear y Gutierrez Oeste")</f>
        <v>Alvear y Gutierrez Oeste</v>
      </c>
      <c r="H191" s="36" t="str">
        <f>IFERROR(__xludf.DUMMYFUNCTION("""COMPUTED_VALUE"""),"")</f>
        <v/>
      </c>
    </row>
    <row r="192">
      <c r="A192" s="36" t="str">
        <f>IFERROR(__xludf.DUMMYFUNCTION("""COMPUTED_VALUE"""),"08-40-02-126")</f>
        <v>08-40-02-126</v>
      </c>
      <c r="B192" s="36" t="str">
        <f>IFERROR(__xludf.DUMMYFUNCTION("""COMPUTED_VALUE"""),"")</f>
        <v/>
      </c>
      <c r="C192" s="36" t="str">
        <f>IFERROR(__xludf.DUMMYFUNCTION("""COMPUTED_VALUE"""),"")</f>
        <v/>
      </c>
      <c r="D192" s="36" t="str">
        <f>IFERROR(__xludf.DUMMYFUNCTION("""COMPUTED_VALUE"""),"")</f>
        <v/>
      </c>
      <c r="E192" s="36" t="str">
        <f>IFERROR(__xludf.DUMMYFUNCTION("""COMPUTED_VALUE"""),"03-24-10-82B")</f>
        <v>03-24-10-82B</v>
      </c>
      <c r="F192" s="36"/>
      <c r="G192" s="36" t="str">
        <f>IFERROR(__xludf.DUMMYFUNCTION("""COMPUTED_VALUE"""),"Alvear y Proyectada Este")</f>
        <v>Alvear y Proyectada Este</v>
      </c>
      <c r="H192" s="36" t="str">
        <f>IFERROR(__xludf.DUMMYFUNCTION("""COMPUTED_VALUE"""),"")</f>
        <v/>
      </c>
    </row>
    <row r="193">
      <c r="A193" s="36" t="str">
        <f>IFERROR(__xludf.DUMMYFUNCTION("""COMPUTED_VALUE"""),"08-40-02-127")</f>
        <v>08-40-02-127</v>
      </c>
      <c r="B193" s="36" t="str">
        <f>IFERROR(__xludf.DUMMYFUNCTION("""COMPUTED_VALUE"""),"")</f>
        <v/>
      </c>
      <c r="C193" s="36" t="str">
        <f>IFERROR(__xludf.DUMMYFUNCTION("""COMPUTED_VALUE"""),"")</f>
        <v/>
      </c>
      <c r="D193" s="36" t="str">
        <f>IFERROR(__xludf.DUMMYFUNCTION("""COMPUTED_VALUE"""),"")</f>
        <v/>
      </c>
      <c r="E193" s="36" t="str">
        <f>IFERROR(__xludf.DUMMYFUNCTION("""COMPUTED_VALUE"""),"03-22-10-82A")</f>
        <v>03-22-10-82A</v>
      </c>
      <c r="F193" s="36"/>
      <c r="G193" s="36" t="str">
        <f>IFERROR(__xludf.DUMMYFUNCTION("""COMPUTED_VALUE"""),"Alvear y Proyectada Oeste")</f>
        <v>Alvear y Proyectada Oeste</v>
      </c>
      <c r="H193" s="36" t="str">
        <f>IFERROR(__xludf.DUMMYFUNCTION("""COMPUTED_VALUE"""),"")</f>
        <v/>
      </c>
    </row>
    <row r="194">
      <c r="A194" s="36" t="str">
        <f>IFERROR(__xludf.DUMMYFUNCTION("""COMPUTED_VALUE"""),"08-40-02-128")</f>
        <v>08-40-02-128</v>
      </c>
      <c r="B194" s="36" t="str">
        <f>IFERROR(__xludf.DUMMYFUNCTION("""COMPUTED_VALUE"""),"")</f>
        <v/>
      </c>
      <c r="C194" s="36" t="str">
        <f>IFERROR(__xludf.DUMMYFUNCTION("""COMPUTED_VALUE"""),"")</f>
        <v/>
      </c>
      <c r="D194" s="36" t="str">
        <f>IFERROR(__xludf.DUMMYFUNCTION("""COMPUTED_VALUE"""),"")</f>
        <v/>
      </c>
      <c r="E194" s="36" t="str">
        <f>IFERROR(__xludf.DUMMYFUNCTION("""COMPUTED_VALUE"""),"02-30-06-39A")</f>
        <v>02-30-06-39A</v>
      </c>
      <c r="F194" s="36"/>
      <c r="G194" s="36" t="str">
        <f>IFERROR(__xludf.DUMMYFUNCTION("""COMPUTED_VALUE"""),"Amable Jones y Cornelio Saavedra N")</f>
        <v>Amable Jones y Cornelio Saavedra N</v>
      </c>
      <c r="H194" s="36" t="str">
        <f>IFERROR(__xludf.DUMMYFUNCTION("""COMPUTED_VALUE"""),"")</f>
        <v/>
      </c>
    </row>
    <row r="195">
      <c r="A195" s="36" t="str">
        <f>IFERROR(__xludf.DUMMYFUNCTION("""COMPUTED_VALUE"""),"08-40-02-129")</f>
        <v>08-40-02-129</v>
      </c>
      <c r="B195" s="36" t="str">
        <f>IFERROR(__xludf.DUMMYFUNCTION("""COMPUTED_VALUE"""),"")</f>
        <v/>
      </c>
      <c r="C195" s="36" t="str">
        <f>IFERROR(__xludf.DUMMYFUNCTION("""COMPUTED_VALUE"""),"")</f>
        <v/>
      </c>
      <c r="D195" s="36" t="str">
        <f>IFERROR(__xludf.DUMMYFUNCTION("""COMPUTED_VALUE"""),"")</f>
        <v/>
      </c>
      <c r="E195" s="36" t="str">
        <f>IFERROR(__xludf.DUMMYFUNCTION("""COMPUTED_VALUE"""),"02-30-06-39")</f>
        <v>02-30-06-39</v>
      </c>
      <c r="F195" s="36"/>
      <c r="G195" s="36" t="str">
        <f>IFERROR(__xludf.DUMMYFUNCTION("""COMPUTED_VALUE"""),"Amable Jones y Cornelio Saavedra S")</f>
        <v>Amable Jones y Cornelio Saavedra S</v>
      </c>
      <c r="H195" s="36" t="str">
        <f>IFERROR(__xludf.DUMMYFUNCTION("""COMPUTED_VALUE"""),"")</f>
        <v/>
      </c>
    </row>
    <row r="196">
      <c r="A196" s="36" t="str">
        <f>IFERROR(__xludf.DUMMYFUNCTION("""COMPUTED_VALUE"""),"08-40-02-13")</f>
        <v>08-40-02-13</v>
      </c>
      <c r="B196" s="36" t="str">
        <f>IFERROR(__xludf.DUMMYFUNCTION("""COMPUTED_VALUE"""),"")</f>
        <v/>
      </c>
      <c r="C196" s="36" t="str">
        <f>IFERROR(__xludf.DUMMYFUNCTION("""COMPUTED_VALUE"""),"")</f>
        <v/>
      </c>
      <c r="D196" s="36" t="str">
        <f>IFERROR(__xludf.DUMMYFUNCTION("""COMPUTED_VALUE"""),"")</f>
        <v/>
      </c>
      <c r="E196" s="36" t="str">
        <f>IFERROR(__xludf.DUMMYFUNCTION("""COMPUTED_VALUE"""),"02-30-06-38A")</f>
        <v>02-30-06-38A</v>
      </c>
      <c r="F196" s="36"/>
      <c r="G196" s="36" t="str">
        <f>IFERROR(__xludf.DUMMYFUNCTION("""COMPUTED_VALUE"""),"Amable Jones y Jujuy N")</f>
        <v>Amable Jones y Jujuy N</v>
      </c>
      <c r="H196" s="36" t="str">
        <f>IFERROR(__xludf.DUMMYFUNCTION("""COMPUTED_VALUE"""),"")</f>
        <v/>
      </c>
    </row>
    <row r="197">
      <c r="A197" s="36" t="str">
        <f>IFERROR(__xludf.DUMMYFUNCTION("""COMPUTED_VALUE"""),"08-40-02-130")</f>
        <v>08-40-02-130</v>
      </c>
      <c r="B197" s="36" t="str">
        <f>IFERROR(__xludf.DUMMYFUNCTION("""COMPUTED_VALUE"""),"")</f>
        <v/>
      </c>
      <c r="C197" s="36" t="str">
        <f>IFERROR(__xludf.DUMMYFUNCTION("""COMPUTED_VALUE"""),"")</f>
        <v/>
      </c>
      <c r="D197" s="36" t="str">
        <f>IFERROR(__xludf.DUMMYFUNCTION("""COMPUTED_VALUE"""),"")</f>
        <v/>
      </c>
      <c r="E197" s="36" t="str">
        <f>IFERROR(__xludf.DUMMYFUNCTION("""COMPUTED_VALUE"""),"02-30-06-38")</f>
        <v>02-30-06-38</v>
      </c>
      <c r="F197" s="36"/>
      <c r="G197" s="36" t="str">
        <f>IFERROR(__xludf.DUMMYFUNCTION("""COMPUTED_VALUE"""),"Amable Jones y Jujuy S")</f>
        <v>Amable Jones y Jujuy S</v>
      </c>
      <c r="H197" s="36" t="str">
        <f>IFERROR(__xludf.DUMMYFUNCTION("""COMPUTED_VALUE"""),"")</f>
        <v/>
      </c>
    </row>
    <row r="198">
      <c r="A198" s="36" t="str">
        <f>IFERROR(__xludf.DUMMYFUNCTION("""COMPUTED_VALUE"""),"08-40-02-14")</f>
        <v>08-40-02-14</v>
      </c>
      <c r="B198" s="36" t="str">
        <f>IFERROR(__xludf.DUMMYFUNCTION("""COMPUTED_VALUE"""),"")</f>
        <v/>
      </c>
      <c r="C198" s="36" t="str">
        <f>IFERROR(__xludf.DUMMYFUNCTION("""COMPUTED_VALUE"""),"")</f>
        <v/>
      </c>
      <c r="D198" s="36" t="str">
        <f>IFERROR(__xludf.DUMMYFUNCTION("""COMPUTED_VALUE"""),"")</f>
        <v/>
      </c>
      <c r="E198" s="36" t="str">
        <f>IFERROR(__xludf.DUMMYFUNCTION("""COMPUTED_VALUE"""),"02-30-06-37")</f>
        <v>02-30-06-37</v>
      </c>
      <c r="F198" s="36"/>
      <c r="G198" s="36" t="str">
        <f>IFERROR(__xludf.DUMMYFUNCTION("""COMPUTED_VALUE"""),"Amable Jones y Sta. María de Oro")</f>
        <v>Amable Jones y Sta. María de Oro</v>
      </c>
      <c r="H198" s="36" t="str">
        <f>IFERROR(__xludf.DUMMYFUNCTION("""COMPUTED_VALUE"""),"")</f>
        <v/>
      </c>
    </row>
    <row r="199">
      <c r="A199" s="36" t="str">
        <f>IFERROR(__xludf.DUMMYFUNCTION("""COMPUTED_VALUE"""),"08-40-02-16")</f>
        <v>08-40-02-16</v>
      </c>
      <c r="B199" s="36" t="str">
        <f>IFERROR(__xludf.DUMMYFUNCTION("""COMPUTED_VALUE"""),"")</f>
        <v/>
      </c>
      <c r="C199" s="36" t="str">
        <f>IFERROR(__xludf.DUMMYFUNCTION("""COMPUTED_VALUE"""),"")</f>
        <v/>
      </c>
      <c r="D199" s="36" t="str">
        <f>IFERROR(__xludf.DUMMYFUNCTION("""COMPUTED_VALUE"""),"")</f>
        <v/>
      </c>
      <c r="E199" s="36" t="str">
        <f>IFERROR(__xludf.DUMMYFUNCTION("""COMPUTED_VALUE"""),"08-44-03-36")</f>
        <v>08-44-03-36</v>
      </c>
      <c r="F199" s="36"/>
      <c r="G199" s="36" t="str">
        <f>IFERROR(__xludf.DUMMYFUNCTION("""COMPUTED_VALUE"""),"Ameghino Urquiza")</f>
        <v>Ameghino Urquiza</v>
      </c>
      <c r="H199" s="36" t="str">
        <f>IFERROR(__xludf.DUMMYFUNCTION("""COMPUTED_VALUE"""),"")</f>
        <v/>
      </c>
    </row>
    <row r="200">
      <c r="A200" s="36" t="str">
        <f>IFERROR(__xludf.DUMMYFUNCTION("""COMPUTED_VALUE"""),"08-40-02-17")</f>
        <v>08-40-02-17</v>
      </c>
      <c r="B200" s="36" t="str">
        <f>IFERROR(__xludf.DUMMYFUNCTION("""COMPUTED_VALUE"""),"")</f>
        <v/>
      </c>
      <c r="C200" s="36" t="str">
        <f>IFERROR(__xludf.DUMMYFUNCTION("""COMPUTED_VALUE"""),"")</f>
        <v/>
      </c>
      <c r="D200" s="36" t="str">
        <f>IFERROR(__xludf.DUMMYFUNCTION("""COMPUTED_VALUE"""),"")</f>
        <v/>
      </c>
      <c r="E200" s="36" t="str">
        <f>IFERROR(__xludf.DUMMYFUNCTION("""COMPUTED_VALUE"""),"02-42-11-32")</f>
        <v>02-42-11-32</v>
      </c>
      <c r="F200" s="36"/>
      <c r="G200" s="36" t="str">
        <f>IFERROR(__xludf.DUMMYFUNCTION("""COMPUTED_VALUE"""),"Anexo Esc. Diógenes Perramon Norte")</f>
        <v>Anexo Esc. Diógenes Perramon Norte</v>
      </c>
      <c r="H200" s="36" t="str">
        <f>IFERROR(__xludf.DUMMYFUNCTION("""COMPUTED_VALUE"""),"")</f>
        <v/>
      </c>
    </row>
    <row r="201">
      <c r="A201" s="36" t="str">
        <f>IFERROR(__xludf.DUMMYFUNCTION("""COMPUTED_VALUE"""),"08-40-02-18")</f>
        <v>08-40-02-18</v>
      </c>
      <c r="B201" s="36" t="str">
        <f>IFERROR(__xludf.DUMMYFUNCTION("""COMPUTED_VALUE"""),"")</f>
        <v/>
      </c>
      <c r="C201" s="36" t="str">
        <f>IFERROR(__xludf.DUMMYFUNCTION("""COMPUTED_VALUE"""),"")</f>
        <v/>
      </c>
      <c r="D201" s="36" t="str">
        <f>IFERROR(__xludf.DUMMYFUNCTION("""COMPUTED_VALUE"""),"")</f>
        <v/>
      </c>
      <c r="E201" s="36" t="str">
        <f>IFERROR(__xludf.DUMMYFUNCTION("""COMPUTED_VALUE"""),"02-42-11-32A")</f>
        <v>02-42-11-32A</v>
      </c>
      <c r="F201" s="36"/>
      <c r="G201" s="36" t="str">
        <f>IFERROR(__xludf.DUMMYFUNCTION("""COMPUTED_VALUE"""),"Anexo Esc. Diógenes Perramon Sur")</f>
        <v>Anexo Esc. Diógenes Perramon Sur</v>
      </c>
      <c r="H201" s="36" t="str">
        <f>IFERROR(__xludf.DUMMYFUNCTION("""COMPUTED_VALUE"""),"")</f>
        <v/>
      </c>
    </row>
    <row r="202">
      <c r="A202" s="36" t="str">
        <f>IFERROR(__xludf.DUMMYFUNCTION("""COMPUTED_VALUE"""),"08-40-02-19")</f>
        <v>08-40-02-19</v>
      </c>
      <c r="B202" s="36" t="str">
        <f>IFERROR(__xludf.DUMMYFUNCTION("""COMPUTED_VALUE"""),"")</f>
        <v/>
      </c>
      <c r="C202" s="36" t="str">
        <f>IFERROR(__xludf.DUMMYFUNCTION("""COMPUTED_VALUE"""),"")</f>
        <v/>
      </c>
      <c r="D202" s="36" t="str">
        <f>IFERROR(__xludf.DUMMYFUNCTION("""COMPUTED_VALUE"""),"")</f>
        <v/>
      </c>
      <c r="E202" s="36" t="str">
        <f>IFERROR(__xludf.DUMMYFUNCTION("""COMPUTED_VALUE"""),"03-22-10-70B")</f>
        <v>03-22-10-70B</v>
      </c>
      <c r="F202" s="36"/>
      <c r="G202" s="36" t="str">
        <f>IFERROR(__xludf.DUMMYFUNCTION("""COMPUTED_VALUE"""),"Angualasto y Calle Sin Nombre Este")</f>
        <v>Angualasto y Calle Sin Nombre Este</v>
      </c>
      <c r="H202" s="36" t="str">
        <f>IFERROR(__xludf.DUMMYFUNCTION("""COMPUTED_VALUE"""),"")</f>
        <v/>
      </c>
    </row>
    <row r="203">
      <c r="A203" s="36" t="str">
        <f>IFERROR(__xludf.DUMMYFUNCTION("""COMPUTED_VALUE"""),"08-40-02-1A")</f>
        <v>08-40-02-1A</v>
      </c>
      <c r="B203" s="36" t="str">
        <f>IFERROR(__xludf.DUMMYFUNCTION("""COMPUTED_VALUE"""),"")</f>
        <v/>
      </c>
      <c r="C203" s="36" t="str">
        <f>IFERROR(__xludf.DUMMYFUNCTION("""COMPUTED_VALUE"""),"")</f>
        <v/>
      </c>
      <c r="D203" s="36" t="str">
        <f>IFERROR(__xludf.DUMMYFUNCTION("""COMPUTED_VALUE"""),"")</f>
        <v/>
      </c>
      <c r="E203" s="36" t="str">
        <f>IFERROR(__xludf.DUMMYFUNCTION("""COMPUTED_VALUE"""),"03-30-10-70A")</f>
        <v>03-30-10-70A</v>
      </c>
      <c r="F203" s="36"/>
      <c r="G203" s="36" t="str">
        <f>IFERROR(__xludf.DUMMYFUNCTION("""COMPUTED_VALUE"""),"Angualasto y Calle Sin Nombre Oeste")</f>
        <v>Angualasto y Calle Sin Nombre Oeste</v>
      </c>
      <c r="H203" s="36" t="str">
        <f>IFERROR(__xludf.DUMMYFUNCTION("""COMPUTED_VALUE"""),"")</f>
        <v/>
      </c>
    </row>
    <row r="204">
      <c r="A204" s="36" t="str">
        <f>IFERROR(__xludf.DUMMYFUNCTION("""COMPUTED_VALUE"""),"08-40-02-27")</f>
        <v>08-40-02-27</v>
      </c>
      <c r="B204" s="36" t="str">
        <f>IFERROR(__xludf.DUMMYFUNCTION("""COMPUTED_VALUE"""),"")</f>
        <v/>
      </c>
      <c r="C204" s="36" t="str">
        <f>IFERROR(__xludf.DUMMYFUNCTION("""COMPUTED_VALUE"""),"")</f>
        <v/>
      </c>
      <c r="D204" s="36" t="str">
        <f>IFERROR(__xludf.DUMMYFUNCTION("""COMPUTED_VALUE"""),"")</f>
        <v/>
      </c>
      <c r="E204" s="36" t="str">
        <f>IFERROR(__xludf.DUMMYFUNCTION("""COMPUTED_VALUE"""),"03-22-10-72B")</f>
        <v>03-22-10-72B</v>
      </c>
      <c r="F204" s="36"/>
      <c r="G204" s="36" t="str">
        <f>IFERROR(__xludf.DUMMYFUNCTION("""COMPUTED_VALUE"""),"Angualasto y Chile Este")</f>
        <v>Angualasto y Chile Este</v>
      </c>
      <c r="H204" s="36" t="str">
        <f>IFERROR(__xludf.DUMMYFUNCTION("""COMPUTED_VALUE"""),"")</f>
        <v/>
      </c>
    </row>
    <row r="205">
      <c r="A205" s="36" t="str">
        <f>IFERROR(__xludf.DUMMYFUNCTION("""COMPUTED_VALUE"""),"08-40-02-3")</f>
        <v>08-40-02-3</v>
      </c>
      <c r="B205" s="36" t="str">
        <f>IFERROR(__xludf.DUMMYFUNCTION("""COMPUTED_VALUE"""),"")</f>
        <v/>
      </c>
      <c r="C205" s="36" t="str">
        <f>IFERROR(__xludf.DUMMYFUNCTION("""COMPUTED_VALUE"""),"")</f>
        <v/>
      </c>
      <c r="D205" s="36" t="str">
        <f>IFERROR(__xludf.DUMMYFUNCTION("""COMPUTED_VALUE"""),"")</f>
        <v/>
      </c>
      <c r="E205" s="36" t="str">
        <f>IFERROR(__xludf.DUMMYFUNCTION("""COMPUTED_VALUE"""),"03-22-10-72A")</f>
        <v>03-22-10-72A</v>
      </c>
      <c r="F205" s="36"/>
      <c r="G205" s="36" t="str">
        <f>IFERROR(__xludf.DUMMYFUNCTION("""COMPUTED_VALUE"""),"Angualasto y Chile Oeste")</f>
        <v>Angualasto y Chile Oeste</v>
      </c>
      <c r="H205" s="36" t="str">
        <f>IFERROR(__xludf.DUMMYFUNCTION("""COMPUTED_VALUE"""),"")</f>
        <v/>
      </c>
    </row>
    <row r="206">
      <c r="A206" s="36" t="str">
        <f>IFERROR(__xludf.DUMMYFUNCTION("""COMPUTED_VALUE"""),"08-40-02-4")</f>
        <v>08-40-02-4</v>
      </c>
      <c r="B206" s="36" t="str">
        <f>IFERROR(__xludf.DUMMYFUNCTION("""COMPUTED_VALUE"""),"")</f>
        <v/>
      </c>
      <c r="C206" s="36" t="str">
        <f>IFERROR(__xludf.DUMMYFUNCTION("""COMPUTED_VALUE"""),"")</f>
        <v/>
      </c>
      <c r="D206" s="36" t="str">
        <f>IFERROR(__xludf.DUMMYFUNCTION("""COMPUTED_VALUE"""),"")</f>
        <v/>
      </c>
      <c r="E206" s="36" t="str">
        <f>IFERROR(__xludf.DUMMYFUNCTION("""COMPUTED_VALUE"""),"03-22-10-73B")</f>
        <v>03-22-10-73B</v>
      </c>
      <c r="F206" s="36"/>
      <c r="G206" s="36" t="str">
        <f>IFERROR(__xludf.DUMMYFUNCTION("""COMPUTED_VALUE"""),"Angualasto y Cordillera de los Andes")</f>
        <v>Angualasto y Cordillera de los Andes</v>
      </c>
      <c r="H206" s="36" t="str">
        <f>IFERROR(__xludf.DUMMYFUNCTION("""COMPUTED_VALUE"""),"")</f>
        <v/>
      </c>
    </row>
    <row r="207">
      <c r="A207" s="36" t="str">
        <f>IFERROR(__xludf.DUMMYFUNCTION("""COMPUTED_VALUE"""),"08-40-02-5")</f>
        <v>08-40-02-5</v>
      </c>
      <c r="B207" s="36" t="str">
        <f>IFERROR(__xludf.DUMMYFUNCTION("""COMPUTED_VALUE"""),"")</f>
        <v/>
      </c>
      <c r="C207" s="36" t="str">
        <f>IFERROR(__xludf.DUMMYFUNCTION("""COMPUTED_VALUE"""),"")</f>
        <v/>
      </c>
      <c r="D207" s="36" t="str">
        <f>IFERROR(__xludf.DUMMYFUNCTION("""COMPUTED_VALUE"""),"")</f>
        <v/>
      </c>
      <c r="E207" s="36" t="str">
        <f>IFERROR(__xludf.DUMMYFUNCTION("""COMPUTED_VALUE"""),"03-30-10-69A")</f>
        <v>03-30-10-69A</v>
      </c>
      <c r="F207" s="36"/>
      <c r="G207" s="36" t="str">
        <f>IFERROR(__xludf.DUMMYFUNCTION("""COMPUTED_VALUE"""),"Angualasto y Richet")</f>
        <v>Angualasto y Richet</v>
      </c>
      <c r="H207" s="36" t="str">
        <f>IFERROR(__xludf.DUMMYFUNCTION("""COMPUTED_VALUE"""),"")</f>
        <v/>
      </c>
    </row>
    <row r="208">
      <c r="A208" s="36" t="str">
        <f>IFERROR(__xludf.DUMMYFUNCTION("""COMPUTED_VALUE"""),"08-40-02-6")</f>
        <v>08-40-02-6</v>
      </c>
      <c r="B208" s="36" t="str">
        <f>IFERROR(__xludf.DUMMYFUNCTION("""COMPUTED_VALUE"""),"")</f>
        <v/>
      </c>
      <c r="C208" s="36" t="str">
        <f>IFERROR(__xludf.DUMMYFUNCTION("""COMPUTED_VALUE"""),"")</f>
        <v/>
      </c>
      <c r="D208" s="36" t="str">
        <f>IFERROR(__xludf.DUMMYFUNCTION("""COMPUTED_VALUE"""),"")</f>
        <v/>
      </c>
      <c r="E208" s="36" t="str">
        <f>IFERROR(__xludf.DUMMYFUNCTION("""COMPUTED_VALUE"""),"04-43-12-84B")</f>
        <v>04-43-12-84B</v>
      </c>
      <c r="F208" s="36"/>
      <c r="G208" s="36" t="str">
        <f>IFERROR(__xludf.DUMMYFUNCTION("""COMPUTED_VALUE"""),"Ansilta y Dr. Ortega")</f>
        <v>Ansilta y Dr. Ortega</v>
      </c>
      <c r="H208" s="36" t="str">
        <f>IFERROR(__xludf.DUMMYFUNCTION("""COMPUTED_VALUE"""),"")</f>
        <v/>
      </c>
    </row>
    <row r="209">
      <c r="A209" s="36" t="str">
        <f>IFERROR(__xludf.DUMMYFUNCTION("""COMPUTED_VALUE"""),"08-40-02-7")</f>
        <v>08-40-02-7</v>
      </c>
      <c r="B209" s="36" t="str">
        <f>IFERROR(__xludf.DUMMYFUNCTION("""COMPUTED_VALUE"""),"")</f>
        <v/>
      </c>
      <c r="C209" s="36" t="str">
        <f>IFERROR(__xludf.DUMMYFUNCTION("""COMPUTED_VALUE"""),"")</f>
        <v/>
      </c>
      <c r="D209" s="36" t="str">
        <f>IFERROR(__xludf.DUMMYFUNCTION("""COMPUTED_VALUE"""),"")</f>
        <v/>
      </c>
      <c r="E209" s="36" t="str">
        <f>IFERROR(__xludf.DUMMYFUNCTION("""COMPUTED_VALUE"""),"01-36-07-11")</f>
        <v>01-36-07-11</v>
      </c>
      <c r="F209" s="36"/>
      <c r="G209" s="36" t="str">
        <f>IFERROR(__xludf.DUMMYFUNCTION("""COMPUTED_VALUE"""),"Antigua Bodega")</f>
        <v>Antigua Bodega</v>
      </c>
      <c r="H209" s="36" t="str">
        <f>IFERROR(__xludf.DUMMYFUNCTION("""COMPUTED_VALUE"""),"")</f>
        <v/>
      </c>
    </row>
    <row r="210">
      <c r="A210" s="36" t="str">
        <f>IFERROR(__xludf.DUMMYFUNCTION("""COMPUTED_VALUE"""),"08-40-02-8")</f>
        <v>08-40-02-8</v>
      </c>
      <c r="B210" s="36" t="str">
        <f>IFERROR(__xludf.DUMMYFUNCTION("""COMPUTED_VALUE"""),"")</f>
        <v/>
      </c>
      <c r="C210" s="36" t="str">
        <f>IFERROR(__xludf.DUMMYFUNCTION("""COMPUTED_VALUE"""),"")</f>
        <v/>
      </c>
      <c r="D210" s="36" t="str">
        <f>IFERROR(__xludf.DUMMYFUNCTION("""COMPUTED_VALUE"""),"")</f>
        <v/>
      </c>
      <c r="E210" s="36" t="str">
        <f>IFERROR(__xludf.DUMMYFUNCTION("""COMPUTED_VALUE"""),"01-37-08-79")</f>
        <v>01-37-08-79</v>
      </c>
      <c r="F210" s="36"/>
      <c r="G210" s="36" t="str">
        <f>IFERROR(__xludf.DUMMYFUNCTION("""COMPUTED_VALUE"""),"Antigua Bodega López Peláez")</f>
        <v>Antigua Bodega López Peláez</v>
      </c>
      <c r="H210" s="36" t="str">
        <f>IFERROR(__xludf.DUMMYFUNCTION("""COMPUTED_VALUE"""),"")</f>
        <v/>
      </c>
    </row>
    <row r="211">
      <c r="A211" s="36" t="str">
        <f>IFERROR(__xludf.DUMMYFUNCTION("""COMPUTED_VALUE"""),"08-40-02-9")</f>
        <v>08-40-02-9</v>
      </c>
      <c r="B211" s="36" t="str">
        <f>IFERROR(__xludf.DUMMYFUNCTION("""COMPUTED_VALUE"""),"")</f>
        <v/>
      </c>
      <c r="C211" s="36" t="str">
        <f>IFERROR(__xludf.DUMMYFUNCTION("""COMPUTED_VALUE"""),"")</f>
        <v/>
      </c>
      <c r="D211" s="36" t="str">
        <f>IFERROR(__xludf.DUMMYFUNCTION("""COMPUTED_VALUE"""),"")</f>
        <v/>
      </c>
      <c r="E211" s="36" t="str">
        <f>IFERROR(__xludf.DUMMYFUNCTION("""COMPUTED_VALUE"""),"02-32-05-27")</f>
        <v>02-32-05-27</v>
      </c>
      <c r="F211" s="36"/>
      <c r="G211" s="36" t="str">
        <f>IFERROR(__xludf.DUMMYFUNCTION("""COMPUTED_VALUE"""),"Antigua industria")</f>
        <v>Antigua industria</v>
      </c>
      <c r="H211" s="36" t="str">
        <f>IFERROR(__xludf.DUMMYFUNCTION("""COMPUTED_VALUE"""),"")</f>
        <v/>
      </c>
    </row>
    <row r="212">
      <c r="A212" s="36" t="str">
        <f>IFERROR(__xludf.DUMMYFUNCTION("""COMPUTED_VALUE"""),"08-42-02-1")</f>
        <v>08-42-02-1</v>
      </c>
      <c r="B212" s="36" t="str">
        <f>IFERROR(__xludf.DUMMYFUNCTION("""COMPUTED_VALUE"""),"")</f>
        <v/>
      </c>
      <c r="C212" s="36" t="str">
        <f>IFERROR(__xludf.DUMMYFUNCTION("""COMPUTED_VALUE"""),"")</f>
        <v/>
      </c>
      <c r="D212" s="36" t="str">
        <f>IFERROR(__xludf.DUMMYFUNCTION("""COMPUTED_VALUE"""),"")</f>
        <v/>
      </c>
      <c r="E212" s="36" t="str">
        <f>IFERROR(__xludf.DUMMYFUNCTION("""COMPUTED_VALUE"""),"04-22-14-32")</f>
        <v>04-22-14-32</v>
      </c>
      <c r="F212" s="36"/>
      <c r="G212" s="36" t="str">
        <f>IFERROR(__xludf.DUMMYFUNCTION("""COMPUTED_VALUE"""),"Antonio de la Torre y Margarita Mugnos")</f>
        <v>Antonio de la Torre y Margarita Mugnos</v>
      </c>
      <c r="H212" s="36" t="str">
        <f>IFERROR(__xludf.DUMMYFUNCTION("""COMPUTED_VALUE"""),"")</f>
        <v/>
      </c>
    </row>
    <row r="213">
      <c r="A213" s="36" t="str">
        <f>IFERROR(__xludf.DUMMYFUNCTION("""COMPUTED_VALUE"""),"08-42-02-2")</f>
        <v>08-42-02-2</v>
      </c>
      <c r="B213" s="36" t="str">
        <f>IFERROR(__xludf.DUMMYFUNCTION("""COMPUTED_VALUE"""),"")</f>
        <v/>
      </c>
      <c r="C213" s="36" t="str">
        <f>IFERROR(__xludf.DUMMYFUNCTION("""COMPUTED_VALUE"""),"")</f>
        <v/>
      </c>
      <c r="D213" s="36" t="str">
        <f>IFERROR(__xludf.DUMMYFUNCTION("""COMPUTED_VALUE"""),"")</f>
        <v/>
      </c>
      <c r="E213" s="36" t="str">
        <f>IFERROR(__xludf.DUMMYFUNCTION("""COMPUTED_VALUE"""),"04-22-14-31")</f>
        <v>04-22-14-31</v>
      </c>
      <c r="F213" s="36"/>
      <c r="G213" s="36" t="str">
        <f>IFERROR(__xludf.DUMMYFUNCTION("""COMPUTED_VALUE"""),"Antonio de la Torre y Pablo Ramela -N")</f>
        <v>Antonio de la Torre y Pablo Ramela -N</v>
      </c>
      <c r="H213" s="36" t="str">
        <f>IFERROR(__xludf.DUMMYFUNCTION("""COMPUTED_VALUE"""),"")</f>
        <v/>
      </c>
    </row>
    <row r="214">
      <c r="A214" s="36" t="str">
        <f>IFERROR(__xludf.DUMMYFUNCTION("""COMPUTED_VALUE"""),"08-42-02-26")</f>
        <v>08-42-02-26</v>
      </c>
      <c r="B214" s="36" t="str">
        <f>IFERROR(__xludf.DUMMYFUNCTION("""COMPUTED_VALUE"""),"")</f>
        <v/>
      </c>
      <c r="C214" s="36" t="str">
        <f>IFERROR(__xludf.DUMMYFUNCTION("""COMPUTED_VALUE"""),"")</f>
        <v/>
      </c>
      <c r="D214" s="36" t="str">
        <f>IFERROR(__xludf.DUMMYFUNCTION("""COMPUTED_VALUE"""),"")</f>
        <v/>
      </c>
      <c r="E214" s="36" t="str">
        <f>IFERROR(__xludf.DUMMYFUNCTION("""COMPUTED_VALUE"""),"04-22-14-30")</f>
        <v>04-22-14-30</v>
      </c>
      <c r="F214" s="36"/>
      <c r="G214" s="36" t="str">
        <f>IFERROR(__xludf.DUMMYFUNCTION("""COMPUTED_VALUE"""),"Antonio de la Torre y Pablo Ramela -S")</f>
        <v>Antonio de la Torre y Pablo Ramela -S</v>
      </c>
      <c r="H214" s="36" t="str">
        <f>IFERROR(__xludf.DUMMYFUNCTION("""COMPUTED_VALUE"""),"")</f>
        <v/>
      </c>
    </row>
    <row r="215">
      <c r="A215" s="36" t="str">
        <f>IFERROR(__xludf.DUMMYFUNCTION("""COMPUTED_VALUE"""),"08-42-02-28")</f>
        <v>08-42-02-28</v>
      </c>
      <c r="B215" s="36" t="str">
        <f>IFERROR(__xludf.DUMMYFUNCTION("""COMPUTED_VALUE"""),"")</f>
        <v/>
      </c>
      <c r="C215" s="36" t="str">
        <f>IFERROR(__xludf.DUMMYFUNCTION("""COMPUTED_VALUE"""),"")</f>
        <v/>
      </c>
      <c r="D215" s="36" t="str">
        <f>IFERROR(__xludf.DUMMYFUNCTION("""COMPUTED_VALUE"""),"")</f>
        <v/>
      </c>
      <c r="E215" s="36" t="str">
        <f>IFERROR(__xludf.DUMMYFUNCTION("""COMPUTED_VALUE"""),"04-22-14-29")</f>
        <v>04-22-14-29</v>
      </c>
      <c r="F215" s="36"/>
      <c r="G215" s="36" t="str">
        <f>IFERROR(__xludf.DUMMYFUNCTION("""COMPUTED_VALUE"""),"Antonio de la Torre y Rufino Martínez")</f>
        <v>Antonio de la Torre y Rufino Martínez</v>
      </c>
      <c r="H215" s="36" t="str">
        <f>IFERROR(__xludf.DUMMYFUNCTION("""COMPUTED_VALUE"""),"")</f>
        <v/>
      </c>
    </row>
    <row r="216">
      <c r="A216" s="36" t="str">
        <f>IFERROR(__xludf.DUMMYFUNCTION("""COMPUTED_VALUE"""),"08-42-02-30")</f>
        <v>08-42-02-30</v>
      </c>
      <c r="B216" s="36" t="str">
        <f>IFERROR(__xludf.DUMMYFUNCTION("""COMPUTED_VALUE"""),"")</f>
        <v/>
      </c>
      <c r="C216" s="36" t="str">
        <f>IFERROR(__xludf.DUMMYFUNCTION("""COMPUTED_VALUE"""),"")</f>
        <v/>
      </c>
      <c r="D216" s="36" t="str">
        <f>IFERROR(__xludf.DUMMYFUNCTION("""COMPUTED_VALUE"""),"")</f>
        <v/>
      </c>
      <c r="E216" s="36" t="str">
        <f>IFERROR(__xludf.DUMMYFUNCTION("""COMPUTED_VALUE"""),"01-47-12-248")</f>
        <v>01-47-12-248</v>
      </c>
      <c r="F216" s="36"/>
      <c r="G216" s="36" t="str">
        <f>IFERROR(__xludf.DUMMYFUNCTION("""COMPUTED_VALUE"""),"Arenales e Hipólito Yrigoyen")</f>
        <v>Arenales e Hipólito Yrigoyen</v>
      </c>
      <c r="H216" s="36" t="str">
        <f>IFERROR(__xludf.DUMMYFUNCTION("""COMPUTED_VALUE"""),"")</f>
        <v/>
      </c>
    </row>
    <row r="217">
      <c r="A217" s="36" t="str">
        <f>IFERROR(__xludf.DUMMYFUNCTION("""COMPUTED_VALUE"""),"08-42-02-32")</f>
        <v>08-42-02-32</v>
      </c>
      <c r="B217" s="36" t="str">
        <f>IFERROR(__xludf.DUMMYFUNCTION("""COMPUTED_VALUE"""),"")</f>
        <v/>
      </c>
      <c r="C217" s="36" t="str">
        <f>IFERROR(__xludf.DUMMYFUNCTION("""COMPUTED_VALUE"""),"")</f>
        <v/>
      </c>
      <c r="D217" s="36" t="str">
        <f>IFERROR(__xludf.DUMMYFUNCTION("""COMPUTED_VALUE"""),"")</f>
        <v/>
      </c>
      <c r="E217" s="36" t="str">
        <f>IFERROR(__xludf.DUMMYFUNCTION("""COMPUTED_VALUE"""),"01-47-12-274")</f>
        <v>01-47-12-274</v>
      </c>
      <c r="F217" s="36"/>
      <c r="G217" s="36" t="str">
        <f>IFERROR(__xludf.DUMMYFUNCTION("""COMPUTED_VALUE"""),"Arenales Norte y Esteban Echeverría")</f>
        <v>Arenales Norte y Esteban Echeverría</v>
      </c>
      <c r="H217" s="36" t="str">
        <f>IFERROR(__xludf.DUMMYFUNCTION("""COMPUTED_VALUE"""),"")</f>
        <v/>
      </c>
    </row>
    <row r="218">
      <c r="A218" s="36" t="str">
        <f>IFERROR(__xludf.DUMMYFUNCTION("""COMPUTED_VALUE"""),"08-42-02-34")</f>
        <v>08-42-02-34</v>
      </c>
      <c r="B218" s="36" t="str">
        <f>IFERROR(__xludf.DUMMYFUNCTION("""COMPUTED_VALUE"""),"")</f>
        <v/>
      </c>
      <c r="C218" s="36" t="str">
        <f>IFERROR(__xludf.DUMMYFUNCTION("""COMPUTED_VALUE"""),"")</f>
        <v/>
      </c>
      <c r="D218" s="36" t="str">
        <f>IFERROR(__xludf.DUMMYFUNCTION("""COMPUTED_VALUE"""),"")</f>
        <v/>
      </c>
      <c r="E218" s="36" t="str">
        <f>IFERROR(__xludf.DUMMYFUNCTION("""COMPUTED_VALUE"""),"01-47-12-273")</f>
        <v>01-47-12-273</v>
      </c>
      <c r="F218" s="36"/>
      <c r="G218" s="36" t="str">
        <f>IFERROR(__xludf.DUMMYFUNCTION("""COMPUTED_VALUE"""),"Arenales Norte y F. J. Sta. M. de Oro")</f>
        <v>Arenales Norte y F. J. Sta. M. de Oro</v>
      </c>
      <c r="H218" s="36" t="str">
        <f>IFERROR(__xludf.DUMMYFUNCTION("""COMPUTED_VALUE"""),"")</f>
        <v/>
      </c>
    </row>
    <row r="219">
      <c r="A219" s="36" t="str">
        <f>IFERROR(__xludf.DUMMYFUNCTION("""COMPUTED_VALUE"""),"01-25-03-27")</f>
        <v>01-25-03-27</v>
      </c>
      <c r="B219" s="36" t="str">
        <f>IFERROR(__xludf.DUMMYFUNCTION("""COMPUTED_VALUE"""),"")</f>
        <v/>
      </c>
      <c r="C219" s="36" t="str">
        <f>IFERROR(__xludf.DUMMYFUNCTION("""COMPUTED_VALUE"""),"")</f>
        <v/>
      </c>
      <c r="D219" s="36" t="str">
        <f>IFERROR(__xludf.DUMMYFUNCTION("""COMPUTED_VALUE"""),"")</f>
        <v/>
      </c>
      <c r="E219" s="36" t="str">
        <f>IFERROR(__xludf.DUMMYFUNCTION("""COMPUTED_VALUE"""),"02-38-12-275")</f>
        <v>02-38-12-275</v>
      </c>
      <c r="F219" s="36"/>
      <c r="G219" s="36" t="str">
        <f>IFERROR(__xludf.DUMMYFUNCTION("""COMPUTED_VALUE"""),"Arenales Sur y Esteban Echeverría")</f>
        <v>Arenales Sur y Esteban Echeverría</v>
      </c>
      <c r="H219" s="36" t="str">
        <f>IFERROR(__xludf.DUMMYFUNCTION("""COMPUTED_VALUE"""),"")</f>
        <v/>
      </c>
    </row>
    <row r="220">
      <c r="A220" s="36" t="str">
        <f>IFERROR(__xludf.DUMMYFUNCTION("""COMPUTED_VALUE"""),"08-22-03-23")</f>
        <v>08-22-03-23</v>
      </c>
      <c r="B220" s="36" t="str">
        <f>IFERROR(__xludf.DUMMYFUNCTION("""COMPUTED_VALUE"""),"")</f>
        <v/>
      </c>
      <c r="C220" s="36" t="str">
        <f>IFERROR(__xludf.DUMMYFUNCTION("""COMPUTED_VALUE"""),"")</f>
        <v/>
      </c>
      <c r="D220" s="36" t="str">
        <f>IFERROR(__xludf.DUMMYFUNCTION("""COMPUTED_VALUE"""),"")</f>
        <v/>
      </c>
      <c r="E220" s="36" t="str">
        <f>IFERROR(__xludf.DUMMYFUNCTION("""COMPUTED_VALUE"""),"02-38-12-272")</f>
        <v>02-38-12-272</v>
      </c>
      <c r="F220" s="36"/>
      <c r="G220" s="36" t="str">
        <f>IFERROR(__xludf.DUMMYFUNCTION("""COMPUTED_VALUE"""),"Arenales Sur y F. J. Sta. M. de Oro")</f>
        <v>Arenales Sur y F. J. Sta. M. de Oro</v>
      </c>
      <c r="H220" s="36" t="str">
        <f>IFERROR(__xludf.DUMMYFUNCTION("""COMPUTED_VALUE"""),"")</f>
        <v/>
      </c>
    </row>
    <row r="221">
      <c r="A221" s="36" t="str">
        <f>IFERROR(__xludf.DUMMYFUNCTION("""COMPUTED_VALUE"""),"08-22-03-28")</f>
        <v>08-22-03-28</v>
      </c>
      <c r="B221" s="36" t="str">
        <f>IFERROR(__xludf.DUMMYFUNCTION("""COMPUTED_VALUE"""),"")</f>
        <v/>
      </c>
      <c r="C221" s="36" t="str">
        <f>IFERROR(__xludf.DUMMYFUNCTION("""COMPUTED_VALUE"""),"")</f>
        <v/>
      </c>
      <c r="D221" s="36" t="str">
        <f>IFERROR(__xludf.DUMMYFUNCTION("""COMPUTED_VALUE"""),"")</f>
        <v/>
      </c>
      <c r="E221" s="36" t="str">
        <f>IFERROR(__xludf.DUMMYFUNCTION("""COMPUTED_VALUE"""),"02-38-12-281")</f>
        <v>02-38-12-281</v>
      </c>
      <c r="F221" s="36"/>
      <c r="G221" s="36" t="str">
        <f>IFERROR(__xludf.DUMMYFUNCTION("""COMPUTED_VALUE"""),"Arenales y Hermógenes Ruiz")</f>
        <v>Arenales y Hermógenes Ruiz</v>
      </c>
      <c r="H221" s="36" t="str">
        <f>IFERROR(__xludf.DUMMYFUNCTION("""COMPUTED_VALUE"""),"")</f>
        <v/>
      </c>
    </row>
    <row r="222">
      <c r="A222" s="36" t="str">
        <f>IFERROR(__xludf.DUMMYFUNCTION("""COMPUTED_VALUE"""),"08-22-03-29")</f>
        <v>08-22-03-29</v>
      </c>
      <c r="B222" s="36" t="str">
        <f>IFERROR(__xludf.DUMMYFUNCTION("""COMPUTED_VALUE"""),"")</f>
        <v/>
      </c>
      <c r="C222" s="36" t="str">
        <f>IFERROR(__xludf.DUMMYFUNCTION("""COMPUTED_VALUE"""),"")</f>
        <v/>
      </c>
      <c r="D222" s="36" t="str">
        <f>IFERROR(__xludf.DUMMYFUNCTION("""COMPUTED_VALUE"""),"")</f>
        <v/>
      </c>
      <c r="E222" s="36" t="str">
        <f>IFERROR(__xludf.DUMMYFUNCTION("""COMPUTED_VALUE"""),"02-38-12-280")</f>
        <v>02-38-12-280</v>
      </c>
      <c r="F222" s="36"/>
      <c r="G222" s="36" t="str">
        <f>IFERROR(__xludf.DUMMYFUNCTION("""COMPUTED_VALUE"""),"Arenales y Victoria")</f>
        <v>Arenales y Victoria</v>
      </c>
      <c r="H222" s="36" t="str">
        <f>IFERROR(__xludf.DUMMYFUNCTION("""COMPUTED_VALUE"""),"")</f>
        <v/>
      </c>
    </row>
    <row r="223">
      <c r="A223" s="36" t="str">
        <f>IFERROR(__xludf.DUMMYFUNCTION("""COMPUTED_VALUE"""),"08-22-03-30")</f>
        <v>08-22-03-30</v>
      </c>
      <c r="B223" s="36" t="str">
        <f>IFERROR(__xludf.DUMMYFUNCTION("""COMPUTED_VALUE"""),"")</f>
        <v/>
      </c>
      <c r="C223" s="36" t="str">
        <f>IFERROR(__xludf.DUMMYFUNCTION("""COMPUTED_VALUE"""),"")</f>
        <v/>
      </c>
      <c r="D223" s="36" t="str">
        <f>IFERROR(__xludf.DUMMYFUNCTION("""COMPUTED_VALUE"""),"")</f>
        <v/>
      </c>
      <c r="E223" s="36" t="str">
        <f>IFERROR(__xludf.DUMMYFUNCTION("""COMPUTED_VALUE"""),"03-24-10-85A")</f>
        <v>03-24-10-85A</v>
      </c>
      <c r="F223" s="36"/>
      <c r="G223" s="36" t="str">
        <f>IFERROR(__xludf.DUMMYFUNCTION("""COMPUTED_VALUE"""),"Argentina y Avellaneda")</f>
        <v>Argentina y Avellaneda</v>
      </c>
      <c r="H223" s="36" t="str">
        <f>IFERROR(__xludf.DUMMYFUNCTION("""COMPUTED_VALUE"""),"")</f>
        <v/>
      </c>
    </row>
    <row r="224">
      <c r="A224" s="36" t="str">
        <f>IFERROR(__xludf.DUMMYFUNCTION("""COMPUTED_VALUE"""),"08-22-03-31")</f>
        <v>08-22-03-31</v>
      </c>
      <c r="B224" s="36" t="str">
        <f>IFERROR(__xludf.DUMMYFUNCTION("""COMPUTED_VALUE"""),"")</f>
        <v/>
      </c>
      <c r="C224" s="36" t="str">
        <f>IFERROR(__xludf.DUMMYFUNCTION("""COMPUTED_VALUE"""),"")</f>
        <v/>
      </c>
      <c r="D224" s="36" t="str">
        <f>IFERROR(__xludf.DUMMYFUNCTION("""COMPUTED_VALUE"""),"")</f>
        <v/>
      </c>
      <c r="E224" s="36" t="str">
        <f>IFERROR(__xludf.DUMMYFUNCTION("""COMPUTED_VALUE"""),"01-39-09-127")</f>
        <v>01-39-09-127</v>
      </c>
      <c r="F224" s="36"/>
      <c r="G224" s="36" t="str">
        <f>IFERROR(__xludf.DUMMYFUNCTION("""COMPUTED_VALUE"""),"Argentina y Cereceto")</f>
        <v>Argentina y Cereceto</v>
      </c>
      <c r="H224" s="36" t="str">
        <f>IFERROR(__xludf.DUMMYFUNCTION("""COMPUTED_VALUE"""),"")</f>
        <v/>
      </c>
    </row>
    <row r="225">
      <c r="A225" s="36" t="str">
        <f>IFERROR(__xludf.DUMMYFUNCTION("""COMPUTED_VALUE"""),"08-22-03-31A")</f>
        <v>08-22-03-31A</v>
      </c>
      <c r="B225" s="36" t="str">
        <f>IFERROR(__xludf.DUMMYFUNCTION("""COMPUTED_VALUE"""),"")</f>
        <v/>
      </c>
      <c r="C225" s="36" t="str">
        <f>IFERROR(__xludf.DUMMYFUNCTION("""COMPUTED_VALUE"""),"")</f>
        <v/>
      </c>
      <c r="D225" s="36" t="str">
        <f>IFERROR(__xludf.DUMMYFUNCTION("""COMPUTED_VALUE"""),"")</f>
        <v/>
      </c>
      <c r="E225" s="36" t="str">
        <f>IFERROR(__xludf.DUMMYFUNCTION("""COMPUTED_VALUE"""),"01-39-09-124")</f>
        <v>01-39-09-124</v>
      </c>
      <c r="F225" s="36"/>
      <c r="G225" s="36" t="str">
        <f>IFERROR(__xludf.DUMMYFUNCTION("""COMPUTED_VALUE"""),"Argentina y Colombia")</f>
        <v>Argentina y Colombia</v>
      </c>
      <c r="H225" s="36" t="str">
        <f>IFERROR(__xludf.DUMMYFUNCTION("""COMPUTED_VALUE"""),"")</f>
        <v/>
      </c>
    </row>
    <row r="226">
      <c r="A226" s="36" t="str">
        <f>IFERROR(__xludf.DUMMYFUNCTION("""COMPUTED_VALUE"""),"08-22-03-32")</f>
        <v>08-22-03-32</v>
      </c>
      <c r="B226" s="36" t="str">
        <f>IFERROR(__xludf.DUMMYFUNCTION("""COMPUTED_VALUE"""),"")</f>
        <v/>
      </c>
      <c r="C226" s="36" t="str">
        <f>IFERROR(__xludf.DUMMYFUNCTION("""COMPUTED_VALUE"""),"")</f>
        <v/>
      </c>
      <c r="D226" s="36" t="str">
        <f>IFERROR(__xludf.DUMMYFUNCTION("""COMPUTED_VALUE"""),"")</f>
        <v/>
      </c>
      <c r="E226" s="36" t="str">
        <f>IFERROR(__xludf.DUMMYFUNCTION("""COMPUTED_VALUE"""),"01-39-09-125")</f>
        <v>01-39-09-125</v>
      </c>
      <c r="F226" s="36"/>
      <c r="G226" s="36" t="str">
        <f>IFERROR(__xludf.DUMMYFUNCTION("""COMPUTED_VALUE"""),"Argentina y Falucho")</f>
        <v>Argentina y Falucho</v>
      </c>
      <c r="H226" s="36" t="str">
        <f>IFERROR(__xludf.DUMMYFUNCTION("""COMPUTED_VALUE"""),"")</f>
        <v/>
      </c>
    </row>
    <row r="227">
      <c r="A227" s="36" t="str">
        <f>IFERROR(__xludf.DUMMYFUNCTION("""COMPUTED_VALUE"""),"08-22-03-33")</f>
        <v>08-22-03-33</v>
      </c>
      <c r="B227" s="36" t="str">
        <f>IFERROR(__xludf.DUMMYFUNCTION("""COMPUTED_VALUE"""),"")</f>
        <v/>
      </c>
      <c r="C227" s="36" t="str">
        <f>IFERROR(__xludf.DUMMYFUNCTION("""COMPUTED_VALUE"""),"")</f>
        <v/>
      </c>
      <c r="D227" s="36" t="str">
        <f>IFERROR(__xludf.DUMMYFUNCTION("""COMPUTED_VALUE"""),"")</f>
        <v/>
      </c>
      <c r="E227" s="36" t="str">
        <f>IFERROR(__xludf.DUMMYFUNCTION("""COMPUTED_VALUE"""),"01-39-09-126")</f>
        <v>01-39-09-126</v>
      </c>
      <c r="F227" s="36"/>
      <c r="G227" s="36" t="str">
        <f>IFERROR(__xludf.DUMMYFUNCTION("""COMPUTED_VALUE"""),"Argentina y Uruguay")</f>
        <v>Argentina y Uruguay</v>
      </c>
      <c r="H227" s="36" t="str">
        <f>IFERROR(__xludf.DUMMYFUNCTION("""COMPUTED_VALUE"""),"")</f>
        <v/>
      </c>
    </row>
    <row r="228">
      <c r="A228" s="36" t="str">
        <f>IFERROR(__xludf.DUMMYFUNCTION("""COMPUTED_VALUE"""),"08-22-03-34")</f>
        <v>08-22-03-34</v>
      </c>
      <c r="B228" s="36" t="str">
        <f>IFERROR(__xludf.DUMMYFUNCTION("""COMPUTED_VALUE"""),"")</f>
        <v/>
      </c>
      <c r="C228" s="36" t="str">
        <f>IFERROR(__xludf.DUMMYFUNCTION("""COMPUTED_VALUE"""),"")</f>
        <v/>
      </c>
      <c r="D228" s="36" t="str">
        <f>IFERROR(__xludf.DUMMYFUNCTION("""COMPUTED_VALUE"""),"")</f>
        <v/>
      </c>
      <c r="E228" s="36" t="str">
        <f>IFERROR(__xludf.DUMMYFUNCTION("""COMPUTED_VALUE"""),"03-32-09-19B")</f>
        <v>03-32-09-19B</v>
      </c>
      <c r="F228" s="36"/>
      <c r="G228" s="36" t="str">
        <f>IFERROR(__xludf.DUMMYFUNCTION("""COMPUTED_VALUE"""),"Aristóbulo del Valle -O y Av. Sarmiento")</f>
        <v>Aristóbulo del Valle -O y Av. Sarmiento</v>
      </c>
      <c r="H228" s="36" t="str">
        <f>IFERROR(__xludf.DUMMYFUNCTION("""COMPUTED_VALUE"""),"")</f>
        <v/>
      </c>
    </row>
    <row r="229">
      <c r="A229" s="36" t="str">
        <f>IFERROR(__xludf.DUMMYFUNCTION("""COMPUTED_VALUE"""),"08-22-03-35")</f>
        <v>08-22-03-35</v>
      </c>
      <c r="B229" s="36" t="str">
        <f>IFERROR(__xludf.DUMMYFUNCTION("""COMPUTED_VALUE"""),"")</f>
        <v/>
      </c>
      <c r="C229" s="36" t="str">
        <f>IFERROR(__xludf.DUMMYFUNCTION("""COMPUTED_VALUE"""),"")</f>
        <v/>
      </c>
      <c r="D229" s="36" t="str">
        <f>IFERROR(__xludf.DUMMYFUNCTION("""COMPUTED_VALUE"""),"")</f>
        <v/>
      </c>
      <c r="E229" s="36" t="str">
        <f>IFERROR(__xludf.DUMMYFUNCTION("""COMPUTED_VALUE"""),"03-32-09-19A")</f>
        <v>03-32-09-19A</v>
      </c>
      <c r="F229" s="36"/>
      <c r="G229" s="36" t="str">
        <f>IFERROR(__xludf.DUMMYFUNCTION("""COMPUTED_VALUE"""),"Aristóbulo del Valle y Av. Sarmiento")</f>
        <v>Aristóbulo del Valle y Av. Sarmiento</v>
      </c>
      <c r="H229" s="36" t="str">
        <f>IFERROR(__xludf.DUMMYFUNCTION("""COMPUTED_VALUE"""),"")</f>
        <v/>
      </c>
    </row>
    <row r="230">
      <c r="A230" s="36" t="str">
        <f>IFERROR(__xludf.DUMMYFUNCTION("""COMPUTED_VALUE"""),"08-22-03-36")</f>
        <v>08-22-03-36</v>
      </c>
      <c r="B230" s="36" t="str">
        <f>IFERROR(__xludf.DUMMYFUNCTION("""COMPUTED_VALUE"""),"")</f>
        <v/>
      </c>
      <c r="C230" s="36" t="str">
        <f>IFERROR(__xludf.DUMMYFUNCTION("""COMPUTED_VALUE"""),"")</f>
        <v/>
      </c>
      <c r="D230" s="36" t="str">
        <f>IFERROR(__xludf.DUMMYFUNCTION("""COMPUTED_VALUE"""),"")</f>
        <v/>
      </c>
      <c r="E230" s="36" t="str">
        <f>IFERROR(__xludf.DUMMYFUNCTION("""COMPUTED_VALUE"""),"01-54-14-4")</f>
        <v>01-54-14-4</v>
      </c>
      <c r="F230" s="36"/>
      <c r="G230" s="36" t="str">
        <f>IFERROR(__xludf.DUMMYFUNCTION("""COMPUTED_VALUE"""),"Aristóbulo del Valle y Dr. Albarracín -N")</f>
        <v>Aristóbulo del Valle y Dr. Albarracín -N</v>
      </c>
      <c r="H230" s="36" t="str">
        <f>IFERROR(__xludf.DUMMYFUNCTION("""COMPUTED_VALUE"""),"")</f>
        <v/>
      </c>
    </row>
    <row r="231">
      <c r="A231" s="36" t="str">
        <f>IFERROR(__xludf.DUMMYFUNCTION("""COMPUTED_VALUE"""),"08-22-03-81")</f>
        <v>08-22-03-81</v>
      </c>
      <c r="B231" s="36" t="str">
        <f>IFERROR(__xludf.DUMMYFUNCTION("""COMPUTED_VALUE"""),"")</f>
        <v/>
      </c>
      <c r="C231" s="36" t="str">
        <f>IFERROR(__xludf.DUMMYFUNCTION("""COMPUTED_VALUE"""),"")</f>
        <v/>
      </c>
      <c r="D231" s="36" t="str">
        <f>IFERROR(__xludf.DUMMYFUNCTION("""COMPUTED_VALUE"""),"")</f>
        <v/>
      </c>
      <c r="E231" s="36" t="str">
        <f>IFERROR(__xludf.DUMMYFUNCTION("""COMPUTED_VALUE"""),"03-49-14-3")</f>
        <v>03-49-14-3</v>
      </c>
      <c r="F231" s="36"/>
      <c r="G231" s="36" t="str">
        <f>IFERROR(__xludf.DUMMYFUNCTION("""COMPUTED_VALUE"""),"Aristóbulo del Valle y Dr. Albarracín S")</f>
        <v>Aristóbulo del Valle y Dr. Albarracín S</v>
      </c>
      <c r="H231" s="36" t="str">
        <f>IFERROR(__xludf.DUMMYFUNCTION("""COMPUTED_VALUE"""),"")</f>
        <v/>
      </c>
    </row>
    <row r="232">
      <c r="A232" s="36" t="str">
        <f>IFERROR(__xludf.DUMMYFUNCTION("""COMPUTED_VALUE"""),"08-22-03-81A")</f>
        <v>08-22-03-81A</v>
      </c>
      <c r="B232" s="36" t="str">
        <f>IFERROR(__xludf.DUMMYFUNCTION("""COMPUTED_VALUE"""),"")</f>
        <v/>
      </c>
      <c r="C232" s="36" t="str">
        <f>IFERROR(__xludf.DUMMYFUNCTION("""COMPUTED_VALUE"""),"")</f>
        <v/>
      </c>
      <c r="D232" s="36" t="str">
        <f>IFERROR(__xludf.DUMMYFUNCTION("""COMPUTED_VALUE"""),"")</f>
        <v/>
      </c>
      <c r="E232" s="36" t="str">
        <f>IFERROR(__xludf.DUMMYFUNCTION("""COMPUTED_VALUE"""),"01-53-09-27")</f>
        <v>01-53-09-27</v>
      </c>
      <c r="F232" s="36"/>
      <c r="G232" s="36" t="str">
        <f>IFERROR(__xludf.DUMMYFUNCTION("""COMPUTED_VALUE"""),"Aristóbulo del Valle y Gral. Paz")</f>
        <v>Aristóbulo del Valle y Gral. Paz</v>
      </c>
      <c r="H232" s="36" t="str">
        <f>IFERROR(__xludf.DUMMYFUNCTION("""COMPUTED_VALUE"""),"NOMBRE")</f>
        <v>NOMBRE</v>
      </c>
    </row>
    <row r="233">
      <c r="A233" s="36" t="str">
        <f>IFERROR(__xludf.DUMMYFUNCTION("""COMPUTED_VALUE"""),"08-22-03-81B")</f>
        <v>08-22-03-81B</v>
      </c>
      <c r="B233" s="36" t="str">
        <f>IFERROR(__xludf.DUMMYFUNCTION("""COMPUTED_VALUE"""),"")</f>
        <v/>
      </c>
      <c r="C233" s="36" t="str">
        <f>IFERROR(__xludf.DUMMYFUNCTION("""COMPUTED_VALUE"""),"")</f>
        <v/>
      </c>
      <c r="D233" s="36" t="str">
        <f>IFERROR(__xludf.DUMMYFUNCTION("""COMPUTED_VALUE"""),"")</f>
        <v/>
      </c>
      <c r="E233" s="36" t="str">
        <f>IFERROR(__xludf.DUMMYFUNCTION("""COMPUTED_VALUE"""),"03-32-09-30")</f>
        <v>03-32-09-30</v>
      </c>
      <c r="F233" s="36"/>
      <c r="G233" s="36" t="str">
        <f>IFERROR(__xludf.DUMMYFUNCTION("""COMPUTED_VALUE"""),"Aristóbulo del Valle y Gral. Paz")</f>
        <v>Aristóbulo del Valle y Gral. Paz</v>
      </c>
      <c r="H233" s="36" t="str">
        <f>IFERROR(__xludf.DUMMYFUNCTION("""COMPUTED_VALUE"""),"")</f>
        <v/>
      </c>
    </row>
    <row r="234">
      <c r="A234" s="36" t="str">
        <f>IFERROR(__xludf.DUMMYFUNCTION("""COMPUTED_VALUE"""),"08-22-03-81C")</f>
        <v>08-22-03-81C</v>
      </c>
      <c r="B234" s="36" t="str">
        <f>IFERROR(__xludf.DUMMYFUNCTION("""COMPUTED_VALUE"""),"")</f>
        <v/>
      </c>
      <c r="C234" s="36" t="str">
        <f>IFERROR(__xludf.DUMMYFUNCTION("""COMPUTED_VALUE"""),"")</f>
        <v/>
      </c>
      <c r="D234" s="36" t="str">
        <f>IFERROR(__xludf.DUMMYFUNCTION("""COMPUTED_VALUE"""),"")</f>
        <v/>
      </c>
      <c r="E234" s="36" t="str">
        <f>IFERROR(__xludf.DUMMYFUNCTION("""COMPUTED_VALUE"""),"01-54-14-6")</f>
        <v>01-54-14-6</v>
      </c>
      <c r="F234" s="36"/>
      <c r="G234" s="36" t="str">
        <f>IFERROR(__xludf.DUMMYFUNCTION("""COMPUTED_VALUE"""),"Aristóbulo del Valle y R. de Escalada -N")</f>
        <v>Aristóbulo del Valle y R. de Escalada -N</v>
      </c>
      <c r="H234" s="36" t="str">
        <f>IFERROR(__xludf.DUMMYFUNCTION("""COMPUTED_VALUE"""),"")</f>
        <v/>
      </c>
    </row>
    <row r="235">
      <c r="A235" s="36" t="str">
        <f>IFERROR(__xludf.DUMMYFUNCTION("""COMPUTED_VALUE"""),"08-22-03-81D")</f>
        <v>08-22-03-81D</v>
      </c>
      <c r="B235" s="36" t="str">
        <f>IFERROR(__xludf.DUMMYFUNCTION("""COMPUTED_VALUE"""),"")</f>
        <v/>
      </c>
      <c r="C235" s="36" t="str">
        <f>IFERROR(__xludf.DUMMYFUNCTION("""COMPUTED_VALUE"""),"")</f>
        <v/>
      </c>
      <c r="D235" s="36" t="str">
        <f>IFERROR(__xludf.DUMMYFUNCTION("""COMPUTED_VALUE"""),"")</f>
        <v/>
      </c>
      <c r="E235" s="36" t="str">
        <f>IFERROR(__xludf.DUMMYFUNCTION("""COMPUTED_VALUE"""),"03-49-14-5")</f>
        <v>03-49-14-5</v>
      </c>
      <c r="F235" s="36"/>
      <c r="G235" s="36" t="str">
        <f>IFERROR(__xludf.DUMMYFUNCTION("""COMPUTED_VALUE"""),"Aristóbulo del Valle y R. de Escalada -S")</f>
        <v>Aristóbulo del Valle y R. de Escalada -S</v>
      </c>
      <c r="H235" s="36" t="str">
        <f>IFERROR(__xludf.DUMMYFUNCTION("""COMPUTED_VALUE"""),"")</f>
        <v/>
      </c>
    </row>
    <row r="236">
      <c r="A236" s="36" t="str">
        <f>IFERROR(__xludf.DUMMYFUNCTION("""COMPUTED_VALUE"""),"08-22-03-81E")</f>
        <v>08-22-03-81E</v>
      </c>
      <c r="B236" s="36" t="str">
        <f>IFERROR(__xludf.DUMMYFUNCTION("""COMPUTED_VALUE"""),"")</f>
        <v/>
      </c>
      <c r="C236" s="36" t="str">
        <f>IFERROR(__xludf.DUMMYFUNCTION("""COMPUTED_VALUE"""),"")</f>
        <v/>
      </c>
      <c r="D236" s="36" t="str">
        <f>IFERROR(__xludf.DUMMYFUNCTION("""COMPUTED_VALUE"""),"")</f>
        <v/>
      </c>
      <c r="E236" s="36" t="str">
        <f>IFERROR(__xludf.DUMMYFUNCTION("""COMPUTED_VALUE"""),"01-53-09-25")</f>
        <v>01-53-09-25</v>
      </c>
      <c r="F236" s="36"/>
      <c r="G236" s="36" t="str">
        <f>IFERROR(__xludf.DUMMYFUNCTION("""COMPUTED_VALUE"""),"Aristóbulo del Valle y Santa Fe")</f>
        <v>Aristóbulo del Valle y Santa Fe</v>
      </c>
      <c r="H236" s="36" t="str">
        <f>IFERROR(__xludf.DUMMYFUNCTION("""COMPUTED_VALUE"""),"NOMBRE")</f>
        <v>NOMBRE</v>
      </c>
    </row>
    <row r="237">
      <c r="A237" s="36" t="str">
        <f>IFERROR(__xludf.DUMMYFUNCTION("""COMPUTED_VALUE"""),"08-22-03-81F")</f>
        <v>08-22-03-81F</v>
      </c>
      <c r="B237" s="36" t="str">
        <f>IFERROR(__xludf.DUMMYFUNCTION("""COMPUTED_VALUE"""),"")</f>
        <v/>
      </c>
      <c r="C237" s="36" t="str">
        <f>IFERROR(__xludf.DUMMYFUNCTION("""COMPUTED_VALUE"""),"")</f>
        <v/>
      </c>
      <c r="D237" s="36" t="str">
        <f>IFERROR(__xludf.DUMMYFUNCTION("""COMPUTED_VALUE"""),"")</f>
        <v/>
      </c>
      <c r="E237" s="36" t="str">
        <f>IFERROR(__xludf.DUMMYFUNCTION("""COMPUTED_VALUE"""),"03-32-09-26")</f>
        <v>03-32-09-26</v>
      </c>
      <c r="F237" s="36"/>
      <c r="G237" s="36" t="str">
        <f>IFERROR(__xludf.DUMMYFUNCTION("""COMPUTED_VALUE"""),"Aristóbulo del Valle y Santa Fe")</f>
        <v>Aristóbulo del Valle y Santa Fe</v>
      </c>
      <c r="H237" s="36" t="str">
        <f>IFERROR(__xludf.DUMMYFUNCTION("""COMPUTED_VALUE"""),"")</f>
        <v/>
      </c>
    </row>
    <row r="238">
      <c r="A238" s="36" t="str">
        <f>IFERROR(__xludf.DUMMYFUNCTION("""COMPUTED_VALUE"""),"08-22-03-81G")</f>
        <v>08-22-03-81G</v>
      </c>
      <c r="B238" s="36" t="str">
        <f>IFERROR(__xludf.DUMMYFUNCTION("""COMPUTED_VALUE"""),"")</f>
        <v/>
      </c>
      <c r="C238" s="36" t="str">
        <f>IFERROR(__xludf.DUMMYFUNCTION("""COMPUTED_VALUE"""),"")</f>
        <v/>
      </c>
      <c r="D238" s="36" t="str">
        <f>IFERROR(__xludf.DUMMYFUNCTION("""COMPUTED_VALUE"""),"")</f>
        <v/>
      </c>
      <c r="E238" s="36" t="str">
        <f>IFERROR(__xludf.DUMMYFUNCTION("""COMPUTED_VALUE"""),"01-54-14-1")</f>
        <v>01-54-14-1</v>
      </c>
      <c r="F238" s="36"/>
      <c r="G238" s="36" t="str">
        <f>IFERROR(__xludf.DUMMYFUNCTION("""COMPUTED_VALUE"""),"Aristóbulo del Valle y Villagra -N")</f>
        <v>Aristóbulo del Valle y Villagra -N</v>
      </c>
      <c r="H238" s="36" t="str">
        <f>IFERROR(__xludf.DUMMYFUNCTION("""COMPUTED_VALUE"""),"")</f>
        <v/>
      </c>
    </row>
    <row r="239">
      <c r="A239" s="36" t="str">
        <f>IFERROR(__xludf.DUMMYFUNCTION("""COMPUTED_VALUE"""),"08-22-03-81H")</f>
        <v>08-22-03-81H</v>
      </c>
      <c r="B239" s="36" t="str">
        <f>IFERROR(__xludf.DUMMYFUNCTION("""COMPUTED_VALUE"""),"")</f>
        <v/>
      </c>
      <c r="C239" s="36" t="str">
        <f>IFERROR(__xludf.DUMMYFUNCTION("""COMPUTED_VALUE"""),"")</f>
        <v/>
      </c>
      <c r="D239" s="36" t="str">
        <f>IFERROR(__xludf.DUMMYFUNCTION("""COMPUTED_VALUE"""),"")</f>
        <v/>
      </c>
      <c r="E239" s="36" t="str">
        <f>IFERROR(__xludf.DUMMYFUNCTION("""COMPUTED_VALUE"""),"03-49-14-2")</f>
        <v>03-49-14-2</v>
      </c>
      <c r="F239" s="36"/>
      <c r="G239" s="36" t="str">
        <f>IFERROR(__xludf.DUMMYFUNCTION("""COMPUTED_VALUE"""),"Aristóbulo del Valle y Villagra -S")</f>
        <v>Aristóbulo del Valle y Villagra -S</v>
      </c>
      <c r="H239" s="36" t="str">
        <f>IFERROR(__xludf.DUMMYFUNCTION("""COMPUTED_VALUE"""),"")</f>
        <v/>
      </c>
    </row>
    <row r="240">
      <c r="A240" s="36" t="str">
        <f>IFERROR(__xludf.DUMMYFUNCTION("""COMPUTED_VALUE"""),"08-22-03-81I")</f>
        <v>08-22-03-81I</v>
      </c>
      <c r="B240" s="36" t="str">
        <f>IFERROR(__xludf.DUMMYFUNCTION("""COMPUTED_VALUE"""),"")</f>
        <v/>
      </c>
      <c r="C240" s="36" t="str">
        <f>IFERROR(__xludf.DUMMYFUNCTION("""COMPUTED_VALUE"""),"")</f>
        <v/>
      </c>
      <c r="D240" s="36" t="str">
        <f>IFERROR(__xludf.DUMMYFUNCTION("""COMPUTED_VALUE"""),"")</f>
        <v/>
      </c>
      <c r="E240" s="36" t="str">
        <f>IFERROR(__xludf.DUMMYFUNCTION("""COMPUTED_VALUE"""),"02-26-06-81B")</f>
        <v>02-26-06-81B</v>
      </c>
      <c r="F240" s="36"/>
      <c r="G240" s="36" t="str">
        <f>IFERROR(__xludf.DUMMYFUNCTION("""COMPUTED_VALUE"""),"Arnobio Sánchez y Costa Canal")</f>
        <v>Arnobio Sánchez y Costa Canal</v>
      </c>
      <c r="H240" s="36" t="str">
        <f>IFERROR(__xludf.DUMMYFUNCTION("""COMPUTED_VALUE"""),"")</f>
        <v/>
      </c>
    </row>
    <row r="241">
      <c r="A241" s="36" t="str">
        <f>IFERROR(__xludf.DUMMYFUNCTION("""COMPUTED_VALUE"""),"08-26-03-100")</f>
        <v>08-26-03-100</v>
      </c>
      <c r="B241" s="36" t="str">
        <f>IFERROR(__xludf.DUMMYFUNCTION("""COMPUTED_VALUE"""),"")</f>
        <v/>
      </c>
      <c r="C241" s="36" t="str">
        <f>IFERROR(__xludf.DUMMYFUNCTION("""COMPUTED_VALUE"""),"")</f>
        <v/>
      </c>
      <c r="D241" s="36" t="str">
        <f>IFERROR(__xludf.DUMMYFUNCTION("""COMPUTED_VALUE"""),"")</f>
        <v/>
      </c>
      <c r="E241" s="36" t="str">
        <f>IFERROR(__xludf.DUMMYFUNCTION("""COMPUTED_VALUE"""),"02-27-06-80B")</f>
        <v>02-27-06-80B</v>
      </c>
      <c r="F241" s="36"/>
      <c r="G241" s="36" t="str">
        <f>IFERROR(__xludf.DUMMYFUNCTION("""COMPUTED_VALUE"""),"Arnobio Sánchez y Echegaray E")</f>
        <v>Arnobio Sánchez y Echegaray E</v>
      </c>
      <c r="H241" s="36" t="str">
        <f>IFERROR(__xludf.DUMMYFUNCTION("""COMPUTED_VALUE"""),"")</f>
        <v/>
      </c>
    </row>
    <row r="242">
      <c r="A242" s="36" t="str">
        <f>IFERROR(__xludf.DUMMYFUNCTION("""COMPUTED_VALUE"""),"08-26-03-50")</f>
        <v>08-26-03-50</v>
      </c>
      <c r="B242" s="36" t="str">
        <f>IFERROR(__xludf.DUMMYFUNCTION("""COMPUTED_VALUE"""),"")</f>
        <v/>
      </c>
      <c r="C242" s="36" t="str">
        <f>IFERROR(__xludf.DUMMYFUNCTION("""COMPUTED_VALUE"""),"")</f>
        <v/>
      </c>
      <c r="D242" s="36" t="str">
        <f>IFERROR(__xludf.DUMMYFUNCTION("""COMPUTED_VALUE"""),"")</f>
        <v/>
      </c>
      <c r="E242" s="36" t="str">
        <f>IFERROR(__xludf.DUMMYFUNCTION("""COMPUTED_VALUE"""),"02-26-06-80C")</f>
        <v>02-26-06-80C</v>
      </c>
      <c r="F242" s="36"/>
      <c r="G242" s="36" t="str">
        <f>IFERROR(__xludf.DUMMYFUNCTION("""COMPUTED_VALUE"""),"Arnobio Sánchez y Echegaray O")</f>
        <v>Arnobio Sánchez y Echegaray O</v>
      </c>
      <c r="H242" s="36" t="str">
        <f>IFERROR(__xludf.DUMMYFUNCTION("""COMPUTED_VALUE"""),"")</f>
        <v/>
      </c>
    </row>
    <row r="243">
      <c r="A243" s="36" t="str">
        <f>IFERROR(__xludf.DUMMYFUNCTION("""COMPUTED_VALUE"""),"08-26-03-52")</f>
        <v>08-26-03-52</v>
      </c>
      <c r="B243" s="36" t="str">
        <f>IFERROR(__xludf.DUMMYFUNCTION("""COMPUTED_VALUE"""),"")</f>
        <v/>
      </c>
      <c r="C243" s="36" t="str">
        <f>IFERROR(__xludf.DUMMYFUNCTION("""COMPUTED_VALUE"""),"")</f>
        <v/>
      </c>
      <c r="D243" s="36" t="str">
        <f>IFERROR(__xludf.DUMMYFUNCTION("""COMPUTED_VALUE"""),"")</f>
        <v/>
      </c>
      <c r="E243" s="36" t="str">
        <f>IFERROR(__xludf.DUMMYFUNCTION("""COMPUTED_VALUE"""),"02-26-06-80A")</f>
        <v>02-26-06-80A</v>
      </c>
      <c r="F243" s="36"/>
      <c r="G243" s="36" t="str">
        <f>IFERROR(__xludf.DUMMYFUNCTION("""COMPUTED_VALUE"""),"Arnobio Sánchez y Sgto. Cabral")</f>
        <v>Arnobio Sánchez y Sgto. Cabral</v>
      </c>
      <c r="H243" s="36" t="str">
        <f>IFERROR(__xludf.DUMMYFUNCTION("""COMPUTED_VALUE"""),"")</f>
        <v/>
      </c>
    </row>
    <row r="244">
      <c r="A244" s="36" t="str">
        <f>IFERROR(__xludf.DUMMYFUNCTION("""COMPUTED_VALUE"""),"08-26-03-52A")</f>
        <v>08-26-03-52A</v>
      </c>
      <c r="B244" s="36" t="str">
        <f>IFERROR(__xludf.DUMMYFUNCTION("""COMPUTED_VALUE"""),"")</f>
        <v/>
      </c>
      <c r="C244" s="36" t="str">
        <f>IFERROR(__xludf.DUMMYFUNCTION("""COMPUTED_VALUE"""),"")</f>
        <v/>
      </c>
      <c r="D244" s="36" t="str">
        <f>IFERROR(__xludf.DUMMYFUNCTION("""COMPUTED_VALUE"""),"")</f>
        <v/>
      </c>
      <c r="E244" s="36" t="str">
        <f>IFERROR(__xludf.DUMMYFUNCTION("""COMPUTED_VALUE"""),"02-31-06-51A")</f>
        <v>02-31-06-51A</v>
      </c>
      <c r="F244" s="36"/>
      <c r="G244" s="36" t="str">
        <f>IFERROR(__xludf.DUMMYFUNCTION("""COMPUTED_VALUE"""),"Arturo Illia y Cerro Mercedario N")</f>
        <v>Arturo Illia y Cerro Mercedario N</v>
      </c>
      <c r="H244" s="36" t="str">
        <f>IFERROR(__xludf.DUMMYFUNCTION("""COMPUTED_VALUE"""),"")</f>
        <v/>
      </c>
    </row>
    <row r="245">
      <c r="A245" s="36" t="str">
        <f>IFERROR(__xludf.DUMMYFUNCTION("""COMPUTED_VALUE"""),"08-26-03-52B")</f>
        <v>08-26-03-52B</v>
      </c>
      <c r="B245" s="36" t="str">
        <f>IFERROR(__xludf.DUMMYFUNCTION("""COMPUTED_VALUE"""),"")</f>
        <v/>
      </c>
      <c r="C245" s="36" t="str">
        <f>IFERROR(__xludf.DUMMYFUNCTION("""COMPUTED_VALUE"""),"")</f>
        <v/>
      </c>
      <c r="D245" s="36" t="str">
        <f>IFERROR(__xludf.DUMMYFUNCTION("""COMPUTED_VALUE"""),"")</f>
        <v/>
      </c>
      <c r="E245" s="36" t="str">
        <f>IFERROR(__xludf.DUMMYFUNCTION("""COMPUTED_VALUE"""),"02-31-06-52")</f>
        <v>02-31-06-52</v>
      </c>
      <c r="F245" s="36"/>
      <c r="G245" s="36" t="str">
        <f>IFERROR(__xludf.DUMMYFUNCTION("""COMPUTED_VALUE"""),"Arturo Illia y Cerro Mercedario S")</f>
        <v>Arturo Illia y Cerro Mercedario S</v>
      </c>
      <c r="H245" s="36" t="str">
        <f>IFERROR(__xludf.DUMMYFUNCTION("""COMPUTED_VALUE"""),"")</f>
        <v/>
      </c>
    </row>
    <row r="246">
      <c r="A246" s="36" t="str">
        <f>IFERROR(__xludf.DUMMYFUNCTION("""COMPUTED_VALUE"""),"08-26-03-53")</f>
        <v>08-26-03-53</v>
      </c>
      <c r="B246" s="36" t="str">
        <f>IFERROR(__xludf.DUMMYFUNCTION("""COMPUTED_VALUE"""),"")</f>
        <v/>
      </c>
      <c r="C246" s="36" t="str">
        <f>IFERROR(__xludf.DUMMYFUNCTION("""COMPUTED_VALUE"""),"")</f>
        <v/>
      </c>
      <c r="D246" s="36" t="str">
        <f>IFERROR(__xludf.DUMMYFUNCTION("""COMPUTED_VALUE"""),"")</f>
        <v/>
      </c>
      <c r="E246" s="36" t="str">
        <f>IFERROR(__xludf.DUMMYFUNCTION("""COMPUTED_VALUE"""),"02-31-06-67")</f>
        <v>02-31-06-67</v>
      </c>
      <c r="F246" s="36"/>
      <c r="G246" s="36" t="str">
        <f>IFERROR(__xludf.DUMMYFUNCTION("""COMPUTED_VALUE"""),"Arturo Illia y Las Palmas N")</f>
        <v>Arturo Illia y Las Palmas N</v>
      </c>
      <c r="H246" s="36" t="str">
        <f>IFERROR(__xludf.DUMMYFUNCTION("""COMPUTED_VALUE"""),"")</f>
        <v/>
      </c>
    </row>
    <row r="247">
      <c r="A247" s="36" t="str">
        <f>IFERROR(__xludf.DUMMYFUNCTION("""COMPUTED_VALUE"""),"08-26-03-54")</f>
        <v>08-26-03-54</v>
      </c>
      <c r="B247" s="36" t="str">
        <f>IFERROR(__xludf.DUMMYFUNCTION("""COMPUTED_VALUE"""),"")</f>
        <v/>
      </c>
      <c r="C247" s="36" t="str">
        <f>IFERROR(__xludf.DUMMYFUNCTION("""COMPUTED_VALUE"""),"")</f>
        <v/>
      </c>
      <c r="D247" s="36" t="str">
        <f>IFERROR(__xludf.DUMMYFUNCTION("""COMPUTED_VALUE"""),"")</f>
        <v/>
      </c>
      <c r="E247" s="36" t="str">
        <f>IFERROR(__xludf.DUMMYFUNCTION("""COMPUTED_VALUE"""),"02-31-06-67A")</f>
        <v>02-31-06-67A</v>
      </c>
      <c r="F247" s="36"/>
      <c r="G247" s="36" t="str">
        <f>IFERROR(__xludf.DUMMYFUNCTION("""COMPUTED_VALUE"""),"Arturo Illia y Las Palmas S")</f>
        <v>Arturo Illia y Las Palmas S</v>
      </c>
      <c r="H247" s="36" t="str">
        <f>IFERROR(__xludf.DUMMYFUNCTION("""COMPUTED_VALUE"""),"")</f>
        <v/>
      </c>
    </row>
    <row r="248">
      <c r="A248" s="36" t="str">
        <f>IFERROR(__xludf.DUMMYFUNCTION("""COMPUTED_VALUE"""),"08-26-03-55")</f>
        <v>08-26-03-55</v>
      </c>
      <c r="B248" s="36" t="str">
        <f>IFERROR(__xludf.DUMMYFUNCTION("""COMPUTED_VALUE"""),"")</f>
        <v/>
      </c>
      <c r="C248" s="36" t="str">
        <f>IFERROR(__xludf.DUMMYFUNCTION("""COMPUTED_VALUE"""),"")</f>
        <v/>
      </c>
      <c r="D248" s="36" t="str">
        <f>IFERROR(__xludf.DUMMYFUNCTION("""COMPUTED_VALUE"""),"")</f>
        <v/>
      </c>
      <c r="E248" s="36" t="str">
        <f>IFERROR(__xludf.DUMMYFUNCTION("""COMPUTED_VALUE"""),"02-31-06-68A")</f>
        <v>02-31-06-68A</v>
      </c>
      <c r="F248" s="36"/>
      <c r="G248" s="36" t="str">
        <f>IFERROR(__xludf.DUMMYFUNCTION("""COMPUTED_VALUE"""),"Arturo Illia y Manuel Zavalla")</f>
        <v>Arturo Illia y Manuel Zavalla</v>
      </c>
      <c r="H248" s="36" t="str">
        <f>IFERROR(__xludf.DUMMYFUNCTION("""COMPUTED_VALUE"""),"")</f>
        <v/>
      </c>
    </row>
    <row r="249">
      <c r="A249" s="36" t="str">
        <f>IFERROR(__xludf.DUMMYFUNCTION("""COMPUTED_VALUE"""),"08-26-03-56")</f>
        <v>08-26-03-56</v>
      </c>
      <c r="B249" s="36" t="str">
        <f>IFERROR(__xludf.DUMMYFUNCTION("""COMPUTED_VALUE"""),"")</f>
        <v/>
      </c>
      <c r="C249" s="36" t="str">
        <f>IFERROR(__xludf.DUMMYFUNCTION("""COMPUTED_VALUE"""),"")</f>
        <v/>
      </c>
      <c r="D249" s="36" t="str">
        <f>IFERROR(__xludf.DUMMYFUNCTION("""COMPUTED_VALUE"""),"")</f>
        <v/>
      </c>
      <c r="E249" s="36" t="str">
        <f>IFERROR(__xludf.DUMMYFUNCTION("""COMPUTED_VALUE"""),"02-31-06-51B")</f>
        <v>02-31-06-51B</v>
      </c>
      <c r="F249" s="36"/>
      <c r="G249" s="36" t="str">
        <f>IFERROR(__xludf.DUMMYFUNCTION("""COMPUTED_VALUE"""),"Arturo Illia y Sanidad Argentina")</f>
        <v>Arturo Illia y Sanidad Argentina</v>
      </c>
      <c r="H249" s="36" t="str">
        <f>IFERROR(__xludf.DUMMYFUNCTION("""COMPUTED_VALUE"""),"")</f>
        <v/>
      </c>
    </row>
    <row r="250">
      <c r="A250" s="36" t="str">
        <f>IFERROR(__xludf.DUMMYFUNCTION("""COMPUTED_VALUE"""),"08-26-03-57")</f>
        <v>08-26-03-57</v>
      </c>
      <c r="B250" s="36" t="str">
        <f>IFERROR(__xludf.DUMMYFUNCTION("""COMPUTED_VALUE"""),"")</f>
        <v/>
      </c>
      <c r="C250" s="36" t="str">
        <f>IFERROR(__xludf.DUMMYFUNCTION("""COMPUTED_VALUE"""),"")</f>
        <v/>
      </c>
      <c r="D250" s="36" t="str">
        <f>IFERROR(__xludf.DUMMYFUNCTION("""COMPUTED_VALUE"""),"")</f>
        <v/>
      </c>
      <c r="E250" s="36" t="str">
        <f>IFERROR(__xludf.DUMMYFUNCTION("""COMPUTED_VALUE"""),"02-31-06-52A")</f>
        <v>02-31-06-52A</v>
      </c>
      <c r="F250" s="36"/>
      <c r="G250" s="36" t="str">
        <f>IFERROR(__xludf.DUMMYFUNCTION("""COMPUTED_VALUE"""),"Arturo Illia y Sierra Pie de Palo N")</f>
        <v>Arturo Illia y Sierra Pie de Palo N</v>
      </c>
      <c r="H250" s="36" t="str">
        <f>IFERROR(__xludf.DUMMYFUNCTION("""COMPUTED_VALUE"""),"")</f>
        <v/>
      </c>
    </row>
    <row r="251">
      <c r="A251" s="36" t="str">
        <f>IFERROR(__xludf.DUMMYFUNCTION("""COMPUTED_VALUE"""),"08-26-03-58")</f>
        <v>08-26-03-58</v>
      </c>
      <c r="B251" s="36" t="str">
        <f>IFERROR(__xludf.DUMMYFUNCTION("""COMPUTED_VALUE"""),"")</f>
        <v/>
      </c>
      <c r="C251" s="36" t="str">
        <f>IFERROR(__xludf.DUMMYFUNCTION("""COMPUTED_VALUE"""),"")</f>
        <v/>
      </c>
      <c r="D251" s="36" t="str">
        <f>IFERROR(__xludf.DUMMYFUNCTION("""COMPUTED_VALUE"""),"")</f>
        <v/>
      </c>
      <c r="E251" s="36" t="str">
        <f>IFERROR(__xludf.DUMMYFUNCTION("""COMPUTED_VALUE"""),"02-31-06-53")</f>
        <v>02-31-06-53</v>
      </c>
      <c r="F251" s="36"/>
      <c r="G251" s="36" t="str">
        <f>IFERROR(__xludf.DUMMYFUNCTION("""COMPUTED_VALUE"""),"Arturo Illia y Sierra Pie de Palo S")</f>
        <v>Arturo Illia y Sierra Pie de Palo S</v>
      </c>
      <c r="H251" s="36" t="str">
        <f>IFERROR(__xludf.DUMMYFUNCTION("""COMPUTED_VALUE"""),"")</f>
        <v/>
      </c>
    </row>
    <row r="252">
      <c r="A252" s="36" t="str">
        <f>IFERROR(__xludf.DUMMYFUNCTION("""COMPUTED_VALUE"""),"08-26-03-59")</f>
        <v>08-26-03-59</v>
      </c>
      <c r="B252" s="36" t="str">
        <f>IFERROR(__xludf.DUMMYFUNCTION("""COMPUTED_VALUE"""),"")</f>
        <v/>
      </c>
      <c r="C252" s="36" t="str">
        <f>IFERROR(__xludf.DUMMYFUNCTION("""COMPUTED_VALUE"""),"")</f>
        <v/>
      </c>
      <c r="D252" s="36" t="str">
        <f>IFERROR(__xludf.DUMMYFUNCTION("""COMPUTED_VALUE"""),"")</f>
        <v/>
      </c>
      <c r="E252" s="36" t="str">
        <f>IFERROR(__xludf.DUMMYFUNCTION("""COMPUTED_VALUE"""),"02-31-06-53A")</f>
        <v>02-31-06-53A</v>
      </c>
      <c r="F252" s="36"/>
      <c r="G252" s="36" t="str">
        <f>IFERROR(__xludf.DUMMYFUNCTION("""COMPUTED_VALUE"""),"Arturo Illia y Sto. Domingo")</f>
        <v>Arturo Illia y Sto. Domingo</v>
      </c>
      <c r="H252" s="36" t="str">
        <f>IFERROR(__xludf.DUMMYFUNCTION("""COMPUTED_VALUE"""),"")</f>
        <v/>
      </c>
    </row>
    <row r="253">
      <c r="A253" s="36" t="str">
        <f>IFERROR(__xludf.DUMMYFUNCTION("""COMPUTED_VALUE"""),"08-26-03-60")</f>
        <v>08-26-03-60</v>
      </c>
      <c r="B253" s="36" t="str">
        <f>IFERROR(__xludf.DUMMYFUNCTION("""COMPUTED_VALUE"""),"")</f>
        <v/>
      </c>
      <c r="C253" s="36" t="str">
        <f>IFERROR(__xludf.DUMMYFUNCTION("""COMPUTED_VALUE"""),"")</f>
        <v/>
      </c>
      <c r="D253" s="36" t="str">
        <f>IFERROR(__xludf.DUMMYFUNCTION("""COMPUTED_VALUE"""),"")</f>
        <v/>
      </c>
      <c r="E253" s="36" t="str">
        <f>IFERROR(__xludf.DUMMYFUNCTION("""COMPUTED_VALUE"""),"01-36-07-137A")</f>
        <v>01-36-07-137A</v>
      </c>
      <c r="F253" s="36"/>
      <c r="G253" s="36" t="str">
        <f>IFERROR(__xludf.DUMMYFUNCTION("""COMPUTED_VALUE"""),"Auditorio Juan Victoria")</f>
        <v>Auditorio Juan Victoria</v>
      </c>
      <c r="H253" s="36" t="str">
        <f>IFERROR(__xludf.DUMMYFUNCTION("""COMPUTED_VALUE"""),"")</f>
        <v/>
      </c>
    </row>
    <row r="254">
      <c r="A254" s="36" t="str">
        <f>IFERROR(__xludf.DUMMYFUNCTION("""COMPUTED_VALUE"""),"08-26-03-61")</f>
        <v>08-26-03-61</v>
      </c>
      <c r="B254" s="36" t="str">
        <f>IFERROR(__xludf.DUMMYFUNCTION("""COMPUTED_VALUE"""),"")</f>
        <v/>
      </c>
      <c r="C254" s="36" t="str">
        <f>IFERROR(__xludf.DUMMYFUNCTION("""COMPUTED_VALUE"""),"")</f>
        <v/>
      </c>
      <c r="D254" s="36" t="str">
        <f>IFERROR(__xludf.DUMMYFUNCTION("""COMPUTED_VALUE"""),"")</f>
        <v/>
      </c>
      <c r="E254" s="36" t="str">
        <f>IFERROR(__xludf.DUMMYFUNCTION("""COMPUTED_VALUE"""),"01-48-07-158")</f>
        <v>01-48-07-158</v>
      </c>
      <c r="F254" s="36"/>
      <c r="G254" s="36" t="str">
        <f>IFERROR(__xludf.DUMMYFUNCTION("""COMPUTED_VALUE"""),"Ausonia")</f>
        <v>Ausonia</v>
      </c>
      <c r="H254" s="36" t="str">
        <f>IFERROR(__xludf.DUMMYFUNCTION("""COMPUTED_VALUE"""),"")</f>
        <v/>
      </c>
    </row>
    <row r="255">
      <c r="A255" s="36" t="str">
        <f>IFERROR(__xludf.DUMMYFUNCTION("""COMPUTED_VALUE"""),"08-26-03-62")</f>
        <v>08-26-03-62</v>
      </c>
      <c r="B255" s="36" t="str">
        <f>IFERROR(__xludf.DUMMYFUNCTION("""COMPUTED_VALUE"""),"")</f>
        <v/>
      </c>
      <c r="C255" s="36" t="str">
        <f>IFERROR(__xludf.DUMMYFUNCTION("""COMPUTED_VALUE"""),"")</f>
        <v/>
      </c>
      <c r="D255" s="36" t="str">
        <f>IFERROR(__xludf.DUMMYFUNCTION("""COMPUTED_VALUE"""),"")</f>
        <v/>
      </c>
      <c r="E255" s="36" t="str">
        <f>IFERROR(__xludf.DUMMYFUNCTION("""COMPUTED_VALUE"""),"01-49-07-67")</f>
        <v>01-49-07-67</v>
      </c>
      <c r="F255" s="36"/>
      <c r="G255" s="36" t="str">
        <f>IFERROR(__xludf.DUMMYFUNCTION("""COMPUTED_VALUE"""),"Av Córdoba y Ameghino N")</f>
        <v>Av Córdoba y Ameghino N</v>
      </c>
      <c r="H255" s="36" t="str">
        <f>IFERROR(__xludf.DUMMYFUNCTION("""COMPUTED_VALUE"""),"")</f>
        <v/>
      </c>
    </row>
    <row r="256">
      <c r="A256" s="36" t="str">
        <f>IFERROR(__xludf.DUMMYFUNCTION("""COMPUTED_VALUE"""),"08-26-03-63")</f>
        <v>08-26-03-63</v>
      </c>
      <c r="B256" s="36" t="str">
        <f>IFERROR(__xludf.DUMMYFUNCTION("""COMPUTED_VALUE"""),"")</f>
        <v/>
      </c>
      <c r="C256" s="36" t="str">
        <f>IFERROR(__xludf.DUMMYFUNCTION("""COMPUTED_VALUE"""),"")</f>
        <v/>
      </c>
      <c r="D256" s="36" t="str">
        <f>IFERROR(__xludf.DUMMYFUNCTION("""COMPUTED_VALUE"""),"")</f>
        <v/>
      </c>
      <c r="E256" s="36" t="str">
        <f>IFERROR(__xludf.DUMMYFUNCTION("""COMPUTED_VALUE"""),"01-49-07-68")</f>
        <v>01-49-07-68</v>
      </c>
      <c r="F256" s="36"/>
      <c r="G256" s="36" t="str">
        <f>IFERROR(__xludf.DUMMYFUNCTION("""COMPUTED_VALUE"""),"Av Córdoba y Ameghino S")</f>
        <v>Av Córdoba y Ameghino S</v>
      </c>
      <c r="H256" s="36" t="str">
        <f>IFERROR(__xludf.DUMMYFUNCTION("""COMPUTED_VALUE"""),"")</f>
        <v/>
      </c>
    </row>
    <row r="257">
      <c r="A257" s="36" t="str">
        <f>IFERROR(__xludf.DUMMYFUNCTION("""COMPUTED_VALUE"""),"08-26-03-64")</f>
        <v>08-26-03-64</v>
      </c>
      <c r="B257" s="36" t="str">
        <f>IFERROR(__xludf.DUMMYFUNCTION("""COMPUTED_VALUE"""),"")</f>
        <v/>
      </c>
      <c r="C257" s="36" t="str">
        <f>IFERROR(__xludf.DUMMYFUNCTION("""COMPUTED_VALUE"""),"")</f>
        <v/>
      </c>
      <c r="D257" s="36" t="str">
        <f>IFERROR(__xludf.DUMMYFUNCTION("""COMPUTED_VALUE"""),"")</f>
        <v/>
      </c>
      <c r="E257" s="36" t="str">
        <f>IFERROR(__xludf.DUMMYFUNCTION("""COMPUTED_VALUE"""),"03-33-10-53A")</f>
        <v>03-33-10-53A</v>
      </c>
      <c r="F257" s="36"/>
      <c r="G257" s="36" t="str">
        <f>IFERROR(__xludf.DUMMYFUNCTION("""COMPUTED_VALUE"""),"Av Gral San Martín casi San Francisco N")</f>
        <v>Av Gral San Martín casi San Francisco N</v>
      </c>
      <c r="H257" s="36" t="str">
        <f>IFERROR(__xludf.DUMMYFUNCTION("""COMPUTED_VALUE"""),"")</f>
        <v/>
      </c>
    </row>
    <row r="258">
      <c r="A258" s="36" t="str">
        <f>IFERROR(__xludf.DUMMYFUNCTION("""COMPUTED_VALUE"""),"08-26-03-65")</f>
        <v>08-26-03-65</v>
      </c>
      <c r="B258" s="36" t="str">
        <f>IFERROR(__xludf.DUMMYFUNCTION("""COMPUTED_VALUE"""),"")</f>
        <v/>
      </c>
      <c r="C258" s="36" t="str">
        <f>IFERROR(__xludf.DUMMYFUNCTION("""COMPUTED_VALUE"""),"")</f>
        <v/>
      </c>
      <c r="D258" s="36" t="str">
        <f>IFERROR(__xludf.DUMMYFUNCTION("""COMPUTED_VALUE"""),"")</f>
        <v/>
      </c>
      <c r="E258" s="36" t="str">
        <f>IFERROR(__xludf.DUMMYFUNCTION("""COMPUTED_VALUE"""),"03-33-10-53B")</f>
        <v>03-33-10-53B</v>
      </c>
      <c r="F258" s="36"/>
      <c r="G258" s="36" t="str">
        <f>IFERROR(__xludf.DUMMYFUNCTION("""COMPUTED_VALUE"""),"Av Gral San Martín casi San Francisco S")</f>
        <v>Av Gral San Martín casi San Francisco S</v>
      </c>
      <c r="H258" s="36" t="str">
        <f>IFERROR(__xludf.DUMMYFUNCTION("""COMPUTED_VALUE"""),"")</f>
        <v/>
      </c>
    </row>
    <row r="259">
      <c r="A259" s="36" t="str">
        <f>IFERROR(__xludf.DUMMYFUNCTION("""COMPUTED_VALUE"""),"08-26-03-66")</f>
        <v>08-26-03-66</v>
      </c>
      <c r="B259" s="36" t="str">
        <f>IFERROR(__xludf.DUMMYFUNCTION("""COMPUTED_VALUE"""),"")</f>
        <v/>
      </c>
      <c r="C259" s="36" t="str">
        <f>IFERROR(__xludf.DUMMYFUNCTION("""COMPUTED_VALUE"""),"")</f>
        <v/>
      </c>
      <c r="D259" s="36" t="str">
        <f>IFERROR(__xludf.DUMMYFUNCTION("""COMPUTED_VALUE"""),"")</f>
        <v/>
      </c>
      <c r="E259" s="36" t="str">
        <f>IFERROR(__xludf.DUMMYFUNCTION("""COMPUTED_VALUE"""),"03-36-10-47A")</f>
        <v>03-36-10-47A</v>
      </c>
      <c r="F259" s="36"/>
      <c r="G259" s="36" t="str">
        <f>IFERROR(__xludf.DUMMYFUNCTION("""COMPUTED_VALUE"""),"Av Gral San Martín y Adán Quiroga")</f>
        <v>Av Gral San Martín y Adán Quiroga</v>
      </c>
      <c r="H259" s="36" t="str">
        <f>IFERROR(__xludf.DUMMYFUNCTION("""COMPUTED_VALUE"""),"")</f>
        <v/>
      </c>
    </row>
    <row r="260">
      <c r="A260" s="36" t="str">
        <f>IFERROR(__xludf.DUMMYFUNCTION("""COMPUTED_VALUE"""),"08-26-03-67")</f>
        <v>08-26-03-67</v>
      </c>
      <c r="B260" s="36" t="str">
        <f>IFERROR(__xludf.DUMMYFUNCTION("""COMPUTED_VALUE"""),"")</f>
        <v/>
      </c>
      <c r="C260" s="36" t="str">
        <f>IFERROR(__xludf.DUMMYFUNCTION("""COMPUTED_VALUE"""),"")</f>
        <v/>
      </c>
      <c r="D260" s="36" t="str">
        <f>IFERROR(__xludf.DUMMYFUNCTION("""COMPUTED_VALUE"""),"")</f>
        <v/>
      </c>
      <c r="E260" s="36" t="str">
        <f>IFERROR(__xludf.DUMMYFUNCTION("""COMPUTED_VALUE"""),"03-42-10-37")</f>
        <v>03-42-10-37</v>
      </c>
      <c r="F260" s="36"/>
      <c r="G260" s="36" t="str">
        <f>IFERROR(__xludf.DUMMYFUNCTION("""COMPUTED_VALUE"""),"Av Gral San Martín y Bahía Blanca")</f>
        <v>Av Gral San Martín y Bahía Blanca</v>
      </c>
      <c r="H260" s="36" t="str">
        <f>IFERROR(__xludf.DUMMYFUNCTION("""COMPUTED_VALUE"""),"")</f>
        <v/>
      </c>
    </row>
    <row r="261">
      <c r="A261" s="36" t="str">
        <f>IFERROR(__xludf.DUMMYFUNCTION("""COMPUTED_VALUE"""),"08-26-03-68")</f>
        <v>08-26-03-68</v>
      </c>
      <c r="B261" s="36" t="str">
        <f>IFERROR(__xludf.DUMMYFUNCTION("""COMPUTED_VALUE"""),"")</f>
        <v/>
      </c>
      <c r="C261" s="36" t="str">
        <f>IFERROR(__xludf.DUMMYFUNCTION("""COMPUTED_VALUE"""),"")</f>
        <v/>
      </c>
      <c r="D261" s="36" t="str">
        <f>IFERROR(__xludf.DUMMYFUNCTION("""COMPUTED_VALUE"""),"")</f>
        <v/>
      </c>
      <c r="E261" s="36" t="str">
        <f>IFERROR(__xludf.DUMMYFUNCTION("""COMPUTED_VALUE"""),"03-38-10-44A")</f>
        <v>03-38-10-44A</v>
      </c>
      <c r="F261" s="36"/>
      <c r="G261" s="36" t="str">
        <f>IFERROR(__xludf.DUMMYFUNCTION("""COMPUTED_VALUE"""),"Av Gral San Martín y Call. Ramirez N")</f>
        <v>Av Gral San Martín y Call. Ramirez N</v>
      </c>
      <c r="H261" s="36" t="str">
        <f>IFERROR(__xludf.DUMMYFUNCTION("""COMPUTED_VALUE"""),"")</f>
        <v/>
      </c>
    </row>
    <row r="262">
      <c r="A262" s="36" t="str">
        <f>IFERROR(__xludf.DUMMYFUNCTION("""COMPUTED_VALUE"""),"08-26-03-68A")</f>
        <v>08-26-03-68A</v>
      </c>
      <c r="B262" s="36" t="str">
        <f>IFERROR(__xludf.DUMMYFUNCTION("""COMPUTED_VALUE"""),"")</f>
        <v/>
      </c>
      <c r="C262" s="36" t="str">
        <f>IFERROR(__xludf.DUMMYFUNCTION("""COMPUTED_VALUE"""),"")</f>
        <v/>
      </c>
      <c r="D262" s="36" t="str">
        <f>IFERROR(__xludf.DUMMYFUNCTION("""COMPUTED_VALUE"""),"")</f>
        <v/>
      </c>
      <c r="E262" s="36" t="str">
        <f>IFERROR(__xludf.DUMMYFUNCTION("""COMPUTED_VALUE"""),"03-44-10-44B")</f>
        <v>03-44-10-44B</v>
      </c>
      <c r="F262" s="36"/>
      <c r="G262" s="36" t="str">
        <f>IFERROR(__xludf.DUMMYFUNCTION("""COMPUTED_VALUE"""),"Av Gral San Martín y Call. Ramirez S")</f>
        <v>Av Gral San Martín y Call. Ramirez S</v>
      </c>
      <c r="H262" s="36" t="str">
        <f>IFERROR(__xludf.DUMMYFUNCTION("""COMPUTED_VALUE"""),"")</f>
        <v/>
      </c>
    </row>
    <row r="263">
      <c r="A263" s="36" t="str">
        <f>IFERROR(__xludf.DUMMYFUNCTION("""COMPUTED_VALUE"""),"08-26-03-71")</f>
        <v>08-26-03-71</v>
      </c>
      <c r="B263" s="36" t="str">
        <f>IFERROR(__xludf.DUMMYFUNCTION("""COMPUTED_VALUE"""),"")</f>
        <v/>
      </c>
      <c r="C263" s="36" t="str">
        <f>IFERROR(__xludf.DUMMYFUNCTION("""COMPUTED_VALUE"""),"")</f>
        <v/>
      </c>
      <c r="D263" s="36" t="str">
        <f>IFERROR(__xludf.DUMMYFUNCTION("""COMPUTED_VALUE"""),"")</f>
        <v/>
      </c>
      <c r="E263" s="36" t="str">
        <f>IFERROR(__xludf.DUMMYFUNCTION("""COMPUTED_VALUE"""),"03-38-10-43A")</f>
        <v>03-38-10-43A</v>
      </c>
      <c r="F263" s="36"/>
      <c r="G263" s="36" t="str">
        <f>IFERROR(__xludf.DUMMYFUNCTION("""COMPUTED_VALUE"""),"Av Gral San Martín y Comunero Norte")</f>
        <v>Av Gral San Martín y Comunero Norte</v>
      </c>
      <c r="H263" s="36" t="str">
        <f>IFERROR(__xludf.DUMMYFUNCTION("""COMPUTED_VALUE"""),"")</f>
        <v/>
      </c>
    </row>
    <row r="264">
      <c r="A264" s="36" t="str">
        <f>IFERROR(__xludf.DUMMYFUNCTION("""COMPUTED_VALUE"""),"08-26-03-72")</f>
        <v>08-26-03-72</v>
      </c>
      <c r="B264" s="36" t="str">
        <f>IFERROR(__xludf.DUMMYFUNCTION("""COMPUTED_VALUE"""),"")</f>
        <v/>
      </c>
      <c r="C264" s="36" t="str">
        <f>IFERROR(__xludf.DUMMYFUNCTION("""COMPUTED_VALUE"""),"")</f>
        <v/>
      </c>
      <c r="D264" s="36" t="str">
        <f>IFERROR(__xludf.DUMMYFUNCTION("""COMPUTED_VALUE"""),"")</f>
        <v/>
      </c>
      <c r="E264" s="36" t="str">
        <f>IFERROR(__xludf.DUMMYFUNCTION("""COMPUTED_VALUE"""),"03-44-10-43B")</f>
        <v>03-44-10-43B</v>
      </c>
      <c r="F264" s="36"/>
      <c r="G264" s="36" t="str">
        <f>IFERROR(__xludf.DUMMYFUNCTION("""COMPUTED_VALUE"""),"Av Gral San Martín y Comunero Sur")</f>
        <v>Av Gral San Martín y Comunero Sur</v>
      </c>
      <c r="H264" s="36" t="str">
        <f>IFERROR(__xludf.DUMMYFUNCTION("""COMPUTED_VALUE"""),"")</f>
        <v/>
      </c>
    </row>
    <row r="265">
      <c r="A265" s="36" t="str">
        <f>IFERROR(__xludf.DUMMYFUNCTION("""COMPUTED_VALUE"""),"08-26-03-73")</f>
        <v>08-26-03-73</v>
      </c>
      <c r="B265" s="36" t="str">
        <f>IFERROR(__xludf.DUMMYFUNCTION("""COMPUTED_VALUE"""),"")</f>
        <v/>
      </c>
      <c r="C265" s="36" t="str">
        <f>IFERROR(__xludf.DUMMYFUNCTION("""COMPUTED_VALUE"""),"")</f>
        <v/>
      </c>
      <c r="D265" s="36" t="str">
        <f>IFERROR(__xludf.DUMMYFUNCTION("""COMPUTED_VALUE"""),"")</f>
        <v/>
      </c>
      <c r="E265" s="36" t="str">
        <f>IFERROR(__xludf.DUMMYFUNCTION("""COMPUTED_VALUE"""),"03-36-10-47B")</f>
        <v>03-36-10-47B</v>
      </c>
      <c r="F265" s="36"/>
      <c r="G265" s="36" t="str">
        <f>IFERROR(__xludf.DUMMYFUNCTION("""COMPUTED_VALUE"""),"Av Gral San Martín y Hilario Cuadros")</f>
        <v>Av Gral San Martín y Hilario Cuadros</v>
      </c>
      <c r="H265" s="36" t="str">
        <f>IFERROR(__xludf.DUMMYFUNCTION("""COMPUTED_VALUE"""),"")</f>
        <v/>
      </c>
    </row>
    <row r="266">
      <c r="A266" s="36" t="str">
        <f>IFERROR(__xludf.DUMMYFUNCTION("""COMPUTED_VALUE"""),"08-26-03-74")</f>
        <v>08-26-03-74</v>
      </c>
      <c r="B266" s="36" t="str">
        <f>IFERROR(__xludf.DUMMYFUNCTION("""COMPUTED_VALUE"""),"")</f>
        <v/>
      </c>
      <c r="C266" s="36" t="str">
        <f>IFERROR(__xludf.DUMMYFUNCTION("""COMPUTED_VALUE"""),"")</f>
        <v/>
      </c>
      <c r="D266" s="36" t="str">
        <f>IFERROR(__xludf.DUMMYFUNCTION("""COMPUTED_VALUE"""),"")</f>
        <v/>
      </c>
      <c r="E266" s="36" t="str">
        <f>IFERROR(__xludf.DUMMYFUNCTION("""COMPUTED_VALUE"""),"03-38-10-41A")</f>
        <v>03-38-10-41A</v>
      </c>
      <c r="F266" s="36"/>
      <c r="G266" s="36" t="str">
        <f>IFERROR(__xludf.DUMMYFUNCTION("""COMPUTED_VALUE"""),"Av Gral San Martín y Josefína Storni N")</f>
        <v>Av Gral San Martín y Josefína Storni N</v>
      </c>
      <c r="H266" s="36" t="str">
        <f>IFERROR(__xludf.DUMMYFUNCTION("""COMPUTED_VALUE"""),"")</f>
        <v/>
      </c>
    </row>
    <row r="267">
      <c r="A267" s="36" t="str">
        <f>IFERROR(__xludf.DUMMYFUNCTION("""COMPUTED_VALUE"""),"08-26-03-75")</f>
        <v>08-26-03-75</v>
      </c>
      <c r="B267" s="36" t="str">
        <f>IFERROR(__xludf.DUMMYFUNCTION("""COMPUTED_VALUE"""),"")</f>
        <v/>
      </c>
      <c r="C267" s="36" t="str">
        <f>IFERROR(__xludf.DUMMYFUNCTION("""COMPUTED_VALUE"""),"")</f>
        <v/>
      </c>
      <c r="D267" s="36" t="str">
        <f>IFERROR(__xludf.DUMMYFUNCTION("""COMPUTED_VALUE"""),"")</f>
        <v/>
      </c>
      <c r="E267" s="36" t="str">
        <f>IFERROR(__xludf.DUMMYFUNCTION("""COMPUTED_VALUE"""),"03-44-10-41B")</f>
        <v>03-44-10-41B</v>
      </c>
      <c r="F267" s="36"/>
      <c r="G267" s="36" t="str">
        <f>IFERROR(__xludf.DUMMYFUNCTION("""COMPUTED_VALUE"""),"Av Gral San Martín y Josefína Storni S")</f>
        <v>Av Gral San Martín y Josefína Storni S</v>
      </c>
      <c r="H267" s="36" t="str">
        <f>IFERROR(__xludf.DUMMYFUNCTION("""COMPUTED_VALUE"""),"")</f>
        <v/>
      </c>
    </row>
    <row r="268">
      <c r="A268" s="36" t="str">
        <f>IFERROR(__xludf.DUMMYFUNCTION("""COMPUTED_VALUE"""),"08-26-03-76")</f>
        <v>08-26-03-76</v>
      </c>
      <c r="B268" s="36" t="str">
        <f>IFERROR(__xludf.DUMMYFUNCTION("""COMPUTED_VALUE"""),"")</f>
        <v/>
      </c>
      <c r="C268" s="36" t="str">
        <f>IFERROR(__xludf.DUMMYFUNCTION("""COMPUTED_VALUE"""),"")</f>
        <v/>
      </c>
      <c r="D268" s="36" t="str">
        <f>IFERROR(__xludf.DUMMYFUNCTION("""COMPUTED_VALUE"""),"")</f>
        <v/>
      </c>
      <c r="E268" s="36" t="str">
        <f>IFERROR(__xludf.DUMMYFUNCTION("""COMPUTED_VALUE"""),"03-34-10-49A")</f>
        <v>03-34-10-49A</v>
      </c>
      <c r="F268" s="36"/>
      <c r="G268" s="36" t="str">
        <f>IFERROR(__xludf.DUMMYFUNCTION("""COMPUTED_VALUE"""),"Av Gral San Martín y Juan Argentino Luna")</f>
        <v>Av Gral San Martín y Juan Argentino Luna</v>
      </c>
      <c r="H268" s="36" t="str">
        <f>IFERROR(__xludf.DUMMYFUNCTION("""COMPUTED_VALUE"""),"")</f>
        <v/>
      </c>
    </row>
    <row r="269">
      <c r="A269" s="36" t="str">
        <f>IFERROR(__xludf.DUMMYFUNCTION("""COMPUTED_VALUE"""),"08-26-03-77")</f>
        <v>08-26-03-77</v>
      </c>
      <c r="B269" s="36" t="str">
        <f>IFERROR(__xludf.DUMMYFUNCTION("""COMPUTED_VALUE"""),"")</f>
        <v/>
      </c>
      <c r="C269" s="36" t="str">
        <f>IFERROR(__xludf.DUMMYFUNCTION("""COMPUTED_VALUE"""),"")</f>
        <v/>
      </c>
      <c r="D269" s="36" t="str">
        <f>IFERROR(__xludf.DUMMYFUNCTION("""COMPUTED_VALUE"""),"")</f>
        <v/>
      </c>
      <c r="E269" s="36" t="str">
        <f>IFERROR(__xludf.DUMMYFUNCTION("""COMPUTED_VALUE"""),"03-38-10-45")</f>
        <v>03-38-10-45</v>
      </c>
      <c r="F269" s="36"/>
      <c r="G269" s="36" t="str">
        <f>IFERROR(__xludf.DUMMYFUNCTION("""COMPUTED_VALUE"""),"Av Gral San Martín y Libertad")</f>
        <v>Av Gral San Martín y Libertad</v>
      </c>
      <c r="H269" s="36" t="str">
        <f>IFERROR(__xludf.DUMMYFUNCTION("""COMPUTED_VALUE"""),"")</f>
        <v/>
      </c>
    </row>
    <row r="270">
      <c r="A270" s="36" t="str">
        <f>IFERROR(__xludf.DUMMYFUNCTION("""COMPUTED_VALUE"""),"08-26-03-78")</f>
        <v>08-26-03-78</v>
      </c>
      <c r="B270" s="36" t="str">
        <f>IFERROR(__xludf.DUMMYFUNCTION("""COMPUTED_VALUE"""),"")</f>
        <v/>
      </c>
      <c r="C270" s="36" t="str">
        <f>IFERROR(__xludf.DUMMYFUNCTION("""COMPUTED_VALUE"""),"")</f>
        <v/>
      </c>
      <c r="D270" s="36" t="str">
        <f>IFERROR(__xludf.DUMMYFUNCTION("""COMPUTED_VALUE"""),"")</f>
        <v/>
      </c>
      <c r="E270" s="36" t="str">
        <f>IFERROR(__xludf.DUMMYFUNCTION("""COMPUTED_VALUE"""),"03-40-10-39A")</f>
        <v>03-40-10-39A</v>
      </c>
      <c r="F270" s="36"/>
      <c r="G270" s="36" t="str">
        <f>IFERROR(__xludf.DUMMYFUNCTION("""COMPUTED_VALUE"""),"Av Gral San Martín y Luna Norte")</f>
        <v>Av Gral San Martín y Luna Norte</v>
      </c>
      <c r="H270" s="36" t="str">
        <f>IFERROR(__xludf.DUMMYFUNCTION("""COMPUTED_VALUE"""),"")</f>
        <v/>
      </c>
    </row>
    <row r="271">
      <c r="A271" s="36" t="str">
        <f>IFERROR(__xludf.DUMMYFUNCTION("""COMPUTED_VALUE"""),"08-26-03-79")</f>
        <v>08-26-03-79</v>
      </c>
      <c r="B271" s="36" t="str">
        <f>IFERROR(__xludf.DUMMYFUNCTION("""COMPUTED_VALUE"""),"")</f>
        <v/>
      </c>
      <c r="C271" s="36" t="str">
        <f>IFERROR(__xludf.DUMMYFUNCTION("""COMPUTED_VALUE"""),"")</f>
        <v/>
      </c>
      <c r="D271" s="36" t="str">
        <f>IFERROR(__xludf.DUMMYFUNCTION("""COMPUTED_VALUE"""),"")</f>
        <v/>
      </c>
      <c r="E271" s="36" t="str">
        <f>IFERROR(__xludf.DUMMYFUNCTION("""COMPUTED_VALUE"""),"03-42-10-39B")</f>
        <v>03-42-10-39B</v>
      </c>
      <c r="F271" s="36"/>
      <c r="G271" s="36" t="str">
        <f>IFERROR(__xludf.DUMMYFUNCTION("""COMPUTED_VALUE"""),"Av Gral San Martín y Luna Sur")</f>
        <v>Av Gral San Martín y Luna Sur</v>
      </c>
      <c r="H271" s="36" t="str">
        <f>IFERROR(__xludf.DUMMYFUNCTION("""COMPUTED_VALUE"""),"")</f>
        <v/>
      </c>
    </row>
    <row r="272">
      <c r="A272" s="36" t="str">
        <f>IFERROR(__xludf.DUMMYFUNCTION("""COMPUTED_VALUE"""),"08-26-03-80")</f>
        <v>08-26-03-80</v>
      </c>
      <c r="B272" s="36" t="str">
        <f>IFERROR(__xludf.DUMMYFUNCTION("""COMPUTED_VALUE"""),"")</f>
        <v/>
      </c>
      <c r="C272" s="36" t="str">
        <f>IFERROR(__xludf.DUMMYFUNCTION("""COMPUTED_VALUE"""),"")</f>
        <v/>
      </c>
      <c r="D272" s="36" t="str">
        <f>IFERROR(__xludf.DUMMYFUNCTION("""COMPUTED_VALUE"""),"")</f>
        <v/>
      </c>
      <c r="E272" s="36" t="str">
        <f>IFERROR(__xludf.DUMMYFUNCTION("""COMPUTED_VALUE"""),"03-40-10-38A")</f>
        <v>03-40-10-38A</v>
      </c>
      <c r="F272" s="36"/>
      <c r="G272" s="36" t="str">
        <f>IFERROR(__xludf.DUMMYFUNCTION("""COMPUTED_VALUE"""),"Av Gral San Martín y Martín Fierro Norte")</f>
        <v>Av Gral San Martín y Martín Fierro Norte</v>
      </c>
      <c r="H272" s="36" t="str">
        <f>IFERROR(__xludf.DUMMYFUNCTION("""COMPUTED_VALUE"""),"")</f>
        <v/>
      </c>
    </row>
    <row r="273">
      <c r="A273" s="36" t="str">
        <f>IFERROR(__xludf.DUMMYFUNCTION("""COMPUTED_VALUE"""),"08-26-03-80A")</f>
        <v>08-26-03-80A</v>
      </c>
      <c r="B273" s="36" t="str">
        <f>IFERROR(__xludf.DUMMYFUNCTION("""COMPUTED_VALUE"""),"")</f>
        <v/>
      </c>
      <c r="C273" s="36" t="str">
        <f>IFERROR(__xludf.DUMMYFUNCTION("""COMPUTED_VALUE"""),"")</f>
        <v/>
      </c>
      <c r="D273" s="36" t="str">
        <f>IFERROR(__xludf.DUMMYFUNCTION("""COMPUTED_VALUE"""),"")</f>
        <v/>
      </c>
      <c r="E273" s="36" t="str">
        <f>IFERROR(__xludf.DUMMYFUNCTION("""COMPUTED_VALUE"""),"03-42-10-38B")</f>
        <v>03-42-10-38B</v>
      </c>
      <c r="F273" s="36"/>
      <c r="G273" s="36" t="str">
        <f>IFERROR(__xludf.DUMMYFUNCTION("""COMPUTED_VALUE"""),"Av Gral San Martín y Martín Fierro Sur")</f>
        <v>Av Gral San Martín y Martín Fierro Sur</v>
      </c>
      <c r="H273" s="36" t="str">
        <f>IFERROR(__xludf.DUMMYFUNCTION("""COMPUTED_VALUE"""),"")</f>
        <v/>
      </c>
    </row>
    <row r="274">
      <c r="A274" s="36" t="str">
        <f>IFERROR(__xludf.DUMMYFUNCTION("""COMPUTED_VALUE"""),"08-26-03-99")</f>
        <v>08-26-03-99</v>
      </c>
      <c r="B274" s="36" t="str">
        <f>IFERROR(__xludf.DUMMYFUNCTION("""COMPUTED_VALUE"""),"")</f>
        <v/>
      </c>
      <c r="C274" s="36" t="str">
        <f>IFERROR(__xludf.DUMMYFUNCTION("""COMPUTED_VALUE"""),"")</f>
        <v/>
      </c>
      <c r="D274" s="36" t="str">
        <f>IFERROR(__xludf.DUMMYFUNCTION("""COMPUTED_VALUE"""),"")</f>
        <v/>
      </c>
      <c r="E274" s="36" t="str">
        <f>IFERROR(__xludf.DUMMYFUNCTION("""COMPUTED_VALUE"""),"03-32-10-64B")</f>
        <v>03-32-10-64B</v>
      </c>
      <c r="F274" s="36"/>
      <c r="G274" s="36" t="str">
        <f>IFERROR(__xludf.DUMMYFUNCTION("""COMPUTED_VALUE"""),"Av Gral San Martín y Obispo Sarmiento")</f>
        <v>Av Gral San Martín y Obispo Sarmiento</v>
      </c>
      <c r="H274" s="36" t="str">
        <f>IFERROR(__xludf.DUMMYFUNCTION("""COMPUTED_VALUE"""),"")</f>
        <v/>
      </c>
    </row>
    <row r="275">
      <c r="A275" s="36" t="str">
        <f>IFERROR(__xludf.DUMMYFUNCTION("""COMPUTED_VALUE"""),"08-28-03-10")</f>
        <v>08-28-03-10</v>
      </c>
      <c r="B275" s="36" t="str">
        <f>IFERROR(__xludf.DUMMYFUNCTION("""COMPUTED_VALUE"""),"")</f>
        <v/>
      </c>
      <c r="C275" s="36" t="str">
        <f>IFERROR(__xludf.DUMMYFUNCTION("""COMPUTED_VALUE"""),"")</f>
        <v/>
      </c>
      <c r="D275" s="36" t="str">
        <f>IFERROR(__xludf.DUMMYFUNCTION("""COMPUTED_VALUE"""),"")</f>
        <v/>
      </c>
      <c r="E275" s="36" t="str">
        <f>IFERROR(__xludf.DUMMYFUNCTION("""COMPUTED_VALUE"""),"03-33-10-64A")</f>
        <v>03-33-10-64A</v>
      </c>
      <c r="F275" s="36"/>
      <c r="G275" s="36" t="str">
        <f>IFERROR(__xludf.DUMMYFUNCTION("""COMPUTED_VALUE"""),"Av Gral San Martín y Pasteur")</f>
        <v>Av Gral San Martín y Pasteur</v>
      </c>
      <c r="H275" s="36" t="str">
        <f>IFERROR(__xludf.DUMMYFUNCTION("""COMPUTED_VALUE"""),"")</f>
        <v/>
      </c>
    </row>
    <row r="276">
      <c r="A276" s="36" t="str">
        <f>IFERROR(__xludf.DUMMYFUNCTION("""COMPUTED_VALUE"""),"08-28-03-101")</f>
        <v>08-28-03-101</v>
      </c>
      <c r="B276" s="36" t="str">
        <f>IFERROR(__xludf.DUMMYFUNCTION("""COMPUTED_VALUE"""),"")</f>
        <v/>
      </c>
      <c r="C276" s="36" t="str">
        <f>IFERROR(__xludf.DUMMYFUNCTION("""COMPUTED_VALUE"""),"")</f>
        <v/>
      </c>
      <c r="D276" s="36" t="str">
        <f>IFERROR(__xludf.DUMMYFUNCTION("""COMPUTED_VALUE"""),"")</f>
        <v/>
      </c>
      <c r="E276" s="36" t="str">
        <f>IFERROR(__xludf.DUMMYFUNCTION("""COMPUTED_VALUE"""),"03-33-10-63A")</f>
        <v>03-33-10-63A</v>
      </c>
      <c r="F276" s="36"/>
      <c r="G276" s="36" t="str">
        <f>IFERROR(__xludf.DUMMYFUNCTION("""COMPUTED_VALUE"""),"Av Gral San Martín y Pelagio Luna Norte")</f>
        <v>Av Gral San Martín y Pelagio Luna Norte</v>
      </c>
      <c r="H276" s="36" t="str">
        <f>IFERROR(__xludf.DUMMYFUNCTION("""COMPUTED_VALUE"""),"")</f>
        <v/>
      </c>
    </row>
    <row r="277">
      <c r="A277" s="36" t="str">
        <f>IFERROR(__xludf.DUMMYFUNCTION("""COMPUTED_VALUE"""),"08-28-03-101A")</f>
        <v>08-28-03-101A</v>
      </c>
      <c r="B277" s="36" t="str">
        <f>IFERROR(__xludf.DUMMYFUNCTION("""COMPUTED_VALUE"""),"")</f>
        <v/>
      </c>
      <c r="C277" s="36" t="str">
        <f>IFERROR(__xludf.DUMMYFUNCTION("""COMPUTED_VALUE"""),"")</f>
        <v/>
      </c>
      <c r="D277" s="36" t="str">
        <f>IFERROR(__xludf.DUMMYFUNCTION("""COMPUTED_VALUE"""),"")</f>
        <v/>
      </c>
      <c r="E277" s="36" t="str">
        <f>IFERROR(__xludf.DUMMYFUNCTION("""COMPUTED_VALUE"""),"03-32-10-63B")</f>
        <v>03-32-10-63B</v>
      </c>
      <c r="F277" s="36"/>
      <c r="G277" s="36" t="str">
        <f>IFERROR(__xludf.DUMMYFUNCTION("""COMPUTED_VALUE"""),"Av Gral San Martín y Pelagio Luna Sur")</f>
        <v>Av Gral San Martín y Pelagio Luna Sur</v>
      </c>
      <c r="H277" s="36" t="str">
        <f>IFERROR(__xludf.DUMMYFUNCTION("""COMPUTED_VALUE"""),"")</f>
        <v/>
      </c>
    </row>
    <row r="278">
      <c r="A278" s="36" t="str">
        <f>IFERROR(__xludf.DUMMYFUNCTION("""COMPUTED_VALUE"""),"08-28-03-101B")</f>
        <v>08-28-03-101B</v>
      </c>
      <c r="B278" s="36" t="str">
        <f>IFERROR(__xludf.DUMMYFUNCTION("""COMPUTED_VALUE"""),"")</f>
        <v/>
      </c>
      <c r="C278" s="36" t="str">
        <f>IFERROR(__xludf.DUMMYFUNCTION("""COMPUTED_VALUE"""),"")</f>
        <v/>
      </c>
      <c r="D278" s="36" t="str">
        <f>IFERROR(__xludf.DUMMYFUNCTION("""COMPUTED_VALUE"""),"")</f>
        <v/>
      </c>
      <c r="E278" s="36" t="str">
        <f>IFERROR(__xludf.DUMMYFUNCTION("""COMPUTED_VALUE"""),"03-38-10-42A")</f>
        <v>03-38-10-42A</v>
      </c>
      <c r="F278" s="36"/>
      <c r="G278" s="36" t="str">
        <f>IFERROR(__xludf.DUMMYFUNCTION("""COMPUTED_VALUE"""),"Av Gral San Martín y Ramirez Norte")</f>
        <v>Av Gral San Martín y Ramirez Norte</v>
      </c>
      <c r="H278" s="36" t="str">
        <f>IFERROR(__xludf.DUMMYFUNCTION("""COMPUTED_VALUE"""),"")</f>
        <v/>
      </c>
    </row>
    <row r="279">
      <c r="A279" s="36" t="str">
        <f>IFERROR(__xludf.DUMMYFUNCTION("""COMPUTED_VALUE"""),"08-28-03-102")</f>
        <v>08-28-03-102</v>
      </c>
      <c r="B279" s="36" t="str">
        <f>IFERROR(__xludf.DUMMYFUNCTION("""COMPUTED_VALUE"""),"")</f>
        <v/>
      </c>
      <c r="C279" s="36" t="str">
        <f>IFERROR(__xludf.DUMMYFUNCTION("""COMPUTED_VALUE"""),"")</f>
        <v/>
      </c>
      <c r="D279" s="36" t="str">
        <f>IFERROR(__xludf.DUMMYFUNCTION("""COMPUTED_VALUE"""),"")</f>
        <v/>
      </c>
      <c r="E279" s="36" t="str">
        <f>IFERROR(__xludf.DUMMYFUNCTION("""COMPUTED_VALUE"""),"03-44-10-42B")</f>
        <v>03-44-10-42B</v>
      </c>
      <c r="F279" s="36"/>
      <c r="G279" s="36" t="str">
        <f>IFERROR(__xludf.DUMMYFUNCTION("""COMPUTED_VALUE"""),"Av Gral San Martín y Ramirez Sur")</f>
        <v>Av Gral San Martín y Ramirez Sur</v>
      </c>
      <c r="H279" s="36" t="str">
        <f>IFERROR(__xludf.DUMMYFUNCTION("""COMPUTED_VALUE"""),"")</f>
        <v/>
      </c>
    </row>
    <row r="280">
      <c r="A280" s="36" t="str">
        <f>IFERROR(__xludf.DUMMYFUNCTION("""COMPUTED_VALUE"""),"08-28-03-103")</f>
        <v>08-28-03-103</v>
      </c>
      <c r="B280" s="36" t="str">
        <f>IFERROR(__xludf.DUMMYFUNCTION("""COMPUTED_VALUE"""),"")</f>
        <v/>
      </c>
      <c r="C280" s="36" t="str">
        <f>IFERROR(__xludf.DUMMYFUNCTION("""COMPUTED_VALUE"""),"")</f>
        <v/>
      </c>
      <c r="D280" s="36" t="str">
        <f>IFERROR(__xludf.DUMMYFUNCTION("""COMPUTED_VALUE"""),"")</f>
        <v/>
      </c>
      <c r="E280" s="36" t="str">
        <f>IFERROR(__xludf.DUMMYFUNCTION("""COMPUTED_VALUE"""),"03-33-10-54A")</f>
        <v>03-33-10-54A</v>
      </c>
      <c r="F280" s="36"/>
      <c r="G280" s="36" t="str">
        <f>IFERROR(__xludf.DUMMYFUNCTION("""COMPUTED_VALUE"""),"Av Gral San Martín y San Francisco")</f>
        <v>Av Gral San Martín y San Francisco</v>
      </c>
      <c r="H280" s="36" t="str">
        <f>IFERROR(__xludf.DUMMYFUNCTION("""COMPUTED_VALUE"""),"")</f>
        <v/>
      </c>
    </row>
    <row r="281">
      <c r="A281" s="36" t="str">
        <f>IFERROR(__xludf.DUMMYFUNCTION("""COMPUTED_VALUE"""),"08-28-03-104")</f>
        <v>08-28-03-104</v>
      </c>
      <c r="B281" s="36" t="str">
        <f>IFERROR(__xludf.DUMMYFUNCTION("""COMPUTED_VALUE"""),"")</f>
        <v/>
      </c>
      <c r="C281" s="36" t="str">
        <f>IFERROR(__xludf.DUMMYFUNCTION("""COMPUTED_VALUE"""),"")</f>
        <v/>
      </c>
      <c r="D281" s="36" t="str">
        <f>IFERROR(__xludf.DUMMYFUNCTION("""COMPUTED_VALUE"""),"")</f>
        <v/>
      </c>
      <c r="E281" s="36" t="str">
        <f>IFERROR(__xludf.DUMMYFUNCTION("""COMPUTED_VALUE"""),"03-34-10-49B")</f>
        <v>03-34-10-49B</v>
      </c>
      <c r="F281" s="36"/>
      <c r="G281" s="36" t="str">
        <f>IFERROR(__xludf.DUMMYFUNCTION("""COMPUTED_VALUE"""),"Av Gral San Martín y Zapata")</f>
        <v>Av Gral San Martín y Zapata</v>
      </c>
      <c r="H281" s="36" t="str">
        <f>IFERROR(__xludf.DUMMYFUNCTION("""COMPUTED_VALUE"""),"")</f>
        <v/>
      </c>
    </row>
    <row r="282">
      <c r="A282" s="36" t="str">
        <f>IFERROR(__xludf.DUMMYFUNCTION("""COMPUTED_VALUE"""),"08-28-03-11")</f>
        <v>08-28-03-11</v>
      </c>
      <c r="B282" s="36" t="str">
        <f>IFERROR(__xludf.DUMMYFUNCTION("""COMPUTED_VALUE"""),"")</f>
        <v/>
      </c>
      <c r="C282" s="36" t="str">
        <f>IFERROR(__xludf.DUMMYFUNCTION("""COMPUTED_VALUE"""),"")</f>
        <v/>
      </c>
      <c r="D282" s="36" t="str">
        <f>IFERROR(__xludf.DUMMYFUNCTION("""COMPUTED_VALUE"""),"")</f>
        <v/>
      </c>
      <c r="E282" s="36" t="str">
        <f>IFERROR(__xludf.DUMMYFUNCTION("""COMPUTED_VALUE"""),"01-31-07-155")</f>
        <v>01-31-07-155</v>
      </c>
      <c r="F282" s="36"/>
      <c r="G282" s="36" t="str">
        <f>IFERROR(__xludf.DUMMYFUNCTION("""COMPUTED_VALUE"""),"Av Libertador y Cirunvalación N")</f>
        <v>Av Libertador y Cirunvalación N</v>
      </c>
      <c r="H282" s="36" t="str">
        <f>IFERROR(__xludf.DUMMYFUNCTION("""COMPUTED_VALUE"""),"")</f>
        <v/>
      </c>
    </row>
    <row r="283">
      <c r="A283" s="36" t="str">
        <f>IFERROR(__xludf.DUMMYFUNCTION("""COMPUTED_VALUE"""),"08-28-03-12")</f>
        <v>08-28-03-12</v>
      </c>
      <c r="B283" s="36" t="str">
        <f>IFERROR(__xludf.DUMMYFUNCTION("""COMPUTED_VALUE"""),"")</f>
        <v/>
      </c>
      <c r="C283" s="36" t="str">
        <f>IFERROR(__xludf.DUMMYFUNCTION("""COMPUTED_VALUE"""),"")</f>
        <v/>
      </c>
      <c r="D283" s="36" t="str">
        <f>IFERROR(__xludf.DUMMYFUNCTION("""COMPUTED_VALUE"""),"")</f>
        <v/>
      </c>
      <c r="E283" s="36" t="str">
        <f>IFERROR(__xludf.DUMMYFUNCTION("""COMPUTED_VALUE"""),"01-45-07-156")</f>
        <v>01-45-07-156</v>
      </c>
      <c r="F283" s="36"/>
      <c r="G283" s="36" t="str">
        <f>IFERROR(__xludf.DUMMYFUNCTION("""COMPUTED_VALUE"""),"Av Libertador y Cirunvalación S")</f>
        <v>Av Libertador y Cirunvalación S</v>
      </c>
      <c r="H283" s="36" t="str">
        <f>IFERROR(__xludf.DUMMYFUNCTION("""COMPUTED_VALUE"""),"")</f>
        <v/>
      </c>
    </row>
    <row r="284">
      <c r="A284" s="36" t="str">
        <f>IFERROR(__xludf.DUMMYFUNCTION("""COMPUTED_VALUE"""),"08-28-03-13")</f>
        <v>08-28-03-13</v>
      </c>
      <c r="B284" s="36" t="str">
        <f>IFERROR(__xludf.DUMMYFUNCTION("""COMPUTED_VALUE"""),"")</f>
        <v/>
      </c>
      <c r="C284" s="36" t="str">
        <f>IFERROR(__xludf.DUMMYFUNCTION("""COMPUTED_VALUE"""),"")</f>
        <v/>
      </c>
      <c r="D284" s="36" t="str">
        <f>IFERROR(__xludf.DUMMYFUNCTION("""COMPUTED_VALUE"""),"")</f>
        <v/>
      </c>
      <c r="E284" s="36" t="str">
        <f>IFERROR(__xludf.DUMMYFUNCTION("""COMPUTED_VALUE"""),"01-32-07-168")</f>
        <v>01-32-07-168</v>
      </c>
      <c r="F284" s="36"/>
      <c r="G284" s="36" t="str">
        <f>IFERROR(__xludf.DUMMYFUNCTION("""COMPUTED_VALUE"""),"Av Libertador y Esteban Echeverría N")</f>
        <v>Av Libertador y Esteban Echeverría N</v>
      </c>
      <c r="H284" s="36" t="str">
        <f>IFERROR(__xludf.DUMMYFUNCTION("""COMPUTED_VALUE"""),"")</f>
        <v/>
      </c>
    </row>
    <row r="285">
      <c r="A285" s="36" t="str">
        <f>IFERROR(__xludf.DUMMYFUNCTION("""COMPUTED_VALUE"""),"08-28-03-14")</f>
        <v>08-28-03-14</v>
      </c>
      <c r="B285" s="36" t="str">
        <f>IFERROR(__xludf.DUMMYFUNCTION("""COMPUTED_VALUE"""),"")</f>
        <v/>
      </c>
      <c r="C285" s="36" t="str">
        <f>IFERROR(__xludf.DUMMYFUNCTION("""COMPUTED_VALUE"""),"")</f>
        <v/>
      </c>
      <c r="D285" s="36" t="str">
        <f>IFERROR(__xludf.DUMMYFUNCTION("""COMPUTED_VALUE"""),"")</f>
        <v/>
      </c>
      <c r="E285" s="36" t="str">
        <f>IFERROR(__xludf.DUMMYFUNCTION("""COMPUTED_VALUE"""),"01-33-07-167")</f>
        <v>01-33-07-167</v>
      </c>
      <c r="F285" s="36"/>
      <c r="G285" s="36" t="str">
        <f>IFERROR(__xludf.DUMMYFUNCTION("""COMPUTED_VALUE"""),"Av Libertador y Esteban Echeverría S")</f>
        <v>Av Libertador y Esteban Echeverría S</v>
      </c>
      <c r="H285" s="36" t="str">
        <f>IFERROR(__xludf.DUMMYFUNCTION("""COMPUTED_VALUE"""),"")</f>
        <v/>
      </c>
    </row>
    <row r="286">
      <c r="A286" s="36" t="str">
        <f>IFERROR(__xludf.DUMMYFUNCTION("""COMPUTED_VALUE"""),"08-28-03-15")</f>
        <v>08-28-03-15</v>
      </c>
      <c r="B286" s="36" t="str">
        <f>IFERROR(__xludf.DUMMYFUNCTION("""COMPUTED_VALUE"""),"")</f>
        <v/>
      </c>
      <c r="C286" s="36" t="str">
        <f>IFERROR(__xludf.DUMMYFUNCTION("""COMPUTED_VALUE"""),"")</f>
        <v/>
      </c>
      <c r="D286" s="36" t="str">
        <f>IFERROR(__xludf.DUMMYFUNCTION("""COMPUTED_VALUE"""),"")</f>
        <v/>
      </c>
      <c r="E286" s="36" t="str">
        <f>IFERROR(__xludf.DUMMYFUNCTION("""COMPUTED_VALUE"""),"03-33-10-129C")</f>
        <v>03-33-10-129C</v>
      </c>
      <c r="F286" s="36"/>
      <c r="G286" s="36" t="str">
        <f>IFERROR(__xludf.DUMMYFUNCTION("""COMPUTED_VALUE"""),"Av Sarmiento  y Ischigualasto Norte")</f>
        <v>Av Sarmiento  y Ischigualasto Norte</v>
      </c>
      <c r="H286" s="36" t="str">
        <f>IFERROR(__xludf.DUMMYFUNCTION("""COMPUTED_VALUE"""),"")</f>
        <v/>
      </c>
    </row>
    <row r="287">
      <c r="A287" s="36" t="str">
        <f>IFERROR(__xludf.DUMMYFUNCTION("""COMPUTED_VALUE"""),"08-28-03-16")</f>
        <v>08-28-03-16</v>
      </c>
      <c r="B287" s="36" t="str">
        <f>IFERROR(__xludf.DUMMYFUNCTION("""COMPUTED_VALUE"""),"")</f>
        <v/>
      </c>
      <c r="C287" s="36" t="str">
        <f>IFERROR(__xludf.DUMMYFUNCTION("""COMPUTED_VALUE"""),"")</f>
        <v/>
      </c>
      <c r="D287" s="36" t="str">
        <f>IFERROR(__xludf.DUMMYFUNCTION("""COMPUTED_VALUE"""),"")</f>
        <v/>
      </c>
      <c r="E287" s="36" t="str">
        <f>IFERROR(__xludf.DUMMYFUNCTION("""COMPUTED_VALUE"""),"03-48-10-129B")</f>
        <v>03-48-10-129B</v>
      </c>
      <c r="F287" s="36"/>
      <c r="G287" s="36" t="str">
        <f>IFERROR(__xludf.DUMMYFUNCTION("""COMPUTED_VALUE"""),"Av Sarmiento  y Ischigualasto Sur")</f>
        <v>Av Sarmiento  y Ischigualasto Sur</v>
      </c>
      <c r="H287" s="36" t="str">
        <f>IFERROR(__xludf.DUMMYFUNCTION("""COMPUTED_VALUE"""),"")</f>
        <v/>
      </c>
    </row>
    <row r="288">
      <c r="A288" s="36" t="str">
        <f>IFERROR(__xludf.DUMMYFUNCTION("""COMPUTED_VALUE"""),"08-28-03-17")</f>
        <v>08-28-03-17</v>
      </c>
      <c r="B288" s="36" t="str">
        <f>IFERROR(__xludf.DUMMYFUNCTION("""COMPUTED_VALUE"""),"")</f>
        <v/>
      </c>
      <c r="C288" s="36" t="str">
        <f>IFERROR(__xludf.DUMMYFUNCTION("""COMPUTED_VALUE"""),"")</f>
        <v/>
      </c>
      <c r="D288" s="36" t="str">
        <f>IFERROR(__xludf.DUMMYFUNCTION("""COMPUTED_VALUE"""),"")</f>
        <v/>
      </c>
      <c r="E288" s="36" t="str">
        <f>IFERROR(__xludf.DUMMYFUNCTION("""COMPUTED_VALUE"""),"03-33-10-124B")</f>
        <v>03-33-10-124B</v>
      </c>
      <c r="F288" s="36"/>
      <c r="G288" s="36" t="str">
        <f>IFERROR(__xludf.DUMMYFUNCTION("""COMPUTED_VALUE"""),"Av Sarmiento e Hipólito Yrigoyen")</f>
        <v>Av Sarmiento e Hipólito Yrigoyen</v>
      </c>
      <c r="H288" s="36" t="str">
        <f>IFERROR(__xludf.DUMMYFUNCTION("""COMPUTED_VALUE"""),"")</f>
        <v/>
      </c>
    </row>
    <row r="289">
      <c r="A289" s="36" t="str">
        <f>IFERROR(__xludf.DUMMYFUNCTION("""COMPUTED_VALUE"""),"08-28-03-18")</f>
        <v>08-28-03-18</v>
      </c>
      <c r="B289" s="36" t="str">
        <f>IFERROR(__xludf.DUMMYFUNCTION("""COMPUTED_VALUE"""),"")</f>
        <v/>
      </c>
      <c r="C289" s="36" t="str">
        <f>IFERROR(__xludf.DUMMYFUNCTION("""COMPUTED_VALUE"""),"")</f>
        <v/>
      </c>
      <c r="D289" s="36" t="str">
        <f>IFERROR(__xludf.DUMMYFUNCTION("""COMPUTED_VALUE"""),"")</f>
        <v/>
      </c>
      <c r="E289" s="36" t="str">
        <f>IFERROR(__xludf.DUMMYFUNCTION("""COMPUTED_VALUE"""),"03-33-10-129A")</f>
        <v>03-33-10-129A</v>
      </c>
      <c r="F289" s="36"/>
      <c r="G289" s="36" t="str">
        <f>IFERROR(__xludf.DUMMYFUNCTION("""COMPUTED_VALUE"""),"Av Sarmiento y El Leoncito")</f>
        <v>Av Sarmiento y El Leoncito</v>
      </c>
      <c r="H289" s="36" t="str">
        <f>IFERROR(__xludf.DUMMYFUNCTION("""COMPUTED_VALUE"""),"")</f>
        <v/>
      </c>
    </row>
    <row r="290">
      <c r="A290" s="36" t="str">
        <f>IFERROR(__xludf.DUMMYFUNCTION("""COMPUTED_VALUE"""),"08-28-03-19")</f>
        <v>08-28-03-19</v>
      </c>
      <c r="B290" s="36" t="str">
        <f>IFERROR(__xludf.DUMMYFUNCTION("""COMPUTED_VALUE"""),"")</f>
        <v/>
      </c>
      <c r="C290" s="36" t="str">
        <f>IFERROR(__xludf.DUMMYFUNCTION("""COMPUTED_VALUE"""),"")</f>
        <v/>
      </c>
      <c r="D290" s="36" t="str">
        <f>IFERROR(__xludf.DUMMYFUNCTION("""COMPUTED_VALUE"""),"")</f>
        <v/>
      </c>
      <c r="E290" s="36" t="str">
        <f>IFERROR(__xludf.DUMMYFUNCTION("""COMPUTED_VALUE"""),"03-48-10-130A")</f>
        <v>03-48-10-130A</v>
      </c>
      <c r="F290" s="36"/>
      <c r="G290" s="36" t="str">
        <f>IFERROR(__xludf.DUMMYFUNCTION("""COMPUTED_VALUE"""),"Av Sarmiento y Pelagio Luna Norte")</f>
        <v>Av Sarmiento y Pelagio Luna Norte</v>
      </c>
      <c r="H290" s="36" t="str">
        <f>IFERROR(__xludf.DUMMYFUNCTION("""COMPUTED_VALUE"""),"")</f>
        <v/>
      </c>
    </row>
    <row r="291">
      <c r="A291" s="36" t="str">
        <f>IFERROR(__xludf.DUMMYFUNCTION("""COMPUTED_VALUE"""),"08-28-03-20")</f>
        <v>08-28-03-20</v>
      </c>
      <c r="B291" s="36" t="str">
        <f>IFERROR(__xludf.DUMMYFUNCTION("""COMPUTED_VALUE"""),"")</f>
        <v/>
      </c>
      <c r="C291" s="36" t="str">
        <f>IFERROR(__xludf.DUMMYFUNCTION("""COMPUTED_VALUE"""),"")</f>
        <v/>
      </c>
      <c r="D291" s="36" t="str">
        <f>IFERROR(__xludf.DUMMYFUNCTION("""COMPUTED_VALUE"""),"")</f>
        <v/>
      </c>
      <c r="E291" s="36" t="str">
        <f>IFERROR(__xludf.DUMMYFUNCTION("""COMPUTED_VALUE"""),"03-33-10-130B")</f>
        <v>03-33-10-130B</v>
      </c>
      <c r="F291" s="36"/>
      <c r="G291" s="36" t="str">
        <f>IFERROR(__xludf.DUMMYFUNCTION("""COMPUTED_VALUE"""),"Av Sarmiento y Pelagio Luna Sur")</f>
        <v>Av Sarmiento y Pelagio Luna Sur</v>
      </c>
      <c r="H291" s="36" t="str">
        <f>IFERROR(__xludf.DUMMYFUNCTION("""COMPUTED_VALUE"""),"")</f>
        <v/>
      </c>
    </row>
    <row r="292">
      <c r="A292" s="36" t="str">
        <f>IFERROR(__xludf.DUMMYFUNCTION("""COMPUTED_VALUE"""),"08-28-03-21")</f>
        <v>08-28-03-21</v>
      </c>
      <c r="B292" s="36" t="str">
        <f>IFERROR(__xludf.DUMMYFUNCTION("""COMPUTED_VALUE"""),"")</f>
        <v/>
      </c>
      <c r="C292" s="36" t="str">
        <f>IFERROR(__xludf.DUMMYFUNCTION("""COMPUTED_VALUE"""),"")</f>
        <v/>
      </c>
      <c r="D292" s="36" t="str">
        <f>IFERROR(__xludf.DUMMYFUNCTION("""COMPUTED_VALUE"""),"")</f>
        <v/>
      </c>
      <c r="E292" s="36" t="str">
        <f>IFERROR(__xludf.DUMMYFUNCTION("""COMPUTED_VALUE"""),"03-33-10-458B")</f>
        <v>03-33-10-458B</v>
      </c>
      <c r="F292" s="36"/>
      <c r="G292" s="36" t="str">
        <f>IFERROR(__xludf.DUMMYFUNCTION("""COMPUTED_VALUE"""),"Av Sarmiento y Proyectada Este")</f>
        <v>Av Sarmiento y Proyectada Este</v>
      </c>
      <c r="H292" s="36" t="str">
        <f>IFERROR(__xludf.DUMMYFUNCTION("""COMPUTED_VALUE"""),"")</f>
        <v/>
      </c>
    </row>
    <row r="293">
      <c r="A293" s="36" t="str">
        <f>IFERROR(__xludf.DUMMYFUNCTION("""COMPUTED_VALUE"""),"08-28-03-22")</f>
        <v>08-28-03-22</v>
      </c>
      <c r="B293" s="36" t="str">
        <f>IFERROR(__xludf.DUMMYFUNCTION("""COMPUTED_VALUE"""),"")</f>
        <v/>
      </c>
      <c r="C293" s="36" t="str">
        <f>IFERROR(__xludf.DUMMYFUNCTION("""COMPUTED_VALUE"""),"")</f>
        <v/>
      </c>
      <c r="D293" s="36" t="str">
        <f>IFERROR(__xludf.DUMMYFUNCTION("""COMPUTED_VALUE"""),"")</f>
        <v/>
      </c>
      <c r="E293" s="36" t="str">
        <f>IFERROR(__xludf.DUMMYFUNCTION("""COMPUTED_VALUE"""),"03-47-10-558B")</f>
        <v>03-47-10-558B</v>
      </c>
      <c r="F293" s="36"/>
      <c r="G293" s="36" t="str">
        <f>IFERROR(__xludf.DUMMYFUNCTION("""COMPUTED_VALUE"""),"Av Sarmiento y Proyectada Oeste")</f>
        <v>Av Sarmiento y Proyectada Oeste</v>
      </c>
      <c r="H293" s="36" t="str">
        <f>IFERROR(__xludf.DUMMYFUNCTION("""COMPUTED_VALUE"""),"")</f>
        <v/>
      </c>
    </row>
    <row r="294">
      <c r="A294" s="36" t="str">
        <f>IFERROR(__xludf.DUMMYFUNCTION("""COMPUTED_VALUE"""),"08-28-03-23")</f>
        <v>08-28-03-23</v>
      </c>
      <c r="B294" s="36" t="str">
        <f>IFERROR(__xludf.DUMMYFUNCTION("""COMPUTED_VALUE"""),"")</f>
        <v/>
      </c>
      <c r="C294" s="36" t="str">
        <f>IFERROR(__xludf.DUMMYFUNCTION("""COMPUTED_VALUE"""),"")</f>
        <v/>
      </c>
      <c r="D294" s="36" t="str">
        <f>IFERROR(__xludf.DUMMYFUNCTION("""COMPUTED_VALUE"""),"")</f>
        <v/>
      </c>
      <c r="E294" s="36" t="str">
        <f>IFERROR(__xludf.DUMMYFUNCTION("""COMPUTED_VALUE"""),"04-20-13-27")</f>
        <v>04-20-13-27</v>
      </c>
      <c r="F294" s="36"/>
      <c r="G294" s="36" t="str">
        <f>IFERROR(__xludf.DUMMYFUNCTION("""COMPUTED_VALUE"""),"Av.  España y Brasil")</f>
        <v>Av.  España y Brasil</v>
      </c>
      <c r="H294" s="36" t="str">
        <f>IFERROR(__xludf.DUMMYFUNCTION("""COMPUTED_VALUE"""),"")</f>
        <v/>
      </c>
    </row>
    <row r="295">
      <c r="A295" s="36" t="str">
        <f>IFERROR(__xludf.DUMMYFUNCTION("""COMPUTED_VALUE"""),"08-28-03-24")</f>
        <v>08-28-03-24</v>
      </c>
      <c r="B295" s="36" t="str">
        <f>IFERROR(__xludf.DUMMYFUNCTION("""COMPUTED_VALUE"""),"")</f>
        <v/>
      </c>
      <c r="C295" s="36" t="str">
        <f>IFERROR(__xludf.DUMMYFUNCTION("""COMPUTED_VALUE"""),"")</f>
        <v/>
      </c>
      <c r="D295" s="36" t="str">
        <f>IFERROR(__xludf.DUMMYFUNCTION("""COMPUTED_VALUE"""),"")</f>
        <v/>
      </c>
      <c r="E295" s="36" t="str">
        <f>IFERROR(__xludf.DUMMYFUNCTION("""COMPUTED_VALUE"""),"04-21-13-26")</f>
        <v>04-21-13-26</v>
      </c>
      <c r="F295" s="36"/>
      <c r="G295" s="36" t="str">
        <f>IFERROR(__xludf.DUMMYFUNCTION("""COMPUTED_VALUE"""),"Av.  España y Comandante Cabot -S")</f>
        <v>Av.  España y Comandante Cabot -S</v>
      </c>
      <c r="H295" s="36" t="str">
        <f>IFERROR(__xludf.DUMMYFUNCTION("""COMPUTED_VALUE"""),"")</f>
        <v/>
      </c>
    </row>
    <row r="296">
      <c r="A296" s="36" t="str">
        <f>IFERROR(__xludf.DUMMYFUNCTION("""COMPUTED_VALUE"""),"08-28-03-25")</f>
        <v>08-28-03-25</v>
      </c>
      <c r="B296" s="36" t="str">
        <f>IFERROR(__xludf.DUMMYFUNCTION("""COMPUTED_VALUE"""),"")</f>
        <v/>
      </c>
      <c r="C296" s="36" t="str">
        <f>IFERROR(__xludf.DUMMYFUNCTION("""COMPUTED_VALUE"""),"")</f>
        <v/>
      </c>
      <c r="D296" s="36" t="str">
        <f>IFERROR(__xludf.DUMMYFUNCTION("""COMPUTED_VALUE"""),"")</f>
        <v/>
      </c>
      <c r="E296" s="36" t="str">
        <f>IFERROR(__xludf.DUMMYFUNCTION("""COMPUTED_VALUE"""),"01-37-08-73")</f>
        <v>01-37-08-73</v>
      </c>
      <c r="F296" s="36"/>
      <c r="G296" s="36" t="str">
        <f>IFERROR(__xludf.DUMMYFUNCTION("""COMPUTED_VALUE"""),"Av. Alem y  Chile")</f>
        <v>Av. Alem y  Chile</v>
      </c>
      <c r="H296" s="36" t="str">
        <f>IFERROR(__xludf.DUMMYFUNCTION("""COMPUTED_VALUE"""),"")</f>
        <v/>
      </c>
    </row>
    <row r="297">
      <c r="A297" s="36" t="str">
        <f>IFERROR(__xludf.DUMMYFUNCTION("""COMPUTED_VALUE"""),"08-28-03-26")</f>
        <v>08-28-03-26</v>
      </c>
      <c r="B297" s="36" t="str">
        <f>IFERROR(__xludf.DUMMYFUNCTION("""COMPUTED_VALUE"""),"")</f>
        <v/>
      </c>
      <c r="C297" s="36" t="str">
        <f>IFERROR(__xludf.DUMMYFUNCTION("""COMPUTED_VALUE"""),"")</f>
        <v/>
      </c>
      <c r="D297" s="36" t="str">
        <f>IFERROR(__xludf.DUMMYFUNCTION("""COMPUTED_VALUE"""),"")</f>
        <v/>
      </c>
      <c r="E297" s="36" t="str">
        <f>IFERROR(__xludf.DUMMYFUNCTION("""COMPUTED_VALUE"""),"01-37-08-74")</f>
        <v>01-37-08-74</v>
      </c>
      <c r="F297" s="36"/>
      <c r="G297" s="36" t="str">
        <f>IFERROR(__xludf.DUMMYFUNCTION("""COMPUTED_VALUE"""),"Av. Alem y  Maipú")</f>
        <v>Av. Alem y  Maipú</v>
      </c>
      <c r="H297" s="36" t="str">
        <f>IFERROR(__xludf.DUMMYFUNCTION("""COMPUTED_VALUE"""),"")</f>
        <v/>
      </c>
    </row>
    <row r="298">
      <c r="A298" s="36" t="str">
        <f>IFERROR(__xludf.DUMMYFUNCTION("""COMPUTED_VALUE"""),"08-28-03-27")</f>
        <v>08-28-03-27</v>
      </c>
      <c r="B298" s="36" t="str">
        <f>IFERROR(__xludf.DUMMYFUNCTION("""COMPUTED_VALUE"""),"")</f>
        <v/>
      </c>
      <c r="C298" s="36" t="str">
        <f>IFERROR(__xludf.DUMMYFUNCTION("""COMPUTED_VALUE"""),"")</f>
        <v/>
      </c>
      <c r="D298" s="36" t="str">
        <f>IFERROR(__xludf.DUMMYFUNCTION("""COMPUTED_VALUE"""),"")</f>
        <v/>
      </c>
      <c r="E298" s="36" t="str">
        <f>IFERROR(__xludf.DUMMYFUNCTION("""COMPUTED_VALUE"""),"01-42-08-122A")</f>
        <v>01-42-08-122A</v>
      </c>
      <c r="F298" s="36"/>
      <c r="G298" s="36" t="str">
        <f>IFERROR(__xludf.DUMMYFUNCTION("""COMPUTED_VALUE"""),"Av. Alem Y 25 de Mayo")</f>
        <v>Av. Alem Y 25 de Mayo</v>
      </c>
      <c r="H298" s="36" t="str">
        <f>IFERROR(__xludf.DUMMYFUNCTION("""COMPUTED_VALUE"""),"")</f>
        <v/>
      </c>
    </row>
    <row r="299">
      <c r="A299" s="36" t="str">
        <f>IFERROR(__xludf.DUMMYFUNCTION("""COMPUTED_VALUE"""),"08-28-03-5")</f>
        <v>08-28-03-5</v>
      </c>
      <c r="B299" s="36" t="str">
        <f>IFERROR(__xludf.DUMMYFUNCTION("""COMPUTED_VALUE"""),"")</f>
        <v/>
      </c>
      <c r="C299" s="36" t="str">
        <f>IFERROR(__xludf.DUMMYFUNCTION("""COMPUTED_VALUE"""),"")</f>
        <v/>
      </c>
      <c r="D299" s="36" t="str">
        <f>IFERROR(__xludf.DUMMYFUNCTION("""COMPUTED_VALUE"""),"")</f>
        <v/>
      </c>
      <c r="E299" s="36" t="str">
        <f>IFERROR(__xludf.DUMMYFUNCTION("""COMPUTED_VALUE"""),"01-42-08-122C")</f>
        <v>01-42-08-122C</v>
      </c>
      <c r="F299" s="36"/>
      <c r="G299" s="36" t="str">
        <f>IFERROR(__xludf.DUMMYFUNCTION("""COMPUTED_VALUE"""),"Av. Alem y 25 de Mayo -N")</f>
        <v>Av. Alem y 25 de Mayo -N</v>
      </c>
      <c r="H299" s="36" t="str">
        <f>IFERROR(__xludf.DUMMYFUNCTION("""COMPUTED_VALUE"""),"")</f>
        <v/>
      </c>
    </row>
    <row r="300">
      <c r="A300" s="36" t="str">
        <f>IFERROR(__xludf.DUMMYFUNCTION("""COMPUTED_VALUE"""),"08-28-03-6")</f>
        <v>08-28-03-6</v>
      </c>
      <c r="B300" s="36" t="str">
        <f>IFERROR(__xludf.DUMMYFUNCTION("""COMPUTED_VALUE"""),"")</f>
        <v/>
      </c>
      <c r="C300" s="36" t="str">
        <f>IFERROR(__xludf.DUMMYFUNCTION("""COMPUTED_VALUE"""),"")</f>
        <v/>
      </c>
      <c r="D300" s="36" t="str">
        <f>IFERROR(__xludf.DUMMYFUNCTION("""COMPUTED_VALUE"""),"")</f>
        <v/>
      </c>
      <c r="E300" s="36" t="str">
        <f>IFERROR(__xludf.DUMMYFUNCTION("""COMPUTED_VALUE"""),"01-51-08-2A")</f>
        <v>01-51-08-2A</v>
      </c>
      <c r="F300" s="36"/>
      <c r="G300" s="36" t="str">
        <f>IFERROR(__xludf.DUMMYFUNCTION("""COMPUTED_VALUE"""),"Av. Alem y 9 de Julio")</f>
        <v>Av. Alem y 9 de Julio</v>
      </c>
      <c r="H300" s="36" t="str">
        <f>IFERROR(__xludf.DUMMYFUNCTION("""COMPUTED_VALUE"""),"")</f>
        <v/>
      </c>
    </row>
    <row r="301">
      <c r="A301" s="36" t="str">
        <f>IFERROR(__xludf.DUMMYFUNCTION("""COMPUTED_VALUE"""),"08-28-03-69")</f>
        <v>08-28-03-69</v>
      </c>
      <c r="B301" s="36" t="str">
        <f>IFERROR(__xludf.DUMMYFUNCTION("""COMPUTED_VALUE"""),"")</f>
        <v/>
      </c>
      <c r="C301" s="36" t="str">
        <f>IFERROR(__xludf.DUMMYFUNCTION("""COMPUTED_VALUE"""),"")</f>
        <v/>
      </c>
      <c r="D301" s="36" t="str">
        <f>IFERROR(__xludf.DUMMYFUNCTION("""COMPUTED_VALUE"""),"")</f>
        <v/>
      </c>
      <c r="E301" s="36" t="str">
        <f>IFERROR(__xludf.DUMMYFUNCTION("""COMPUTED_VALUE"""),"01-51-08-2")</f>
        <v>01-51-08-2</v>
      </c>
      <c r="F301" s="36"/>
      <c r="G301" s="36" t="str">
        <f>IFERROR(__xludf.DUMMYFUNCTION("""COMPUTED_VALUE"""),"Av. Alem y 9 de Julio -O")</f>
        <v>Av. Alem y 9 de Julio -O</v>
      </c>
      <c r="H301" s="36" t="str">
        <f>IFERROR(__xludf.DUMMYFUNCTION("""COMPUTED_VALUE"""),"")</f>
        <v/>
      </c>
    </row>
    <row r="302">
      <c r="A302" s="36" t="str">
        <f>IFERROR(__xludf.DUMMYFUNCTION("""COMPUTED_VALUE"""),"08-28-03-69A")</f>
        <v>08-28-03-69A</v>
      </c>
      <c r="B302" s="36" t="str">
        <f>IFERROR(__xludf.DUMMYFUNCTION("""COMPUTED_VALUE"""),"")</f>
        <v/>
      </c>
      <c r="C302" s="36" t="str">
        <f>IFERROR(__xludf.DUMMYFUNCTION("""COMPUTED_VALUE"""),"")</f>
        <v/>
      </c>
      <c r="D302" s="36" t="str">
        <f>IFERROR(__xludf.DUMMYFUNCTION("""COMPUTED_VALUE"""),"")</f>
        <v/>
      </c>
      <c r="E302" s="36" t="str">
        <f>IFERROR(__xludf.DUMMYFUNCTION("""COMPUTED_VALUE"""),"01-56-08-1")</f>
        <v>01-56-08-1</v>
      </c>
      <c r="F302" s="36"/>
      <c r="G302" s="36" t="str">
        <f>IFERROR(__xludf.DUMMYFUNCTION("""COMPUTED_VALUE"""),"Av. Alem y 9 de Julio -S")</f>
        <v>Av. Alem y 9 de Julio -S</v>
      </c>
      <c r="H302" s="36" t="str">
        <f>IFERROR(__xludf.DUMMYFUNCTION("""COMPUTED_VALUE"""),"")</f>
        <v/>
      </c>
    </row>
    <row r="303">
      <c r="A303" s="36" t="str">
        <f>IFERROR(__xludf.DUMMYFUNCTION("""COMPUTED_VALUE"""),"08-28-03-7")</f>
        <v>08-28-03-7</v>
      </c>
      <c r="B303" s="36" t="str">
        <f>IFERROR(__xludf.DUMMYFUNCTION("""COMPUTED_VALUE"""),"")</f>
        <v/>
      </c>
      <c r="C303" s="36" t="str">
        <f>IFERROR(__xludf.DUMMYFUNCTION("""COMPUTED_VALUE"""),"")</f>
        <v/>
      </c>
      <c r="D303" s="36" t="str">
        <f>IFERROR(__xludf.DUMMYFUNCTION("""COMPUTED_VALUE"""),"")</f>
        <v/>
      </c>
      <c r="E303" s="36" t="str">
        <f>IFERROR(__xludf.DUMMYFUNCTION("""COMPUTED_VALUE"""),"01-56-13-47")</f>
        <v>01-56-13-47</v>
      </c>
      <c r="F303" s="36"/>
      <c r="G303" s="36" t="str">
        <f>IFERROR(__xludf.DUMMYFUNCTION("""COMPUTED_VALUE"""),"Av. Alem y Abraham Tapia -E")</f>
        <v>Av. Alem y Abraham Tapia -E</v>
      </c>
      <c r="H303" s="36" t="str">
        <f>IFERROR(__xludf.DUMMYFUNCTION("""COMPUTED_VALUE"""),"")</f>
        <v/>
      </c>
    </row>
    <row r="304">
      <c r="A304" s="36" t="str">
        <f>IFERROR(__xludf.DUMMYFUNCTION("""COMPUTED_VALUE"""),"08-28-03-70")</f>
        <v>08-28-03-70</v>
      </c>
      <c r="B304" s="36" t="str">
        <f>IFERROR(__xludf.DUMMYFUNCTION("""COMPUTED_VALUE"""),"")</f>
        <v/>
      </c>
      <c r="C304" s="36" t="str">
        <f>IFERROR(__xludf.DUMMYFUNCTION("""COMPUTED_VALUE"""),"")</f>
        <v/>
      </c>
      <c r="D304" s="36" t="str">
        <f>IFERROR(__xludf.DUMMYFUNCTION("""COMPUTED_VALUE"""),"")</f>
        <v/>
      </c>
      <c r="E304" s="36" t="str">
        <f>IFERROR(__xludf.DUMMYFUNCTION("""COMPUTED_VALUE"""),"01-56-13-46")</f>
        <v>01-56-13-46</v>
      </c>
      <c r="F304" s="36"/>
      <c r="G304" s="36" t="str">
        <f>IFERROR(__xludf.DUMMYFUNCTION("""COMPUTED_VALUE"""),"Av. Alem y Abraham Tapia -O")</f>
        <v>Av. Alem y Abraham Tapia -O</v>
      </c>
      <c r="H304" s="36" t="str">
        <f>IFERROR(__xludf.DUMMYFUNCTION("""COMPUTED_VALUE"""),"")</f>
        <v/>
      </c>
    </row>
    <row r="305">
      <c r="A305" s="36" t="str">
        <f>IFERROR(__xludf.DUMMYFUNCTION("""COMPUTED_VALUE"""),"08-28-03-8")</f>
        <v>08-28-03-8</v>
      </c>
      <c r="B305" s="36" t="str">
        <f>IFERROR(__xludf.DUMMYFUNCTION("""COMPUTED_VALUE"""),"")</f>
        <v/>
      </c>
      <c r="C305" s="36" t="str">
        <f>IFERROR(__xludf.DUMMYFUNCTION("""COMPUTED_VALUE"""),"")</f>
        <v/>
      </c>
      <c r="D305" s="36" t="str">
        <f>IFERROR(__xludf.DUMMYFUNCTION("""COMPUTED_VALUE"""),"")</f>
        <v/>
      </c>
      <c r="E305" s="36" t="str">
        <f>IFERROR(__xludf.DUMMYFUNCTION("""COMPUTED_VALUE"""),"01-56-13-43")</f>
        <v>01-56-13-43</v>
      </c>
      <c r="F305" s="36"/>
      <c r="G305" s="36" t="str">
        <f>IFERROR(__xludf.DUMMYFUNCTION("""COMPUTED_VALUE"""),"Av. Alem y Angel Rodrigo")</f>
        <v>Av. Alem y Angel Rodrigo</v>
      </c>
      <c r="H305" s="36" t="str">
        <f>IFERROR(__xludf.DUMMYFUNCTION("""COMPUTED_VALUE"""),"")</f>
        <v/>
      </c>
    </row>
    <row r="306">
      <c r="A306" s="36" t="str">
        <f>IFERROR(__xludf.DUMMYFUNCTION("""COMPUTED_VALUE"""),"08-28-03-9")</f>
        <v>08-28-03-9</v>
      </c>
      <c r="B306" s="36" t="str">
        <f>IFERROR(__xludf.DUMMYFUNCTION("""COMPUTED_VALUE"""),"")</f>
        <v/>
      </c>
      <c r="C306" s="36" t="str">
        <f>IFERROR(__xludf.DUMMYFUNCTION("""COMPUTED_VALUE"""),"")</f>
        <v/>
      </c>
      <c r="D306" s="36" t="str">
        <f>IFERROR(__xludf.DUMMYFUNCTION("""COMPUTED_VALUE"""),"")</f>
        <v/>
      </c>
      <c r="E306" s="36" t="str">
        <f>IFERROR(__xludf.DUMMYFUNCTION("""COMPUTED_VALUE"""),"01-51-08-4")</f>
        <v>01-51-08-4</v>
      </c>
      <c r="F306" s="36"/>
      <c r="G306" s="36" t="str">
        <f>IFERROR(__xludf.DUMMYFUNCTION("""COMPUTED_VALUE"""),"Av. Alem y Av. Córdoba ")</f>
        <v>Av. Alem y Av. Córdoba </v>
      </c>
      <c r="H306" s="36" t="str">
        <f>IFERROR(__xludf.DUMMYFUNCTION("""COMPUTED_VALUE"""),"")</f>
        <v/>
      </c>
    </row>
    <row r="307">
      <c r="A307" s="36" t="str">
        <f>IFERROR(__xludf.DUMMYFUNCTION("""COMPUTED_VALUE"""),"08-28-03-9A")</f>
        <v>08-28-03-9A</v>
      </c>
      <c r="B307" s="36" t="str">
        <f>IFERROR(__xludf.DUMMYFUNCTION("""COMPUTED_VALUE"""),"")</f>
        <v/>
      </c>
      <c r="C307" s="36" t="str">
        <f>IFERROR(__xludf.DUMMYFUNCTION("""COMPUTED_VALUE"""),"")</f>
        <v/>
      </c>
      <c r="D307" s="36" t="str">
        <f>IFERROR(__xludf.DUMMYFUNCTION("""COMPUTED_VALUE"""),"")</f>
        <v/>
      </c>
      <c r="E307" s="36" t="str">
        <f>IFERROR(__xludf.DUMMYFUNCTION("""COMPUTED_VALUE"""),"01-51-08-8")</f>
        <v>01-51-08-8</v>
      </c>
      <c r="F307" s="36"/>
      <c r="G307" s="36" t="str">
        <f>IFERROR(__xludf.DUMMYFUNCTION("""COMPUTED_VALUE"""),"Av. Alem y Av. Ig. de la Roza")</f>
        <v>Av. Alem y Av. Ig. de la Roza</v>
      </c>
      <c r="H307" s="36" t="str">
        <f>IFERROR(__xludf.DUMMYFUNCTION("""COMPUTED_VALUE"""),"")</f>
        <v/>
      </c>
    </row>
    <row r="308">
      <c r="A308" s="36" t="str">
        <f>IFERROR(__xludf.DUMMYFUNCTION("""COMPUTED_VALUE"""),"08-28-03-9B")</f>
        <v>08-28-03-9B</v>
      </c>
      <c r="B308" s="36" t="str">
        <f>IFERROR(__xludf.DUMMYFUNCTION("""COMPUTED_VALUE"""),"")</f>
        <v/>
      </c>
      <c r="C308" s="36" t="str">
        <f>IFERROR(__xludf.DUMMYFUNCTION("""COMPUTED_VALUE"""),"")</f>
        <v/>
      </c>
      <c r="D308" s="36" t="str">
        <f>IFERROR(__xludf.DUMMYFUNCTION("""COMPUTED_VALUE"""),"")</f>
        <v/>
      </c>
      <c r="E308" s="36" t="str">
        <f>IFERROR(__xludf.DUMMYFUNCTION("""COMPUTED_VALUE"""),"01-42-08-12")</f>
        <v>01-42-08-12</v>
      </c>
      <c r="F308" s="36"/>
      <c r="G308" s="36" t="str">
        <f>IFERROR(__xludf.DUMMYFUNCTION("""COMPUTED_VALUE"""),"Av. Alem y Av. Libertador")</f>
        <v>Av. Alem y Av. Libertador</v>
      </c>
      <c r="H308" s="36" t="str">
        <f>IFERROR(__xludf.DUMMYFUNCTION("""COMPUTED_VALUE"""),"")</f>
        <v/>
      </c>
    </row>
    <row r="309">
      <c r="A309" s="36" t="str">
        <f>IFERROR(__xludf.DUMMYFUNCTION("""COMPUTED_VALUE"""),"08-42-03-34")</f>
        <v>08-42-03-34</v>
      </c>
      <c r="B309" s="36" t="str">
        <f>IFERROR(__xludf.DUMMYFUNCTION("""COMPUTED_VALUE"""),"")</f>
        <v/>
      </c>
      <c r="C309" s="36" t="str">
        <f>IFERROR(__xludf.DUMMYFUNCTION("""COMPUTED_VALUE"""),"")</f>
        <v/>
      </c>
      <c r="D309" s="36" t="str">
        <f>IFERROR(__xludf.DUMMYFUNCTION("""COMPUTED_VALUE"""),"")</f>
        <v/>
      </c>
      <c r="E309" s="36" t="str">
        <f>IFERROR(__xludf.DUMMYFUNCTION("""COMPUTED_VALUE"""),"01-51-08-8B")</f>
        <v>01-51-08-8B</v>
      </c>
      <c r="F309" s="36"/>
      <c r="G309" s="36" t="str">
        <f>IFERROR(__xludf.DUMMYFUNCTION("""COMPUTED_VALUE"""),"Av. Alem y Bartolomé Mitre")</f>
        <v>Av. Alem y Bartolomé Mitre</v>
      </c>
      <c r="H309" s="36" t="str">
        <f>IFERROR(__xludf.DUMMYFUNCTION("""COMPUTED_VALUE"""),"")</f>
        <v/>
      </c>
    </row>
    <row r="310">
      <c r="A310" s="36" t="str">
        <f>IFERROR(__xludf.DUMMYFUNCTION("""COMPUTED_VALUE"""),"08-42-03-35")</f>
        <v>08-42-03-35</v>
      </c>
      <c r="B310" s="36" t="str">
        <f>IFERROR(__xludf.DUMMYFUNCTION("""COMPUTED_VALUE"""),"")</f>
        <v/>
      </c>
      <c r="C310" s="36" t="str">
        <f>IFERROR(__xludf.DUMMYFUNCTION("""COMPUTED_VALUE"""),"")</f>
        <v/>
      </c>
      <c r="D310" s="36" t="str">
        <f>IFERROR(__xludf.DUMMYFUNCTION("""COMPUTED_VALUE"""),"")</f>
        <v/>
      </c>
      <c r="E310" s="36" t="str">
        <f>IFERROR(__xludf.DUMMYFUNCTION("""COMPUTED_VALUE"""),"01-56-13-41")</f>
        <v>01-56-13-41</v>
      </c>
      <c r="F310" s="36"/>
      <c r="G310" s="36" t="str">
        <f>IFERROR(__xludf.DUMMYFUNCTION("""COMPUTED_VALUE"""),"Av. Alem y Belgrano -N")</f>
        <v>Av. Alem y Belgrano -N</v>
      </c>
      <c r="H310" s="36" t="str">
        <f>IFERROR(__xludf.DUMMYFUNCTION("""COMPUTED_VALUE"""),"")</f>
        <v/>
      </c>
    </row>
    <row r="311">
      <c r="A311" s="36" t="str">
        <f>IFERROR(__xludf.DUMMYFUNCTION("""COMPUTED_VALUE"""),"08-42-03-39")</f>
        <v>08-42-03-39</v>
      </c>
      <c r="B311" s="36" t="str">
        <f>IFERROR(__xludf.DUMMYFUNCTION("""COMPUTED_VALUE"""),"")</f>
        <v/>
      </c>
      <c r="C311" s="36" t="str">
        <f>IFERROR(__xludf.DUMMYFUNCTION("""COMPUTED_VALUE"""),"")</f>
        <v/>
      </c>
      <c r="D311" s="36" t="str">
        <f>IFERROR(__xludf.DUMMYFUNCTION("""COMPUTED_VALUE"""),"")</f>
        <v/>
      </c>
      <c r="E311" s="36" t="str">
        <f>IFERROR(__xludf.DUMMYFUNCTION("""COMPUTED_VALUE"""),"01-56-13-41A")</f>
        <v>01-56-13-41A</v>
      </c>
      <c r="F311" s="36"/>
      <c r="G311" s="36" t="str">
        <f>IFERROR(__xludf.DUMMYFUNCTION("""COMPUTED_VALUE"""),"Av. Alem y Belgrano -S")</f>
        <v>Av. Alem y Belgrano -S</v>
      </c>
      <c r="H311" s="36" t="str">
        <f>IFERROR(__xludf.DUMMYFUNCTION("""COMPUTED_VALUE"""),"")</f>
        <v/>
      </c>
    </row>
    <row r="312">
      <c r="A312" s="36" t="str">
        <f>IFERROR(__xludf.DUMMYFUNCTION("""COMPUTED_VALUE"""),"08-42-03-40")</f>
        <v>08-42-03-40</v>
      </c>
      <c r="B312" s="36" t="str">
        <f>IFERROR(__xludf.DUMMYFUNCTION("""COMPUTED_VALUE"""),"")</f>
        <v/>
      </c>
      <c r="C312" s="36" t="str">
        <f>IFERROR(__xludf.DUMMYFUNCTION("""COMPUTED_VALUE"""),"")</f>
        <v/>
      </c>
      <c r="D312" s="36" t="str">
        <f>IFERROR(__xludf.DUMMYFUNCTION("""COMPUTED_VALUE"""),"")</f>
        <v/>
      </c>
      <c r="E312" s="36" t="str">
        <f>IFERROR(__xludf.DUMMYFUNCTION("""COMPUTED_VALUE"""),"01-28-08-79A")</f>
        <v>01-28-08-79A</v>
      </c>
      <c r="F312" s="36"/>
      <c r="G312" s="36" t="str">
        <f>IFERROR(__xludf.DUMMYFUNCTION("""COMPUTED_VALUE"""),"Av. Alem y Cereceto")</f>
        <v>Av. Alem y Cereceto</v>
      </c>
      <c r="H312" s="36" t="str">
        <f>IFERROR(__xludf.DUMMYFUNCTION("""COMPUTED_VALUE"""),"")</f>
        <v/>
      </c>
    </row>
    <row r="313">
      <c r="A313" s="36" t="str">
        <f>IFERROR(__xludf.DUMMYFUNCTION("""COMPUTED_VALUE"""),"08-42-03-85")</f>
        <v>08-42-03-85</v>
      </c>
      <c r="B313" s="36" t="str">
        <f>IFERROR(__xludf.DUMMYFUNCTION("""COMPUTED_VALUE"""),"")</f>
        <v/>
      </c>
      <c r="C313" s="36" t="str">
        <f>IFERROR(__xludf.DUMMYFUNCTION("""COMPUTED_VALUE"""),"")</f>
        <v/>
      </c>
      <c r="D313" s="36" t="str">
        <f>IFERROR(__xludf.DUMMYFUNCTION("""COMPUTED_VALUE"""),"")</f>
        <v/>
      </c>
      <c r="E313" s="36" t="str">
        <f>IFERROR(__xludf.DUMMYFUNCTION("""COMPUTED_VALUE"""),"01-37-08-77")</f>
        <v>01-37-08-77</v>
      </c>
      <c r="F313" s="36"/>
      <c r="G313" s="36" t="str">
        <f>IFERROR(__xludf.DUMMYFUNCTION("""COMPUTED_VALUE"""),"Av. Alem y Coronel Díaz")</f>
        <v>Av. Alem y Coronel Díaz</v>
      </c>
      <c r="H313" s="36" t="str">
        <f>IFERROR(__xludf.DUMMYFUNCTION("""COMPUTED_VALUE"""),"")</f>
        <v/>
      </c>
    </row>
    <row r="314">
      <c r="A314" s="36" t="str">
        <f>IFERROR(__xludf.DUMMYFUNCTION("""COMPUTED_VALUE"""),"08-42-03-87")</f>
        <v>08-42-03-87</v>
      </c>
      <c r="B314" s="36" t="str">
        <f>IFERROR(__xludf.DUMMYFUNCTION("""COMPUTED_VALUE"""),"")</f>
        <v/>
      </c>
      <c r="C314" s="36" t="str">
        <f>IFERROR(__xludf.DUMMYFUNCTION("""COMPUTED_VALUE"""),"")</f>
        <v/>
      </c>
      <c r="D314" s="36" t="str">
        <f>IFERROR(__xludf.DUMMYFUNCTION("""COMPUTED_VALUE"""),"")</f>
        <v/>
      </c>
      <c r="E314" s="36" t="str">
        <f>IFERROR(__xludf.DUMMYFUNCTION("""COMPUTED_VALUE"""),"01-37-08-78")</f>
        <v>01-37-08-78</v>
      </c>
      <c r="F314" s="36"/>
      <c r="G314" s="36" t="str">
        <f>IFERROR(__xludf.DUMMYFUNCTION("""COMPUTED_VALUE"""),"Av. Alem y Cortínez")</f>
        <v>Av. Alem y Cortínez</v>
      </c>
      <c r="H314" s="36" t="str">
        <f>IFERROR(__xludf.DUMMYFUNCTION("""COMPUTED_VALUE"""),"")</f>
        <v/>
      </c>
    </row>
    <row r="315">
      <c r="A315" s="36" t="str">
        <f>IFERROR(__xludf.DUMMYFUNCTION("""COMPUTED_VALUE"""),"08-42-03-89")</f>
        <v>08-42-03-89</v>
      </c>
      <c r="B315" s="36" t="str">
        <f>IFERROR(__xludf.DUMMYFUNCTION("""COMPUTED_VALUE"""),"")</f>
        <v/>
      </c>
      <c r="C315" s="36" t="str">
        <f>IFERROR(__xludf.DUMMYFUNCTION("""COMPUTED_VALUE"""),"")</f>
        <v/>
      </c>
      <c r="D315" s="36" t="str">
        <f>IFERROR(__xludf.DUMMYFUNCTION("""COMPUTED_VALUE"""),"")</f>
        <v/>
      </c>
      <c r="E315" s="36" t="str">
        <f>IFERROR(__xludf.DUMMYFUNCTION("""COMPUTED_VALUE"""),"01-56-13-49")</f>
        <v>01-56-13-49</v>
      </c>
      <c r="F315" s="36"/>
      <c r="G315" s="36" t="str">
        <f>IFERROR(__xludf.DUMMYFUNCTION("""COMPUTED_VALUE"""),"Av. Alem y Estrada -E")</f>
        <v>Av. Alem y Estrada -E</v>
      </c>
      <c r="H315" s="36" t="str">
        <f>IFERROR(__xludf.DUMMYFUNCTION("""COMPUTED_VALUE"""),"")</f>
        <v/>
      </c>
    </row>
    <row r="316">
      <c r="A316" s="36" t="str">
        <f>IFERROR(__xludf.DUMMYFUNCTION("""COMPUTED_VALUE"""),"08-42-03-91")</f>
        <v>08-42-03-91</v>
      </c>
      <c r="B316" s="36" t="str">
        <f>IFERROR(__xludf.DUMMYFUNCTION("""COMPUTED_VALUE"""),"")</f>
        <v/>
      </c>
      <c r="C316" s="36" t="str">
        <f>IFERROR(__xludf.DUMMYFUNCTION("""COMPUTED_VALUE"""),"")</f>
        <v/>
      </c>
      <c r="D316" s="36" t="str">
        <f>IFERROR(__xludf.DUMMYFUNCTION("""COMPUTED_VALUE"""),"")</f>
        <v/>
      </c>
      <c r="E316" s="36" t="str">
        <f>IFERROR(__xludf.DUMMYFUNCTION("""COMPUTED_VALUE"""),"01-56-13-48")</f>
        <v>01-56-13-48</v>
      </c>
      <c r="F316" s="36"/>
      <c r="G316" s="36" t="str">
        <f>IFERROR(__xludf.DUMMYFUNCTION("""COMPUTED_VALUE"""),"Av. Alem y Estrada -O")</f>
        <v>Av. Alem y Estrada -O</v>
      </c>
      <c r="H316" s="36" t="str">
        <f>IFERROR(__xludf.DUMMYFUNCTION("""COMPUTED_VALUE"""),"")</f>
        <v/>
      </c>
    </row>
    <row r="317">
      <c r="A317" s="36" t="str">
        <f>IFERROR(__xludf.DUMMYFUNCTION("""COMPUTED_VALUE"""),"08-42-03-93")</f>
        <v>08-42-03-93</v>
      </c>
      <c r="B317" s="36" t="str">
        <f>IFERROR(__xludf.DUMMYFUNCTION("""COMPUTED_VALUE"""),"")</f>
        <v/>
      </c>
      <c r="C317" s="36" t="str">
        <f>IFERROR(__xludf.DUMMYFUNCTION("""COMPUTED_VALUE"""),"")</f>
        <v/>
      </c>
      <c r="D317" s="36" t="str">
        <f>IFERROR(__xludf.DUMMYFUNCTION("""COMPUTED_VALUE"""),"")</f>
        <v/>
      </c>
      <c r="E317" s="36" t="str">
        <f>IFERROR(__xludf.DUMMYFUNCTION("""COMPUTED_VALUE"""),"01-28-08-82")</f>
        <v>01-28-08-82</v>
      </c>
      <c r="F317" s="36"/>
      <c r="G317" s="36" t="str">
        <f>IFERROR(__xludf.DUMMYFUNCTION("""COMPUTED_VALUE"""),"Av. Alem y Falucho")</f>
        <v>Av. Alem y Falucho</v>
      </c>
      <c r="H317" s="36" t="str">
        <f>IFERROR(__xludf.DUMMYFUNCTION("""COMPUTED_VALUE"""),"")</f>
        <v/>
      </c>
    </row>
    <row r="318">
      <c r="A318" s="36" t="str">
        <f>IFERROR(__xludf.DUMMYFUNCTION("""COMPUTED_VALUE"""),"08-42-03-95")</f>
        <v>08-42-03-95</v>
      </c>
      <c r="B318" s="36" t="str">
        <f>IFERROR(__xludf.DUMMYFUNCTION("""COMPUTED_VALUE"""),"")</f>
        <v/>
      </c>
      <c r="C318" s="36" t="str">
        <f>IFERROR(__xludf.DUMMYFUNCTION("""COMPUTED_VALUE"""),"")</f>
        <v/>
      </c>
      <c r="D318" s="36" t="str">
        <f>IFERROR(__xludf.DUMMYFUNCTION("""COMPUTED_VALUE"""),"")</f>
        <v/>
      </c>
      <c r="E318" s="36" t="str">
        <f>IFERROR(__xludf.DUMMYFUNCTION("""COMPUTED_VALUE"""),"01-56-13-45")</f>
        <v>01-56-13-45</v>
      </c>
      <c r="F318" s="36"/>
      <c r="G318" s="36" t="str">
        <f>IFERROR(__xludf.DUMMYFUNCTION("""COMPUTED_VALUE"""),"Av. Alem y Fray Mamerto Esquiú -E")</f>
        <v>Av. Alem y Fray Mamerto Esquiú -E</v>
      </c>
      <c r="H318" s="36" t="str">
        <f>IFERROR(__xludf.DUMMYFUNCTION("""COMPUTED_VALUE"""),"")</f>
        <v/>
      </c>
    </row>
    <row r="319">
      <c r="A319" s="36" t="str">
        <f>IFERROR(__xludf.DUMMYFUNCTION("""COMPUTED_VALUE"""),"08-42-03-97")</f>
        <v>08-42-03-97</v>
      </c>
      <c r="B319" s="36" t="str">
        <f>IFERROR(__xludf.DUMMYFUNCTION("""COMPUTED_VALUE"""),"")</f>
        <v/>
      </c>
      <c r="C319" s="36" t="str">
        <f>IFERROR(__xludf.DUMMYFUNCTION("""COMPUTED_VALUE"""),"")</f>
        <v/>
      </c>
      <c r="D319" s="36" t="str">
        <f>IFERROR(__xludf.DUMMYFUNCTION("""COMPUTED_VALUE"""),"")</f>
        <v/>
      </c>
      <c r="E319" s="36" t="str">
        <f>IFERROR(__xludf.DUMMYFUNCTION("""COMPUTED_VALUE"""),"01-56-13-44")</f>
        <v>01-56-13-44</v>
      </c>
      <c r="F319" s="36"/>
      <c r="G319" s="36" t="str">
        <f>IFERROR(__xludf.DUMMYFUNCTION("""COMPUTED_VALUE"""),"Av. Alem y Fray Mamerto Esquiú -O")</f>
        <v>Av. Alem y Fray Mamerto Esquiú -O</v>
      </c>
      <c r="H319" s="36" t="str">
        <f>IFERROR(__xludf.DUMMYFUNCTION("""COMPUTED_VALUE"""),"")</f>
        <v/>
      </c>
    </row>
    <row r="320">
      <c r="A320" s="36" t="str">
        <f>IFERROR(__xludf.DUMMYFUNCTION("""COMPUTED_VALUE"""),"08-42-03-98")</f>
        <v>08-42-03-98</v>
      </c>
      <c r="B320" s="36" t="str">
        <f>IFERROR(__xludf.DUMMYFUNCTION("""COMPUTED_VALUE"""),"")</f>
        <v/>
      </c>
      <c r="C320" s="36" t="str">
        <f>IFERROR(__xludf.DUMMYFUNCTION("""COMPUTED_VALUE"""),"")</f>
        <v/>
      </c>
      <c r="D320" s="36" t="str">
        <f>IFERROR(__xludf.DUMMYFUNCTION("""COMPUTED_VALUE"""),"")</f>
        <v/>
      </c>
      <c r="E320" s="36" t="str">
        <f>IFERROR(__xludf.DUMMYFUNCTION("""COMPUTED_VALUE"""),"01-51-08-3")</f>
        <v>01-51-08-3</v>
      </c>
      <c r="F320" s="36"/>
      <c r="G320" s="36" t="str">
        <f>IFERROR(__xludf.DUMMYFUNCTION("""COMPUTED_VALUE"""),"Av. Alem y Gral. Paz")</f>
        <v>Av. Alem y Gral. Paz</v>
      </c>
      <c r="H320" s="36" t="str">
        <f>IFERROR(__xludf.DUMMYFUNCTION("""COMPUTED_VALUE"""),"")</f>
        <v/>
      </c>
    </row>
    <row r="321">
      <c r="A321" s="36" t="str">
        <f>IFERROR(__xludf.DUMMYFUNCTION("""COMPUTED_VALUE"""),"08-44-03-32")</f>
        <v>08-44-03-32</v>
      </c>
      <c r="B321" s="36" t="str">
        <f>IFERROR(__xludf.DUMMYFUNCTION("""COMPUTED_VALUE"""),"")</f>
        <v/>
      </c>
      <c r="C321" s="36" t="str">
        <f>IFERROR(__xludf.DUMMYFUNCTION("""COMPUTED_VALUE"""),"")</f>
        <v/>
      </c>
      <c r="D321" s="36" t="str">
        <f>IFERROR(__xludf.DUMMYFUNCTION("""COMPUTED_VALUE"""),"")</f>
        <v/>
      </c>
      <c r="E321" s="36" t="str">
        <f>IFERROR(__xludf.DUMMYFUNCTION("""COMPUTED_VALUE"""),"01-37-08-75")</f>
        <v>01-37-08-75</v>
      </c>
      <c r="F321" s="36"/>
      <c r="G321" s="36" t="str">
        <f>IFERROR(__xludf.DUMMYFUNCTION("""COMPUTED_VALUE"""),"Av. Alem y Juan Bautista Alberdi")</f>
        <v>Av. Alem y Juan Bautista Alberdi</v>
      </c>
      <c r="H321" s="36" t="str">
        <f>IFERROR(__xludf.DUMMYFUNCTION("""COMPUTED_VALUE"""),"")</f>
        <v/>
      </c>
    </row>
    <row r="322">
      <c r="A322" s="36" t="str">
        <f>IFERROR(__xludf.DUMMYFUNCTION("""COMPUTED_VALUE"""),"08-44-03-33")</f>
        <v>08-44-03-33</v>
      </c>
      <c r="B322" s="36" t="str">
        <f>IFERROR(__xludf.DUMMYFUNCTION("""COMPUTED_VALUE"""),"")</f>
        <v/>
      </c>
      <c r="C322" s="36" t="str">
        <f>IFERROR(__xludf.DUMMYFUNCTION("""COMPUTED_VALUE"""),"")</f>
        <v/>
      </c>
      <c r="D322" s="36" t="str">
        <f>IFERROR(__xludf.DUMMYFUNCTION("""COMPUTED_VALUE"""),"")</f>
        <v/>
      </c>
      <c r="E322" s="36" t="str">
        <f>IFERROR(__xludf.DUMMYFUNCTION("""COMPUTED_VALUE"""),"01-28-08-80")</f>
        <v>01-28-08-80</v>
      </c>
      <c r="F322" s="36"/>
      <c r="G322" s="36" t="str">
        <f>IFERROR(__xludf.DUMMYFUNCTION("""COMPUTED_VALUE"""),"Av. Alem y Juan Jufré")</f>
        <v>Av. Alem y Juan Jufré</v>
      </c>
      <c r="H322" s="36" t="str">
        <f>IFERROR(__xludf.DUMMYFUNCTION("""COMPUTED_VALUE"""),"")</f>
        <v/>
      </c>
    </row>
    <row r="323">
      <c r="A323" s="36" t="str">
        <f>IFERROR(__xludf.DUMMYFUNCTION("""COMPUTED_VALUE"""),"08-44-03-34")</f>
        <v>08-44-03-34</v>
      </c>
      <c r="B323" s="36" t="str">
        <f>IFERROR(__xludf.DUMMYFUNCTION("""COMPUTED_VALUE"""),"")</f>
        <v/>
      </c>
      <c r="C323" s="36" t="str">
        <f>IFERROR(__xludf.DUMMYFUNCTION("""COMPUTED_VALUE"""),"")</f>
        <v/>
      </c>
      <c r="D323" s="36" t="str">
        <f>IFERROR(__xludf.DUMMYFUNCTION("""COMPUTED_VALUE"""),"")</f>
        <v/>
      </c>
      <c r="E323" s="36" t="str">
        <f>IFERROR(__xludf.DUMMYFUNCTION("""COMPUTED_VALUE"""),"01-42-08-10")</f>
        <v>01-42-08-10</v>
      </c>
      <c r="F323" s="36"/>
      <c r="G323" s="36" t="str">
        <f>IFERROR(__xludf.DUMMYFUNCTION("""COMPUTED_VALUE"""),"Av. Alem y Laprida")</f>
        <v>Av. Alem y Laprida</v>
      </c>
      <c r="H323" s="36" t="str">
        <f>IFERROR(__xludf.DUMMYFUNCTION("""COMPUTED_VALUE"""),"")</f>
        <v/>
      </c>
    </row>
    <row r="324">
      <c r="A324" s="36" t="str">
        <f>IFERROR(__xludf.DUMMYFUNCTION("""COMPUTED_VALUE"""),"08-44-03-35")</f>
        <v>08-44-03-35</v>
      </c>
      <c r="B324" s="36" t="str">
        <f>IFERROR(__xludf.DUMMYFUNCTION("""COMPUTED_VALUE"""),"")</f>
        <v/>
      </c>
      <c r="C324" s="36" t="str">
        <f>IFERROR(__xludf.DUMMYFUNCTION("""COMPUTED_VALUE"""),"")</f>
        <v/>
      </c>
      <c r="D324" s="36" t="str">
        <f>IFERROR(__xludf.DUMMYFUNCTION("""COMPUTED_VALUE"""),"")</f>
        <v/>
      </c>
      <c r="E324" s="36" t="str">
        <f>IFERROR(__xludf.DUMMYFUNCTION("""COMPUTED_VALUE"""),"01-56-13-42")</f>
        <v>01-56-13-42</v>
      </c>
      <c r="F324" s="36"/>
      <c r="G324" s="36" t="str">
        <f>IFERROR(__xludf.DUMMYFUNCTION("""COMPUTED_VALUE"""),"Av. Alem y Mariano Moreno")</f>
        <v>Av. Alem y Mariano Moreno</v>
      </c>
      <c r="H324" s="36" t="str">
        <f>IFERROR(__xludf.DUMMYFUNCTION("""COMPUTED_VALUE"""),"")</f>
        <v/>
      </c>
    </row>
    <row r="325">
      <c r="A325" s="36" t="str">
        <f>IFERROR(__xludf.DUMMYFUNCTION("""COMPUTED_VALUE"""),"08-44-03-36")</f>
        <v>08-44-03-36</v>
      </c>
      <c r="B325" s="36" t="str">
        <f>IFERROR(__xludf.DUMMYFUNCTION("""COMPUTED_VALUE"""),"")</f>
        <v/>
      </c>
      <c r="C325" s="36" t="str">
        <f>IFERROR(__xludf.DUMMYFUNCTION("""COMPUTED_VALUE"""),"")</f>
        <v/>
      </c>
      <c r="D325" s="36" t="str">
        <f>IFERROR(__xludf.DUMMYFUNCTION("""COMPUTED_VALUE"""),"")</f>
        <v/>
      </c>
      <c r="E325" s="36" t="str">
        <f>IFERROR(__xludf.DUMMYFUNCTION("""COMPUTED_VALUE"""),"01-42-08-122D")</f>
        <v>01-42-08-122D</v>
      </c>
      <c r="F325" s="36"/>
      <c r="G325" s="36" t="str">
        <f>IFERROR(__xludf.DUMMYFUNCTION("""COMPUTED_VALUE"""),"Av. Alem y Pedro Echagüe ")</f>
        <v>Av. Alem y Pedro Echagüe </v>
      </c>
      <c r="H325" s="36" t="str">
        <f>IFERROR(__xludf.DUMMYFUNCTION("""COMPUTED_VALUE"""),"")</f>
        <v/>
      </c>
    </row>
    <row r="326">
      <c r="A326" s="36" t="str">
        <f>IFERROR(__xludf.DUMMYFUNCTION("""COMPUTED_VALUE"""),"08-44-03-37")</f>
        <v>08-44-03-37</v>
      </c>
      <c r="B326" s="36" t="str">
        <f>IFERROR(__xludf.DUMMYFUNCTION("""COMPUTED_VALUE"""),"")</f>
        <v/>
      </c>
      <c r="C326" s="36" t="str">
        <f>IFERROR(__xludf.DUMMYFUNCTION("""COMPUTED_VALUE"""),"")</f>
        <v/>
      </c>
      <c r="D326" s="36" t="str">
        <f>IFERROR(__xludf.DUMMYFUNCTION("""COMPUTED_VALUE"""),"")</f>
        <v/>
      </c>
      <c r="E326" s="36" t="str">
        <f>IFERROR(__xludf.DUMMYFUNCTION("""COMPUTED_VALUE"""),"01-37-08-46")</f>
        <v>01-37-08-46</v>
      </c>
      <c r="F326" s="36"/>
      <c r="G326" s="36" t="str">
        <f>IFERROR(__xludf.DUMMYFUNCTION("""COMPUTED_VALUE"""),"Av. Alem y Pedro Echagüe Chimbas")</f>
        <v>Av. Alem y Pedro Echagüe Chimbas</v>
      </c>
      <c r="H326" s="36" t="str">
        <f>IFERROR(__xludf.DUMMYFUNCTION("""COMPUTED_VALUE"""),"")</f>
        <v/>
      </c>
    </row>
    <row r="327">
      <c r="A327" s="36" t="str">
        <f>IFERROR(__xludf.DUMMYFUNCTION("""COMPUTED_VALUE"""),"08-44-03-39")</f>
        <v>08-44-03-39</v>
      </c>
      <c r="B327" s="36" t="str">
        <f>IFERROR(__xludf.DUMMYFUNCTION("""COMPUTED_VALUE"""),"")</f>
        <v/>
      </c>
      <c r="C327" s="36" t="str">
        <f>IFERROR(__xludf.DUMMYFUNCTION("""COMPUTED_VALUE"""),"")</f>
        <v/>
      </c>
      <c r="D327" s="36" t="str">
        <f>IFERROR(__xludf.DUMMYFUNCTION("""COMPUTED_VALUE"""),"")</f>
        <v/>
      </c>
      <c r="E327" s="36" t="str">
        <f>IFERROR(__xludf.DUMMYFUNCTION("""COMPUTED_VALUE"""),"01-42-08-9")</f>
        <v>01-42-08-9</v>
      </c>
      <c r="F327" s="36"/>
      <c r="G327" s="36" t="str">
        <f>IFERROR(__xludf.DUMMYFUNCTION("""COMPUTED_VALUE"""),"Av. Alem y Rivadavia")</f>
        <v>Av. Alem y Rivadavia</v>
      </c>
      <c r="H327" s="36" t="str">
        <f>IFERROR(__xludf.DUMMYFUNCTION("""COMPUTED_VALUE"""),"")</f>
        <v/>
      </c>
    </row>
    <row r="328">
      <c r="A328" s="36" t="str">
        <f>IFERROR(__xludf.DUMMYFUNCTION("""COMPUTED_VALUE"""),"08-44-03-40")</f>
        <v>08-44-03-40</v>
      </c>
      <c r="B328" s="36" t="str">
        <f>IFERROR(__xludf.DUMMYFUNCTION("""COMPUTED_VALUE"""),"")</f>
        <v/>
      </c>
      <c r="C328" s="36" t="str">
        <f>IFERROR(__xludf.DUMMYFUNCTION("""COMPUTED_VALUE"""),"")</f>
        <v/>
      </c>
      <c r="D328" s="36" t="str">
        <f>IFERROR(__xludf.DUMMYFUNCTION("""COMPUTED_VALUE"""),"")</f>
        <v/>
      </c>
      <c r="E328" s="36" t="str">
        <f>IFERROR(__xludf.DUMMYFUNCTION("""COMPUTED_VALUE"""),"01-39-09-132")</f>
        <v>01-39-09-132</v>
      </c>
      <c r="F328" s="36"/>
      <c r="G328" s="36" t="str">
        <f>IFERROR(__xludf.DUMMYFUNCTION("""COMPUTED_VALUE"""),"Av. Argentina y Costa Rica")</f>
        <v>Av. Argentina y Costa Rica</v>
      </c>
      <c r="H328" s="36" t="str">
        <f>IFERROR(__xludf.DUMMYFUNCTION("""COMPUTED_VALUE"""),"")</f>
        <v/>
      </c>
    </row>
    <row r="329">
      <c r="A329" s="36" t="str">
        <f>IFERROR(__xludf.DUMMYFUNCTION("""COMPUTED_VALUE"""),"08-44-03-41")</f>
        <v>08-44-03-41</v>
      </c>
      <c r="B329" s="36" t="str">
        <f>IFERROR(__xludf.DUMMYFUNCTION("""COMPUTED_VALUE"""),"")</f>
        <v/>
      </c>
      <c r="C329" s="36" t="str">
        <f>IFERROR(__xludf.DUMMYFUNCTION("""COMPUTED_VALUE"""),"")</f>
        <v/>
      </c>
      <c r="D329" s="36" t="str">
        <f>IFERROR(__xludf.DUMMYFUNCTION("""COMPUTED_VALUE"""),"")</f>
        <v/>
      </c>
      <c r="E329" s="36" t="str">
        <f>IFERROR(__xludf.DUMMYFUNCTION("""COMPUTED_VALUE"""),"01-39-09-133")</f>
        <v>01-39-09-133</v>
      </c>
      <c r="F329" s="36"/>
      <c r="G329" s="36" t="str">
        <f>IFERROR(__xludf.DUMMYFUNCTION("""COMPUTED_VALUE"""),"Av. Argentina y Ecuador")</f>
        <v>Av. Argentina y Ecuador</v>
      </c>
      <c r="H329" s="36" t="str">
        <f>IFERROR(__xludf.DUMMYFUNCTION("""COMPUTED_VALUE"""),"")</f>
        <v/>
      </c>
    </row>
    <row r="330">
      <c r="A330" s="36" t="str">
        <f>IFERROR(__xludf.DUMMYFUNCTION("""COMPUTED_VALUE"""),"08-44-03-42")</f>
        <v>08-44-03-42</v>
      </c>
      <c r="B330" s="36" t="str">
        <f>IFERROR(__xludf.DUMMYFUNCTION("""COMPUTED_VALUE"""),"")</f>
        <v/>
      </c>
      <c r="C330" s="36" t="str">
        <f>IFERROR(__xludf.DUMMYFUNCTION("""COMPUTED_VALUE"""),"")</f>
        <v/>
      </c>
      <c r="D330" s="36" t="str">
        <f>IFERROR(__xludf.DUMMYFUNCTION("""COMPUTED_VALUE"""),"")</f>
        <v/>
      </c>
      <c r="E330" s="36" t="str">
        <f>IFERROR(__xludf.DUMMYFUNCTION("""COMPUTED_VALUE"""),"03-32-09-22")</f>
        <v>03-32-09-22</v>
      </c>
      <c r="F330" s="36"/>
      <c r="G330" s="36" t="str">
        <f>IFERROR(__xludf.DUMMYFUNCTION("""COMPUTED_VALUE"""),"Av. Argentina y Mitre")</f>
        <v>Av. Argentina y Mitre</v>
      </c>
      <c r="H330" s="36" t="str">
        <f>IFERROR(__xludf.DUMMYFUNCTION("""COMPUTED_VALUE"""),"")</f>
        <v/>
      </c>
    </row>
    <row r="331">
      <c r="A331" s="36" t="str">
        <f>IFERROR(__xludf.DUMMYFUNCTION("""COMPUTED_VALUE"""),"08-44-03-43")</f>
        <v>08-44-03-43</v>
      </c>
      <c r="B331" s="36" t="str">
        <f>IFERROR(__xludf.DUMMYFUNCTION("""COMPUTED_VALUE"""),"")</f>
        <v/>
      </c>
      <c r="C331" s="36" t="str">
        <f>IFERROR(__xludf.DUMMYFUNCTION("""COMPUTED_VALUE"""),"")</f>
        <v/>
      </c>
      <c r="D331" s="36" t="str">
        <f>IFERROR(__xludf.DUMMYFUNCTION("""COMPUTED_VALUE"""),"")</f>
        <v/>
      </c>
      <c r="E331" s="36" t="str">
        <f>IFERROR(__xludf.DUMMYFUNCTION("""COMPUTED_VALUE"""),"03-32-09-23")</f>
        <v>03-32-09-23</v>
      </c>
      <c r="F331" s="36"/>
      <c r="G331" s="36" t="str">
        <f>IFERROR(__xludf.DUMMYFUNCTION("""COMPUTED_VALUE"""),"Av. Argentina y Mitre -E")</f>
        <v>Av. Argentina y Mitre -E</v>
      </c>
      <c r="H331" s="36" t="str">
        <f>IFERROR(__xludf.DUMMYFUNCTION("""COMPUTED_VALUE"""),"")</f>
        <v/>
      </c>
    </row>
    <row r="332">
      <c r="A332" s="36" t="str">
        <f>IFERROR(__xludf.DUMMYFUNCTION("""COMPUTED_VALUE"""),"08-44-03-44")</f>
        <v>08-44-03-44</v>
      </c>
      <c r="B332" s="36" t="str">
        <f>IFERROR(__xludf.DUMMYFUNCTION("""COMPUTED_VALUE"""),"")</f>
        <v/>
      </c>
      <c r="C332" s="36" t="str">
        <f>IFERROR(__xludf.DUMMYFUNCTION("""COMPUTED_VALUE"""),"")</f>
        <v/>
      </c>
      <c r="D332" s="36" t="str">
        <f>IFERROR(__xludf.DUMMYFUNCTION("""COMPUTED_VALUE"""),"")</f>
        <v/>
      </c>
      <c r="E332" s="36" t="str">
        <f>IFERROR(__xludf.DUMMYFUNCTION("""COMPUTED_VALUE"""),"01-39-09-129")</f>
        <v>01-39-09-129</v>
      </c>
      <c r="F332" s="36"/>
      <c r="G332" s="36" t="str">
        <f>IFERROR(__xludf.DUMMYFUNCTION("""COMPUTED_VALUE"""),"Av. Argentina y Paraguay")</f>
        <v>Av. Argentina y Paraguay</v>
      </c>
      <c r="H332" s="36" t="str">
        <f>IFERROR(__xludf.DUMMYFUNCTION("""COMPUTED_VALUE"""),"")</f>
        <v/>
      </c>
    </row>
    <row r="333">
      <c r="A333" s="36" t="str">
        <f>IFERROR(__xludf.DUMMYFUNCTION("""COMPUTED_VALUE"""),"08-44-03-45")</f>
        <v>08-44-03-45</v>
      </c>
      <c r="B333" s="36" t="str">
        <f>IFERROR(__xludf.DUMMYFUNCTION("""COMPUTED_VALUE"""),"")</f>
        <v/>
      </c>
      <c r="C333" s="36" t="str">
        <f>IFERROR(__xludf.DUMMYFUNCTION("""COMPUTED_VALUE"""),"")</f>
        <v/>
      </c>
      <c r="D333" s="36" t="str">
        <f>IFERROR(__xludf.DUMMYFUNCTION("""COMPUTED_VALUE"""),"")</f>
        <v/>
      </c>
      <c r="E333" s="36" t="str">
        <f>IFERROR(__xludf.DUMMYFUNCTION("""COMPUTED_VALUE"""),"01-39-09-128")</f>
        <v>01-39-09-128</v>
      </c>
      <c r="F333" s="36"/>
      <c r="G333" s="36" t="str">
        <f>IFERROR(__xludf.DUMMYFUNCTION("""COMPUTED_VALUE"""),"Av. Argentina y Paraguay -N")</f>
        <v>Av. Argentina y Paraguay -N</v>
      </c>
      <c r="H333" s="36" t="str">
        <f>IFERROR(__xludf.DUMMYFUNCTION("""COMPUTED_VALUE"""),"")</f>
        <v/>
      </c>
    </row>
    <row r="334">
      <c r="A334" s="36" t="str">
        <f>IFERROR(__xludf.DUMMYFUNCTION("""COMPUTED_VALUE"""),"08-44-03-46")</f>
        <v>08-44-03-46</v>
      </c>
      <c r="B334" s="36" t="str">
        <f>IFERROR(__xludf.DUMMYFUNCTION("""COMPUTED_VALUE"""),"")</f>
        <v/>
      </c>
      <c r="C334" s="36" t="str">
        <f>IFERROR(__xludf.DUMMYFUNCTION("""COMPUTED_VALUE"""),"")</f>
        <v/>
      </c>
      <c r="D334" s="36" t="str">
        <f>IFERROR(__xludf.DUMMYFUNCTION("""COMPUTED_VALUE"""),"")</f>
        <v/>
      </c>
      <c r="E334" s="36" t="str">
        <f>IFERROR(__xludf.DUMMYFUNCTION("""COMPUTED_VALUE"""),"03-32-09-24")</f>
        <v>03-32-09-24</v>
      </c>
      <c r="F334" s="36"/>
      <c r="G334" s="36" t="str">
        <f>IFERROR(__xludf.DUMMYFUNCTION("""COMPUTED_VALUE"""),"Av. Argentina y Santa Fe")</f>
        <v>Av. Argentina y Santa Fe</v>
      </c>
      <c r="H334" s="36" t="str">
        <f>IFERROR(__xludf.DUMMYFUNCTION("""COMPUTED_VALUE"""),"")</f>
        <v/>
      </c>
    </row>
    <row r="335">
      <c r="A335" s="36" t="str">
        <f>IFERROR(__xludf.DUMMYFUNCTION("""COMPUTED_VALUE"""),"08-44-03-46A")</f>
        <v>08-44-03-46A</v>
      </c>
      <c r="B335" s="36" t="str">
        <f>IFERROR(__xludf.DUMMYFUNCTION("""COMPUTED_VALUE"""),"")</f>
        <v/>
      </c>
      <c r="C335" s="36" t="str">
        <f>IFERROR(__xludf.DUMMYFUNCTION("""COMPUTED_VALUE"""),"")</f>
        <v/>
      </c>
      <c r="D335" s="36" t="str">
        <f>IFERROR(__xludf.DUMMYFUNCTION("""COMPUTED_VALUE"""),"")</f>
        <v/>
      </c>
      <c r="E335" s="36" t="str">
        <f>IFERROR(__xludf.DUMMYFUNCTION("""COMPUTED_VALUE"""),"01-39-09-131")</f>
        <v>01-39-09-131</v>
      </c>
      <c r="F335" s="36"/>
      <c r="G335" s="36" t="str">
        <f>IFERROR(__xludf.DUMMYFUNCTION("""COMPUTED_VALUE"""),"Av. Argentina y Santo Domingo")</f>
        <v>Av. Argentina y Santo Domingo</v>
      </c>
      <c r="H335" s="36" t="str">
        <f>IFERROR(__xludf.DUMMYFUNCTION("""COMPUTED_VALUE"""),"")</f>
        <v/>
      </c>
    </row>
    <row r="336">
      <c r="A336" s="36" t="str">
        <f>IFERROR(__xludf.DUMMYFUNCTION("""COMPUTED_VALUE"""),"08-44-03-47")</f>
        <v>08-44-03-47</v>
      </c>
      <c r="B336" s="36" t="str">
        <f>IFERROR(__xludf.DUMMYFUNCTION("""COMPUTED_VALUE"""),"")</f>
        <v/>
      </c>
      <c r="C336" s="36" t="str">
        <f>IFERROR(__xludf.DUMMYFUNCTION("""COMPUTED_VALUE"""),"")</f>
        <v/>
      </c>
      <c r="D336" s="36" t="str">
        <f>IFERROR(__xludf.DUMMYFUNCTION("""COMPUTED_VALUE"""),"")</f>
        <v/>
      </c>
      <c r="E336" s="36" t="str">
        <f>IFERROR(__xludf.DUMMYFUNCTION("""COMPUTED_VALUE"""),"01-39-09-130")</f>
        <v>01-39-09-130</v>
      </c>
      <c r="F336" s="36"/>
      <c r="G336" s="36" t="str">
        <f>IFERROR(__xludf.DUMMYFUNCTION("""COMPUTED_VALUE"""),"Av. Argentina y Santo Domingo -N")</f>
        <v>Av. Argentina y Santo Domingo -N</v>
      </c>
      <c r="H336" s="36" t="str">
        <f>IFERROR(__xludf.DUMMYFUNCTION("""COMPUTED_VALUE"""),"")</f>
        <v/>
      </c>
    </row>
    <row r="337">
      <c r="A337" s="36" t="str">
        <f>IFERROR(__xludf.DUMMYFUNCTION("""COMPUTED_VALUE"""),"08-44-03-48")</f>
        <v>08-44-03-48</v>
      </c>
      <c r="B337" s="36" t="str">
        <f>IFERROR(__xludf.DUMMYFUNCTION("""COMPUTED_VALUE"""),"")</f>
        <v/>
      </c>
      <c r="C337" s="36" t="str">
        <f>IFERROR(__xludf.DUMMYFUNCTION("""COMPUTED_VALUE"""),"")</f>
        <v/>
      </c>
      <c r="D337" s="36" t="str">
        <f>IFERROR(__xludf.DUMMYFUNCTION("""COMPUTED_VALUE"""),"")</f>
        <v/>
      </c>
      <c r="E337" s="36" t="str">
        <f>IFERROR(__xludf.DUMMYFUNCTION("""COMPUTED_VALUE"""),"01-61-13-37")</f>
        <v>01-61-13-37</v>
      </c>
      <c r="F337" s="36"/>
      <c r="G337" s="36" t="str">
        <f>IFERROR(__xludf.DUMMYFUNCTION("""COMPUTED_VALUE"""),"Av. Circunvalación y Av. España")</f>
        <v>Av. Circunvalación y Av. España</v>
      </c>
      <c r="H337" s="36" t="str">
        <f>IFERROR(__xludf.DUMMYFUNCTION("""COMPUTED_VALUE"""),"")</f>
        <v/>
      </c>
    </row>
    <row r="338">
      <c r="A338" s="36" t="str">
        <f>IFERROR(__xludf.DUMMYFUNCTION("""COMPUTED_VALUE"""),"08-44-03-49")</f>
        <v>08-44-03-49</v>
      </c>
      <c r="B338" s="36" t="str">
        <f>IFERROR(__xludf.DUMMYFUNCTION("""COMPUTED_VALUE"""),"")</f>
        <v/>
      </c>
      <c r="C338" s="36" t="str">
        <f>IFERROR(__xludf.DUMMYFUNCTION("""COMPUTED_VALUE"""),"")</f>
        <v/>
      </c>
      <c r="D338" s="36" t="str">
        <f>IFERROR(__xludf.DUMMYFUNCTION("""COMPUTED_VALUE"""),"")</f>
        <v/>
      </c>
      <c r="E338" s="36" t="str">
        <f>IFERROR(__xludf.DUMMYFUNCTION("""COMPUTED_VALUE"""),"01-61-13-39")</f>
        <v>01-61-13-39</v>
      </c>
      <c r="F338" s="36"/>
      <c r="G338" s="36" t="str">
        <f>IFERROR(__xludf.DUMMYFUNCTION("""COMPUTED_VALUE"""),"Av. Circunvalación y Godoy Cruz")</f>
        <v>Av. Circunvalación y Godoy Cruz</v>
      </c>
      <c r="H338" s="36" t="str">
        <f>IFERROR(__xludf.DUMMYFUNCTION("""COMPUTED_VALUE"""),"")</f>
        <v/>
      </c>
    </row>
    <row r="339">
      <c r="A339" s="36" t="str">
        <f>IFERROR(__xludf.DUMMYFUNCTION("""COMPUTED_VALUE"""),"08-44-03-51")</f>
        <v>08-44-03-51</v>
      </c>
      <c r="B339" s="36" t="str">
        <f>IFERROR(__xludf.DUMMYFUNCTION("""COMPUTED_VALUE"""),"")</f>
        <v/>
      </c>
      <c r="C339" s="36" t="str">
        <f>IFERROR(__xludf.DUMMYFUNCTION("""COMPUTED_VALUE"""),"")</f>
        <v/>
      </c>
      <c r="D339" s="36" t="str">
        <f>IFERROR(__xludf.DUMMYFUNCTION("""COMPUTED_VALUE"""),"")</f>
        <v/>
      </c>
      <c r="E339" s="36" t="str">
        <f>IFERROR(__xludf.DUMMYFUNCTION("""COMPUTED_VALUE"""),"01-61-13-38")</f>
        <v>01-61-13-38</v>
      </c>
      <c r="F339" s="36"/>
      <c r="G339" s="36" t="str">
        <f>IFERROR(__xludf.DUMMYFUNCTION("""COMPUTED_VALUE"""),"Av. Circunvalación y Guillermo Marconi")</f>
        <v>Av. Circunvalación y Guillermo Marconi</v>
      </c>
      <c r="H339" s="36" t="str">
        <f>IFERROR(__xludf.DUMMYFUNCTION("""COMPUTED_VALUE"""),"")</f>
        <v/>
      </c>
    </row>
    <row r="340">
      <c r="A340" s="36" t="str">
        <f>IFERROR(__xludf.DUMMYFUNCTION("""COMPUTED_VALUE"""),"08-44-03-52C")</f>
        <v>08-44-03-52C</v>
      </c>
      <c r="B340" s="36" t="str">
        <f>IFERROR(__xludf.DUMMYFUNCTION("""COMPUTED_VALUE"""),"")</f>
        <v/>
      </c>
      <c r="C340" s="36" t="str">
        <f>IFERROR(__xludf.DUMMYFUNCTION("""COMPUTED_VALUE"""),"")</f>
        <v/>
      </c>
      <c r="D340" s="36" t="str">
        <f>IFERROR(__xludf.DUMMYFUNCTION("""COMPUTED_VALUE"""),"")</f>
        <v/>
      </c>
      <c r="E340" s="36" t="str">
        <f>IFERROR(__xludf.DUMMYFUNCTION("""COMPUTED_VALUE"""),"02-39-12-270")</f>
        <v>02-39-12-270</v>
      </c>
      <c r="F340" s="36"/>
      <c r="G340" s="36" t="str">
        <f>IFERROR(__xludf.DUMMYFUNCTION("""COMPUTED_VALUE"""),"Av. Coratina y Picasul Norte")</f>
        <v>Av. Coratina y Picasul Norte</v>
      </c>
      <c r="H340" s="36" t="str">
        <f>IFERROR(__xludf.DUMMYFUNCTION("""COMPUTED_VALUE"""),"")</f>
        <v/>
      </c>
    </row>
    <row r="341">
      <c r="A341" s="36" t="str">
        <f>IFERROR(__xludf.DUMMYFUNCTION("""COMPUTED_VALUE"""),"08-44-03-86")</f>
        <v>08-44-03-86</v>
      </c>
      <c r="B341" s="36" t="str">
        <f>IFERROR(__xludf.DUMMYFUNCTION("""COMPUTED_VALUE"""),"")</f>
        <v/>
      </c>
      <c r="C341" s="36" t="str">
        <f>IFERROR(__xludf.DUMMYFUNCTION("""COMPUTED_VALUE"""),"")</f>
        <v/>
      </c>
      <c r="D341" s="36" t="str">
        <f>IFERROR(__xludf.DUMMYFUNCTION("""COMPUTED_VALUE"""),"")</f>
        <v/>
      </c>
      <c r="E341" s="36" t="str">
        <f>IFERROR(__xludf.DUMMYFUNCTION("""COMPUTED_VALUE"""),"02-39-12-271")</f>
        <v>02-39-12-271</v>
      </c>
      <c r="F341" s="36"/>
      <c r="G341" s="36" t="str">
        <f>IFERROR(__xludf.DUMMYFUNCTION("""COMPUTED_VALUE"""),"Av. Coratina y Picasul Sur")</f>
        <v>Av. Coratina y Picasul Sur</v>
      </c>
      <c r="H341" s="36" t="str">
        <f>IFERROR(__xludf.DUMMYFUNCTION("""COMPUTED_VALUE"""),"")</f>
        <v/>
      </c>
    </row>
    <row r="342">
      <c r="A342" s="36" t="str">
        <f>IFERROR(__xludf.DUMMYFUNCTION("""COMPUTED_VALUE"""),"08-44-03-88")</f>
        <v>08-44-03-88</v>
      </c>
      <c r="B342" s="36" t="str">
        <f>IFERROR(__xludf.DUMMYFUNCTION("""COMPUTED_VALUE"""),"")</f>
        <v/>
      </c>
      <c r="C342" s="36" t="str">
        <f>IFERROR(__xludf.DUMMYFUNCTION("""COMPUTED_VALUE"""),"")</f>
        <v/>
      </c>
      <c r="D342" s="36" t="str">
        <f>IFERROR(__xludf.DUMMYFUNCTION("""COMPUTED_VALUE"""),"")</f>
        <v/>
      </c>
      <c r="E342" s="36" t="str">
        <f>IFERROR(__xludf.DUMMYFUNCTION("""COMPUTED_VALUE"""),"01-53-08-27")</f>
        <v>01-53-08-27</v>
      </c>
      <c r="F342" s="36"/>
      <c r="G342" s="36" t="str">
        <f>IFERROR(__xludf.DUMMYFUNCTION("""COMPUTED_VALUE"""),"Av. Córdoba y  Güemes")</f>
        <v>Av. Córdoba y  Güemes</v>
      </c>
      <c r="H342" s="36" t="str">
        <f>IFERROR(__xludf.DUMMYFUNCTION("""COMPUTED_VALUE"""),"")</f>
        <v/>
      </c>
    </row>
    <row r="343">
      <c r="A343" s="36" t="str">
        <f>IFERROR(__xludf.DUMMYFUNCTION("""COMPUTED_VALUE"""),"08-44-03-90")</f>
        <v>08-44-03-90</v>
      </c>
      <c r="B343" s="36" t="str">
        <f>IFERROR(__xludf.DUMMYFUNCTION("""COMPUTED_VALUE"""),"")</f>
        <v/>
      </c>
      <c r="C343" s="36" t="str">
        <f>IFERROR(__xludf.DUMMYFUNCTION("""COMPUTED_VALUE"""),"")</f>
        <v/>
      </c>
      <c r="D343" s="36" t="str">
        <f>IFERROR(__xludf.DUMMYFUNCTION("""COMPUTED_VALUE"""),"")</f>
        <v/>
      </c>
      <c r="E343" s="36" t="str">
        <f>IFERROR(__xludf.DUMMYFUNCTION("""COMPUTED_VALUE"""),"01-50-07-60")</f>
        <v>01-50-07-60</v>
      </c>
      <c r="F343" s="36"/>
      <c r="G343" s="36" t="str">
        <f>IFERROR(__xludf.DUMMYFUNCTION("""COMPUTED_VALUE"""),"Av. Córdoba y Agustín Gnecco")</f>
        <v>Av. Córdoba y Agustín Gnecco</v>
      </c>
      <c r="H343" s="36" t="str">
        <f>IFERROR(__xludf.DUMMYFUNCTION("""COMPUTED_VALUE"""),"")</f>
        <v/>
      </c>
    </row>
    <row r="344">
      <c r="A344" s="36" t="str">
        <f>IFERROR(__xludf.DUMMYFUNCTION("""COMPUTED_VALUE"""),"08-44-03-92")</f>
        <v>08-44-03-92</v>
      </c>
      <c r="B344" s="36" t="str">
        <f>IFERROR(__xludf.DUMMYFUNCTION("""COMPUTED_VALUE"""),"")</f>
        <v/>
      </c>
      <c r="C344" s="36" t="str">
        <f>IFERROR(__xludf.DUMMYFUNCTION("""COMPUTED_VALUE"""),"")</f>
        <v/>
      </c>
      <c r="D344" s="36" t="str">
        <f>IFERROR(__xludf.DUMMYFUNCTION("""COMPUTED_VALUE"""),"")</f>
        <v/>
      </c>
      <c r="E344" s="36" t="str">
        <f>IFERROR(__xludf.DUMMYFUNCTION("""COMPUTED_VALUE"""),"01-49-07-71")</f>
        <v>01-49-07-71</v>
      </c>
      <c r="F344" s="36"/>
      <c r="G344" s="36" t="str">
        <f>IFERROR(__xludf.DUMMYFUNCTION("""COMPUTED_VALUE"""),"Av. Córdoba y José Martí N")</f>
        <v>Av. Córdoba y José Martí N</v>
      </c>
      <c r="H344" s="36" t="str">
        <f>IFERROR(__xludf.DUMMYFUNCTION("""COMPUTED_VALUE"""),"")</f>
        <v/>
      </c>
    </row>
    <row r="345">
      <c r="A345" s="36" t="str">
        <f>IFERROR(__xludf.DUMMYFUNCTION("""COMPUTED_VALUE"""),"08-44-03-94")</f>
        <v>08-44-03-94</v>
      </c>
      <c r="B345" s="36" t="str">
        <f>IFERROR(__xludf.DUMMYFUNCTION("""COMPUTED_VALUE"""),"")</f>
        <v/>
      </c>
      <c r="C345" s="36" t="str">
        <f>IFERROR(__xludf.DUMMYFUNCTION("""COMPUTED_VALUE"""),"")</f>
        <v/>
      </c>
      <c r="D345" s="36" t="str">
        <f>IFERROR(__xludf.DUMMYFUNCTION("""COMPUTED_VALUE"""),"")</f>
        <v/>
      </c>
      <c r="E345" s="36" t="str">
        <f>IFERROR(__xludf.DUMMYFUNCTION("""COMPUTED_VALUE"""),"01-49-07-70")</f>
        <v>01-49-07-70</v>
      </c>
      <c r="F345" s="36"/>
      <c r="G345" s="36" t="str">
        <f>IFERROR(__xludf.DUMMYFUNCTION("""COMPUTED_VALUE"""),"Av. Córdoba y José Martí S")</f>
        <v>Av. Córdoba y José Martí S</v>
      </c>
      <c r="H345" s="36" t="str">
        <f>IFERROR(__xludf.DUMMYFUNCTION("""COMPUTED_VALUE"""),"")</f>
        <v/>
      </c>
    </row>
    <row r="346">
      <c r="A346" s="36" t="str">
        <f>IFERROR(__xludf.DUMMYFUNCTION("""COMPUTED_VALUE"""),"08-44-03-96")</f>
        <v>08-44-03-96</v>
      </c>
      <c r="B346" s="36" t="str">
        <f>IFERROR(__xludf.DUMMYFUNCTION("""COMPUTED_VALUE"""),"")</f>
        <v/>
      </c>
      <c r="C346" s="36" t="str">
        <f>IFERROR(__xludf.DUMMYFUNCTION("""COMPUTED_VALUE"""),"")</f>
        <v/>
      </c>
      <c r="D346" s="36" t="str">
        <f>IFERROR(__xludf.DUMMYFUNCTION("""COMPUTED_VALUE"""),"")</f>
        <v/>
      </c>
      <c r="E346" s="36" t="str">
        <f>IFERROR(__xludf.DUMMYFUNCTION("""COMPUTED_VALUE"""),"01-49-07-69A")</f>
        <v>01-49-07-69A</v>
      </c>
      <c r="F346" s="36"/>
      <c r="G346" s="36" t="str">
        <f>IFERROR(__xludf.DUMMYFUNCTION("""COMPUTED_VALUE"""),"Av. Córdoba y Lugones N")</f>
        <v>Av. Córdoba y Lugones N</v>
      </c>
      <c r="H346" s="36" t="str">
        <f>IFERROR(__xludf.DUMMYFUNCTION("""COMPUTED_VALUE"""),"")</f>
        <v/>
      </c>
    </row>
    <row r="347">
      <c r="A347" s="36" t="str">
        <f>IFERROR(__xludf.DUMMYFUNCTION("""COMPUTED_VALUE"""),"01-25-04-92")</f>
        <v>01-25-04-92</v>
      </c>
      <c r="B347" s="36" t="str">
        <f>IFERROR(__xludf.DUMMYFUNCTION("""COMPUTED_VALUE"""),"")</f>
        <v/>
      </c>
      <c r="C347" s="36" t="str">
        <f>IFERROR(__xludf.DUMMYFUNCTION("""COMPUTED_VALUE"""),"")</f>
        <v/>
      </c>
      <c r="D347" s="36" t="str">
        <f>IFERROR(__xludf.DUMMYFUNCTION("""COMPUTED_VALUE"""),"")</f>
        <v/>
      </c>
      <c r="E347" s="36" t="str">
        <f>IFERROR(__xludf.DUMMYFUNCTION("""COMPUTED_VALUE"""),"01-49-07-69")</f>
        <v>01-49-07-69</v>
      </c>
      <c r="F347" s="36"/>
      <c r="G347" s="36" t="str">
        <f>IFERROR(__xludf.DUMMYFUNCTION("""COMPUTED_VALUE"""),"Av. Córdoba y Lugones S")</f>
        <v>Av. Córdoba y Lugones S</v>
      </c>
      <c r="H347" s="36" t="str">
        <f>IFERROR(__xludf.DUMMYFUNCTION("""COMPUTED_VALUE"""),"")</f>
        <v/>
      </c>
    </row>
    <row r="348">
      <c r="A348" s="36" t="str">
        <f>IFERROR(__xludf.DUMMYFUNCTION("""COMPUTED_VALUE"""),"03-20-04-101A")</f>
        <v>03-20-04-101A</v>
      </c>
      <c r="B348" s="36" t="str">
        <f>IFERROR(__xludf.DUMMYFUNCTION("""COMPUTED_VALUE"""),"")</f>
        <v/>
      </c>
      <c r="C348" s="36" t="str">
        <f>IFERROR(__xludf.DUMMYFUNCTION("""COMPUTED_VALUE"""),"")</f>
        <v/>
      </c>
      <c r="D348" s="36" t="str">
        <f>IFERROR(__xludf.DUMMYFUNCTION("""COMPUTED_VALUE"""),"")</f>
        <v/>
      </c>
      <c r="E348" s="36" t="str">
        <f>IFERROR(__xludf.DUMMYFUNCTION("""COMPUTED_VALUE"""),"01-49-07-72")</f>
        <v>01-49-07-72</v>
      </c>
      <c r="F348" s="36"/>
      <c r="G348" s="36" t="str">
        <f>IFERROR(__xludf.DUMMYFUNCTION("""COMPUTED_VALUE"""),"Av. Córdoba y Paula A. de Sarmiento")</f>
        <v>Av. Córdoba y Paula A. de Sarmiento</v>
      </c>
      <c r="H348" s="36" t="str">
        <f>IFERROR(__xludf.DUMMYFUNCTION("""COMPUTED_VALUE"""),"")</f>
        <v/>
      </c>
    </row>
    <row r="349">
      <c r="A349" s="36" t="str">
        <f>IFERROR(__xludf.DUMMYFUNCTION("""COMPUTED_VALUE"""),"03-20-04-103")</f>
        <v>03-20-04-103</v>
      </c>
      <c r="B349" s="36" t="str">
        <f>IFERROR(__xludf.DUMMYFUNCTION("""COMPUTED_VALUE"""),"")</f>
        <v/>
      </c>
      <c r="C349" s="36" t="str">
        <f>IFERROR(__xludf.DUMMYFUNCTION("""COMPUTED_VALUE"""),"")</f>
        <v/>
      </c>
      <c r="D349" s="36" t="str">
        <f>IFERROR(__xludf.DUMMYFUNCTION("""COMPUTED_VALUE"""),"")</f>
        <v/>
      </c>
      <c r="E349" s="36" t="str">
        <f>IFERROR(__xludf.DUMMYFUNCTION("""COMPUTED_VALUE"""),"01-50-07-62")</f>
        <v>01-50-07-62</v>
      </c>
      <c r="F349" s="36"/>
      <c r="G349" s="36" t="str">
        <f>IFERROR(__xludf.DUMMYFUNCTION("""COMPUTED_VALUE"""),"Av. Córdoba y Segundino Navarro")</f>
        <v>Av. Córdoba y Segundino Navarro</v>
      </c>
      <c r="H349" s="36" t="str">
        <f>IFERROR(__xludf.DUMMYFUNCTION("""COMPUTED_VALUE"""),"")</f>
        <v/>
      </c>
    </row>
    <row r="350">
      <c r="A350" s="36" t="str">
        <f>IFERROR(__xludf.DUMMYFUNCTION("""COMPUTED_VALUE"""),"03-20-04-105")</f>
        <v>03-20-04-105</v>
      </c>
      <c r="B350" s="36" t="str">
        <f>IFERROR(__xludf.DUMMYFUNCTION("""COMPUTED_VALUE"""),"")</f>
        <v/>
      </c>
      <c r="C350" s="36" t="str">
        <f>IFERROR(__xludf.DUMMYFUNCTION("""COMPUTED_VALUE"""),"")</f>
        <v/>
      </c>
      <c r="D350" s="36" t="str">
        <f>IFERROR(__xludf.DUMMYFUNCTION("""COMPUTED_VALUE"""),"")</f>
        <v/>
      </c>
      <c r="E350" s="36" t="str">
        <f>IFERROR(__xludf.DUMMYFUNCTION("""COMPUTED_VALUE"""),"01-50-07-59")</f>
        <v>01-50-07-59</v>
      </c>
      <c r="F350" s="36"/>
      <c r="G350" s="36" t="str">
        <f>IFERROR(__xludf.DUMMYFUNCTION("""COMPUTED_VALUE"""),"Av. Córdoba y Suipacha")</f>
        <v>Av. Córdoba y Suipacha</v>
      </c>
      <c r="H350" s="36" t="str">
        <f>IFERROR(__xludf.DUMMYFUNCTION("""COMPUTED_VALUE"""),"")</f>
        <v/>
      </c>
    </row>
    <row r="351">
      <c r="A351" s="36" t="str">
        <f>IFERROR(__xludf.DUMMYFUNCTION("""COMPUTED_VALUE"""),"03-20-04-93")</f>
        <v>03-20-04-93</v>
      </c>
      <c r="B351" s="36" t="str">
        <f>IFERROR(__xludf.DUMMYFUNCTION("""COMPUTED_VALUE"""),"")</f>
        <v/>
      </c>
      <c r="C351" s="36" t="str">
        <f>IFERROR(__xludf.DUMMYFUNCTION("""COMPUTED_VALUE"""),"")</f>
        <v/>
      </c>
      <c r="D351" s="36" t="str">
        <f>IFERROR(__xludf.DUMMYFUNCTION("""COMPUTED_VALUE"""),"")</f>
        <v/>
      </c>
      <c r="E351" s="36" t="str">
        <f>IFERROR(__xludf.DUMMYFUNCTION("""COMPUTED_VALUE"""),"01-50-07-64")</f>
        <v>01-50-07-64</v>
      </c>
      <c r="F351" s="36"/>
      <c r="G351" s="36" t="str">
        <f>IFERROR(__xludf.DUMMYFUNCTION("""COMPUTED_VALUE"""),"Av. Córdoba y Urquiza N")</f>
        <v>Av. Córdoba y Urquiza N</v>
      </c>
      <c r="H351" s="36" t="str">
        <f>IFERROR(__xludf.DUMMYFUNCTION("""COMPUTED_VALUE"""),"")</f>
        <v/>
      </c>
    </row>
    <row r="352">
      <c r="A352" s="36" t="str">
        <f>IFERROR(__xludf.DUMMYFUNCTION("""COMPUTED_VALUE"""),"03-20-04-95")</f>
        <v>03-20-04-95</v>
      </c>
      <c r="B352" s="36" t="str">
        <f>IFERROR(__xludf.DUMMYFUNCTION("""COMPUTED_VALUE"""),"")</f>
        <v/>
      </c>
      <c r="C352" s="36" t="str">
        <f>IFERROR(__xludf.DUMMYFUNCTION("""COMPUTED_VALUE"""),"")</f>
        <v/>
      </c>
      <c r="D352" s="36" t="str">
        <f>IFERROR(__xludf.DUMMYFUNCTION("""COMPUTED_VALUE"""),"")</f>
        <v/>
      </c>
      <c r="E352" s="36" t="str">
        <f>IFERROR(__xludf.DUMMYFUNCTION("""COMPUTED_VALUE"""),"01-49-07-66")</f>
        <v>01-49-07-66</v>
      </c>
      <c r="F352" s="36"/>
      <c r="G352" s="36" t="str">
        <f>IFERROR(__xludf.DUMMYFUNCTION("""COMPUTED_VALUE"""),"Av. Córdoba y Urquiza S")</f>
        <v>Av. Córdoba y Urquiza S</v>
      </c>
      <c r="H352" s="36" t="str">
        <f>IFERROR(__xludf.DUMMYFUNCTION("""COMPUTED_VALUE"""),"")</f>
        <v/>
      </c>
    </row>
    <row r="353">
      <c r="A353" s="36" t="str">
        <f>IFERROR(__xludf.DUMMYFUNCTION("""COMPUTED_VALUE"""),"03-20-04-97")</f>
        <v>03-20-04-97</v>
      </c>
      <c r="B353" s="36" t="str">
        <f>IFERROR(__xludf.DUMMYFUNCTION("""COMPUTED_VALUE"""),"")</f>
        <v/>
      </c>
      <c r="C353" s="36" t="str">
        <f>IFERROR(__xludf.DUMMYFUNCTION("""COMPUTED_VALUE"""),"")</f>
        <v/>
      </c>
      <c r="D353" s="36" t="str">
        <f>IFERROR(__xludf.DUMMYFUNCTION("""COMPUTED_VALUE"""),"")</f>
        <v/>
      </c>
      <c r="E353" s="36" t="str">
        <f>IFERROR(__xludf.DUMMYFUNCTION("""COMPUTED_VALUE"""),"01-29-07-14")</f>
        <v>01-29-07-14</v>
      </c>
      <c r="F353" s="36"/>
      <c r="G353" s="36" t="str">
        <f>IFERROR(__xludf.DUMMYFUNCTION("""COMPUTED_VALUE"""),"Av. de Circunvalación y Las Heras")</f>
        <v>Av. de Circunvalación y Las Heras</v>
      </c>
      <c r="H353" s="36" t="str">
        <f>IFERROR(__xludf.DUMMYFUNCTION("""COMPUTED_VALUE"""),"")</f>
        <v/>
      </c>
    </row>
    <row r="354">
      <c r="A354" s="36" t="str">
        <f>IFERROR(__xludf.DUMMYFUNCTION("""COMPUTED_VALUE"""),"03-20-04-99")</f>
        <v>03-20-04-99</v>
      </c>
      <c r="B354" s="36" t="str">
        <f>IFERROR(__xludf.DUMMYFUNCTION("""COMPUTED_VALUE"""),"")</f>
        <v/>
      </c>
      <c r="C354" s="36" t="str">
        <f>IFERROR(__xludf.DUMMYFUNCTION("""COMPUTED_VALUE"""),"")</f>
        <v/>
      </c>
      <c r="D354" s="36" t="str">
        <f>IFERROR(__xludf.DUMMYFUNCTION("""COMPUTED_VALUE"""),"")</f>
        <v/>
      </c>
      <c r="E354" s="36" t="str">
        <f>IFERROR(__xludf.DUMMYFUNCTION("""COMPUTED_VALUE"""),"04-21-13-536")</f>
        <v>04-21-13-536</v>
      </c>
      <c r="F354" s="36"/>
      <c r="G354" s="36" t="str">
        <f>IFERROR(__xludf.DUMMYFUNCTION("""COMPUTED_VALUE"""),"Av. España y 12 de Octubre")</f>
        <v>Av. España y 12 de Octubre</v>
      </c>
      <c r="H354" s="36" t="str">
        <f>IFERROR(__xludf.DUMMYFUNCTION("""COMPUTED_VALUE"""),"")</f>
        <v/>
      </c>
    </row>
    <row r="355">
      <c r="A355" s="36" t="str">
        <f>IFERROR(__xludf.DUMMYFUNCTION("""COMPUTED_VALUE"""),"03-22-04-1")</f>
        <v>03-22-04-1</v>
      </c>
      <c r="B355" s="36" t="str">
        <f>IFERROR(__xludf.DUMMYFUNCTION("""COMPUTED_VALUE"""),"")</f>
        <v/>
      </c>
      <c r="C355" s="36" t="str">
        <f>IFERROR(__xludf.DUMMYFUNCTION("""COMPUTED_VALUE"""),"")</f>
        <v/>
      </c>
      <c r="D355" s="36" t="str">
        <f>IFERROR(__xludf.DUMMYFUNCTION("""COMPUTED_VALUE"""),"")</f>
        <v/>
      </c>
      <c r="E355" s="36" t="str">
        <f>IFERROR(__xludf.DUMMYFUNCTION("""COMPUTED_VALUE"""),"05-24-13-89")</f>
        <v>05-24-13-89</v>
      </c>
      <c r="F355" s="36"/>
      <c r="G355" s="36" t="str">
        <f>IFERROR(__xludf.DUMMYFUNCTION("""COMPUTED_VALUE"""),"Av. España y Agustín Gómez")</f>
        <v>Av. España y Agustín Gómez</v>
      </c>
      <c r="H355" s="36" t="str">
        <f>IFERROR(__xludf.DUMMYFUNCTION("""COMPUTED_VALUE"""),"")</f>
        <v/>
      </c>
    </row>
    <row r="356">
      <c r="A356" s="36" t="str">
        <f>IFERROR(__xludf.DUMMYFUNCTION("""COMPUTED_VALUE"""),"03-22-04-106")</f>
        <v>03-22-04-106</v>
      </c>
      <c r="B356" s="36" t="str">
        <f>IFERROR(__xludf.DUMMYFUNCTION("""COMPUTED_VALUE"""),"")</f>
        <v/>
      </c>
      <c r="C356" s="36" t="str">
        <f>IFERROR(__xludf.DUMMYFUNCTION("""COMPUTED_VALUE"""),"")</f>
        <v/>
      </c>
      <c r="D356" s="36" t="str">
        <f>IFERROR(__xludf.DUMMYFUNCTION("""COMPUTED_VALUE"""),"")</f>
        <v/>
      </c>
      <c r="E356" s="36" t="str">
        <f>IFERROR(__xludf.DUMMYFUNCTION("""COMPUTED_VALUE"""),"01-60-13-14")</f>
        <v>01-60-13-14</v>
      </c>
      <c r="F356" s="36"/>
      <c r="G356" s="36" t="str">
        <f>IFERROR(__xludf.DUMMYFUNCTION("""COMPUTED_VALUE"""),"Av. España y Agustín Gómez -O")</f>
        <v>Av. España y Agustín Gómez -O</v>
      </c>
      <c r="H356" s="36" t="str">
        <f>IFERROR(__xludf.DUMMYFUNCTION("""COMPUTED_VALUE"""),"")</f>
        <v/>
      </c>
    </row>
    <row r="357">
      <c r="A357" s="36" t="str">
        <f>IFERROR(__xludf.DUMMYFUNCTION("""COMPUTED_VALUE"""),"03-22-04-108")</f>
        <v>03-22-04-108</v>
      </c>
      <c r="B357" s="36" t="str">
        <f>IFERROR(__xludf.DUMMYFUNCTION("""COMPUTED_VALUE"""),"")</f>
        <v/>
      </c>
      <c r="C357" s="36" t="str">
        <f>IFERROR(__xludf.DUMMYFUNCTION("""COMPUTED_VALUE"""),"")</f>
        <v/>
      </c>
      <c r="D357" s="36" t="str">
        <f>IFERROR(__xludf.DUMMYFUNCTION("""COMPUTED_VALUE"""),"")</f>
        <v/>
      </c>
      <c r="E357" s="36" t="str">
        <f>IFERROR(__xludf.DUMMYFUNCTION("""COMPUTED_VALUE"""),"04-20-13-537")</f>
        <v>04-20-13-537</v>
      </c>
      <c r="F357" s="36"/>
      <c r="G357" s="36" t="str">
        <f>IFERROR(__xludf.DUMMYFUNCTION("""COMPUTED_VALUE"""),"Av. España y Almafuerte")</f>
        <v>Av. España y Almafuerte</v>
      </c>
      <c r="H357" s="36" t="str">
        <f>IFERROR(__xludf.DUMMYFUNCTION("""COMPUTED_VALUE"""),"")</f>
        <v/>
      </c>
    </row>
    <row r="358">
      <c r="A358" s="36" t="str">
        <f>IFERROR(__xludf.DUMMYFUNCTION("""COMPUTED_VALUE"""),"03-22-04-110")</f>
        <v>03-22-04-110</v>
      </c>
      <c r="B358" s="36" t="str">
        <f>IFERROR(__xludf.DUMMYFUNCTION("""COMPUTED_VALUE"""),"")</f>
        <v/>
      </c>
      <c r="C358" s="36" t="str">
        <f>IFERROR(__xludf.DUMMYFUNCTION("""COMPUTED_VALUE"""),"")</f>
        <v/>
      </c>
      <c r="D358" s="36" t="str">
        <f>IFERROR(__xludf.DUMMYFUNCTION("""COMPUTED_VALUE"""),"")</f>
        <v/>
      </c>
      <c r="E358" s="36" t="str">
        <f>IFERROR(__xludf.DUMMYFUNCTION("""COMPUTED_VALUE"""),"01-57-13-3")</f>
        <v>01-57-13-3</v>
      </c>
      <c r="F358" s="36"/>
      <c r="G358" s="36" t="str">
        <f>IFERROR(__xludf.DUMMYFUNCTION("""COMPUTED_VALUE"""),"Av. España y Arenales")</f>
        <v>Av. España y Arenales</v>
      </c>
      <c r="H358" s="36" t="str">
        <f>IFERROR(__xludf.DUMMYFUNCTION("""COMPUTED_VALUE"""),"")</f>
        <v/>
      </c>
    </row>
    <row r="359">
      <c r="A359" s="36" t="str">
        <f>IFERROR(__xludf.DUMMYFUNCTION("""COMPUTED_VALUE"""),"03-22-04-112")</f>
        <v>03-22-04-112</v>
      </c>
      <c r="B359" s="36" t="str">
        <f>IFERROR(__xludf.DUMMYFUNCTION("""COMPUTED_VALUE"""),"")</f>
        <v/>
      </c>
      <c r="C359" s="36" t="str">
        <f>IFERROR(__xludf.DUMMYFUNCTION("""COMPUTED_VALUE"""),"")</f>
        <v/>
      </c>
      <c r="D359" s="36" t="str">
        <f>IFERROR(__xludf.DUMMYFUNCTION("""COMPUTED_VALUE"""),"")</f>
        <v/>
      </c>
      <c r="E359" s="36" t="str">
        <f>IFERROR(__xludf.DUMMYFUNCTION("""COMPUTED_VALUE"""),"01-57-13-1")</f>
        <v>01-57-13-1</v>
      </c>
      <c r="F359" s="36"/>
      <c r="G359" s="36" t="str">
        <f>IFERROR(__xludf.DUMMYFUNCTION("""COMPUTED_VALUE"""),"Av. España y Belgrano -E")</f>
        <v>Av. España y Belgrano -E</v>
      </c>
      <c r="H359" s="36" t="str">
        <f>IFERROR(__xludf.DUMMYFUNCTION("""COMPUTED_VALUE"""),"")</f>
        <v/>
      </c>
    </row>
    <row r="360">
      <c r="A360" s="36" t="str">
        <f>IFERROR(__xludf.DUMMYFUNCTION("""COMPUTED_VALUE"""),"03-22-04-114")</f>
        <v>03-22-04-114</v>
      </c>
      <c r="B360" s="36" t="str">
        <f>IFERROR(__xludf.DUMMYFUNCTION("""COMPUTED_VALUE"""),"")</f>
        <v/>
      </c>
      <c r="C360" s="36" t="str">
        <f>IFERROR(__xludf.DUMMYFUNCTION("""COMPUTED_VALUE"""),"")</f>
        <v/>
      </c>
      <c r="D360" s="36" t="str">
        <f>IFERROR(__xludf.DUMMYFUNCTION("""COMPUTED_VALUE"""),"")</f>
        <v/>
      </c>
      <c r="E360" s="36" t="str">
        <f>IFERROR(__xludf.DUMMYFUNCTION("""COMPUTED_VALUE"""),"01-57-13-2")</f>
        <v>01-57-13-2</v>
      </c>
      <c r="F360" s="36"/>
      <c r="G360" s="36" t="str">
        <f>IFERROR(__xludf.DUMMYFUNCTION("""COMPUTED_VALUE"""),"Av. España y Belgrano -O")</f>
        <v>Av. España y Belgrano -O</v>
      </c>
      <c r="H360" s="36" t="str">
        <f>IFERROR(__xludf.DUMMYFUNCTION("""COMPUTED_VALUE"""),"")</f>
        <v/>
      </c>
    </row>
    <row r="361">
      <c r="A361" s="36" t="str">
        <f>IFERROR(__xludf.DUMMYFUNCTION("""COMPUTED_VALUE"""),"03-22-04-116")</f>
        <v>03-22-04-116</v>
      </c>
      <c r="B361" s="36" t="str">
        <f>IFERROR(__xludf.DUMMYFUNCTION("""COMPUTED_VALUE"""),"")</f>
        <v/>
      </c>
      <c r="C361" s="36" t="str">
        <f>IFERROR(__xludf.DUMMYFUNCTION("""COMPUTED_VALUE"""),"")</f>
        <v/>
      </c>
      <c r="D361" s="36" t="str">
        <f>IFERROR(__xludf.DUMMYFUNCTION("""COMPUTED_VALUE"""),"")</f>
        <v/>
      </c>
      <c r="E361" s="36" t="str">
        <f>IFERROR(__xludf.DUMMYFUNCTION("""COMPUTED_VALUE"""),"01-57-13-2A")</f>
        <v>01-57-13-2A</v>
      </c>
      <c r="F361" s="36"/>
      <c r="G361" s="36" t="str">
        <f>IFERROR(__xludf.DUMMYFUNCTION("""COMPUTED_VALUE"""),"Av. España y Brasil")</f>
        <v>Av. España y Brasil</v>
      </c>
      <c r="H361" s="36" t="str">
        <f>IFERROR(__xludf.DUMMYFUNCTION("""COMPUTED_VALUE"""),"")</f>
        <v/>
      </c>
    </row>
    <row r="362">
      <c r="A362" s="36" t="str">
        <f>IFERROR(__xludf.DUMMYFUNCTION("""COMPUTED_VALUE"""),"03-22-04-118")</f>
        <v>03-22-04-118</v>
      </c>
      <c r="B362" s="36" t="str">
        <f>IFERROR(__xludf.DUMMYFUNCTION("""COMPUTED_VALUE"""),"")</f>
        <v/>
      </c>
      <c r="C362" s="36" t="str">
        <f>IFERROR(__xludf.DUMMYFUNCTION("""COMPUTED_VALUE"""),"")</f>
        <v/>
      </c>
      <c r="D362" s="36" t="str">
        <f>IFERROR(__xludf.DUMMYFUNCTION("""COMPUTED_VALUE"""),"")</f>
        <v/>
      </c>
      <c r="E362" s="36" t="str">
        <f>IFERROR(__xludf.DUMMYFUNCTION("""COMPUTED_VALUE"""),"04-33-13-115")</f>
        <v>04-33-13-115</v>
      </c>
      <c r="F362" s="36"/>
      <c r="G362" s="36" t="str">
        <f>IFERROR(__xludf.DUMMYFUNCTION("""COMPUTED_VALUE"""),"Av. España y Cenobia Bustos -N")</f>
        <v>Av. España y Cenobia Bustos -N</v>
      </c>
      <c r="H362" s="36" t="str">
        <f>IFERROR(__xludf.DUMMYFUNCTION("""COMPUTED_VALUE"""),"")</f>
        <v/>
      </c>
    </row>
    <row r="363">
      <c r="A363" s="36" t="str">
        <f>IFERROR(__xludf.DUMMYFUNCTION("""COMPUTED_VALUE"""),"03-24-04-2")</f>
        <v>03-24-04-2</v>
      </c>
      <c r="B363" s="36" t="str">
        <f>IFERROR(__xludf.DUMMYFUNCTION("""COMPUTED_VALUE"""),"")</f>
        <v/>
      </c>
      <c r="C363" s="36" t="str">
        <f>IFERROR(__xludf.DUMMYFUNCTION("""COMPUTED_VALUE"""),"")</f>
        <v/>
      </c>
      <c r="D363" s="36" t="str">
        <f>IFERROR(__xludf.DUMMYFUNCTION("""COMPUTED_VALUE"""),"")</f>
        <v/>
      </c>
      <c r="E363" s="36" t="str">
        <f>IFERROR(__xludf.DUMMYFUNCTION("""COMPUTED_VALUE"""),"04-33-13-116")</f>
        <v>04-33-13-116</v>
      </c>
      <c r="F363" s="36"/>
      <c r="G363" s="36" t="str">
        <f>IFERROR(__xludf.DUMMYFUNCTION("""COMPUTED_VALUE"""),"Av. España y Cenobia Bustos -S")</f>
        <v>Av. España y Cenobia Bustos -S</v>
      </c>
      <c r="H363" s="36" t="str">
        <f>IFERROR(__xludf.DUMMYFUNCTION("""COMPUTED_VALUE"""),"")</f>
        <v/>
      </c>
    </row>
    <row r="364">
      <c r="A364" s="36" t="str">
        <f>IFERROR(__xludf.DUMMYFUNCTION("""COMPUTED_VALUE"""),"03-24-04-5")</f>
        <v>03-24-04-5</v>
      </c>
      <c r="B364" s="36" t="str">
        <f>IFERROR(__xludf.DUMMYFUNCTION("""COMPUTED_VALUE"""),"")</f>
        <v/>
      </c>
      <c r="C364" s="36" t="str">
        <f>IFERROR(__xludf.DUMMYFUNCTION("""COMPUTED_VALUE"""),"")</f>
        <v/>
      </c>
      <c r="D364" s="36" t="str">
        <f>IFERROR(__xludf.DUMMYFUNCTION("""COMPUTED_VALUE"""),"")</f>
        <v/>
      </c>
      <c r="E364" s="36" t="str">
        <f>IFERROR(__xludf.DUMMYFUNCTION("""COMPUTED_VALUE"""),"01-60-13-22A")</f>
        <v>01-60-13-22A</v>
      </c>
      <c r="F364" s="36"/>
      <c r="G364" s="36" t="str">
        <f>IFERROR(__xludf.DUMMYFUNCTION("""COMPUTED_VALUE"""),"Av. España y Comandante Cabot")</f>
        <v>Av. España y Comandante Cabot</v>
      </c>
      <c r="H364" s="36" t="str">
        <f>IFERROR(__xludf.DUMMYFUNCTION("""COMPUTED_VALUE"""),"")</f>
        <v/>
      </c>
    </row>
    <row r="365">
      <c r="A365" s="36" t="str">
        <f>IFERROR(__xludf.DUMMYFUNCTION("""COMPUTED_VALUE"""),"08-22-04-33")</f>
        <v>08-22-04-33</v>
      </c>
      <c r="B365" s="36" t="str">
        <f>IFERROR(__xludf.DUMMYFUNCTION("""COMPUTED_VALUE"""),"")</f>
        <v/>
      </c>
      <c r="C365" s="36" t="str">
        <f>IFERROR(__xludf.DUMMYFUNCTION("""COMPUTED_VALUE"""),"")</f>
        <v/>
      </c>
      <c r="D365" s="36" t="str">
        <f>IFERROR(__xludf.DUMMYFUNCTION("""COMPUTED_VALUE"""),"")</f>
        <v/>
      </c>
      <c r="E365" s="36" t="str">
        <f>IFERROR(__xludf.DUMMYFUNCTION("""COMPUTED_VALUE"""),"04-20-13-535")</f>
        <v>04-20-13-535</v>
      </c>
      <c r="F365" s="36"/>
      <c r="G365" s="36" t="str">
        <f>IFERROR(__xludf.DUMMYFUNCTION("""COMPUTED_VALUE"""),"Av. España y Dean Funes")</f>
        <v>Av. España y Dean Funes</v>
      </c>
      <c r="H365" s="36" t="str">
        <f>IFERROR(__xludf.DUMMYFUNCTION("""COMPUTED_VALUE"""),"")</f>
        <v/>
      </c>
    </row>
    <row r="366">
      <c r="A366" s="36" t="str">
        <f>IFERROR(__xludf.DUMMYFUNCTION("""COMPUTED_VALUE"""),"08-22-04-33A")</f>
        <v>08-22-04-33A</v>
      </c>
      <c r="B366" s="36" t="str">
        <f>IFERROR(__xludf.DUMMYFUNCTION("""COMPUTED_VALUE"""),"")</f>
        <v/>
      </c>
      <c r="C366" s="36" t="str">
        <f>IFERROR(__xludf.DUMMYFUNCTION("""COMPUTED_VALUE"""),"")</f>
        <v/>
      </c>
      <c r="D366" s="36" t="str">
        <f>IFERROR(__xludf.DUMMYFUNCTION("""COMPUTED_VALUE"""),"")</f>
        <v/>
      </c>
      <c r="E366" s="36" t="str">
        <f>IFERROR(__xludf.DUMMYFUNCTION("""COMPUTED_VALUE"""),"01-57-13-5")</f>
        <v>01-57-13-5</v>
      </c>
      <c r="F366" s="36"/>
      <c r="G366" s="36" t="str">
        <f>IFERROR(__xludf.DUMMYFUNCTION("""COMPUTED_VALUE"""),"Av. España y Estrada -E")</f>
        <v>Av. España y Estrada -E</v>
      </c>
      <c r="H366" s="36" t="str">
        <f>IFERROR(__xludf.DUMMYFUNCTION("""COMPUTED_VALUE"""),"")</f>
        <v/>
      </c>
    </row>
    <row r="367">
      <c r="A367" s="36" t="str">
        <f>IFERROR(__xludf.DUMMYFUNCTION("""COMPUTED_VALUE"""),"08-22-04-34")</f>
        <v>08-22-04-34</v>
      </c>
      <c r="B367" s="36" t="str">
        <f>IFERROR(__xludf.DUMMYFUNCTION("""COMPUTED_VALUE"""),"")</f>
        <v/>
      </c>
      <c r="C367" s="36" t="str">
        <f>IFERROR(__xludf.DUMMYFUNCTION("""COMPUTED_VALUE"""),"")</f>
        <v/>
      </c>
      <c r="D367" s="36" t="str">
        <f>IFERROR(__xludf.DUMMYFUNCTION("""COMPUTED_VALUE"""),"")</f>
        <v/>
      </c>
      <c r="E367" s="36" t="str">
        <f>IFERROR(__xludf.DUMMYFUNCTION("""COMPUTED_VALUE"""),"01-57-13-6")</f>
        <v>01-57-13-6</v>
      </c>
      <c r="F367" s="36"/>
      <c r="G367" s="36" t="str">
        <f>IFERROR(__xludf.DUMMYFUNCTION("""COMPUTED_VALUE"""),"Av. España y Estrada -O")</f>
        <v>Av. España y Estrada -O</v>
      </c>
      <c r="H367" s="36" t="str">
        <f>IFERROR(__xludf.DUMMYFUNCTION("""COMPUTED_VALUE"""),"")</f>
        <v/>
      </c>
    </row>
    <row r="368">
      <c r="A368" s="36" t="str">
        <f>IFERROR(__xludf.DUMMYFUNCTION("""COMPUTED_VALUE"""),"08-22-04-35")</f>
        <v>08-22-04-35</v>
      </c>
      <c r="B368" s="36" t="str">
        <f>IFERROR(__xludf.DUMMYFUNCTION("""COMPUTED_VALUE"""),"")</f>
        <v/>
      </c>
      <c r="C368" s="36" t="str">
        <f>IFERROR(__xludf.DUMMYFUNCTION("""COMPUTED_VALUE"""),"")</f>
        <v/>
      </c>
      <c r="D368" s="36" t="str">
        <f>IFERROR(__xludf.DUMMYFUNCTION("""COMPUTED_VALUE"""),"")</f>
        <v/>
      </c>
      <c r="E368" s="36" t="str">
        <f>IFERROR(__xludf.DUMMYFUNCTION("""COMPUTED_VALUE"""),"01-66-13-20")</f>
        <v>01-66-13-20</v>
      </c>
      <c r="F368" s="36"/>
      <c r="G368" s="36" t="str">
        <f>IFERROR(__xludf.DUMMYFUNCTION("""COMPUTED_VALUE"""),"Av. España y Formosa -E")</f>
        <v>Av. España y Formosa -E</v>
      </c>
      <c r="H368" s="36" t="str">
        <f>IFERROR(__xludf.DUMMYFUNCTION("""COMPUTED_VALUE"""),"")</f>
        <v/>
      </c>
    </row>
    <row r="369">
      <c r="A369" s="36" t="str">
        <f>IFERROR(__xludf.DUMMYFUNCTION("""COMPUTED_VALUE"""),"08-22-04-36")</f>
        <v>08-22-04-36</v>
      </c>
      <c r="B369" s="36" t="str">
        <f>IFERROR(__xludf.DUMMYFUNCTION("""COMPUTED_VALUE"""),"")</f>
        <v/>
      </c>
      <c r="C369" s="36" t="str">
        <f>IFERROR(__xludf.DUMMYFUNCTION("""COMPUTED_VALUE"""),"")</f>
        <v/>
      </c>
      <c r="D369" s="36" t="str">
        <f>IFERROR(__xludf.DUMMYFUNCTION("""COMPUTED_VALUE"""),"")</f>
        <v/>
      </c>
      <c r="E369" s="36" t="str">
        <f>IFERROR(__xludf.DUMMYFUNCTION("""COMPUTED_VALUE"""),"01-60-13-21")</f>
        <v>01-60-13-21</v>
      </c>
      <c r="F369" s="36"/>
      <c r="G369" s="36" t="str">
        <f>IFERROR(__xludf.DUMMYFUNCTION("""COMPUTED_VALUE"""),"Av. España y Formosa -O")</f>
        <v>Av. España y Formosa -O</v>
      </c>
      <c r="H369" s="36" t="str">
        <f>IFERROR(__xludf.DUMMYFUNCTION("""COMPUTED_VALUE"""),"")</f>
        <v/>
      </c>
    </row>
    <row r="370">
      <c r="A370" s="36" t="str">
        <f>IFERROR(__xludf.DUMMYFUNCTION("""COMPUTED_VALUE"""),"08-22-04-37")</f>
        <v>08-22-04-37</v>
      </c>
      <c r="B370" s="36" t="str">
        <f>IFERROR(__xludf.DUMMYFUNCTION("""COMPUTED_VALUE"""),"")</f>
        <v/>
      </c>
      <c r="C370" s="36" t="str">
        <f>IFERROR(__xludf.DUMMYFUNCTION("""COMPUTED_VALUE"""),"")</f>
        <v/>
      </c>
      <c r="D370" s="36" t="str">
        <f>IFERROR(__xludf.DUMMYFUNCTION("""COMPUTED_VALUE"""),"")</f>
        <v/>
      </c>
      <c r="E370" s="36" t="str">
        <f>IFERROR(__xludf.DUMMYFUNCTION("""COMPUTED_VALUE"""),"01-57-13-4")</f>
        <v>01-57-13-4</v>
      </c>
      <c r="F370" s="36"/>
      <c r="G370" s="36" t="str">
        <f>IFERROR(__xludf.DUMMYFUNCTION("""COMPUTED_VALUE"""),"Av. España y Laspiur")</f>
        <v>Av. España y Laspiur</v>
      </c>
      <c r="H370" s="36" t="str">
        <f>IFERROR(__xludf.DUMMYFUNCTION("""COMPUTED_VALUE"""),"")</f>
        <v/>
      </c>
    </row>
    <row r="371">
      <c r="A371" s="36" t="str">
        <f>IFERROR(__xludf.DUMMYFUNCTION("""COMPUTED_VALUE"""),"08-22-04-38")</f>
        <v>08-22-04-38</v>
      </c>
      <c r="B371" s="36" t="str">
        <f>IFERROR(__xludf.DUMMYFUNCTION("""COMPUTED_VALUE"""),"")</f>
        <v/>
      </c>
      <c r="C371" s="36" t="str">
        <f>IFERROR(__xludf.DUMMYFUNCTION("""COMPUTED_VALUE"""),"")</f>
        <v/>
      </c>
      <c r="D371" s="36" t="str">
        <f>IFERROR(__xludf.DUMMYFUNCTION("""COMPUTED_VALUE"""),"")</f>
        <v/>
      </c>
      <c r="E371" s="36" t="str">
        <f>IFERROR(__xludf.DUMMYFUNCTION("""COMPUTED_VALUE"""),"01-66-13-20A")</f>
        <v>01-66-13-20A</v>
      </c>
      <c r="F371" s="36"/>
      <c r="G371" s="36" t="str">
        <f>IFERROR(__xludf.DUMMYFUNCTION("""COMPUTED_VALUE"""),"Av. España y Lat. de Circunvalación -S")</f>
        <v>Av. España y Lat. de Circunvalación -S</v>
      </c>
      <c r="H371" s="36" t="str">
        <f>IFERROR(__xludf.DUMMYFUNCTION("""COMPUTED_VALUE"""),"")</f>
        <v/>
      </c>
    </row>
    <row r="372">
      <c r="A372" s="36" t="str">
        <f>IFERROR(__xludf.DUMMYFUNCTION("""COMPUTED_VALUE"""),"08-22-04-38A")</f>
        <v>08-22-04-38A</v>
      </c>
      <c r="B372" s="36" t="str">
        <f>IFERROR(__xludf.DUMMYFUNCTION("""COMPUTED_VALUE"""),"")</f>
        <v/>
      </c>
      <c r="C372" s="36" t="str">
        <f>IFERROR(__xludf.DUMMYFUNCTION("""COMPUTED_VALUE"""),"")</f>
        <v/>
      </c>
      <c r="D372" s="36" t="str">
        <f>IFERROR(__xludf.DUMMYFUNCTION("""COMPUTED_VALUE"""),"")</f>
        <v/>
      </c>
      <c r="E372" s="36" t="str">
        <f>IFERROR(__xludf.DUMMYFUNCTION("""COMPUTED_VALUE"""),"04-20-13-535A")</f>
        <v>04-20-13-535A</v>
      </c>
      <c r="F372" s="36"/>
      <c r="G372" s="36" t="str">
        <f>IFERROR(__xludf.DUMMYFUNCTION("""COMPUTED_VALUE"""),"Av. España y Leandro Alem")</f>
        <v>Av. España y Leandro Alem</v>
      </c>
      <c r="H372" s="36" t="str">
        <f>IFERROR(__xludf.DUMMYFUNCTION("""COMPUTED_VALUE"""),"")</f>
        <v/>
      </c>
    </row>
    <row r="373">
      <c r="A373" s="36" t="str">
        <f>IFERROR(__xludf.DUMMYFUNCTION("""COMPUTED_VALUE"""),"08-22-04-39")</f>
        <v>08-22-04-39</v>
      </c>
      <c r="B373" s="36" t="str">
        <f>IFERROR(__xludf.DUMMYFUNCTION("""COMPUTED_VALUE"""),"")</f>
        <v/>
      </c>
      <c r="C373" s="36" t="str">
        <f>IFERROR(__xludf.DUMMYFUNCTION("""COMPUTED_VALUE"""),"")</f>
        <v/>
      </c>
      <c r="D373" s="36" t="str">
        <f>IFERROR(__xludf.DUMMYFUNCTION("""COMPUTED_VALUE"""),"")</f>
        <v/>
      </c>
      <c r="E373" s="36" t="str">
        <f>IFERROR(__xludf.DUMMYFUNCTION("""COMPUTED_VALUE"""),"04-21-13-30")</f>
        <v>04-21-13-30</v>
      </c>
      <c r="F373" s="36"/>
      <c r="G373" s="36" t="str">
        <f>IFERROR(__xludf.DUMMYFUNCTION("""COMPUTED_VALUE"""),"Av. España y Loreto -E")</f>
        <v>Av. España y Loreto -E</v>
      </c>
      <c r="H373" s="36" t="str">
        <f>IFERROR(__xludf.DUMMYFUNCTION("""COMPUTED_VALUE"""),"")</f>
        <v/>
      </c>
    </row>
    <row r="374">
      <c r="A374" s="36" t="str">
        <f>IFERROR(__xludf.DUMMYFUNCTION("""COMPUTED_VALUE"""),"08-22-04-40")</f>
        <v>08-22-04-40</v>
      </c>
      <c r="B374" s="36" t="str">
        <f>IFERROR(__xludf.DUMMYFUNCTION("""COMPUTED_VALUE"""),"")</f>
        <v/>
      </c>
      <c r="C374" s="36" t="str">
        <f>IFERROR(__xludf.DUMMYFUNCTION("""COMPUTED_VALUE"""),"")</f>
        <v/>
      </c>
      <c r="D374" s="36" t="str">
        <f>IFERROR(__xludf.DUMMYFUNCTION("""COMPUTED_VALUE"""),"")</f>
        <v/>
      </c>
      <c r="E374" s="36" t="str">
        <f>IFERROR(__xludf.DUMMYFUNCTION("""COMPUTED_VALUE"""),"04-20-13-31")</f>
        <v>04-20-13-31</v>
      </c>
      <c r="F374" s="36"/>
      <c r="G374" s="36" t="str">
        <f>IFERROR(__xludf.DUMMYFUNCTION("""COMPUTED_VALUE"""),"Av. España y Loreto -O")</f>
        <v>Av. España y Loreto -O</v>
      </c>
      <c r="H374" s="36" t="str">
        <f>IFERROR(__xludf.DUMMYFUNCTION("""COMPUTED_VALUE"""),"")</f>
        <v/>
      </c>
    </row>
    <row r="375">
      <c r="A375" s="36" t="str">
        <f>IFERROR(__xludf.DUMMYFUNCTION("""COMPUTED_VALUE"""),"08-22-04-41")</f>
        <v>08-22-04-41</v>
      </c>
      <c r="B375" s="36" t="str">
        <f>IFERROR(__xludf.DUMMYFUNCTION("""COMPUTED_VALUE"""),"")</f>
        <v/>
      </c>
      <c r="C375" s="36" t="str">
        <f>IFERROR(__xludf.DUMMYFUNCTION("""COMPUTED_VALUE"""),"")</f>
        <v/>
      </c>
      <c r="D375" s="36" t="str">
        <f>IFERROR(__xludf.DUMMYFUNCTION("""COMPUTED_VALUE"""),"")</f>
        <v/>
      </c>
      <c r="E375" s="36" t="str">
        <f>IFERROR(__xludf.DUMMYFUNCTION("""COMPUTED_VALUE"""),"04-21-13-538")</f>
        <v>04-21-13-538</v>
      </c>
      <c r="F375" s="36"/>
      <c r="G375" s="36" t="str">
        <f>IFERROR(__xludf.DUMMYFUNCTION("""COMPUTED_VALUE"""),"Av. España y Luis Pasteur")</f>
        <v>Av. España y Luis Pasteur</v>
      </c>
      <c r="H375" s="36" t="str">
        <f>IFERROR(__xludf.DUMMYFUNCTION("""COMPUTED_VALUE"""),"")</f>
        <v/>
      </c>
    </row>
    <row r="376">
      <c r="A376" s="36" t="str">
        <f>IFERROR(__xludf.DUMMYFUNCTION("""COMPUTED_VALUE"""),"08-22-04-41A")</f>
        <v>08-22-04-41A</v>
      </c>
      <c r="B376" s="36" t="str">
        <f>IFERROR(__xludf.DUMMYFUNCTION("""COMPUTED_VALUE"""),"")</f>
        <v/>
      </c>
      <c r="C376" s="36" t="str">
        <f>IFERROR(__xludf.DUMMYFUNCTION("""COMPUTED_VALUE"""),"")</f>
        <v/>
      </c>
      <c r="D376" s="36" t="str">
        <f>IFERROR(__xludf.DUMMYFUNCTION("""COMPUTED_VALUE"""),"")</f>
        <v/>
      </c>
      <c r="E376" s="36" t="str">
        <f>IFERROR(__xludf.DUMMYFUNCTION("""COMPUTED_VALUE"""),"01-61-13-35")</f>
        <v>01-61-13-35</v>
      </c>
      <c r="F376" s="36"/>
      <c r="G376" s="36" t="str">
        <f>IFERROR(__xludf.DUMMYFUNCTION("""COMPUTED_VALUE"""),"Av. España y Pedro de Valdívia -SE")</f>
        <v>Av. España y Pedro de Valdívia -SE</v>
      </c>
      <c r="H376" s="36" t="str">
        <f>IFERROR(__xludf.DUMMYFUNCTION("""COMPUTED_VALUE"""),"")</f>
        <v/>
      </c>
    </row>
    <row r="377">
      <c r="A377" s="36" t="str">
        <f>IFERROR(__xludf.DUMMYFUNCTION("""COMPUTED_VALUE"""),"08-22-04-42")</f>
        <v>08-22-04-42</v>
      </c>
      <c r="B377" s="36" t="str">
        <f>IFERROR(__xludf.DUMMYFUNCTION("""COMPUTED_VALUE"""),"")</f>
        <v/>
      </c>
      <c r="C377" s="36" t="str">
        <f>IFERROR(__xludf.DUMMYFUNCTION("""COMPUTED_VALUE"""),"")</f>
        <v/>
      </c>
      <c r="D377" s="36" t="str">
        <f>IFERROR(__xludf.DUMMYFUNCTION("""COMPUTED_VALUE"""),"")</f>
        <v/>
      </c>
      <c r="E377" s="36" t="str">
        <f>IFERROR(__xludf.DUMMYFUNCTION("""COMPUTED_VALUE"""),"01-60-13-65")</f>
        <v>01-60-13-65</v>
      </c>
      <c r="F377" s="36"/>
      <c r="G377" s="36" t="str">
        <f>IFERROR(__xludf.DUMMYFUNCTION("""COMPUTED_VALUE"""),"Av. España y Pedro de Valdivia -SO")</f>
        <v>Av. España y Pedro de Valdivia -SO</v>
      </c>
      <c r="H377" s="36" t="str">
        <f>IFERROR(__xludf.DUMMYFUNCTION("""COMPUTED_VALUE"""),"")</f>
        <v/>
      </c>
    </row>
    <row r="378">
      <c r="A378" s="36" t="str">
        <f>IFERROR(__xludf.DUMMYFUNCTION("""COMPUTED_VALUE"""),"08-23-04-100")</f>
        <v>08-23-04-100</v>
      </c>
      <c r="B378" s="36" t="str">
        <f>IFERROR(__xludf.DUMMYFUNCTION("""COMPUTED_VALUE"""),"")</f>
        <v/>
      </c>
      <c r="C378" s="36" t="str">
        <f>IFERROR(__xludf.DUMMYFUNCTION("""COMPUTED_VALUE"""),"")</f>
        <v/>
      </c>
      <c r="D378" s="36" t="str">
        <f>IFERROR(__xludf.DUMMYFUNCTION("""COMPUTED_VALUE"""),"")</f>
        <v/>
      </c>
      <c r="E378" s="36" t="str">
        <f>IFERROR(__xludf.DUMMYFUNCTION("""COMPUTED_VALUE"""),"04-20-13-8B")</f>
        <v>04-20-13-8B</v>
      </c>
      <c r="F378" s="36"/>
      <c r="G378" s="36" t="str">
        <f>IFERROR(__xludf.DUMMYFUNCTION("""COMPUTED_VALUE"""),"Av. España y República del Líbano -N")</f>
        <v>Av. España y República del Líbano -N</v>
      </c>
      <c r="H378" s="36" t="str">
        <f>IFERROR(__xludf.DUMMYFUNCTION("""COMPUTED_VALUE"""),"")</f>
        <v/>
      </c>
    </row>
    <row r="379">
      <c r="A379" s="36" t="str">
        <f>IFERROR(__xludf.DUMMYFUNCTION("""COMPUTED_VALUE"""),"08-23-04-102A")</f>
        <v>08-23-04-102A</v>
      </c>
      <c r="B379" s="36" t="str">
        <f>IFERROR(__xludf.DUMMYFUNCTION("""COMPUTED_VALUE"""),"")</f>
        <v/>
      </c>
      <c r="C379" s="36" t="str">
        <f>IFERROR(__xludf.DUMMYFUNCTION("""COMPUTED_VALUE"""),"")</f>
        <v/>
      </c>
      <c r="D379" s="36" t="str">
        <f>IFERROR(__xludf.DUMMYFUNCTION("""COMPUTED_VALUE"""),"")</f>
        <v/>
      </c>
      <c r="E379" s="36" t="str">
        <f>IFERROR(__xludf.DUMMYFUNCTION("""COMPUTED_VALUE"""),"04-21-13-28")</f>
        <v>04-21-13-28</v>
      </c>
      <c r="F379" s="36"/>
      <c r="G379" s="36" t="str">
        <f>IFERROR(__xludf.DUMMYFUNCTION("""COMPUTED_VALUE"""),"Av. España y Roma -E")</f>
        <v>Av. España y Roma -E</v>
      </c>
      <c r="H379" s="36" t="str">
        <f>IFERROR(__xludf.DUMMYFUNCTION("""COMPUTED_VALUE"""),"")</f>
        <v/>
      </c>
    </row>
    <row r="380">
      <c r="A380" s="36" t="str">
        <f>IFERROR(__xludf.DUMMYFUNCTION("""COMPUTED_VALUE"""),"08-23-04-104")</f>
        <v>08-23-04-104</v>
      </c>
      <c r="B380" s="36" t="str">
        <f>IFERROR(__xludf.DUMMYFUNCTION("""COMPUTED_VALUE"""),"")</f>
        <v/>
      </c>
      <c r="C380" s="36" t="str">
        <f>IFERROR(__xludf.DUMMYFUNCTION("""COMPUTED_VALUE"""),"")</f>
        <v/>
      </c>
      <c r="D380" s="36" t="str">
        <f>IFERROR(__xludf.DUMMYFUNCTION("""COMPUTED_VALUE"""),"")</f>
        <v/>
      </c>
      <c r="E380" s="36" t="str">
        <f>IFERROR(__xludf.DUMMYFUNCTION("""COMPUTED_VALUE"""),"04-20-13-29")</f>
        <v>04-20-13-29</v>
      </c>
      <c r="F380" s="36"/>
      <c r="G380" s="36" t="str">
        <f>IFERROR(__xludf.DUMMYFUNCTION("""COMPUTED_VALUE"""),"Av. España y Roma -O")</f>
        <v>Av. España y Roma -O</v>
      </c>
      <c r="H380" s="36" t="str">
        <f>IFERROR(__xludf.DUMMYFUNCTION("""COMPUTED_VALUE"""),"")</f>
        <v/>
      </c>
    </row>
    <row r="381">
      <c r="A381" s="36" t="str">
        <f>IFERROR(__xludf.DUMMYFUNCTION("""COMPUTED_VALUE"""),"08-23-04-107")</f>
        <v>08-23-04-107</v>
      </c>
      <c r="B381" s="36" t="str">
        <f>IFERROR(__xludf.DUMMYFUNCTION("""COMPUTED_VALUE"""),"")</f>
        <v/>
      </c>
      <c r="C381" s="36" t="str">
        <f>IFERROR(__xludf.DUMMYFUNCTION("""COMPUTED_VALUE"""),"")</f>
        <v/>
      </c>
      <c r="D381" s="36" t="str">
        <f>IFERROR(__xludf.DUMMYFUNCTION("""COMPUTED_VALUE"""),"")</f>
        <v/>
      </c>
      <c r="E381" s="36" t="str">
        <f>IFERROR(__xludf.DUMMYFUNCTION("""COMPUTED_VALUE"""),"01-60-13-18")</f>
        <v>01-60-13-18</v>
      </c>
      <c r="F381" s="36"/>
      <c r="G381" s="36" t="str">
        <f>IFERROR(__xludf.DUMMYFUNCTION("""COMPUTED_VALUE"""),"Av. España y San Francisco del Monte")</f>
        <v>Av. España y San Francisco del Monte</v>
      </c>
      <c r="H381" s="36" t="str">
        <f>IFERROR(__xludf.DUMMYFUNCTION("""COMPUTED_VALUE"""),"")</f>
        <v/>
      </c>
    </row>
    <row r="382">
      <c r="A382" s="36" t="str">
        <f>IFERROR(__xludf.DUMMYFUNCTION("""COMPUTED_VALUE"""),"08-23-04-109")</f>
        <v>08-23-04-109</v>
      </c>
      <c r="B382" s="36" t="str">
        <f>IFERROR(__xludf.DUMMYFUNCTION("""COMPUTED_VALUE"""),"")</f>
        <v/>
      </c>
      <c r="C382" s="36" t="str">
        <f>IFERROR(__xludf.DUMMYFUNCTION("""COMPUTED_VALUE"""),"")</f>
        <v/>
      </c>
      <c r="D382" s="36" t="str">
        <f>IFERROR(__xludf.DUMMYFUNCTION("""COMPUTED_VALUE"""),"")</f>
        <v/>
      </c>
      <c r="E382" s="36" t="str">
        <f>IFERROR(__xludf.DUMMYFUNCTION("""COMPUTED_VALUE"""),"04-33-13-3B")</f>
        <v>04-33-13-3B</v>
      </c>
      <c r="F382" s="36"/>
      <c r="G382" s="36" t="str">
        <f>IFERROR(__xludf.DUMMYFUNCTION("""COMPUTED_VALUE"""),"Av. España y San Martín -E")</f>
        <v>Av. España y San Martín -E</v>
      </c>
      <c r="H382" s="36" t="str">
        <f>IFERROR(__xludf.DUMMYFUNCTION("""COMPUTED_VALUE"""),"")</f>
        <v/>
      </c>
    </row>
    <row r="383">
      <c r="A383" s="36" t="str">
        <f>IFERROR(__xludf.DUMMYFUNCTION("""COMPUTED_VALUE"""),"08-23-04-11")</f>
        <v>08-23-04-11</v>
      </c>
      <c r="B383" s="36" t="str">
        <f>IFERROR(__xludf.DUMMYFUNCTION("""COMPUTED_VALUE"""),"")</f>
        <v/>
      </c>
      <c r="C383" s="36" t="str">
        <f>IFERROR(__xludf.DUMMYFUNCTION("""COMPUTED_VALUE"""),"")</f>
        <v/>
      </c>
      <c r="D383" s="36" t="str">
        <f>IFERROR(__xludf.DUMMYFUNCTION("""COMPUTED_VALUE"""),"")</f>
        <v/>
      </c>
      <c r="E383" s="36" t="str">
        <f>IFERROR(__xludf.DUMMYFUNCTION("""COMPUTED_VALUE"""),"04-33-13-4B")</f>
        <v>04-33-13-4B</v>
      </c>
      <c r="F383" s="36"/>
      <c r="G383" s="36" t="str">
        <f>IFERROR(__xludf.DUMMYFUNCTION("""COMPUTED_VALUE"""),"Av. España y San Martín -O")</f>
        <v>Av. España y San Martín -O</v>
      </c>
      <c r="H383" s="36" t="str">
        <f>IFERROR(__xludf.DUMMYFUNCTION("""COMPUTED_VALUE"""),"")</f>
        <v/>
      </c>
    </row>
    <row r="384">
      <c r="A384" s="36" t="str">
        <f>IFERROR(__xludf.DUMMYFUNCTION("""COMPUTED_VALUE"""),"08-23-04-111")</f>
        <v>08-23-04-111</v>
      </c>
      <c r="B384" s="36" t="str">
        <f>IFERROR(__xludf.DUMMYFUNCTION("""COMPUTED_VALUE"""),"")</f>
        <v/>
      </c>
      <c r="C384" s="36" t="str">
        <f>IFERROR(__xludf.DUMMYFUNCTION("""COMPUTED_VALUE"""),"")</f>
        <v/>
      </c>
      <c r="D384" s="36" t="str">
        <f>IFERROR(__xludf.DUMMYFUNCTION("""COMPUTED_VALUE"""),"")</f>
        <v/>
      </c>
      <c r="E384" s="36" t="str">
        <f>IFERROR(__xludf.DUMMYFUNCTION("""COMPUTED_VALUE"""),"04-20-13-539")</f>
        <v>04-20-13-539</v>
      </c>
      <c r="F384" s="36"/>
      <c r="G384" s="36" t="str">
        <f>IFERROR(__xludf.DUMMYFUNCTION("""COMPUTED_VALUE"""),"Av. España y Tacuarí")</f>
        <v>Av. España y Tacuarí</v>
      </c>
      <c r="H384" s="36" t="str">
        <f>IFERROR(__xludf.DUMMYFUNCTION("""COMPUTED_VALUE"""),"")</f>
        <v/>
      </c>
    </row>
    <row r="385">
      <c r="A385" s="36" t="str">
        <f>IFERROR(__xludf.DUMMYFUNCTION("""COMPUTED_VALUE"""),"08-23-04-113")</f>
        <v>08-23-04-113</v>
      </c>
      <c r="B385" s="36" t="str">
        <f>IFERROR(__xludf.DUMMYFUNCTION("""COMPUTED_VALUE"""),"")</f>
        <v/>
      </c>
      <c r="C385" s="36" t="str">
        <f>IFERROR(__xludf.DUMMYFUNCTION("""COMPUTED_VALUE"""),"")</f>
        <v/>
      </c>
      <c r="D385" s="36" t="str">
        <f>IFERROR(__xludf.DUMMYFUNCTION("""COMPUTED_VALUE"""),"")</f>
        <v/>
      </c>
      <c r="E385" s="36" t="str">
        <f>IFERROR(__xludf.DUMMYFUNCTION("""COMPUTED_VALUE"""),"02-34-11-21A")</f>
        <v>02-34-11-21A</v>
      </c>
      <c r="F385" s="36"/>
      <c r="G385" s="36" t="str">
        <f>IFERROR(__xludf.DUMMYFUNCTION("""COMPUTED_VALUE"""),"Av. I. de la Roza Norte")</f>
        <v>Av. I. de la Roza Norte</v>
      </c>
      <c r="H385" s="36" t="str">
        <f>IFERROR(__xludf.DUMMYFUNCTION("""COMPUTED_VALUE"""),"")</f>
        <v/>
      </c>
    </row>
    <row r="386">
      <c r="A386" s="36" t="str">
        <f>IFERROR(__xludf.DUMMYFUNCTION("""COMPUTED_VALUE"""),"08-23-04-115")</f>
        <v>08-23-04-115</v>
      </c>
      <c r="B386" s="36" t="str">
        <f>IFERROR(__xludf.DUMMYFUNCTION("""COMPUTED_VALUE"""),"")</f>
        <v/>
      </c>
      <c r="C386" s="36" t="str">
        <f>IFERROR(__xludf.DUMMYFUNCTION("""COMPUTED_VALUE"""),"")</f>
        <v/>
      </c>
      <c r="D386" s="36" t="str">
        <f>IFERROR(__xludf.DUMMYFUNCTION("""COMPUTED_VALUE"""),"")</f>
        <v/>
      </c>
      <c r="E386" s="36" t="str">
        <f>IFERROR(__xludf.DUMMYFUNCTION("""COMPUTED_VALUE"""),"02-34-11-18A")</f>
        <v>02-34-11-18A</v>
      </c>
      <c r="F386" s="36"/>
      <c r="G386" s="36" t="str">
        <f>IFERROR(__xludf.DUMMYFUNCTION("""COMPUTED_VALUE"""),"Av. I. de la Roza Norte y Brasil")</f>
        <v>Av. I. de la Roza Norte y Brasil</v>
      </c>
      <c r="H386" s="36" t="str">
        <f>IFERROR(__xludf.DUMMYFUNCTION("""COMPUTED_VALUE"""),"")</f>
        <v/>
      </c>
    </row>
    <row r="387">
      <c r="A387" s="36" t="str">
        <f>IFERROR(__xludf.DUMMYFUNCTION("""COMPUTED_VALUE"""),"08-23-04-117")</f>
        <v>08-23-04-117</v>
      </c>
      <c r="B387" s="36" t="str">
        <f>IFERROR(__xludf.DUMMYFUNCTION("""COMPUTED_VALUE"""),"")</f>
        <v/>
      </c>
      <c r="C387" s="36" t="str">
        <f>IFERROR(__xludf.DUMMYFUNCTION("""COMPUTED_VALUE"""),"")</f>
        <v/>
      </c>
      <c r="D387" s="36" t="str">
        <f>IFERROR(__xludf.DUMMYFUNCTION("""COMPUTED_VALUE"""),"")</f>
        <v/>
      </c>
      <c r="E387" s="36" t="str">
        <f>IFERROR(__xludf.DUMMYFUNCTION("""COMPUTED_VALUE"""),"02-34-11-19A")</f>
        <v>02-34-11-19A</v>
      </c>
      <c r="F387" s="36"/>
      <c r="G387" s="36" t="str">
        <f>IFERROR(__xludf.DUMMYFUNCTION("""COMPUTED_VALUE"""),"Av. I. de la Roza Norte y J. Fernández")</f>
        <v>Av. I. de la Roza Norte y J. Fernández</v>
      </c>
      <c r="H387" s="36" t="str">
        <f>IFERROR(__xludf.DUMMYFUNCTION("""COMPUTED_VALUE"""),"")</f>
        <v/>
      </c>
    </row>
    <row r="388">
      <c r="A388" s="36" t="str">
        <f>IFERROR(__xludf.DUMMYFUNCTION("""COMPUTED_VALUE"""),"08-23-04-119")</f>
        <v>08-23-04-119</v>
      </c>
      <c r="B388" s="36" t="str">
        <f>IFERROR(__xludf.DUMMYFUNCTION("""COMPUTED_VALUE"""),"")</f>
        <v/>
      </c>
      <c r="C388" s="36" t="str">
        <f>IFERROR(__xludf.DUMMYFUNCTION("""COMPUTED_VALUE"""),"")</f>
        <v/>
      </c>
      <c r="D388" s="36" t="str">
        <f>IFERROR(__xludf.DUMMYFUNCTION("""COMPUTED_VALUE"""),"")</f>
        <v/>
      </c>
      <c r="E388" s="36" t="str">
        <f>IFERROR(__xludf.DUMMYFUNCTION("""COMPUTED_VALUE"""),"02-37-11-81B")</f>
        <v>02-37-11-81B</v>
      </c>
      <c r="F388" s="36"/>
      <c r="G388" s="36" t="str">
        <f>IFERROR(__xludf.DUMMYFUNCTION("""COMPUTED_VALUE"""),"Av. I. de la Roza Norte y Meglioli")</f>
        <v>Av. I. de la Roza Norte y Meglioli</v>
      </c>
      <c r="H388" s="36" t="str">
        <f>IFERROR(__xludf.DUMMYFUNCTION("""COMPUTED_VALUE"""),"")</f>
        <v/>
      </c>
    </row>
    <row r="389">
      <c r="A389" s="36" t="str">
        <f>IFERROR(__xludf.DUMMYFUNCTION("""COMPUTED_VALUE"""),"08-23-04-12")</f>
        <v>08-23-04-12</v>
      </c>
      <c r="B389" s="36" t="str">
        <f>IFERROR(__xludf.DUMMYFUNCTION("""COMPUTED_VALUE"""),"")</f>
        <v/>
      </c>
      <c r="C389" s="36" t="str">
        <f>IFERROR(__xludf.DUMMYFUNCTION("""COMPUTED_VALUE"""),"")</f>
        <v/>
      </c>
      <c r="D389" s="36" t="str">
        <f>IFERROR(__xludf.DUMMYFUNCTION("""COMPUTED_VALUE"""),"")</f>
        <v/>
      </c>
      <c r="E389" s="36" t="str">
        <f>IFERROR(__xludf.DUMMYFUNCTION("""COMPUTED_VALUE"""),"02-34-11-22A")</f>
        <v>02-34-11-22A</v>
      </c>
      <c r="F389" s="36"/>
      <c r="G389" s="36" t="str">
        <f>IFERROR(__xludf.DUMMYFUNCTION("""COMPUTED_VALUE"""),"Av. I. de la Roza Norte y Pellegrini")</f>
        <v>Av. I. de la Roza Norte y Pellegrini</v>
      </c>
      <c r="H389" s="36" t="str">
        <f>IFERROR(__xludf.DUMMYFUNCTION("""COMPUTED_VALUE"""),"")</f>
        <v/>
      </c>
    </row>
    <row r="390">
      <c r="A390" s="36" t="str">
        <f>IFERROR(__xludf.DUMMYFUNCTION("""COMPUTED_VALUE"""),"08-23-04-13")</f>
        <v>08-23-04-13</v>
      </c>
      <c r="B390" s="36" t="str">
        <f>IFERROR(__xludf.DUMMYFUNCTION("""COMPUTED_VALUE"""),"")</f>
        <v/>
      </c>
      <c r="C390" s="36" t="str">
        <f>IFERROR(__xludf.DUMMYFUNCTION("""COMPUTED_VALUE"""),"")</f>
        <v/>
      </c>
      <c r="D390" s="36" t="str">
        <f>IFERROR(__xludf.DUMMYFUNCTION("""COMPUTED_VALUE"""),"")</f>
        <v/>
      </c>
      <c r="E390" s="36" t="str">
        <f>IFERROR(__xludf.DUMMYFUNCTION("""COMPUTED_VALUE"""),"02-42-11-21")</f>
        <v>02-42-11-21</v>
      </c>
      <c r="F390" s="36"/>
      <c r="G390" s="36" t="str">
        <f>IFERROR(__xludf.DUMMYFUNCTION("""COMPUTED_VALUE"""),"Av. I. de la Roza Sur ")</f>
        <v>Av. I. de la Roza Sur </v>
      </c>
      <c r="H390" s="36" t="str">
        <f>IFERROR(__xludf.DUMMYFUNCTION("""COMPUTED_VALUE"""),"")</f>
        <v/>
      </c>
    </row>
    <row r="391">
      <c r="A391" s="36" t="str">
        <f>IFERROR(__xludf.DUMMYFUNCTION("""COMPUTED_VALUE"""),"08-23-04-14")</f>
        <v>08-23-04-14</v>
      </c>
      <c r="B391" s="36" t="str">
        <f>IFERROR(__xludf.DUMMYFUNCTION("""COMPUTED_VALUE"""),"")</f>
        <v/>
      </c>
      <c r="C391" s="36" t="str">
        <f>IFERROR(__xludf.DUMMYFUNCTION("""COMPUTED_VALUE"""),"")</f>
        <v/>
      </c>
      <c r="D391" s="36" t="str">
        <f>IFERROR(__xludf.DUMMYFUNCTION("""COMPUTED_VALUE"""),"")</f>
        <v/>
      </c>
      <c r="E391" s="36" t="str">
        <f>IFERROR(__xludf.DUMMYFUNCTION("""COMPUTED_VALUE"""),"02-42-11-22")</f>
        <v>02-42-11-22</v>
      </c>
      <c r="F391" s="36"/>
      <c r="G391" s="36" t="str">
        <f>IFERROR(__xludf.DUMMYFUNCTION("""COMPUTED_VALUE"""),"Av. I. de la Roza Sur  y Pellegrini")</f>
        <v>Av. I. de la Roza Sur  y Pellegrini</v>
      </c>
      <c r="H391" s="36" t="str">
        <f>IFERROR(__xludf.DUMMYFUNCTION("""COMPUTED_VALUE"""),"")</f>
        <v/>
      </c>
    </row>
    <row r="392">
      <c r="A392" s="36" t="str">
        <f>IFERROR(__xludf.DUMMYFUNCTION("""COMPUTED_VALUE"""),"08-23-04-15")</f>
        <v>08-23-04-15</v>
      </c>
      <c r="B392" s="36" t="str">
        <f>IFERROR(__xludf.DUMMYFUNCTION("""COMPUTED_VALUE"""),"")</f>
        <v/>
      </c>
      <c r="C392" s="36" t="str">
        <f>IFERROR(__xludf.DUMMYFUNCTION("""COMPUTED_VALUE"""),"")</f>
        <v/>
      </c>
      <c r="D392" s="36" t="str">
        <f>IFERROR(__xludf.DUMMYFUNCTION("""COMPUTED_VALUE"""),"")</f>
        <v/>
      </c>
      <c r="E392" s="36" t="str">
        <f>IFERROR(__xludf.DUMMYFUNCTION("""COMPUTED_VALUE"""),"02-42-11-18")</f>
        <v>02-42-11-18</v>
      </c>
      <c r="F392" s="36"/>
      <c r="G392" s="36" t="str">
        <f>IFERROR(__xludf.DUMMYFUNCTION("""COMPUTED_VALUE"""),"Av. I. de la Roza Sur y  Brasil")</f>
        <v>Av. I. de la Roza Sur y  Brasil</v>
      </c>
      <c r="H392" s="36" t="str">
        <f>IFERROR(__xludf.DUMMYFUNCTION("""COMPUTED_VALUE"""),"")</f>
        <v/>
      </c>
    </row>
    <row r="393">
      <c r="A393" s="36" t="str">
        <f>IFERROR(__xludf.DUMMYFUNCTION("""COMPUTED_VALUE"""),"08-23-04-16")</f>
        <v>08-23-04-16</v>
      </c>
      <c r="B393" s="36" t="str">
        <f>IFERROR(__xludf.DUMMYFUNCTION("""COMPUTED_VALUE"""),"")</f>
        <v/>
      </c>
      <c r="C393" s="36" t="str">
        <f>IFERROR(__xludf.DUMMYFUNCTION("""COMPUTED_VALUE"""),"")</f>
        <v/>
      </c>
      <c r="D393" s="36" t="str">
        <f>IFERROR(__xludf.DUMMYFUNCTION("""COMPUTED_VALUE"""),"")</f>
        <v/>
      </c>
      <c r="E393" s="36" t="str">
        <f>IFERROR(__xludf.DUMMYFUNCTION("""COMPUTED_VALUE"""),"02-42-11-19")</f>
        <v>02-42-11-19</v>
      </c>
      <c r="F393" s="36"/>
      <c r="G393" s="36" t="str">
        <f>IFERROR(__xludf.DUMMYFUNCTION("""COMPUTED_VALUE"""),"Av. I. de la Roza Sur y J. Fernández")</f>
        <v>Av. I. de la Roza Sur y J. Fernández</v>
      </c>
      <c r="H393" s="36" t="str">
        <f>IFERROR(__xludf.DUMMYFUNCTION("""COMPUTED_VALUE"""),"")</f>
        <v/>
      </c>
    </row>
    <row r="394">
      <c r="A394" s="36" t="str">
        <f>IFERROR(__xludf.DUMMYFUNCTION("""COMPUTED_VALUE"""),"08-23-04-17")</f>
        <v>08-23-04-17</v>
      </c>
      <c r="B394" s="36" t="str">
        <f>IFERROR(__xludf.DUMMYFUNCTION("""COMPUTED_VALUE"""),"")</f>
        <v/>
      </c>
      <c r="C394" s="36" t="str">
        <f>IFERROR(__xludf.DUMMYFUNCTION("""COMPUTED_VALUE"""),"")</f>
        <v/>
      </c>
      <c r="D394" s="36" t="str">
        <f>IFERROR(__xludf.DUMMYFUNCTION("""COMPUTED_VALUE"""),"")</f>
        <v/>
      </c>
      <c r="E394" s="36" t="str">
        <f>IFERROR(__xludf.DUMMYFUNCTION("""COMPUTED_VALUE"""),"02-40-11-81")</f>
        <v>02-40-11-81</v>
      </c>
      <c r="F394" s="36"/>
      <c r="G394" s="36" t="str">
        <f>IFERROR(__xludf.DUMMYFUNCTION("""COMPUTED_VALUE"""),"Av. I. de la Roza Sur y Meglioli")</f>
        <v>Av. I. de la Roza Sur y Meglioli</v>
      </c>
      <c r="H394" s="36" t="str">
        <f>IFERROR(__xludf.DUMMYFUNCTION("""COMPUTED_VALUE"""),"")</f>
        <v/>
      </c>
    </row>
    <row r="395">
      <c r="A395" s="36" t="str">
        <f>IFERROR(__xludf.DUMMYFUNCTION("""COMPUTED_VALUE"""),"08-23-04-18")</f>
        <v>08-23-04-18</v>
      </c>
      <c r="B395" s="36" t="str">
        <f>IFERROR(__xludf.DUMMYFUNCTION("""COMPUTED_VALUE"""),"")</f>
        <v/>
      </c>
      <c r="C395" s="36" t="str">
        <f>IFERROR(__xludf.DUMMYFUNCTION("""COMPUTED_VALUE"""),"")</f>
        <v/>
      </c>
      <c r="D395" s="36" t="str">
        <f>IFERROR(__xludf.DUMMYFUNCTION("""COMPUTED_VALUE"""),"")</f>
        <v/>
      </c>
      <c r="E395" s="36" t="str">
        <f>IFERROR(__xludf.DUMMYFUNCTION("""COMPUTED_VALUE"""),"02-36-11-82A")</f>
        <v>02-36-11-82A</v>
      </c>
      <c r="F395" s="36"/>
      <c r="G395" s="36" t="str">
        <f>IFERROR(__xludf.DUMMYFUNCTION("""COMPUTED_VALUE"""),"Av. I. de la Roza y Francisco Gil")</f>
        <v>Av. I. de la Roza y Francisco Gil</v>
      </c>
      <c r="H395" s="36" t="str">
        <f>IFERROR(__xludf.DUMMYFUNCTION("""COMPUTED_VALUE"""),"")</f>
        <v/>
      </c>
    </row>
    <row r="396">
      <c r="A396" s="36" t="str">
        <f>IFERROR(__xludf.DUMMYFUNCTION("""COMPUTED_VALUE"""),"08-23-04-19")</f>
        <v>08-23-04-19</v>
      </c>
      <c r="B396" s="36" t="str">
        <f>IFERROR(__xludf.DUMMYFUNCTION("""COMPUTED_VALUE"""),"")</f>
        <v/>
      </c>
      <c r="C396" s="36" t="str">
        <f>IFERROR(__xludf.DUMMYFUNCTION("""COMPUTED_VALUE"""),"")</f>
        <v/>
      </c>
      <c r="D396" s="36" t="str">
        <f>IFERROR(__xludf.DUMMYFUNCTION("""COMPUTED_VALUE"""),"")</f>
        <v/>
      </c>
      <c r="E396" s="36" t="str">
        <f>IFERROR(__xludf.DUMMYFUNCTION("""COMPUTED_VALUE"""),"02-40-11-82")</f>
        <v>02-40-11-82</v>
      </c>
      <c r="F396" s="36"/>
      <c r="G396" s="36" t="str">
        <f>IFERROR(__xludf.DUMMYFUNCTION("""COMPUTED_VALUE"""),"Av. I. de la Roza y Los Jesuitas")</f>
        <v>Av. I. de la Roza y Los Jesuitas</v>
      </c>
      <c r="H396" s="36" t="str">
        <f>IFERROR(__xludf.DUMMYFUNCTION("""COMPUTED_VALUE"""),"")</f>
        <v/>
      </c>
    </row>
    <row r="397">
      <c r="A397" s="36" t="str">
        <f>IFERROR(__xludf.DUMMYFUNCTION("""COMPUTED_VALUE"""),"08-23-04-20")</f>
        <v>08-23-04-20</v>
      </c>
      <c r="B397" s="36" t="str">
        <f>IFERROR(__xludf.DUMMYFUNCTION("""COMPUTED_VALUE"""),"")</f>
        <v/>
      </c>
      <c r="C397" s="36" t="str">
        <f>IFERROR(__xludf.DUMMYFUNCTION("""COMPUTED_VALUE"""),"")</f>
        <v/>
      </c>
      <c r="D397" s="36" t="str">
        <f>IFERROR(__xludf.DUMMYFUNCTION("""COMPUTED_VALUE"""),"")</f>
        <v/>
      </c>
      <c r="E397" s="36" t="str">
        <f>IFERROR(__xludf.DUMMYFUNCTION("""COMPUTED_VALUE"""),"02-36-11-89")</f>
        <v>02-36-11-89</v>
      </c>
      <c r="F397" s="36"/>
      <c r="G397" s="36" t="str">
        <f>IFERROR(__xludf.DUMMYFUNCTION("""COMPUTED_VALUE"""),"Av. I. de la Roza y Malvinas Argentinas")</f>
        <v>Av. I. de la Roza y Malvinas Argentinas</v>
      </c>
      <c r="H397" s="36" t="str">
        <f>IFERROR(__xludf.DUMMYFUNCTION("""COMPUTED_VALUE"""),"")</f>
        <v/>
      </c>
    </row>
    <row r="398">
      <c r="A398" s="36" t="str">
        <f>IFERROR(__xludf.DUMMYFUNCTION("""COMPUTED_VALUE"""),"08-23-04-21")</f>
        <v>08-23-04-21</v>
      </c>
      <c r="B398" s="36" t="str">
        <f>IFERROR(__xludf.DUMMYFUNCTION("""COMPUTED_VALUE"""),"")</f>
        <v/>
      </c>
      <c r="C398" s="36" t="str">
        <f>IFERROR(__xludf.DUMMYFUNCTION("""COMPUTED_VALUE"""),"")</f>
        <v/>
      </c>
      <c r="D398" s="36" t="str">
        <f>IFERROR(__xludf.DUMMYFUNCTION("""COMPUTED_VALUE"""),"")</f>
        <v/>
      </c>
      <c r="E398" s="36" t="str">
        <f>IFERROR(__xludf.DUMMYFUNCTION("""COMPUTED_VALUE"""),"02-36-11-83")</f>
        <v>02-36-11-83</v>
      </c>
      <c r="F398" s="36"/>
      <c r="G398" s="36" t="str">
        <f>IFERROR(__xludf.DUMMYFUNCTION("""COMPUTED_VALUE"""),"Av. I. de la Roza y Paso de los Andes")</f>
        <v>Av. I. de la Roza y Paso de los Andes</v>
      </c>
      <c r="H398" s="36" t="str">
        <f>IFERROR(__xludf.DUMMYFUNCTION("""COMPUTED_VALUE"""),"")</f>
        <v/>
      </c>
    </row>
    <row r="399">
      <c r="A399" s="36" t="str">
        <f>IFERROR(__xludf.DUMMYFUNCTION("""COMPUTED_VALUE"""),"08-23-04-22")</f>
        <v>08-23-04-22</v>
      </c>
      <c r="B399" s="36" t="str">
        <f>IFERROR(__xludf.DUMMYFUNCTION("""COMPUTED_VALUE"""),"")</f>
        <v/>
      </c>
      <c r="C399" s="36" t="str">
        <f>IFERROR(__xludf.DUMMYFUNCTION("""COMPUTED_VALUE"""),"")</f>
        <v/>
      </c>
      <c r="D399" s="36" t="str">
        <f>IFERROR(__xludf.DUMMYFUNCTION("""COMPUTED_VALUE"""),"")</f>
        <v/>
      </c>
      <c r="E399" s="36" t="str">
        <f>IFERROR(__xludf.DUMMYFUNCTION("""COMPUTED_VALUE"""),"02-42-11-20")</f>
        <v>02-42-11-20</v>
      </c>
      <c r="F399" s="36"/>
      <c r="G399" s="36" t="str">
        <f>IFERROR(__xludf.DUMMYFUNCTION("""COMPUTED_VALUE"""),"Av. I. de la Roza y Sgto. Baigorria")</f>
        <v>Av. I. de la Roza y Sgto. Baigorria</v>
      </c>
      <c r="H399" s="36" t="str">
        <f>IFERROR(__xludf.DUMMYFUNCTION("""COMPUTED_VALUE"""),"")</f>
        <v/>
      </c>
    </row>
    <row r="400">
      <c r="A400" s="36" t="str">
        <f>IFERROR(__xludf.DUMMYFUNCTION("""COMPUTED_VALUE"""),"08-23-04-23")</f>
        <v>08-23-04-23</v>
      </c>
      <c r="B400" s="36" t="str">
        <f>IFERROR(__xludf.DUMMYFUNCTION("""COMPUTED_VALUE"""),"")</f>
        <v/>
      </c>
      <c r="C400" s="36" t="str">
        <f>IFERROR(__xludf.DUMMYFUNCTION("""COMPUTED_VALUE"""),"")</f>
        <v/>
      </c>
      <c r="D400" s="36" t="str">
        <f>IFERROR(__xludf.DUMMYFUNCTION("""COMPUTED_VALUE"""),"")</f>
        <v/>
      </c>
      <c r="E400" s="36" t="str">
        <f>IFERROR(__xludf.DUMMYFUNCTION("""COMPUTED_VALUE"""),"01-53-08-34A")</f>
        <v>01-53-08-34A</v>
      </c>
      <c r="F400" s="36"/>
      <c r="G400" s="36" t="str">
        <f>IFERROR(__xludf.DUMMYFUNCTION("""COMPUTED_VALUE"""),"Av. Ig. de la Roza y Caseros")</f>
        <v>Av. Ig. de la Roza y Caseros</v>
      </c>
      <c r="H400" s="36" t="str">
        <f>IFERROR(__xludf.DUMMYFUNCTION("""COMPUTED_VALUE"""),"")</f>
        <v/>
      </c>
    </row>
    <row r="401">
      <c r="A401" s="36" t="str">
        <f>IFERROR(__xludf.DUMMYFUNCTION("""COMPUTED_VALUE"""),"08-23-04-24")</f>
        <v>08-23-04-24</v>
      </c>
      <c r="B401" s="36" t="str">
        <f>IFERROR(__xludf.DUMMYFUNCTION("""COMPUTED_VALUE"""),"")</f>
        <v/>
      </c>
      <c r="C401" s="36" t="str">
        <f>IFERROR(__xludf.DUMMYFUNCTION("""COMPUTED_VALUE"""),"")</f>
        <v/>
      </c>
      <c r="D401" s="36" t="str">
        <f>IFERROR(__xludf.DUMMYFUNCTION("""COMPUTED_VALUE"""),"")</f>
        <v/>
      </c>
      <c r="E401" s="36" t="str">
        <f>IFERROR(__xludf.DUMMYFUNCTION("""COMPUTED_VALUE"""),"02-39-12-263")</f>
        <v>02-39-12-263</v>
      </c>
      <c r="F401" s="36"/>
      <c r="G401" s="36" t="str">
        <f>IFERROR(__xludf.DUMMYFUNCTION("""COMPUTED_VALUE"""),"Av. Ignacio de la Roza y Bellas Artes")</f>
        <v>Av. Ignacio de la Roza y Bellas Artes</v>
      </c>
      <c r="H401" s="36" t="str">
        <f>IFERROR(__xludf.DUMMYFUNCTION("""COMPUTED_VALUE"""),"")</f>
        <v/>
      </c>
    </row>
    <row r="402">
      <c r="A402" s="36" t="str">
        <f>IFERROR(__xludf.DUMMYFUNCTION("""COMPUTED_VALUE"""),"08-23-04-25")</f>
        <v>08-23-04-25</v>
      </c>
      <c r="B402" s="36" t="str">
        <f>IFERROR(__xludf.DUMMYFUNCTION("""COMPUTED_VALUE"""),"")</f>
        <v/>
      </c>
      <c r="C402" s="36" t="str">
        <f>IFERROR(__xludf.DUMMYFUNCTION("""COMPUTED_VALUE"""),"")</f>
        <v/>
      </c>
      <c r="D402" s="36" t="str">
        <f>IFERROR(__xludf.DUMMYFUNCTION("""COMPUTED_VALUE"""),"")</f>
        <v/>
      </c>
      <c r="E402" s="36" t="str">
        <f>IFERROR(__xludf.DUMMYFUNCTION("""COMPUTED_VALUE"""),"02-31-06-28A")</f>
        <v>02-31-06-28A</v>
      </c>
      <c r="F402" s="36"/>
      <c r="G402" s="36" t="str">
        <f>IFERROR(__xludf.DUMMYFUNCTION("""COMPUTED_VALUE"""),"Av. Libertador - B° Gendarmería N")</f>
        <v>Av. Libertador - B° Gendarmería N</v>
      </c>
      <c r="H402" s="36" t="str">
        <f>IFERROR(__xludf.DUMMYFUNCTION("""COMPUTED_VALUE"""),"")</f>
        <v/>
      </c>
    </row>
    <row r="403">
      <c r="A403" s="36" t="str">
        <f>IFERROR(__xludf.DUMMYFUNCTION("""COMPUTED_VALUE"""),"08-23-04-26")</f>
        <v>08-23-04-26</v>
      </c>
      <c r="B403" s="36" t="str">
        <f>IFERROR(__xludf.DUMMYFUNCTION("""COMPUTED_VALUE"""),"")</f>
        <v/>
      </c>
      <c r="C403" s="36" t="str">
        <f>IFERROR(__xludf.DUMMYFUNCTION("""COMPUTED_VALUE"""),"")</f>
        <v/>
      </c>
      <c r="D403" s="36" t="str">
        <f>IFERROR(__xludf.DUMMYFUNCTION("""COMPUTED_VALUE"""),"")</f>
        <v/>
      </c>
      <c r="E403" s="36" t="str">
        <f>IFERROR(__xludf.DUMMYFUNCTION("""COMPUTED_VALUE"""),"02-36-06-28")</f>
        <v>02-36-06-28</v>
      </c>
      <c r="F403" s="36"/>
      <c r="G403" s="36" t="str">
        <f>IFERROR(__xludf.DUMMYFUNCTION("""COMPUTED_VALUE"""),"Av. Libertador - B° Gendarmería S")</f>
        <v>Av. Libertador - B° Gendarmería S</v>
      </c>
      <c r="H403" s="36" t="str">
        <f>IFERROR(__xludf.DUMMYFUNCTION("""COMPUTED_VALUE"""),"")</f>
        <v/>
      </c>
    </row>
    <row r="404">
      <c r="A404" s="36" t="str">
        <f>IFERROR(__xludf.DUMMYFUNCTION("""COMPUTED_VALUE"""),"08-23-04-27")</f>
        <v>08-23-04-27</v>
      </c>
      <c r="B404" s="36" t="str">
        <f>IFERROR(__xludf.DUMMYFUNCTION("""COMPUTED_VALUE"""),"")</f>
        <v/>
      </c>
      <c r="C404" s="36" t="str">
        <f>IFERROR(__xludf.DUMMYFUNCTION("""COMPUTED_VALUE"""),"")</f>
        <v/>
      </c>
      <c r="D404" s="36" t="str">
        <f>IFERROR(__xludf.DUMMYFUNCTION("""COMPUTED_VALUE"""),"")</f>
        <v/>
      </c>
      <c r="E404" s="36" t="str">
        <f>IFERROR(__xludf.DUMMYFUNCTION("""COMPUTED_VALUE"""),"01-32-06-35")</f>
        <v>01-32-06-35</v>
      </c>
      <c r="F404" s="36"/>
      <c r="G404" s="36" t="str">
        <f>IFERROR(__xludf.DUMMYFUNCTION("""COMPUTED_VALUE"""),"Av. Libertador - Plaza Desamparados")</f>
        <v>Av. Libertador - Plaza Desamparados</v>
      </c>
      <c r="H404" s="36" t="str">
        <f>IFERROR(__xludf.DUMMYFUNCTION("""COMPUTED_VALUE"""),"")</f>
        <v/>
      </c>
    </row>
    <row r="405">
      <c r="A405" s="36" t="str">
        <f>IFERROR(__xludf.DUMMYFUNCTION("""COMPUTED_VALUE"""),"08-23-04-58")</f>
        <v>08-23-04-58</v>
      </c>
      <c r="B405" s="36" t="str">
        <f>IFERROR(__xludf.DUMMYFUNCTION("""COMPUTED_VALUE"""),"")</f>
        <v/>
      </c>
      <c r="C405" s="36" t="str">
        <f>IFERROR(__xludf.DUMMYFUNCTION("""COMPUTED_VALUE"""),"")</f>
        <v/>
      </c>
      <c r="D405" s="36" t="str">
        <f>IFERROR(__xludf.DUMMYFUNCTION("""COMPUTED_VALUE"""),"")</f>
        <v/>
      </c>
      <c r="E405" s="36" t="str">
        <f>IFERROR(__xludf.DUMMYFUNCTION("""COMPUTED_VALUE"""),"01-40-09-2")</f>
        <v>01-40-09-2</v>
      </c>
      <c r="F405" s="36"/>
      <c r="G405" s="36" t="str">
        <f>IFERROR(__xludf.DUMMYFUNCTION("""COMPUTED_VALUE"""),"Av. Libertador -E y Patricias Sanjuaninas")</f>
        <v>Av. Libertador -E y Patricias Sanjuaninas</v>
      </c>
      <c r="H405" s="36" t="str">
        <f>IFERROR(__xludf.DUMMYFUNCTION("""COMPUTED_VALUE"""),"")</f>
        <v/>
      </c>
    </row>
    <row r="406">
      <c r="A406" s="36" t="str">
        <f>IFERROR(__xludf.DUMMYFUNCTION("""COMPUTED_VALUE"""),"08-23-04-59")</f>
        <v>08-23-04-59</v>
      </c>
      <c r="B406" s="36" t="str">
        <f>IFERROR(__xludf.DUMMYFUNCTION("""COMPUTED_VALUE"""),"")</f>
        <v/>
      </c>
      <c r="C406" s="36" t="str">
        <f>IFERROR(__xludf.DUMMYFUNCTION("""COMPUTED_VALUE"""),"")</f>
        <v/>
      </c>
      <c r="D406" s="36" t="str">
        <f>IFERROR(__xludf.DUMMYFUNCTION("""COMPUTED_VALUE"""),"")</f>
        <v/>
      </c>
      <c r="E406" s="36" t="str">
        <f>IFERROR(__xludf.DUMMYFUNCTION("""COMPUTED_VALUE"""),"03-32-09-82")</f>
        <v>03-32-09-82</v>
      </c>
      <c r="F406" s="36"/>
      <c r="G406" s="36" t="str">
        <f>IFERROR(__xludf.DUMMYFUNCTION("""COMPUTED_VALUE"""),"Av. Libertador -N y 22 de Septiembre")</f>
        <v>Av. Libertador -N y 22 de Septiembre</v>
      </c>
      <c r="H406" s="36" t="str">
        <f>IFERROR(__xludf.DUMMYFUNCTION("""COMPUTED_VALUE"""),"")</f>
        <v/>
      </c>
    </row>
    <row r="407">
      <c r="A407" s="36" t="str">
        <f>IFERROR(__xludf.DUMMYFUNCTION("""COMPUTED_VALUE"""),"08-23-04-60")</f>
        <v>08-23-04-60</v>
      </c>
      <c r="B407" s="36" t="str">
        <f>IFERROR(__xludf.DUMMYFUNCTION("""COMPUTED_VALUE"""),"")</f>
        <v/>
      </c>
      <c r="C407" s="36" t="str">
        <f>IFERROR(__xludf.DUMMYFUNCTION("""COMPUTED_VALUE"""),"")</f>
        <v/>
      </c>
      <c r="D407" s="36" t="str">
        <f>IFERROR(__xludf.DUMMYFUNCTION("""COMPUTED_VALUE"""),"")</f>
        <v/>
      </c>
      <c r="E407" s="36" t="str">
        <f>IFERROR(__xludf.DUMMYFUNCTION("""COMPUTED_VALUE"""),"02-37-06-34A")</f>
        <v>02-37-06-34A</v>
      </c>
      <c r="F407" s="36"/>
      <c r="G407" s="36" t="str">
        <f>IFERROR(__xludf.DUMMYFUNCTION("""COMPUTED_VALUE"""),"Av. Libertador e Hipólito Yrigoyen")</f>
        <v>Av. Libertador e Hipólito Yrigoyen</v>
      </c>
      <c r="H407" s="36" t="str">
        <f>IFERROR(__xludf.DUMMYFUNCTION("""COMPUTED_VALUE"""),"")</f>
        <v/>
      </c>
    </row>
    <row r="408">
      <c r="A408" s="36" t="str">
        <f>IFERROR(__xludf.DUMMYFUNCTION("""COMPUTED_VALUE"""),"08-23-04-61")</f>
        <v>08-23-04-61</v>
      </c>
      <c r="B408" s="36" t="str">
        <f>IFERROR(__xludf.DUMMYFUNCTION("""COMPUTED_VALUE"""),"")</f>
        <v/>
      </c>
      <c r="C408" s="36" t="str">
        <f>IFERROR(__xludf.DUMMYFUNCTION("""COMPUTED_VALUE"""),"")</f>
        <v/>
      </c>
      <c r="D408" s="36" t="str">
        <f>IFERROR(__xludf.DUMMYFUNCTION("""COMPUTED_VALUE"""),"")</f>
        <v/>
      </c>
      <c r="E408" s="36" t="str">
        <f>IFERROR(__xludf.DUMMYFUNCTION("""COMPUTED_VALUE"""),"02-34-11-23A")</f>
        <v>02-34-11-23A</v>
      </c>
      <c r="F408" s="36"/>
      <c r="G408" s="36" t="str">
        <f>IFERROR(__xludf.DUMMYFUNCTION("""COMPUTED_VALUE"""),"Av. Libertador Norte y Ameghino")</f>
        <v>Av. Libertador Norte y Ameghino</v>
      </c>
      <c r="H408" s="36" t="str">
        <f>IFERROR(__xludf.DUMMYFUNCTION("""COMPUTED_VALUE"""),"")</f>
        <v/>
      </c>
    </row>
    <row r="409">
      <c r="A409" s="36" t="str">
        <f>IFERROR(__xludf.DUMMYFUNCTION("""COMPUTED_VALUE"""),"08-23-04-62")</f>
        <v>08-23-04-62</v>
      </c>
      <c r="B409" s="36" t="str">
        <f>IFERROR(__xludf.DUMMYFUNCTION("""COMPUTED_VALUE"""),"")</f>
        <v/>
      </c>
      <c r="C409" s="36" t="str">
        <f>IFERROR(__xludf.DUMMYFUNCTION("""COMPUTED_VALUE"""),"")</f>
        <v/>
      </c>
      <c r="D409" s="36" t="str">
        <f>IFERROR(__xludf.DUMMYFUNCTION("""COMPUTED_VALUE"""),"")</f>
        <v/>
      </c>
      <c r="E409" s="36" t="str">
        <f>IFERROR(__xludf.DUMMYFUNCTION("""COMPUTED_VALUE"""),"02-34-11-26A")</f>
        <v>02-34-11-26A</v>
      </c>
      <c r="F409" s="36"/>
      <c r="G409" s="36" t="str">
        <f>IFERROR(__xludf.DUMMYFUNCTION("""COMPUTED_VALUE"""),"Av. Libertador Norte y Comercio")</f>
        <v>Av. Libertador Norte y Comercio</v>
      </c>
      <c r="H409" s="36" t="str">
        <f>IFERROR(__xludf.DUMMYFUNCTION("""COMPUTED_VALUE"""),"")</f>
        <v/>
      </c>
    </row>
    <row r="410">
      <c r="A410" s="36" t="str">
        <f>IFERROR(__xludf.DUMMYFUNCTION("""COMPUTED_VALUE"""),"08-23-04-63")</f>
        <v>08-23-04-63</v>
      </c>
      <c r="B410" s="36" t="str">
        <f>IFERROR(__xludf.DUMMYFUNCTION("""COMPUTED_VALUE"""),"")</f>
        <v/>
      </c>
      <c r="C410" s="36" t="str">
        <f>IFERROR(__xludf.DUMMYFUNCTION("""COMPUTED_VALUE"""),"")</f>
        <v/>
      </c>
      <c r="D410" s="36" t="str">
        <f>IFERROR(__xludf.DUMMYFUNCTION("""COMPUTED_VALUE"""),"")</f>
        <v/>
      </c>
      <c r="E410" s="36" t="str">
        <f>IFERROR(__xludf.DUMMYFUNCTION("""COMPUTED_VALUE"""),"02-34-11-2A")</f>
        <v>02-34-11-2A</v>
      </c>
      <c r="F410" s="36"/>
      <c r="G410" s="36" t="str">
        <f>IFERROR(__xludf.DUMMYFUNCTION("""COMPUTED_VALUE"""),"Av. Libertador Norte y Morón")</f>
        <v>Av. Libertador Norte y Morón</v>
      </c>
      <c r="H410" s="36" t="str">
        <f>IFERROR(__xludf.DUMMYFUNCTION("""COMPUTED_VALUE"""),"")</f>
        <v/>
      </c>
    </row>
    <row r="411">
      <c r="A411" s="36" t="str">
        <f>IFERROR(__xludf.DUMMYFUNCTION("""COMPUTED_VALUE"""),"08-23-04-65")</f>
        <v>08-23-04-65</v>
      </c>
      <c r="B411" s="36" t="str">
        <f>IFERROR(__xludf.DUMMYFUNCTION("""COMPUTED_VALUE"""),"")</f>
        <v/>
      </c>
      <c r="C411" s="36" t="str">
        <f>IFERROR(__xludf.DUMMYFUNCTION("""COMPUTED_VALUE"""),"")</f>
        <v/>
      </c>
      <c r="D411" s="36" t="str">
        <f>IFERROR(__xludf.DUMMYFUNCTION("""COMPUTED_VALUE"""),"")</f>
        <v/>
      </c>
      <c r="E411" s="36" t="str">
        <f>IFERROR(__xludf.DUMMYFUNCTION("""COMPUTED_VALUE"""),"02-34-11-27A")</f>
        <v>02-34-11-27A</v>
      </c>
      <c r="F411" s="36"/>
      <c r="G411" s="36" t="str">
        <f>IFERROR(__xludf.DUMMYFUNCTION("""COMPUTED_VALUE"""),"Av. Libertador Norte y San Sebastián")</f>
        <v>Av. Libertador Norte y San Sebastián</v>
      </c>
      <c r="H411" s="36" t="str">
        <f>IFERROR(__xludf.DUMMYFUNCTION("""COMPUTED_VALUE"""),"")</f>
        <v/>
      </c>
    </row>
    <row r="412">
      <c r="A412" s="36" t="str">
        <f>IFERROR(__xludf.DUMMYFUNCTION("""COMPUTED_VALUE"""),"08-23-04-67")</f>
        <v>08-23-04-67</v>
      </c>
      <c r="B412" s="36" t="str">
        <f>IFERROR(__xludf.DUMMYFUNCTION("""COMPUTED_VALUE"""),"")</f>
        <v/>
      </c>
      <c r="C412" s="36" t="str">
        <f>IFERROR(__xludf.DUMMYFUNCTION("""COMPUTED_VALUE"""),"")</f>
        <v/>
      </c>
      <c r="D412" s="36" t="str">
        <f>IFERROR(__xludf.DUMMYFUNCTION("""COMPUTED_VALUE"""),"")</f>
        <v/>
      </c>
      <c r="E412" s="36" t="str">
        <f>IFERROR(__xludf.DUMMYFUNCTION("""COMPUTED_VALUE"""),"02-34-11-1A")</f>
        <v>02-34-11-1A</v>
      </c>
      <c r="F412" s="36"/>
      <c r="G412" s="36" t="str">
        <f>IFERROR(__xludf.DUMMYFUNCTION("""COMPUTED_VALUE"""),"Av. Libertador Norte y Tierra del Fuego")</f>
        <v>Av. Libertador Norte y Tierra del Fuego</v>
      </c>
      <c r="H412" s="36" t="str">
        <f>IFERROR(__xludf.DUMMYFUNCTION("""COMPUTED_VALUE"""),"")</f>
        <v/>
      </c>
    </row>
    <row r="413">
      <c r="A413" s="36" t="str">
        <f>IFERROR(__xludf.DUMMYFUNCTION("""COMPUTED_VALUE"""),"08-23-04-68A")</f>
        <v>08-23-04-68A</v>
      </c>
      <c r="B413" s="36" t="str">
        <f>IFERROR(__xludf.DUMMYFUNCTION("""COMPUTED_VALUE"""),"")</f>
        <v/>
      </c>
      <c r="C413" s="36" t="str">
        <f>IFERROR(__xludf.DUMMYFUNCTION("""COMPUTED_VALUE"""),"")</f>
        <v/>
      </c>
      <c r="D413" s="36" t="str">
        <f>IFERROR(__xludf.DUMMYFUNCTION("""COMPUTED_VALUE"""),"")</f>
        <v/>
      </c>
      <c r="E413" s="36" t="str">
        <f>IFERROR(__xludf.DUMMYFUNCTION("""COMPUTED_VALUE"""),"02-44-11-1")</f>
        <v>02-44-11-1</v>
      </c>
      <c r="F413" s="36"/>
      <c r="G413" s="36" t="str">
        <f>IFERROR(__xludf.DUMMYFUNCTION("""COMPUTED_VALUE"""),"Av. Libertador Sur  y Tierra del Fuego")</f>
        <v>Av. Libertador Sur  y Tierra del Fuego</v>
      </c>
      <c r="H413" s="36" t="str">
        <f>IFERROR(__xludf.DUMMYFUNCTION("""COMPUTED_VALUE"""),"")</f>
        <v/>
      </c>
    </row>
    <row r="414">
      <c r="A414" s="36" t="str">
        <f>IFERROR(__xludf.DUMMYFUNCTION("""COMPUTED_VALUE"""),"08-23-04-69")</f>
        <v>08-23-04-69</v>
      </c>
      <c r="B414" s="36" t="str">
        <f>IFERROR(__xludf.DUMMYFUNCTION("""COMPUTED_VALUE"""),"")</f>
        <v/>
      </c>
      <c r="C414" s="36" t="str">
        <f>IFERROR(__xludf.DUMMYFUNCTION("""COMPUTED_VALUE"""),"")</f>
        <v/>
      </c>
      <c r="D414" s="36" t="str">
        <f>IFERROR(__xludf.DUMMYFUNCTION("""COMPUTED_VALUE"""),"")</f>
        <v/>
      </c>
      <c r="E414" s="36" t="str">
        <f>IFERROR(__xludf.DUMMYFUNCTION("""COMPUTED_VALUE"""),"02-34-11-23")</f>
        <v>02-34-11-23</v>
      </c>
      <c r="F414" s="36"/>
      <c r="G414" s="36" t="str">
        <f>IFERROR(__xludf.DUMMYFUNCTION("""COMPUTED_VALUE"""),"Av. Libertador Sur y Ameghino")</f>
        <v>Av. Libertador Sur y Ameghino</v>
      </c>
      <c r="H414" s="36" t="str">
        <f>IFERROR(__xludf.DUMMYFUNCTION("""COMPUTED_VALUE"""),"")</f>
        <v/>
      </c>
    </row>
    <row r="415">
      <c r="A415" s="36" t="str">
        <f>IFERROR(__xludf.DUMMYFUNCTION("""COMPUTED_VALUE"""),"08-23-04-69A")</f>
        <v>08-23-04-69A</v>
      </c>
      <c r="B415" s="36" t="str">
        <f>IFERROR(__xludf.DUMMYFUNCTION("""COMPUTED_VALUE"""),"")</f>
        <v/>
      </c>
      <c r="C415" s="36" t="str">
        <f>IFERROR(__xludf.DUMMYFUNCTION("""COMPUTED_VALUE"""),"")</f>
        <v/>
      </c>
      <c r="D415" s="36" t="str">
        <f>IFERROR(__xludf.DUMMYFUNCTION("""COMPUTED_VALUE"""),"")</f>
        <v/>
      </c>
      <c r="E415" s="36" t="str">
        <f>IFERROR(__xludf.DUMMYFUNCTION("""COMPUTED_VALUE"""),"02-34-11-26")</f>
        <v>02-34-11-26</v>
      </c>
      <c r="F415" s="36"/>
      <c r="G415" s="36" t="str">
        <f>IFERROR(__xludf.DUMMYFUNCTION("""COMPUTED_VALUE"""),"Av. Libertador Sur y Comercio")</f>
        <v>Av. Libertador Sur y Comercio</v>
      </c>
      <c r="H415" s="36" t="str">
        <f>IFERROR(__xludf.DUMMYFUNCTION("""COMPUTED_VALUE"""),"")</f>
        <v/>
      </c>
    </row>
    <row r="416">
      <c r="A416" s="36" t="str">
        <f>IFERROR(__xludf.DUMMYFUNCTION("""COMPUTED_VALUE"""),"08-23-04-70")</f>
        <v>08-23-04-70</v>
      </c>
      <c r="B416" s="36" t="str">
        <f>IFERROR(__xludf.DUMMYFUNCTION("""COMPUTED_VALUE"""),"")</f>
        <v/>
      </c>
      <c r="C416" s="36" t="str">
        <f>IFERROR(__xludf.DUMMYFUNCTION("""COMPUTED_VALUE"""),"")</f>
        <v/>
      </c>
      <c r="D416" s="36" t="str">
        <f>IFERROR(__xludf.DUMMYFUNCTION("""COMPUTED_VALUE"""),"")</f>
        <v/>
      </c>
      <c r="E416" s="36" t="str">
        <f>IFERROR(__xludf.DUMMYFUNCTION("""COMPUTED_VALUE"""),"02-34-11-27")</f>
        <v>02-34-11-27</v>
      </c>
      <c r="F416" s="36"/>
      <c r="G416" s="36" t="str">
        <f>IFERROR(__xludf.DUMMYFUNCTION("""COMPUTED_VALUE"""),"Av. Libertador Sur y San Sebastián")</f>
        <v>Av. Libertador Sur y San Sebastián</v>
      </c>
      <c r="H416" s="36" t="str">
        <f>IFERROR(__xludf.DUMMYFUNCTION("""COMPUTED_VALUE"""),"")</f>
        <v/>
      </c>
    </row>
    <row r="417">
      <c r="A417" s="36" t="str">
        <f>IFERROR(__xludf.DUMMYFUNCTION("""COMPUTED_VALUE"""),"08-23-04-71")</f>
        <v>08-23-04-71</v>
      </c>
      <c r="B417" s="36" t="str">
        <f>IFERROR(__xludf.DUMMYFUNCTION("""COMPUTED_VALUE"""),"")</f>
        <v/>
      </c>
      <c r="C417" s="36" t="str">
        <f>IFERROR(__xludf.DUMMYFUNCTION("""COMPUTED_VALUE"""),"")</f>
        <v/>
      </c>
      <c r="D417" s="36" t="str">
        <f>IFERROR(__xludf.DUMMYFUNCTION("""COMPUTED_VALUE"""),"")</f>
        <v/>
      </c>
      <c r="E417" s="36" t="str">
        <f>IFERROR(__xludf.DUMMYFUNCTION("""COMPUTED_VALUE"""),"03-32-09-76")</f>
        <v>03-32-09-76</v>
      </c>
      <c r="F417" s="36"/>
      <c r="G417" s="36" t="str">
        <f>IFERROR(__xludf.DUMMYFUNCTION("""COMPUTED_VALUE"""),"Av. Libertador y 22 de Septiembre")</f>
        <v>Av. Libertador y 22 de Septiembre</v>
      </c>
      <c r="H417" s="36" t="str">
        <f>IFERROR(__xludf.DUMMYFUNCTION("""COMPUTED_VALUE"""),"")</f>
        <v/>
      </c>
    </row>
    <row r="418">
      <c r="A418" s="36" t="str">
        <f>IFERROR(__xludf.DUMMYFUNCTION("""COMPUTED_VALUE"""),"08-23-04-72")</f>
        <v>08-23-04-72</v>
      </c>
      <c r="B418" s="36" t="str">
        <f>IFERROR(__xludf.DUMMYFUNCTION("""COMPUTED_VALUE"""),"")</f>
        <v/>
      </c>
      <c r="C418" s="36" t="str">
        <f>IFERROR(__xludf.DUMMYFUNCTION("""COMPUTED_VALUE"""),"")</f>
        <v/>
      </c>
      <c r="D418" s="36" t="str">
        <f>IFERROR(__xludf.DUMMYFUNCTION("""COMPUTED_VALUE"""),"")</f>
        <v/>
      </c>
      <c r="E418" s="36" t="str">
        <f>IFERROR(__xludf.DUMMYFUNCTION("""COMPUTED_VALUE"""),"01-32-07-81")</f>
        <v>01-32-07-81</v>
      </c>
      <c r="F418" s="36"/>
      <c r="G418" s="36" t="str">
        <f>IFERROR(__xludf.DUMMYFUNCTION("""COMPUTED_VALUE"""),"Av. Libertador y Adán Quiroga N")</f>
        <v>Av. Libertador y Adán Quiroga N</v>
      </c>
      <c r="H418" s="36" t="str">
        <f>IFERROR(__xludf.DUMMYFUNCTION("""COMPUTED_VALUE"""),"")</f>
        <v/>
      </c>
    </row>
    <row r="419">
      <c r="A419" s="36" t="str">
        <f>IFERROR(__xludf.DUMMYFUNCTION("""COMPUTED_VALUE"""),"08-23-04-73")</f>
        <v>08-23-04-73</v>
      </c>
      <c r="B419" s="36" t="str">
        <f>IFERROR(__xludf.DUMMYFUNCTION("""COMPUTED_VALUE"""),"")</f>
        <v/>
      </c>
      <c r="C419" s="36" t="str">
        <f>IFERROR(__xludf.DUMMYFUNCTION("""COMPUTED_VALUE"""),"")</f>
        <v/>
      </c>
      <c r="D419" s="36" t="str">
        <f>IFERROR(__xludf.DUMMYFUNCTION("""COMPUTED_VALUE"""),"")</f>
        <v/>
      </c>
      <c r="E419" s="36" t="str">
        <f>IFERROR(__xludf.DUMMYFUNCTION("""COMPUTED_VALUE"""),"01-33-07-80")</f>
        <v>01-33-07-80</v>
      </c>
      <c r="F419" s="36"/>
      <c r="G419" s="36" t="str">
        <f>IFERROR(__xludf.DUMMYFUNCTION("""COMPUTED_VALUE"""),"Av. Libertador y Adán Quiroga S")</f>
        <v>Av. Libertador y Adán Quiroga S</v>
      </c>
      <c r="H419" s="36" t="str">
        <f>IFERROR(__xludf.DUMMYFUNCTION("""COMPUTED_VALUE"""),"")</f>
        <v/>
      </c>
    </row>
    <row r="420">
      <c r="A420" s="36" t="str">
        <f>IFERROR(__xludf.DUMMYFUNCTION("""COMPUTED_VALUE"""),"08-23-04-74")</f>
        <v>08-23-04-74</v>
      </c>
      <c r="B420" s="36" t="str">
        <f>IFERROR(__xludf.DUMMYFUNCTION("""COMPUTED_VALUE"""),"")</f>
        <v/>
      </c>
      <c r="C420" s="36" t="str">
        <f>IFERROR(__xludf.DUMMYFUNCTION("""COMPUTED_VALUE"""),"")</f>
        <v/>
      </c>
      <c r="D420" s="36" t="str">
        <f>IFERROR(__xludf.DUMMYFUNCTION("""COMPUTED_VALUE"""),"")</f>
        <v/>
      </c>
      <c r="E420" s="36" t="str">
        <f>IFERROR(__xludf.DUMMYFUNCTION("""COMPUTED_VALUE"""),"01-44-07-146")</f>
        <v>01-44-07-146</v>
      </c>
      <c r="F420" s="36"/>
      <c r="G420" s="36" t="str">
        <f>IFERROR(__xludf.DUMMYFUNCTION("""COMPUTED_VALUE"""),"Av. Libertador y Ameghino")</f>
        <v>Av. Libertador y Ameghino</v>
      </c>
      <c r="H420" s="36" t="str">
        <f>IFERROR(__xludf.DUMMYFUNCTION("""COMPUTED_VALUE"""),"")</f>
        <v/>
      </c>
    </row>
    <row r="421">
      <c r="A421" s="36" t="str">
        <f>IFERROR(__xludf.DUMMYFUNCTION("""COMPUTED_VALUE"""),"08-23-04-75")</f>
        <v>08-23-04-75</v>
      </c>
      <c r="B421" s="36" t="str">
        <f>IFERROR(__xludf.DUMMYFUNCTION("""COMPUTED_VALUE"""),"")</f>
        <v/>
      </c>
      <c r="C421" s="36" t="str">
        <f>IFERROR(__xludf.DUMMYFUNCTION("""COMPUTED_VALUE"""),"")</f>
        <v/>
      </c>
      <c r="D421" s="36" t="str">
        <f>IFERROR(__xludf.DUMMYFUNCTION("""COMPUTED_VALUE"""),"")</f>
        <v/>
      </c>
      <c r="E421" s="36" t="str">
        <f>IFERROR(__xludf.DUMMYFUNCTION("""COMPUTED_VALUE"""),"01-40-09-4")</f>
        <v>01-40-09-4</v>
      </c>
      <c r="F421" s="36"/>
      <c r="G421" s="36" t="str">
        <f>IFERROR(__xludf.DUMMYFUNCTION("""COMPUTED_VALUE"""),"Av. Libertador y América del Sur")</f>
        <v>Av. Libertador y América del Sur</v>
      </c>
      <c r="H421" s="36" t="str">
        <f>IFERROR(__xludf.DUMMYFUNCTION("""COMPUTED_VALUE"""),"")</f>
        <v/>
      </c>
    </row>
    <row r="422">
      <c r="A422" s="36" t="str">
        <f>IFERROR(__xludf.DUMMYFUNCTION("""COMPUTED_VALUE"""),"08-23-04-76")</f>
        <v>08-23-04-76</v>
      </c>
      <c r="B422" s="36" t="str">
        <f>IFERROR(__xludf.DUMMYFUNCTION("""COMPUTED_VALUE"""),"")</f>
        <v/>
      </c>
      <c r="C422" s="36" t="str">
        <f>IFERROR(__xludf.DUMMYFUNCTION("""COMPUTED_VALUE"""),"")</f>
        <v/>
      </c>
      <c r="D422" s="36" t="str">
        <f>IFERROR(__xludf.DUMMYFUNCTION("""COMPUTED_VALUE"""),"")</f>
        <v/>
      </c>
      <c r="E422" s="36" t="str">
        <f>IFERROR(__xludf.DUMMYFUNCTION("""COMPUTED_VALUE"""),"02-34-11-26B")</f>
        <v>02-34-11-26B</v>
      </c>
      <c r="F422" s="36"/>
      <c r="G422" s="36" t="str">
        <f>IFERROR(__xludf.DUMMYFUNCTION("""COMPUTED_VALUE"""),"Av. Libertador y Aubone")</f>
        <v>Av. Libertador y Aubone</v>
      </c>
      <c r="H422" s="36" t="str">
        <f>IFERROR(__xludf.DUMMYFUNCTION("""COMPUTED_VALUE"""),"")</f>
        <v/>
      </c>
    </row>
    <row r="423">
      <c r="A423" s="36" t="str">
        <f>IFERROR(__xludf.DUMMYFUNCTION("""COMPUTED_VALUE"""),"08-23-04-77")</f>
        <v>08-23-04-77</v>
      </c>
      <c r="B423" s="36" t="str">
        <f>IFERROR(__xludf.DUMMYFUNCTION("""COMPUTED_VALUE"""),"")</f>
        <v/>
      </c>
      <c r="C423" s="36" t="str">
        <f>IFERROR(__xludf.DUMMYFUNCTION("""COMPUTED_VALUE"""),"")</f>
        <v/>
      </c>
      <c r="D423" s="36" t="str">
        <f>IFERROR(__xludf.DUMMYFUNCTION("""COMPUTED_VALUE"""),"")</f>
        <v/>
      </c>
      <c r="E423" s="36" t="str">
        <f>IFERROR(__xludf.DUMMYFUNCTION("""COMPUTED_VALUE"""),"01-40-09-5x")</f>
        <v>01-40-09-5x</v>
      </c>
      <c r="F423" s="36"/>
      <c r="G423" s="36" t="str">
        <f>IFERROR(__xludf.DUMMYFUNCTION("""COMPUTED_VALUE"""),"Av. Libertador y Av. Argentina")</f>
        <v>Av. Libertador y Av. Argentina</v>
      </c>
      <c r="H423" s="36" t="str">
        <f>IFERROR(__xludf.DUMMYFUNCTION("""COMPUTED_VALUE"""),"")</f>
        <v/>
      </c>
    </row>
    <row r="424">
      <c r="A424" s="36" t="str">
        <f>IFERROR(__xludf.DUMMYFUNCTION("""COMPUTED_VALUE"""),"08-23-04-78")</f>
        <v>08-23-04-78</v>
      </c>
      <c r="B424" s="36" t="str">
        <f>IFERROR(__xludf.DUMMYFUNCTION("""COMPUTED_VALUE"""),"")</f>
        <v/>
      </c>
      <c r="C424" s="36" t="str">
        <f>IFERROR(__xludf.DUMMYFUNCTION("""COMPUTED_VALUE"""),"")</f>
        <v/>
      </c>
      <c r="D424" s="36" t="str">
        <f>IFERROR(__xludf.DUMMYFUNCTION("""COMPUTED_VALUE"""),"")</f>
        <v/>
      </c>
      <c r="E424" s="36" t="str">
        <f>IFERROR(__xludf.DUMMYFUNCTION("""COMPUTED_VALUE"""),"01-40-08-36A")</f>
        <v>01-40-08-36A</v>
      </c>
      <c r="F424" s="36"/>
      <c r="G424" s="36" t="str">
        <f>IFERROR(__xludf.DUMMYFUNCTION("""COMPUTED_VALUE"""),"Av. Libertador y Av. Rawson")</f>
        <v>Av. Libertador y Av. Rawson</v>
      </c>
      <c r="H424" s="36" t="str">
        <f>IFERROR(__xludf.DUMMYFUNCTION("""COMPUTED_VALUE"""),"")</f>
        <v/>
      </c>
    </row>
    <row r="425">
      <c r="A425" s="36" t="str">
        <f>IFERROR(__xludf.DUMMYFUNCTION("""COMPUTED_VALUE"""),"08-23-04-79")</f>
        <v>08-23-04-79</v>
      </c>
      <c r="B425" s="36" t="str">
        <f>IFERROR(__xludf.DUMMYFUNCTION("""COMPUTED_VALUE"""),"")</f>
        <v/>
      </c>
      <c r="C425" s="36" t="str">
        <f>IFERROR(__xludf.DUMMYFUNCTION("""COMPUTED_VALUE"""),"")</f>
        <v/>
      </c>
      <c r="D425" s="36" t="str">
        <f>IFERROR(__xludf.DUMMYFUNCTION("""COMPUTED_VALUE"""),"")</f>
        <v/>
      </c>
      <c r="E425" s="36" t="str">
        <f>IFERROR(__xludf.DUMMYFUNCTION("""COMPUTED_VALUE"""),"03-32-09-75x")</f>
        <v>03-32-09-75x</v>
      </c>
      <c r="F425" s="36"/>
      <c r="G425" s="36" t="str">
        <f>IFERROR(__xludf.DUMMYFUNCTION("""COMPUTED_VALUE"""),"Av. Libertador y Balaguer")</f>
        <v>Av. Libertador y Balaguer</v>
      </c>
      <c r="H425" s="36" t="str">
        <f>IFERROR(__xludf.DUMMYFUNCTION("""COMPUTED_VALUE"""),"")</f>
        <v/>
      </c>
    </row>
    <row r="426">
      <c r="A426" s="36" t="str">
        <f>IFERROR(__xludf.DUMMYFUNCTION("""COMPUTED_VALUE"""),"08-23-04-80")</f>
        <v>08-23-04-80</v>
      </c>
      <c r="B426" s="36" t="str">
        <f>IFERROR(__xludf.DUMMYFUNCTION("""COMPUTED_VALUE"""),"")</f>
        <v/>
      </c>
      <c r="C426" s="36" t="str">
        <f>IFERROR(__xludf.DUMMYFUNCTION("""COMPUTED_VALUE"""),"")</f>
        <v/>
      </c>
      <c r="D426" s="36" t="str">
        <f>IFERROR(__xludf.DUMMYFUNCTION("""COMPUTED_VALUE"""),"")</f>
        <v/>
      </c>
      <c r="E426" s="36" t="str">
        <f>IFERROR(__xludf.DUMMYFUNCTION("""COMPUTED_VALUE"""),"02-31-06-29B")</f>
        <v>02-31-06-29B</v>
      </c>
      <c r="F426" s="36"/>
      <c r="G426" s="36" t="str">
        <f>IFERROR(__xludf.DUMMYFUNCTION("""COMPUTED_VALUE"""),"Av. Libertador y Boulogne Sur Mer N")</f>
        <v>Av. Libertador y Boulogne Sur Mer N</v>
      </c>
      <c r="H426" s="36" t="str">
        <f>IFERROR(__xludf.DUMMYFUNCTION("""COMPUTED_VALUE"""),"")</f>
        <v/>
      </c>
    </row>
    <row r="427">
      <c r="A427" s="36" t="str">
        <f>IFERROR(__xludf.DUMMYFUNCTION("""COMPUTED_VALUE"""),"08-23-04-82")</f>
        <v>08-23-04-82</v>
      </c>
      <c r="B427" s="36" t="str">
        <f>IFERROR(__xludf.DUMMYFUNCTION("""COMPUTED_VALUE"""),"")</f>
        <v/>
      </c>
      <c r="C427" s="36" t="str">
        <f>IFERROR(__xludf.DUMMYFUNCTION("""COMPUTED_VALUE"""),"")</f>
        <v/>
      </c>
      <c r="D427" s="36" t="str">
        <f>IFERROR(__xludf.DUMMYFUNCTION("""COMPUTED_VALUE"""),"")</f>
        <v/>
      </c>
      <c r="E427" s="36" t="str">
        <f>IFERROR(__xludf.DUMMYFUNCTION("""COMPUTED_VALUE"""),"02-36-06-29A")</f>
        <v>02-36-06-29A</v>
      </c>
      <c r="F427" s="36"/>
      <c r="G427" s="36" t="str">
        <f>IFERROR(__xludf.DUMMYFUNCTION("""COMPUTED_VALUE"""),"Av. Libertador y Boulogne Sur Mer S")</f>
        <v>Av. Libertador y Boulogne Sur Mer S</v>
      </c>
      <c r="H427" s="36" t="str">
        <f>IFERROR(__xludf.DUMMYFUNCTION("""COMPUTED_VALUE"""),"")</f>
        <v/>
      </c>
    </row>
    <row r="428">
      <c r="A428" s="36" t="str">
        <f>IFERROR(__xludf.DUMMYFUNCTION("""COMPUTED_VALUE"""),"08-23-04-83")</f>
        <v>08-23-04-83</v>
      </c>
      <c r="B428" s="36" t="str">
        <f>IFERROR(__xludf.DUMMYFUNCTION("""COMPUTED_VALUE"""),"")</f>
        <v/>
      </c>
      <c r="C428" s="36" t="str">
        <f>IFERROR(__xludf.DUMMYFUNCTION("""COMPUTED_VALUE"""),"")</f>
        <v/>
      </c>
      <c r="D428" s="36" t="str">
        <f>IFERROR(__xludf.DUMMYFUNCTION("""COMPUTED_VALUE"""),"")</f>
        <v/>
      </c>
      <c r="E428" s="36" t="str">
        <f>IFERROR(__xludf.DUMMYFUNCTION("""COMPUTED_VALUE"""),"03-32-09-83")</f>
        <v>03-32-09-83</v>
      </c>
      <c r="F428" s="36"/>
      <c r="G428" s="36" t="str">
        <f>IFERROR(__xludf.DUMMYFUNCTION("""COMPUTED_VALUE"""),"Av. Libertador y Cervantes")</f>
        <v>Av. Libertador y Cervantes</v>
      </c>
      <c r="H428" s="36" t="str">
        <f>IFERROR(__xludf.DUMMYFUNCTION("""COMPUTED_VALUE"""),"")</f>
        <v/>
      </c>
    </row>
    <row r="429">
      <c r="A429" s="36" t="str">
        <f>IFERROR(__xludf.DUMMYFUNCTION("""COMPUTED_VALUE"""),"08-23-04-84")</f>
        <v>08-23-04-84</v>
      </c>
      <c r="B429" s="36" t="str">
        <f>IFERROR(__xludf.DUMMYFUNCTION("""COMPUTED_VALUE"""),"")</f>
        <v/>
      </c>
      <c r="C429" s="36" t="str">
        <f>IFERROR(__xludf.DUMMYFUNCTION("""COMPUTED_VALUE"""),"")</f>
        <v/>
      </c>
      <c r="D429" s="36" t="str">
        <f>IFERROR(__xludf.DUMMYFUNCTION("""COMPUTED_VALUE"""),"")</f>
        <v/>
      </c>
      <c r="E429" s="36" t="str">
        <f>IFERROR(__xludf.DUMMYFUNCTION("""COMPUTED_VALUE"""),"03-33-09-84")</f>
        <v>03-33-09-84</v>
      </c>
      <c r="F429" s="36"/>
      <c r="G429" s="36" t="str">
        <f>IFERROR(__xludf.DUMMYFUNCTION("""COMPUTED_VALUE"""),"Av. Libertador y Colón")</f>
        <v>Av. Libertador y Colón</v>
      </c>
      <c r="H429" s="36" t="str">
        <f>IFERROR(__xludf.DUMMYFUNCTION("""COMPUTED_VALUE"""),"")</f>
        <v/>
      </c>
    </row>
    <row r="430">
      <c r="A430" s="36" t="str">
        <f>IFERROR(__xludf.DUMMYFUNCTION("""COMPUTED_VALUE"""),"08-23-04-85")</f>
        <v>08-23-04-85</v>
      </c>
      <c r="B430" s="36" t="str">
        <f>IFERROR(__xludf.DUMMYFUNCTION("""COMPUTED_VALUE"""),"")</f>
        <v/>
      </c>
      <c r="C430" s="36" t="str">
        <f>IFERROR(__xludf.DUMMYFUNCTION("""COMPUTED_VALUE"""),"")</f>
        <v/>
      </c>
      <c r="D430" s="36" t="str">
        <f>IFERROR(__xludf.DUMMYFUNCTION("""COMPUTED_VALUE"""),"")</f>
        <v/>
      </c>
      <c r="E430" s="36" t="str">
        <f>IFERROR(__xludf.DUMMYFUNCTION("""COMPUTED_VALUE"""),"02-34-05-38")</f>
        <v>02-34-05-38</v>
      </c>
      <c r="F430" s="36"/>
      <c r="G430" s="36" t="str">
        <f>IFERROR(__xludf.DUMMYFUNCTION("""COMPUTED_VALUE"""),"Av. Libertador y Conforti N")</f>
        <v>Av. Libertador y Conforti N</v>
      </c>
      <c r="H430" s="36" t="str">
        <f>IFERROR(__xludf.DUMMYFUNCTION("""COMPUTED_VALUE"""),"")</f>
        <v/>
      </c>
    </row>
    <row r="431">
      <c r="A431" s="36" t="str">
        <f>IFERROR(__xludf.DUMMYFUNCTION("""COMPUTED_VALUE"""),"08-23-04-86")</f>
        <v>08-23-04-86</v>
      </c>
      <c r="B431" s="36" t="str">
        <f>IFERROR(__xludf.DUMMYFUNCTION("""COMPUTED_VALUE"""),"")</f>
        <v/>
      </c>
      <c r="C431" s="36" t="str">
        <f>IFERROR(__xludf.DUMMYFUNCTION("""COMPUTED_VALUE"""),"")</f>
        <v/>
      </c>
      <c r="D431" s="36" t="str">
        <f>IFERROR(__xludf.DUMMYFUNCTION("""COMPUTED_VALUE"""),"")</f>
        <v/>
      </c>
      <c r="E431" s="36" t="str">
        <f>IFERROR(__xludf.DUMMYFUNCTION("""COMPUTED_VALUE"""),"02-34-05-37")</f>
        <v>02-34-05-37</v>
      </c>
      <c r="F431" s="36"/>
      <c r="G431" s="36" t="str">
        <f>IFERROR(__xludf.DUMMYFUNCTION("""COMPUTED_VALUE"""),"Av. Libertador y Conforti S")</f>
        <v>Av. Libertador y Conforti S</v>
      </c>
      <c r="H431" s="36" t="str">
        <f>IFERROR(__xludf.DUMMYFUNCTION("""COMPUTED_VALUE"""),"")</f>
        <v/>
      </c>
    </row>
    <row r="432">
      <c r="A432" s="36" t="str">
        <f>IFERROR(__xludf.DUMMYFUNCTION("""COMPUTED_VALUE"""),"08-23-04-87")</f>
        <v>08-23-04-87</v>
      </c>
      <c r="B432" s="36" t="str">
        <f>IFERROR(__xludf.DUMMYFUNCTION("""COMPUTED_VALUE"""),"")</f>
        <v/>
      </c>
      <c r="C432" s="36" t="str">
        <f>IFERROR(__xludf.DUMMYFUNCTION("""COMPUTED_VALUE"""),"")</f>
        <v/>
      </c>
      <c r="D432" s="36" t="str">
        <f>IFERROR(__xludf.DUMMYFUNCTION("""COMPUTED_VALUE"""),"")</f>
        <v/>
      </c>
      <c r="E432" s="36" t="str">
        <f>IFERROR(__xludf.DUMMYFUNCTION("""COMPUTED_VALUE"""),"01-31-07-180")</f>
        <v>01-31-07-180</v>
      </c>
      <c r="F432" s="36"/>
      <c r="G432" s="36" t="str">
        <f>IFERROR(__xludf.DUMMYFUNCTION("""COMPUTED_VALUE"""),"Av. Libertador y Del Bono N")</f>
        <v>Av. Libertador y Del Bono N</v>
      </c>
      <c r="H432" s="36" t="str">
        <f>IFERROR(__xludf.DUMMYFUNCTION("""COMPUTED_VALUE"""),"")</f>
        <v/>
      </c>
    </row>
    <row r="433">
      <c r="A433" s="36" t="str">
        <f>IFERROR(__xludf.DUMMYFUNCTION("""COMPUTED_VALUE"""),"08-23-04-88")</f>
        <v>08-23-04-88</v>
      </c>
      <c r="B433" s="36" t="str">
        <f>IFERROR(__xludf.DUMMYFUNCTION("""COMPUTED_VALUE"""),"")</f>
        <v/>
      </c>
      <c r="C433" s="36" t="str">
        <f>IFERROR(__xludf.DUMMYFUNCTION("""COMPUTED_VALUE"""),"")</f>
        <v/>
      </c>
      <c r="D433" s="36" t="str">
        <f>IFERROR(__xludf.DUMMYFUNCTION("""COMPUTED_VALUE"""),"")</f>
        <v/>
      </c>
      <c r="E433" s="36" t="str">
        <f>IFERROR(__xludf.DUMMYFUNCTION("""COMPUTED_VALUE"""),"01-33-07-172")</f>
        <v>01-33-07-172</v>
      </c>
      <c r="F433" s="36"/>
      <c r="G433" s="36" t="str">
        <f>IFERROR(__xludf.DUMMYFUNCTION("""COMPUTED_VALUE"""),"Av. Libertador y Del Bono S")</f>
        <v>Av. Libertador y Del Bono S</v>
      </c>
      <c r="H433" s="36" t="str">
        <f>IFERROR(__xludf.DUMMYFUNCTION("""COMPUTED_VALUE"""),"")</f>
        <v/>
      </c>
    </row>
    <row r="434">
      <c r="A434" s="36" t="str">
        <f>IFERROR(__xludf.DUMMYFUNCTION("""COMPUTED_VALUE"""),"08-23-04-89")</f>
        <v>08-23-04-89</v>
      </c>
      <c r="B434" s="36" t="str">
        <f>IFERROR(__xludf.DUMMYFUNCTION("""COMPUTED_VALUE"""),"")</f>
        <v/>
      </c>
      <c r="C434" s="36" t="str">
        <f>IFERROR(__xludf.DUMMYFUNCTION("""COMPUTED_VALUE"""),"")</f>
        <v/>
      </c>
      <c r="D434" s="36" t="str">
        <f>IFERROR(__xludf.DUMMYFUNCTION("""COMPUTED_VALUE"""),"")</f>
        <v/>
      </c>
      <c r="E434" s="36" t="str">
        <f>IFERROR(__xludf.DUMMYFUNCTION("""COMPUTED_VALUE"""),"01-40-09-3")</f>
        <v>01-40-09-3</v>
      </c>
      <c r="F434" s="36"/>
      <c r="G434" s="36" t="str">
        <f>IFERROR(__xludf.DUMMYFUNCTION("""COMPUTED_VALUE"""),"Av. Libertador y Estados Unidos")</f>
        <v>Av. Libertador y Estados Unidos</v>
      </c>
      <c r="H434" s="36" t="str">
        <f>IFERROR(__xludf.DUMMYFUNCTION("""COMPUTED_VALUE"""),"")</f>
        <v/>
      </c>
    </row>
    <row r="435">
      <c r="A435" s="36" t="str">
        <f>IFERROR(__xludf.DUMMYFUNCTION("""COMPUTED_VALUE"""),"08-23-04-9")</f>
        <v>08-23-04-9</v>
      </c>
      <c r="B435" s="36" t="str">
        <f>IFERROR(__xludf.DUMMYFUNCTION("""COMPUTED_VALUE"""),"")</f>
        <v/>
      </c>
      <c r="C435" s="36" t="str">
        <f>IFERROR(__xludf.DUMMYFUNCTION("""COMPUTED_VALUE"""),"")</f>
        <v/>
      </c>
      <c r="D435" s="36" t="str">
        <f>IFERROR(__xludf.DUMMYFUNCTION("""COMPUTED_VALUE"""),"")</f>
        <v/>
      </c>
      <c r="E435" s="36" t="str">
        <f>IFERROR(__xludf.DUMMYFUNCTION("""COMPUTED_VALUE"""),"02-34-05-42")</f>
        <v>02-34-05-42</v>
      </c>
      <c r="F435" s="36"/>
      <c r="G435" s="36" t="str">
        <f>IFERROR(__xludf.DUMMYFUNCTION("""COMPUTED_VALUE"""),"Av. Libertador y Galíndez ")</f>
        <v>Av. Libertador y Galíndez </v>
      </c>
      <c r="H435" s="36" t="str">
        <f>IFERROR(__xludf.DUMMYFUNCTION("""COMPUTED_VALUE"""),"")</f>
        <v/>
      </c>
    </row>
    <row r="436">
      <c r="A436" s="36" t="str">
        <f>IFERROR(__xludf.DUMMYFUNCTION("""COMPUTED_VALUE"""),"08-23-04-90A")</f>
        <v>08-23-04-90A</v>
      </c>
      <c r="B436" s="36" t="str">
        <f>IFERROR(__xludf.DUMMYFUNCTION("""COMPUTED_VALUE"""),"")</f>
        <v/>
      </c>
      <c r="C436" s="36" t="str">
        <f>IFERROR(__xludf.DUMMYFUNCTION("""COMPUTED_VALUE"""),"")</f>
        <v/>
      </c>
      <c r="D436" s="36" t="str">
        <f>IFERROR(__xludf.DUMMYFUNCTION("""COMPUTED_VALUE"""),"")</f>
        <v/>
      </c>
      <c r="E436" s="36" t="str">
        <f>IFERROR(__xludf.DUMMYFUNCTION("""COMPUTED_VALUE"""),"02-36-06-30")</f>
        <v>02-36-06-30</v>
      </c>
      <c r="F436" s="36"/>
      <c r="G436" s="36" t="str">
        <f>IFERROR(__xludf.DUMMYFUNCTION("""COMPUTED_VALUE"""),"Av. Libertador y Gómez")</f>
        <v>Av. Libertador y Gómez</v>
      </c>
      <c r="H436" s="36" t="str">
        <f>IFERROR(__xludf.DUMMYFUNCTION("""COMPUTED_VALUE"""),"")</f>
        <v/>
      </c>
    </row>
    <row r="437">
      <c r="A437" s="36" t="str">
        <f>IFERROR(__xludf.DUMMYFUNCTION("""COMPUTED_VALUE"""),"08-23-04-91A")</f>
        <v>08-23-04-91A</v>
      </c>
      <c r="B437" s="36" t="str">
        <f>IFERROR(__xludf.DUMMYFUNCTION("""COMPUTED_VALUE"""),"")</f>
        <v/>
      </c>
      <c r="C437" s="36" t="str">
        <f>IFERROR(__xludf.DUMMYFUNCTION("""COMPUTED_VALUE"""),"")</f>
        <v/>
      </c>
      <c r="D437" s="36" t="str">
        <f>IFERROR(__xludf.DUMMYFUNCTION("""COMPUTED_VALUE"""),"")</f>
        <v/>
      </c>
      <c r="E437" s="36" t="str">
        <f>IFERROR(__xludf.DUMMYFUNCTION("""COMPUTED_VALUE"""),"01-41-08-16")</f>
        <v>01-41-08-16</v>
      </c>
      <c r="F437" s="36"/>
      <c r="G437" s="36" t="str">
        <f>IFERROR(__xludf.DUMMYFUNCTION("""COMPUTED_VALUE"""),"Av. Libertador y Gral Acha")</f>
        <v>Av. Libertador y Gral Acha</v>
      </c>
      <c r="H437" s="36" t="str">
        <f>IFERROR(__xludf.DUMMYFUNCTION("""COMPUTED_VALUE"""),"")</f>
        <v/>
      </c>
    </row>
    <row r="438">
      <c r="A438" s="36" t="str">
        <f>IFERROR(__xludf.DUMMYFUNCTION("""COMPUTED_VALUE"""),"08-23-04-94")</f>
        <v>08-23-04-94</v>
      </c>
      <c r="B438" s="36" t="str">
        <f>IFERROR(__xludf.DUMMYFUNCTION("""COMPUTED_VALUE"""),"")</f>
        <v/>
      </c>
      <c r="C438" s="36" t="str">
        <f>IFERROR(__xludf.DUMMYFUNCTION("""COMPUTED_VALUE"""),"")</f>
        <v/>
      </c>
      <c r="D438" s="36" t="str">
        <f>IFERROR(__xludf.DUMMYFUNCTION("""COMPUTED_VALUE"""),"")</f>
        <v/>
      </c>
      <c r="E438" s="36" t="str">
        <f>IFERROR(__xludf.DUMMYFUNCTION("""COMPUTED_VALUE"""),"03-32-09-75")</f>
        <v>03-32-09-75</v>
      </c>
      <c r="F438" s="36"/>
      <c r="G438" s="36" t="str">
        <f>IFERROR(__xludf.DUMMYFUNCTION("""COMPUTED_VALUE"""),"Av. Libertador y Grigolo")</f>
        <v>Av. Libertador y Grigolo</v>
      </c>
      <c r="H438" s="36" t="str">
        <f>IFERROR(__xludf.DUMMYFUNCTION("""COMPUTED_VALUE"""),"")</f>
        <v/>
      </c>
    </row>
    <row r="439">
      <c r="A439" s="36" t="str">
        <f>IFERROR(__xludf.DUMMYFUNCTION("""COMPUTED_VALUE"""),"08-23-04-96")</f>
        <v>08-23-04-96</v>
      </c>
      <c r="B439" s="36" t="str">
        <f>IFERROR(__xludf.DUMMYFUNCTION("""COMPUTED_VALUE"""),"")</f>
        <v/>
      </c>
      <c r="C439" s="36" t="str">
        <f>IFERROR(__xludf.DUMMYFUNCTION("""COMPUTED_VALUE"""),"")</f>
        <v/>
      </c>
      <c r="D439" s="36" t="str">
        <f>IFERROR(__xludf.DUMMYFUNCTION("""COMPUTED_VALUE"""),"")</f>
        <v/>
      </c>
      <c r="E439" s="36" t="str">
        <f>IFERROR(__xludf.DUMMYFUNCTION("""COMPUTED_VALUE"""),"01-58-07-80A")</f>
        <v>01-58-07-80A</v>
      </c>
      <c r="F439" s="36"/>
      <c r="G439" s="36" t="str">
        <f>IFERROR(__xludf.DUMMYFUNCTION("""COMPUTED_VALUE"""),"Av. Libertador y Jose Marti ")</f>
        <v>Av. Libertador y Jose Marti </v>
      </c>
      <c r="H439" s="36" t="str">
        <f>IFERROR(__xludf.DUMMYFUNCTION("""COMPUTED_VALUE"""),"")</f>
        <v/>
      </c>
    </row>
    <row r="440">
      <c r="A440" s="36" t="str">
        <f>IFERROR(__xludf.DUMMYFUNCTION("""COMPUTED_VALUE"""),"08-23-04-98")</f>
        <v>08-23-04-98</v>
      </c>
      <c r="B440" s="36" t="str">
        <f>IFERROR(__xludf.DUMMYFUNCTION("""COMPUTED_VALUE"""),"")</f>
        <v/>
      </c>
      <c r="C440" s="36" t="str">
        <f>IFERROR(__xludf.DUMMYFUNCTION("""COMPUTED_VALUE"""),"")</f>
        <v/>
      </c>
      <c r="D440" s="36" t="str">
        <f>IFERROR(__xludf.DUMMYFUNCTION("""COMPUTED_VALUE"""),"")</f>
        <v/>
      </c>
      <c r="E440" s="36" t="str">
        <f>IFERROR(__xludf.DUMMYFUNCTION("""COMPUTED_VALUE"""),"03-32-09-71")</f>
        <v>03-32-09-71</v>
      </c>
      <c r="F440" s="36"/>
      <c r="G440" s="36" t="str">
        <f>IFERROR(__xludf.DUMMYFUNCTION("""COMPUTED_VALUE"""),"Av. Libertador y Landa")</f>
        <v>Av. Libertador y Landa</v>
      </c>
      <c r="H440" s="36" t="str">
        <f>IFERROR(__xludf.DUMMYFUNCTION("""COMPUTED_VALUE"""),"")</f>
        <v/>
      </c>
    </row>
    <row r="441">
      <c r="A441" s="36" t="str">
        <f>IFERROR(__xludf.DUMMYFUNCTION("""COMPUTED_VALUE"""),"08-24-04-10")</f>
        <v>08-24-04-10</v>
      </c>
      <c r="B441" s="36" t="str">
        <f>IFERROR(__xludf.DUMMYFUNCTION("""COMPUTED_VALUE"""),"")</f>
        <v/>
      </c>
      <c r="C441" s="36" t="str">
        <f>IFERROR(__xludf.DUMMYFUNCTION("""COMPUTED_VALUE"""),"")</f>
        <v/>
      </c>
      <c r="D441" s="36" t="str">
        <f>IFERROR(__xludf.DUMMYFUNCTION("""COMPUTED_VALUE"""),"")</f>
        <v/>
      </c>
      <c r="E441" s="36" t="str">
        <f>IFERROR(__xludf.DUMMYFUNCTION("""COMPUTED_VALUE"""),"02-37-06-32A")</f>
        <v>02-37-06-32A</v>
      </c>
      <c r="F441" s="36"/>
      <c r="G441" s="36" t="str">
        <f>IFERROR(__xludf.DUMMYFUNCTION("""COMPUTED_VALUE"""),"Av. Libertador y Manuel Belgrano")</f>
        <v>Av. Libertador y Manuel Belgrano</v>
      </c>
      <c r="H441" s="36" t="str">
        <f>IFERROR(__xludf.DUMMYFUNCTION("""COMPUTED_VALUE"""),"")</f>
        <v/>
      </c>
    </row>
    <row r="442">
      <c r="A442" s="36" t="str">
        <f>IFERROR(__xludf.DUMMYFUNCTION("""COMPUTED_VALUE"""),"08-24-04-3")</f>
        <v>08-24-04-3</v>
      </c>
      <c r="B442" s="36" t="str">
        <f>IFERROR(__xludf.DUMMYFUNCTION("""COMPUTED_VALUE"""),"")</f>
        <v/>
      </c>
      <c r="C442" s="36" t="str">
        <f>IFERROR(__xludf.DUMMYFUNCTION("""COMPUTED_VALUE"""),"")</f>
        <v/>
      </c>
      <c r="D442" s="36" t="str">
        <f>IFERROR(__xludf.DUMMYFUNCTION("""COMPUTED_VALUE"""),"")</f>
        <v/>
      </c>
      <c r="E442" s="36" t="str">
        <f>IFERROR(__xludf.DUMMYFUNCTION("""COMPUTED_VALUE"""),"02-37-06-33A")</f>
        <v>02-37-06-33A</v>
      </c>
      <c r="F442" s="36"/>
      <c r="G442" s="36" t="str">
        <f>IFERROR(__xludf.DUMMYFUNCTION("""COMPUTED_VALUE"""),"Av. Libertador y Mariano Moreno")</f>
        <v>Av. Libertador y Mariano Moreno</v>
      </c>
      <c r="H442" s="36" t="str">
        <f>IFERROR(__xludf.DUMMYFUNCTION("""COMPUTED_VALUE"""),"")</f>
        <v/>
      </c>
    </row>
    <row r="443">
      <c r="A443" s="36" t="str">
        <f>IFERROR(__xludf.DUMMYFUNCTION("""COMPUTED_VALUE"""),"08-24-04-4")</f>
        <v>08-24-04-4</v>
      </c>
      <c r="B443" s="36" t="str">
        <f>IFERROR(__xludf.DUMMYFUNCTION("""COMPUTED_VALUE"""),"")</f>
        <v/>
      </c>
      <c r="C443" s="36" t="str">
        <f>IFERROR(__xludf.DUMMYFUNCTION("""COMPUTED_VALUE"""),"")</f>
        <v/>
      </c>
      <c r="D443" s="36" t="str">
        <f>IFERROR(__xludf.DUMMYFUNCTION("""COMPUTED_VALUE"""),"")</f>
        <v/>
      </c>
      <c r="E443" s="36" t="str">
        <f>IFERROR(__xludf.DUMMYFUNCTION("""COMPUTED_VALUE"""),"01-44-07-147")</f>
        <v>01-44-07-147</v>
      </c>
      <c r="F443" s="36"/>
      <c r="G443" s="36" t="str">
        <f>IFERROR(__xludf.DUMMYFUNCTION("""COMPUTED_VALUE"""),"Av. Libertador y Matías Zavalla N")</f>
        <v>Av. Libertador y Matías Zavalla N</v>
      </c>
      <c r="H443" s="36" t="str">
        <f>IFERROR(__xludf.DUMMYFUNCTION("""COMPUTED_VALUE"""),"")</f>
        <v/>
      </c>
    </row>
    <row r="444">
      <c r="A444" s="36" t="str">
        <f>IFERROR(__xludf.DUMMYFUNCTION("""COMPUTED_VALUE"""),"08-24-04-6")</f>
        <v>08-24-04-6</v>
      </c>
      <c r="B444" s="36" t="str">
        <f>IFERROR(__xludf.DUMMYFUNCTION("""COMPUTED_VALUE"""),"")</f>
        <v/>
      </c>
      <c r="C444" s="36" t="str">
        <f>IFERROR(__xludf.DUMMYFUNCTION("""COMPUTED_VALUE"""),"")</f>
        <v/>
      </c>
      <c r="D444" s="36" t="str">
        <f>IFERROR(__xludf.DUMMYFUNCTION("""COMPUTED_VALUE"""),"")</f>
        <v/>
      </c>
      <c r="E444" s="36" t="str">
        <f>IFERROR(__xludf.DUMMYFUNCTION("""COMPUTED_VALUE"""),"01-44-07-148")</f>
        <v>01-44-07-148</v>
      </c>
      <c r="F444" s="36"/>
      <c r="G444" s="36" t="str">
        <f>IFERROR(__xludf.DUMMYFUNCTION("""COMPUTED_VALUE"""),"Av. Libertador y Matías Zavalla S")</f>
        <v>Av. Libertador y Matías Zavalla S</v>
      </c>
      <c r="H444" s="36" t="str">
        <f>IFERROR(__xludf.DUMMYFUNCTION("""COMPUTED_VALUE"""),"")</f>
        <v/>
      </c>
    </row>
    <row r="445">
      <c r="A445" s="36" t="str">
        <f>IFERROR(__xludf.DUMMYFUNCTION("""COMPUTED_VALUE"""),"08-24-04-7")</f>
        <v>08-24-04-7</v>
      </c>
      <c r="B445" s="36" t="str">
        <f>IFERROR(__xludf.DUMMYFUNCTION("""COMPUTED_VALUE"""),"")</f>
        <v/>
      </c>
      <c r="C445" s="36" t="str">
        <f>IFERROR(__xludf.DUMMYFUNCTION("""COMPUTED_VALUE"""),"")</f>
        <v/>
      </c>
      <c r="D445" s="36" t="str">
        <f>IFERROR(__xludf.DUMMYFUNCTION("""COMPUTED_VALUE"""),"")</f>
        <v/>
      </c>
      <c r="E445" s="36" t="str">
        <f>IFERROR(__xludf.DUMMYFUNCTION("""COMPUTED_VALUE"""),"02-31-06-31B")</f>
        <v>02-31-06-31B</v>
      </c>
      <c r="F445" s="36"/>
      <c r="G445" s="36" t="str">
        <f>IFERROR(__xludf.DUMMYFUNCTION("""COMPUTED_VALUE"""),"Av. Libertador y Meglioli N")</f>
        <v>Av. Libertador y Meglioli N</v>
      </c>
      <c r="H445" s="36" t="str">
        <f>IFERROR(__xludf.DUMMYFUNCTION("""COMPUTED_VALUE"""),"")</f>
        <v/>
      </c>
    </row>
    <row r="446">
      <c r="A446" s="36" t="str">
        <f>IFERROR(__xludf.DUMMYFUNCTION("""COMPUTED_VALUE"""),"08-24-04-8")</f>
        <v>08-24-04-8</v>
      </c>
      <c r="B446" s="36" t="str">
        <f>IFERROR(__xludf.DUMMYFUNCTION("""COMPUTED_VALUE"""),"")</f>
        <v/>
      </c>
      <c r="C446" s="36" t="str">
        <f>IFERROR(__xludf.DUMMYFUNCTION("""COMPUTED_VALUE"""),"")</f>
        <v/>
      </c>
      <c r="D446" s="36" t="str">
        <f>IFERROR(__xludf.DUMMYFUNCTION("""COMPUTED_VALUE"""),"")</f>
        <v/>
      </c>
      <c r="E446" s="36" t="str">
        <f>IFERROR(__xludf.DUMMYFUNCTION("""COMPUTED_VALUE"""),"02-36-06-31A")</f>
        <v>02-36-06-31A</v>
      </c>
      <c r="F446" s="36"/>
      <c r="G446" s="36" t="str">
        <f>IFERROR(__xludf.DUMMYFUNCTION("""COMPUTED_VALUE"""),"Av. Libertador y Meglioli S")</f>
        <v>Av. Libertador y Meglioli S</v>
      </c>
      <c r="H446" s="36" t="str">
        <f>IFERROR(__xludf.DUMMYFUNCTION("""COMPUTED_VALUE"""),"")</f>
        <v/>
      </c>
    </row>
    <row r="447">
      <c r="A447" s="36" t="str">
        <f>IFERROR(__xludf.DUMMYFUNCTION("""COMPUTED_VALUE"""),"08-26-04-43")</f>
        <v>08-26-04-43</v>
      </c>
      <c r="B447" s="36" t="str">
        <f>IFERROR(__xludf.DUMMYFUNCTION("""COMPUTED_VALUE"""),"")</f>
        <v/>
      </c>
      <c r="C447" s="36" t="str">
        <f>IFERROR(__xludf.DUMMYFUNCTION("""COMPUTED_VALUE"""),"")</f>
        <v/>
      </c>
      <c r="D447" s="36" t="str">
        <f>IFERROR(__xludf.DUMMYFUNCTION("""COMPUTED_VALUE"""),"")</f>
        <v/>
      </c>
      <c r="E447" s="36" t="str">
        <f>IFERROR(__xludf.DUMMYFUNCTION("""COMPUTED_VALUE"""),"01-41-08-17")</f>
        <v>01-41-08-17</v>
      </c>
      <c r="F447" s="36"/>
      <c r="G447" s="36" t="str">
        <f>IFERROR(__xludf.DUMMYFUNCTION("""COMPUTED_VALUE"""),"Av. Libertador y Mendoza")</f>
        <v>Av. Libertador y Mendoza</v>
      </c>
      <c r="H447" s="36" t="str">
        <f>IFERROR(__xludf.DUMMYFUNCTION("""COMPUTED_VALUE"""),"")</f>
        <v/>
      </c>
    </row>
    <row r="448">
      <c r="A448" s="36" t="str">
        <f>IFERROR(__xludf.DUMMYFUNCTION("""COMPUTED_VALUE"""),"08-26-04-44")</f>
        <v>08-26-04-44</v>
      </c>
      <c r="B448" s="36" t="str">
        <f>IFERROR(__xludf.DUMMYFUNCTION("""COMPUTED_VALUE"""),"")</f>
        <v/>
      </c>
      <c r="C448" s="36" t="str">
        <f>IFERROR(__xludf.DUMMYFUNCTION("""COMPUTED_VALUE"""),"")</f>
        <v/>
      </c>
      <c r="D448" s="36" t="str">
        <f>IFERROR(__xludf.DUMMYFUNCTION("""COMPUTED_VALUE"""),"")</f>
        <v/>
      </c>
      <c r="E448" s="36" t="str">
        <f>IFERROR(__xludf.DUMMYFUNCTION("""COMPUTED_VALUE"""),"03-32-09-6")</f>
        <v>03-32-09-6</v>
      </c>
      <c r="F448" s="36"/>
      <c r="G448" s="36" t="str">
        <f>IFERROR(__xludf.DUMMYFUNCTION("""COMPUTED_VALUE"""),"Av. Libertador y Miguel Ridao")</f>
        <v>Av. Libertador y Miguel Ridao</v>
      </c>
      <c r="H448" s="36" t="str">
        <f>IFERROR(__xludf.DUMMYFUNCTION("""COMPUTED_VALUE"""),"")</f>
        <v/>
      </c>
    </row>
    <row r="449">
      <c r="A449" s="36" t="str">
        <f>IFERROR(__xludf.DUMMYFUNCTION("""COMPUTED_VALUE"""),"08-26-04-45")</f>
        <v>08-26-04-45</v>
      </c>
      <c r="B449" s="36" t="str">
        <f>IFERROR(__xludf.DUMMYFUNCTION("""COMPUTED_VALUE"""),"")</f>
        <v/>
      </c>
      <c r="C449" s="36" t="str">
        <f>IFERROR(__xludf.DUMMYFUNCTION("""COMPUTED_VALUE"""),"")</f>
        <v/>
      </c>
      <c r="D449" s="36" t="str">
        <f>IFERROR(__xludf.DUMMYFUNCTION("""COMPUTED_VALUE"""),"")</f>
        <v/>
      </c>
      <c r="E449" s="36" t="str">
        <f>IFERROR(__xludf.DUMMYFUNCTION("""COMPUTED_VALUE"""),"01-40-09-1")</f>
        <v>01-40-09-1</v>
      </c>
      <c r="F449" s="36"/>
      <c r="G449" s="36" t="str">
        <f>IFERROR(__xludf.DUMMYFUNCTION("""COMPUTED_VALUE"""),"Av. Libertador y Patricias Sanjuaninas")</f>
        <v>Av. Libertador y Patricias Sanjuaninas</v>
      </c>
      <c r="H449" s="36" t="str">
        <f>IFERROR(__xludf.DUMMYFUNCTION("""COMPUTED_VALUE"""),"")</f>
        <v/>
      </c>
    </row>
    <row r="450">
      <c r="A450" s="36" t="str">
        <f>IFERROR(__xludf.DUMMYFUNCTION("""COMPUTED_VALUE"""),"08-26-04-46")</f>
        <v>08-26-04-46</v>
      </c>
      <c r="B450" s="36" t="str">
        <f>IFERROR(__xludf.DUMMYFUNCTION("""COMPUTED_VALUE"""),"")</f>
        <v/>
      </c>
      <c r="C450" s="36" t="str">
        <f>IFERROR(__xludf.DUMMYFUNCTION("""COMPUTED_VALUE"""),"")</f>
        <v/>
      </c>
      <c r="D450" s="36" t="str">
        <f>IFERROR(__xludf.DUMMYFUNCTION("""COMPUTED_VALUE"""),"")</f>
        <v/>
      </c>
      <c r="E450" s="36" t="str">
        <f>IFERROR(__xludf.DUMMYFUNCTION("""COMPUTED_VALUE"""),"01-45-07-151")</f>
        <v>01-45-07-151</v>
      </c>
      <c r="F450" s="36"/>
      <c r="G450" s="36" t="str">
        <f>IFERROR(__xludf.DUMMYFUNCTION("""COMPUTED_VALUE"""),"Av. Libertador y Paula A. de Sarmiento")</f>
        <v>Av. Libertador y Paula A. de Sarmiento</v>
      </c>
      <c r="H450" s="36" t="str">
        <f>IFERROR(__xludf.DUMMYFUNCTION("""COMPUTED_VALUE"""),"")</f>
        <v/>
      </c>
    </row>
    <row r="451">
      <c r="A451" s="36" t="str">
        <f>IFERROR(__xludf.DUMMYFUNCTION("""COMPUTED_VALUE"""),"08-26-04-47")</f>
        <v>08-26-04-47</v>
      </c>
      <c r="B451" s="36" t="str">
        <f>IFERROR(__xludf.DUMMYFUNCTION("""COMPUTED_VALUE"""),"")</f>
        <v/>
      </c>
      <c r="C451" s="36" t="str">
        <f>IFERROR(__xludf.DUMMYFUNCTION("""COMPUTED_VALUE"""),"")</f>
        <v/>
      </c>
      <c r="D451" s="36" t="str">
        <f>IFERROR(__xludf.DUMMYFUNCTION("""COMPUTED_VALUE"""),"")</f>
        <v/>
      </c>
      <c r="E451" s="36" t="str">
        <f>IFERROR(__xludf.DUMMYFUNCTION("""COMPUTED_VALUE"""),"02-34-05-36")</f>
        <v>02-34-05-36</v>
      </c>
      <c r="F451" s="36"/>
      <c r="G451" s="36" t="str">
        <f>IFERROR(__xludf.DUMMYFUNCTION("""COMPUTED_VALUE"""),"Av. Libertador y Pellegrini")</f>
        <v>Av. Libertador y Pellegrini</v>
      </c>
      <c r="H451" s="36" t="str">
        <f>IFERROR(__xludf.DUMMYFUNCTION("""COMPUTED_VALUE"""),"")</f>
        <v/>
      </c>
    </row>
    <row r="452">
      <c r="A452" s="36" t="str">
        <f>IFERROR(__xludf.DUMMYFUNCTION("""COMPUTED_VALUE"""),"08-26-04-48")</f>
        <v>08-26-04-48</v>
      </c>
      <c r="B452" s="36" t="str">
        <f>IFERROR(__xludf.DUMMYFUNCTION("""COMPUTED_VALUE"""),"")</f>
        <v/>
      </c>
      <c r="C452" s="36" t="str">
        <f>IFERROR(__xludf.DUMMYFUNCTION("""COMPUTED_VALUE"""),"")</f>
        <v/>
      </c>
      <c r="D452" s="36" t="str">
        <f>IFERROR(__xludf.DUMMYFUNCTION("""COMPUTED_VALUE"""),"")</f>
        <v/>
      </c>
      <c r="E452" s="36" t="str">
        <f>IFERROR(__xludf.DUMMYFUNCTION("""COMPUTED_VALUE"""),"02-32-05-26")</f>
        <v>02-32-05-26</v>
      </c>
      <c r="F452" s="36"/>
      <c r="G452" s="36" t="str">
        <f>IFERROR(__xludf.DUMMYFUNCTION("""COMPUTED_VALUE"""),"Av. Libertador y R. Salinas ")</f>
        <v>Av. Libertador y R. Salinas </v>
      </c>
      <c r="H452" s="36" t="str">
        <f>IFERROR(__xludf.DUMMYFUNCTION("""COMPUTED_VALUE"""),"")</f>
        <v/>
      </c>
    </row>
    <row r="453">
      <c r="A453" s="36" t="str">
        <f>IFERROR(__xludf.DUMMYFUNCTION("""COMPUTED_VALUE"""),"08-26-04-49")</f>
        <v>08-26-04-49</v>
      </c>
      <c r="B453" s="36" t="str">
        <f>IFERROR(__xludf.DUMMYFUNCTION("""COMPUTED_VALUE"""),"")</f>
        <v/>
      </c>
      <c r="C453" s="36" t="str">
        <f>IFERROR(__xludf.DUMMYFUNCTION("""COMPUTED_VALUE"""),"")</f>
        <v/>
      </c>
      <c r="D453" s="36" t="str">
        <f>IFERROR(__xludf.DUMMYFUNCTION("""COMPUTED_VALUE"""),"")</f>
        <v/>
      </c>
      <c r="E453" s="36" t="str">
        <f>IFERROR(__xludf.DUMMYFUNCTION("""COMPUTED_VALUE"""),"02-36-05-1")</f>
        <v>02-36-05-1</v>
      </c>
      <c r="F453" s="36"/>
      <c r="G453" s="36" t="str">
        <f>IFERROR(__xludf.DUMMYFUNCTION("""COMPUTED_VALUE"""),"Av. Libertador y Rastreador Calivar ")</f>
        <v>Av. Libertador y Rastreador Calivar </v>
      </c>
      <c r="H453" s="36" t="str">
        <f>IFERROR(__xludf.DUMMYFUNCTION("""COMPUTED_VALUE"""),"")</f>
        <v/>
      </c>
    </row>
    <row r="454">
      <c r="A454" s="36" t="str">
        <f>IFERROR(__xludf.DUMMYFUNCTION("""COMPUTED_VALUE"""),"08-26-04-50")</f>
        <v>08-26-04-50</v>
      </c>
      <c r="B454" s="36" t="str">
        <f>IFERROR(__xludf.DUMMYFUNCTION("""COMPUTED_VALUE"""),"")</f>
        <v/>
      </c>
      <c r="C454" s="36" t="str">
        <f>IFERROR(__xludf.DUMMYFUNCTION("""COMPUTED_VALUE"""),"")</f>
        <v/>
      </c>
      <c r="D454" s="36" t="str">
        <f>IFERROR(__xludf.DUMMYFUNCTION("""COMPUTED_VALUE"""),"")</f>
        <v/>
      </c>
      <c r="E454" s="36" t="str">
        <f>IFERROR(__xludf.DUMMYFUNCTION("""COMPUTED_VALUE"""),"01-32-07-175")</f>
        <v>01-32-07-175</v>
      </c>
      <c r="F454" s="36"/>
      <c r="G454" s="36" t="str">
        <f>IFERROR(__xludf.DUMMYFUNCTION("""COMPUTED_VALUE"""),"Av. Libertador y Roger Ballet N")</f>
        <v>Av. Libertador y Roger Ballet N</v>
      </c>
      <c r="H454" s="36" t="str">
        <f>IFERROR(__xludf.DUMMYFUNCTION("""COMPUTED_VALUE"""),"")</f>
        <v/>
      </c>
    </row>
    <row r="455">
      <c r="A455" s="36" t="str">
        <f>IFERROR(__xludf.DUMMYFUNCTION("""COMPUTED_VALUE"""),"08-26-04-51")</f>
        <v>08-26-04-51</v>
      </c>
      <c r="B455" s="36" t="str">
        <f>IFERROR(__xludf.DUMMYFUNCTION("""COMPUTED_VALUE"""),"")</f>
        <v/>
      </c>
      <c r="C455" s="36" t="str">
        <f>IFERROR(__xludf.DUMMYFUNCTION("""COMPUTED_VALUE"""),"")</f>
        <v/>
      </c>
      <c r="D455" s="36" t="str">
        <f>IFERROR(__xludf.DUMMYFUNCTION("""COMPUTED_VALUE"""),"")</f>
        <v/>
      </c>
      <c r="E455" s="36" t="str">
        <f>IFERROR(__xludf.DUMMYFUNCTION("""COMPUTED_VALUE"""),"01-33-07-170")</f>
        <v>01-33-07-170</v>
      </c>
      <c r="F455" s="36"/>
      <c r="G455" s="36" t="str">
        <f>IFERROR(__xludf.DUMMYFUNCTION("""COMPUTED_VALUE"""),"Av. Libertador y Roger Ballet S")</f>
        <v>Av. Libertador y Roger Ballet S</v>
      </c>
      <c r="H455" s="36" t="str">
        <f>IFERROR(__xludf.DUMMYFUNCTION("""COMPUTED_VALUE"""),"")</f>
        <v/>
      </c>
    </row>
    <row r="456">
      <c r="A456" s="36" t="str">
        <f>IFERROR(__xludf.DUMMYFUNCTION("""COMPUTED_VALUE"""),"08-26-04-52")</f>
        <v>08-26-04-52</v>
      </c>
      <c r="B456" s="36" t="str">
        <f>IFERROR(__xludf.DUMMYFUNCTION("""COMPUTED_VALUE"""),"")</f>
        <v/>
      </c>
      <c r="C456" s="36" t="str">
        <f>IFERROR(__xludf.DUMMYFUNCTION("""COMPUTED_VALUE"""),"")</f>
        <v/>
      </c>
      <c r="D456" s="36" t="str">
        <f>IFERROR(__xludf.DUMMYFUNCTION("""COMPUTED_VALUE"""),"")</f>
        <v/>
      </c>
      <c r="E456" s="36" t="str">
        <f>IFERROR(__xludf.DUMMYFUNCTION("""COMPUTED_VALUE"""),"01-43-07-38")</f>
        <v>01-43-07-38</v>
      </c>
      <c r="F456" s="36"/>
      <c r="G456" s="36" t="str">
        <f>IFERROR(__xludf.DUMMYFUNCTION("""COMPUTED_VALUE"""),"Av. Libertador y Salta")</f>
        <v>Av. Libertador y Salta</v>
      </c>
      <c r="H456" s="36" t="str">
        <f>IFERROR(__xludf.DUMMYFUNCTION("""COMPUTED_VALUE"""),"")</f>
        <v/>
      </c>
    </row>
    <row r="457">
      <c r="A457" s="36" t="str">
        <f>IFERROR(__xludf.DUMMYFUNCTION("""COMPUTED_VALUE"""),"08-26-04-53")</f>
        <v>08-26-04-53</v>
      </c>
      <c r="B457" s="36" t="str">
        <f>IFERROR(__xludf.DUMMYFUNCTION("""COMPUTED_VALUE"""),"")</f>
        <v/>
      </c>
      <c r="C457" s="36" t="str">
        <f>IFERROR(__xludf.DUMMYFUNCTION("""COMPUTED_VALUE"""),"")</f>
        <v/>
      </c>
      <c r="D457" s="36" t="str">
        <f>IFERROR(__xludf.DUMMYFUNCTION("""COMPUTED_VALUE"""),"")</f>
        <v/>
      </c>
      <c r="E457" s="36" t="str">
        <f>IFERROR(__xludf.DUMMYFUNCTION("""COMPUTED_VALUE"""),"02-31-06-27A")</f>
        <v>02-31-06-27A</v>
      </c>
      <c r="F457" s="36"/>
      <c r="G457" s="36" t="str">
        <f>IFERROR(__xludf.DUMMYFUNCTION("""COMPUTED_VALUE"""),"Av. Libertador y Sto. Domingo N")</f>
        <v>Av. Libertador y Sto. Domingo N</v>
      </c>
      <c r="H457" s="36" t="str">
        <f>IFERROR(__xludf.DUMMYFUNCTION("""COMPUTED_VALUE"""),"")</f>
        <v/>
      </c>
    </row>
    <row r="458">
      <c r="A458" s="36" t="str">
        <f>IFERROR(__xludf.DUMMYFUNCTION("""COMPUTED_VALUE"""),"08-26-04-54")</f>
        <v>08-26-04-54</v>
      </c>
      <c r="B458" s="36" t="str">
        <f>IFERROR(__xludf.DUMMYFUNCTION("""COMPUTED_VALUE"""),"")</f>
        <v/>
      </c>
      <c r="C458" s="36" t="str">
        <f>IFERROR(__xludf.DUMMYFUNCTION("""COMPUTED_VALUE"""),"")</f>
        <v/>
      </c>
      <c r="D458" s="36" t="str">
        <f>IFERROR(__xludf.DUMMYFUNCTION("""COMPUTED_VALUE"""),"")</f>
        <v/>
      </c>
      <c r="E458" s="36" t="str">
        <f>IFERROR(__xludf.DUMMYFUNCTION("""COMPUTED_VALUE"""),"02-36-06-27")</f>
        <v>02-36-06-27</v>
      </c>
      <c r="F458" s="36"/>
      <c r="G458" s="36" t="str">
        <f>IFERROR(__xludf.DUMMYFUNCTION("""COMPUTED_VALUE"""),"Av. Libertador y Sto. Domingo S")</f>
        <v>Av. Libertador y Sto. Domingo S</v>
      </c>
      <c r="H458" s="36" t="str">
        <f>IFERROR(__xludf.DUMMYFUNCTION("""COMPUTED_VALUE"""),"")</f>
        <v/>
      </c>
    </row>
    <row r="459">
      <c r="A459" s="36" t="str">
        <f>IFERROR(__xludf.DUMMYFUNCTION("""COMPUTED_VALUE"""),"08-26-04-55")</f>
        <v>08-26-04-55</v>
      </c>
      <c r="B459" s="36" t="str">
        <f>IFERROR(__xludf.DUMMYFUNCTION("""COMPUTED_VALUE"""),"")</f>
        <v/>
      </c>
      <c r="C459" s="36" t="str">
        <f>IFERROR(__xludf.DUMMYFUNCTION("""COMPUTED_VALUE"""),"")</f>
        <v/>
      </c>
      <c r="D459" s="36" t="str">
        <f>IFERROR(__xludf.DUMMYFUNCTION("""COMPUTED_VALUE"""),"")</f>
        <v/>
      </c>
      <c r="E459" s="36" t="str">
        <f>IFERROR(__xludf.DUMMYFUNCTION("""COMPUTED_VALUE"""),"02-20-05-34")</f>
        <v>02-20-05-34</v>
      </c>
      <c r="F459" s="36"/>
      <c r="G459" s="36" t="str">
        <f>IFERROR(__xludf.DUMMYFUNCTION("""COMPUTED_VALUE"""),"Av. Libertador y Tejada")</f>
        <v>Av. Libertador y Tejada</v>
      </c>
      <c r="H459" s="36" t="str">
        <f>IFERROR(__xludf.DUMMYFUNCTION("""COMPUTED_VALUE"""),"")</f>
        <v/>
      </c>
    </row>
    <row r="460">
      <c r="A460" s="36" t="str">
        <f>IFERROR(__xludf.DUMMYFUNCTION("""COMPUTED_VALUE"""),"08-26-04-56")</f>
        <v>08-26-04-56</v>
      </c>
      <c r="B460" s="36" t="str">
        <f>IFERROR(__xludf.DUMMYFUNCTION("""COMPUTED_VALUE"""),"")</f>
        <v/>
      </c>
      <c r="C460" s="36" t="str">
        <f>IFERROR(__xludf.DUMMYFUNCTION("""COMPUTED_VALUE"""),"")</f>
        <v/>
      </c>
      <c r="D460" s="36" t="str">
        <f>IFERROR(__xludf.DUMMYFUNCTION("""COMPUTED_VALUE"""),"")</f>
        <v/>
      </c>
      <c r="E460" s="36" t="str">
        <f>IFERROR(__xludf.DUMMYFUNCTION("""COMPUTED_VALUE"""),"01-44-07-144")</f>
        <v>01-44-07-144</v>
      </c>
      <c r="F460" s="36"/>
      <c r="G460" s="36" t="str">
        <f>IFERROR(__xludf.DUMMYFUNCTION("""COMPUTED_VALUE"""),"Av. Libertador y Urquiza")</f>
        <v>Av. Libertador y Urquiza</v>
      </c>
      <c r="H460" s="36" t="str">
        <f>IFERROR(__xludf.DUMMYFUNCTION("""COMPUTED_VALUE"""),"")</f>
        <v/>
      </c>
    </row>
    <row r="461">
      <c r="A461" s="36" t="str">
        <f>IFERROR(__xludf.DUMMYFUNCTION("""COMPUTED_VALUE"""),"08-26-04-57")</f>
        <v>08-26-04-57</v>
      </c>
      <c r="B461" s="36" t="str">
        <f>IFERROR(__xludf.DUMMYFUNCTION("""COMPUTED_VALUE"""),"")</f>
        <v/>
      </c>
      <c r="C461" s="36" t="str">
        <f>IFERROR(__xludf.DUMMYFUNCTION("""COMPUTED_VALUE"""),"")</f>
        <v/>
      </c>
      <c r="D461" s="36" t="str">
        <f>IFERROR(__xludf.DUMMYFUNCTION("""COMPUTED_VALUE"""),"")</f>
        <v/>
      </c>
      <c r="E461" s="36" t="str">
        <f>IFERROR(__xludf.DUMMYFUNCTION("""COMPUTED_VALUE"""),"08-34-01-19")</f>
        <v>08-34-01-19</v>
      </c>
      <c r="F461" s="36"/>
      <c r="G461" s="36" t="str">
        <f>IFERROR(__xludf.DUMMYFUNCTION("""COMPUTED_VALUE"""),"Av. Los Pinos y El Paisano E")</f>
        <v>Av. Los Pinos y El Paisano E</v>
      </c>
      <c r="H461" s="36" t="str">
        <f>IFERROR(__xludf.DUMMYFUNCTION("""COMPUTED_VALUE"""),"")</f>
        <v/>
      </c>
    </row>
    <row r="462">
      <c r="A462" s="36" t="str">
        <f>IFERROR(__xludf.DUMMYFUNCTION("""COMPUTED_VALUE"""),"08-26-04-64")</f>
        <v>08-26-04-64</v>
      </c>
      <c r="B462" s="36" t="str">
        <f>IFERROR(__xludf.DUMMYFUNCTION("""COMPUTED_VALUE"""),"")</f>
        <v/>
      </c>
      <c r="C462" s="36" t="str">
        <f>IFERROR(__xludf.DUMMYFUNCTION("""COMPUTED_VALUE"""),"")</f>
        <v/>
      </c>
      <c r="D462" s="36" t="str">
        <f>IFERROR(__xludf.DUMMYFUNCTION("""COMPUTED_VALUE"""),"")</f>
        <v/>
      </c>
      <c r="E462" s="36" t="str">
        <f>IFERROR(__xludf.DUMMYFUNCTION("""COMPUTED_VALUE"""),"08-34-01-20")</f>
        <v>08-34-01-20</v>
      </c>
      <c r="F462" s="36"/>
      <c r="G462" s="36" t="str">
        <f>IFERROR(__xludf.DUMMYFUNCTION("""COMPUTED_VALUE"""),"Av. Los Pinos y El Paisano O")</f>
        <v>Av. Los Pinos y El Paisano O</v>
      </c>
      <c r="H462" s="36" t="str">
        <f>IFERROR(__xludf.DUMMYFUNCTION("""COMPUTED_VALUE"""),"")</f>
        <v/>
      </c>
    </row>
    <row r="463">
      <c r="A463" s="36" t="str">
        <f>IFERROR(__xludf.DUMMYFUNCTION("""COMPUTED_VALUE"""),"08-26-04-66")</f>
        <v>08-26-04-66</v>
      </c>
      <c r="B463" s="36" t="str">
        <f>IFERROR(__xludf.DUMMYFUNCTION("""COMPUTED_VALUE"""),"")</f>
        <v/>
      </c>
      <c r="C463" s="36" t="str">
        <f>IFERROR(__xludf.DUMMYFUNCTION("""COMPUTED_VALUE"""),"")</f>
        <v/>
      </c>
      <c r="D463" s="36" t="str">
        <f>IFERROR(__xludf.DUMMYFUNCTION("""COMPUTED_VALUE"""),"")</f>
        <v/>
      </c>
      <c r="E463" s="36" t="str">
        <f>IFERROR(__xludf.DUMMYFUNCTION("""COMPUTED_VALUE"""),"08-34-01-22")</f>
        <v>08-34-01-22</v>
      </c>
      <c r="F463" s="36"/>
      <c r="G463" s="36" t="str">
        <f>IFERROR(__xludf.DUMMYFUNCTION("""COMPUTED_VALUE"""),"Av. Los Pinos y Marucho")</f>
        <v>Av. Los Pinos y Marucho</v>
      </c>
      <c r="H463" s="36" t="str">
        <f>IFERROR(__xludf.DUMMYFUNCTION("""COMPUTED_VALUE"""),"")</f>
        <v/>
      </c>
    </row>
    <row r="464">
      <c r="A464" s="36" t="str">
        <f>IFERROR(__xludf.DUMMYFUNCTION("""COMPUTED_VALUE"""),"08-26-04-68")</f>
        <v>08-26-04-68</v>
      </c>
      <c r="B464" s="36" t="str">
        <f>IFERROR(__xludf.DUMMYFUNCTION("""COMPUTED_VALUE"""),"")</f>
        <v/>
      </c>
      <c r="C464" s="36" t="str">
        <f>IFERROR(__xludf.DUMMYFUNCTION("""COMPUTED_VALUE"""),"")</f>
        <v/>
      </c>
      <c r="D464" s="36" t="str">
        <f>IFERROR(__xludf.DUMMYFUNCTION("""COMPUTED_VALUE"""),"")</f>
        <v/>
      </c>
      <c r="E464" s="36" t="str">
        <f>IFERROR(__xludf.DUMMYFUNCTION("""COMPUTED_VALUE"""),"08-23-04-107")</f>
        <v>08-23-04-107</v>
      </c>
      <c r="F464" s="36"/>
      <c r="G464" s="36" t="str">
        <f>IFERROR(__xludf.DUMMYFUNCTION("""COMPUTED_VALUE"""),"Av. N. Benavídez - Barrio Comuna San Miguel N")</f>
        <v>Av. N. Benavídez - Barrio Comuna San Miguel N</v>
      </c>
      <c r="H464" s="36" t="str">
        <f>IFERROR(__xludf.DUMMYFUNCTION("""COMPUTED_VALUE"""),"")</f>
        <v/>
      </c>
    </row>
    <row r="465">
      <c r="A465" s="36" t="str">
        <f>IFERROR(__xludf.DUMMYFUNCTION("""COMPUTED_VALUE"""),"08-44-04-81")</f>
        <v>08-44-04-81</v>
      </c>
      <c r="B465" s="36" t="str">
        <f>IFERROR(__xludf.DUMMYFUNCTION("""COMPUTED_VALUE"""),"")</f>
        <v/>
      </c>
      <c r="C465" s="36" t="str">
        <f>IFERROR(__xludf.DUMMYFUNCTION("""COMPUTED_VALUE"""),"")</f>
        <v/>
      </c>
      <c r="D465" s="36" t="str">
        <f>IFERROR(__xludf.DUMMYFUNCTION("""COMPUTED_VALUE"""),"")</f>
        <v/>
      </c>
      <c r="E465" s="36" t="str">
        <f>IFERROR(__xludf.DUMMYFUNCTION("""COMPUTED_VALUE"""),"03-22-04-106")</f>
        <v>03-22-04-106</v>
      </c>
      <c r="F465" s="36"/>
      <c r="G465" s="36" t="str">
        <f>IFERROR(__xludf.DUMMYFUNCTION("""COMPUTED_VALUE"""),"Av. N. Benavídez - Barrio Comuna San Miguel S")</f>
        <v>Av. N. Benavídez - Barrio Comuna San Miguel S</v>
      </c>
      <c r="H465" s="36" t="str">
        <f>IFERROR(__xludf.DUMMYFUNCTION("""COMPUTED_VALUE"""),"")</f>
        <v/>
      </c>
    </row>
    <row r="466">
      <c r="A466" s="36" t="str">
        <f>IFERROR(__xludf.DUMMYFUNCTION("""COMPUTED_VALUE"""),"02-20-05-34")</f>
        <v>02-20-05-34</v>
      </c>
      <c r="B466" s="36" t="str">
        <f>IFERROR(__xludf.DUMMYFUNCTION("""COMPUTED_VALUE"""),"")</f>
        <v/>
      </c>
      <c r="C466" s="36" t="str">
        <f>IFERROR(__xludf.DUMMYFUNCTION("""COMPUTED_VALUE"""),"")</f>
        <v/>
      </c>
      <c r="D466" s="36" t="str">
        <f>IFERROR(__xludf.DUMMYFUNCTION("""COMPUTED_VALUE"""),"")</f>
        <v/>
      </c>
      <c r="E466" s="36" t="str">
        <f>IFERROR(__xludf.DUMMYFUNCTION("""COMPUTED_VALUE"""),"08-23-04-96")</f>
        <v>08-23-04-96</v>
      </c>
      <c r="F466" s="36"/>
      <c r="G466" s="36" t="str">
        <f>IFERROR(__xludf.DUMMYFUNCTION("""COMPUTED_VALUE"""),"Av. N. Benavídez - Cattorini N")</f>
        <v>Av. N. Benavídez - Cattorini N</v>
      </c>
      <c r="H466" s="36" t="str">
        <f>IFERROR(__xludf.DUMMYFUNCTION("""COMPUTED_VALUE"""),"")</f>
        <v/>
      </c>
    </row>
    <row r="467">
      <c r="A467" s="36" t="str">
        <f>IFERROR(__xludf.DUMMYFUNCTION("""COMPUTED_VALUE"""),"02-20-05-41")</f>
        <v>02-20-05-41</v>
      </c>
      <c r="B467" s="36" t="str">
        <f>IFERROR(__xludf.DUMMYFUNCTION("""COMPUTED_VALUE"""),"")</f>
        <v/>
      </c>
      <c r="C467" s="36" t="str">
        <f>IFERROR(__xludf.DUMMYFUNCTION("""COMPUTED_VALUE"""),"")</f>
        <v/>
      </c>
      <c r="D467" s="36" t="str">
        <f>IFERROR(__xludf.DUMMYFUNCTION("""COMPUTED_VALUE"""),"")</f>
        <v/>
      </c>
      <c r="E467" s="36" t="str">
        <f>IFERROR(__xludf.DUMMYFUNCTION("""COMPUTED_VALUE"""),"03-20-04-95")</f>
        <v>03-20-04-95</v>
      </c>
      <c r="F467" s="36"/>
      <c r="G467" s="36" t="str">
        <f>IFERROR(__xludf.DUMMYFUNCTION("""COMPUTED_VALUE"""),"Av. N. Benavídez - Cattorini S")</f>
        <v>Av. N. Benavídez - Cattorini S</v>
      </c>
      <c r="H467" s="36" t="str">
        <f>IFERROR(__xludf.DUMMYFUNCTION("""COMPUTED_VALUE"""),"")</f>
        <v/>
      </c>
    </row>
    <row r="468">
      <c r="A468" s="36" t="str">
        <f>IFERROR(__xludf.DUMMYFUNCTION("""COMPUTED_VALUE"""),"02-20-05-43")</f>
        <v>02-20-05-43</v>
      </c>
      <c r="B468" s="36" t="str">
        <f>IFERROR(__xludf.DUMMYFUNCTION("""COMPUTED_VALUE"""),"")</f>
        <v/>
      </c>
      <c r="C468" s="36" t="str">
        <f>IFERROR(__xludf.DUMMYFUNCTION("""COMPUTED_VALUE"""),"")</f>
        <v/>
      </c>
      <c r="D468" s="36" t="str">
        <f>IFERROR(__xludf.DUMMYFUNCTION("""COMPUTED_VALUE"""),"")</f>
        <v/>
      </c>
      <c r="E468" s="36" t="str">
        <f>IFERROR(__xludf.DUMMYFUNCTION("""COMPUTED_VALUE"""),"08-23-04-115")</f>
        <v>08-23-04-115</v>
      </c>
      <c r="F468" s="36"/>
      <c r="G468" s="36" t="str">
        <f>IFERROR(__xludf.DUMMYFUNCTION("""COMPUTED_VALUE"""),"Av. N. Benavídez - Quintas N")</f>
        <v>Av. N. Benavídez - Quintas N</v>
      </c>
      <c r="H468" s="36" t="str">
        <f>IFERROR(__xludf.DUMMYFUNCTION("""COMPUTED_VALUE"""),"")</f>
        <v/>
      </c>
    </row>
    <row r="469">
      <c r="A469" s="36" t="str">
        <f>IFERROR(__xludf.DUMMYFUNCTION("""COMPUTED_VALUE"""),"02-20-05-44")</f>
        <v>02-20-05-44</v>
      </c>
      <c r="B469" s="36" t="str">
        <f>IFERROR(__xludf.DUMMYFUNCTION("""COMPUTED_VALUE"""),"")</f>
        <v/>
      </c>
      <c r="C469" s="36" t="str">
        <f>IFERROR(__xludf.DUMMYFUNCTION("""COMPUTED_VALUE"""),"")</f>
        <v/>
      </c>
      <c r="D469" s="36" t="str">
        <f>IFERROR(__xludf.DUMMYFUNCTION("""COMPUTED_VALUE"""),"")</f>
        <v/>
      </c>
      <c r="E469" s="36" t="str">
        <f>IFERROR(__xludf.DUMMYFUNCTION("""COMPUTED_VALUE"""),"03-22-04-114")</f>
        <v>03-22-04-114</v>
      </c>
      <c r="F469" s="36"/>
      <c r="G469" s="36" t="str">
        <f>IFERROR(__xludf.DUMMYFUNCTION("""COMPUTED_VALUE"""),"Av. N. Benavídez - Quintas S")</f>
        <v>Av. N. Benavídez - Quintas S</v>
      </c>
      <c r="H469" s="36" t="str">
        <f>IFERROR(__xludf.DUMMYFUNCTION("""COMPUTED_VALUE"""),"")</f>
        <v/>
      </c>
    </row>
    <row r="470">
      <c r="A470" s="36" t="str">
        <f>IFERROR(__xludf.DUMMYFUNCTION("""COMPUTED_VALUE"""),"02-20-05-45")</f>
        <v>02-20-05-45</v>
      </c>
      <c r="B470" s="36" t="str">
        <f>IFERROR(__xludf.DUMMYFUNCTION("""COMPUTED_VALUE"""),"")</f>
        <v/>
      </c>
      <c r="C470" s="36" t="str">
        <f>IFERROR(__xludf.DUMMYFUNCTION("""COMPUTED_VALUE"""),"")</f>
        <v/>
      </c>
      <c r="D470" s="36" t="str">
        <f>IFERROR(__xludf.DUMMYFUNCTION("""COMPUTED_VALUE"""),"")</f>
        <v/>
      </c>
      <c r="E470" s="36" t="str">
        <f>IFERROR(__xludf.DUMMYFUNCTION("""COMPUTED_VALUE"""),"08-23-04-102A")</f>
        <v>08-23-04-102A</v>
      </c>
      <c r="F470" s="36"/>
      <c r="G470" s="36" t="str">
        <f>IFERROR(__xludf.DUMMYFUNCTION("""COMPUTED_VALUE"""),"Av. N. Benavídez - SUM -Villa del Sur ")</f>
        <v>Av. N. Benavídez - SUM -Villa del Sur </v>
      </c>
      <c r="H470" s="36" t="str">
        <f>IFERROR(__xludf.DUMMYFUNCTION("""COMPUTED_VALUE"""),"")</f>
        <v/>
      </c>
    </row>
    <row r="471">
      <c r="A471" s="36" t="str">
        <f>IFERROR(__xludf.DUMMYFUNCTION("""COMPUTED_VALUE"""),"02-20-05-46")</f>
        <v>02-20-05-46</v>
      </c>
      <c r="B471" s="36" t="str">
        <f>IFERROR(__xludf.DUMMYFUNCTION("""COMPUTED_VALUE"""),"")</f>
        <v/>
      </c>
      <c r="C471" s="36" t="str">
        <f>IFERROR(__xludf.DUMMYFUNCTION("""COMPUTED_VALUE"""),"")</f>
        <v/>
      </c>
      <c r="D471" s="36" t="str">
        <f>IFERROR(__xludf.DUMMYFUNCTION("""COMPUTED_VALUE"""),"")</f>
        <v/>
      </c>
      <c r="E471" s="36" t="str">
        <f>IFERROR(__xludf.DUMMYFUNCTION("""COMPUTED_VALUE"""),"03-20-04-101A")</f>
        <v>03-20-04-101A</v>
      </c>
      <c r="F471" s="36"/>
      <c r="G471" s="36" t="str">
        <f>IFERROR(__xludf.DUMMYFUNCTION("""COMPUTED_VALUE"""),"Av. N. Benavídez - SUM Villa del Sur S")</f>
        <v>Av. N. Benavídez - SUM Villa del Sur S</v>
      </c>
      <c r="H471" s="36" t="str">
        <f>IFERROR(__xludf.DUMMYFUNCTION("""COMPUTED_VALUE"""),"")</f>
        <v/>
      </c>
    </row>
    <row r="472">
      <c r="A472" s="36" t="str">
        <f>IFERROR(__xludf.DUMMYFUNCTION("""COMPUTED_VALUE"""),"02-20-05-48")</f>
        <v>02-20-05-48</v>
      </c>
      <c r="B472" s="36" t="str">
        <f>IFERROR(__xludf.DUMMYFUNCTION("""COMPUTED_VALUE"""),"")</f>
        <v/>
      </c>
      <c r="C472" s="36" t="str">
        <f>IFERROR(__xludf.DUMMYFUNCTION("""COMPUTED_VALUE"""),"")</f>
        <v/>
      </c>
      <c r="D472" s="36" t="str">
        <f>IFERROR(__xludf.DUMMYFUNCTION("""COMPUTED_VALUE"""),"")</f>
        <v/>
      </c>
      <c r="E472" s="36" t="str">
        <f>IFERROR(__xludf.DUMMYFUNCTION("""COMPUTED_VALUE"""),"08-23-04-111")</f>
        <v>08-23-04-111</v>
      </c>
      <c r="F472" s="36"/>
      <c r="G472" s="36" t="str">
        <f>IFERROR(__xludf.DUMMYFUNCTION("""COMPUTED_VALUE"""),"Av. N. Benavídez - Villa Sol N")</f>
        <v>Av. N. Benavídez - Villa Sol N</v>
      </c>
      <c r="H472" s="36" t="str">
        <f>IFERROR(__xludf.DUMMYFUNCTION("""COMPUTED_VALUE"""),"")</f>
        <v/>
      </c>
    </row>
    <row r="473">
      <c r="A473" s="36" t="str">
        <f>IFERROR(__xludf.DUMMYFUNCTION("""COMPUTED_VALUE"""),"02-20-05-49")</f>
        <v>02-20-05-49</v>
      </c>
      <c r="B473" s="36" t="str">
        <f>IFERROR(__xludf.DUMMYFUNCTION("""COMPUTED_VALUE"""),"")</f>
        <v/>
      </c>
      <c r="C473" s="36" t="str">
        <f>IFERROR(__xludf.DUMMYFUNCTION("""COMPUTED_VALUE"""),"")</f>
        <v/>
      </c>
      <c r="D473" s="36" t="str">
        <f>IFERROR(__xludf.DUMMYFUNCTION("""COMPUTED_VALUE"""),"")</f>
        <v/>
      </c>
      <c r="E473" s="36" t="str">
        <f>IFERROR(__xludf.DUMMYFUNCTION("""COMPUTED_VALUE"""),"03-22-04-110")</f>
        <v>03-22-04-110</v>
      </c>
      <c r="F473" s="36"/>
      <c r="G473" s="36" t="str">
        <f>IFERROR(__xludf.DUMMYFUNCTION("""COMPUTED_VALUE"""),"Av. N. Benavídez - Villa Sol S")</f>
        <v>Av. N. Benavídez - Villa Sol S</v>
      </c>
      <c r="H473" s="36" t="str">
        <f>IFERROR(__xludf.DUMMYFUNCTION("""COMPUTED_VALUE"""),"")</f>
        <v/>
      </c>
    </row>
    <row r="474">
      <c r="A474" s="36" t="str">
        <f>IFERROR(__xludf.DUMMYFUNCTION("""COMPUTED_VALUE"""),"02-24-05-32")</f>
        <v>02-24-05-32</v>
      </c>
      <c r="B474" s="36" t="str">
        <f>IFERROR(__xludf.DUMMYFUNCTION("""COMPUTED_VALUE"""),"")</f>
        <v/>
      </c>
      <c r="C474" s="36" t="str">
        <f>IFERROR(__xludf.DUMMYFUNCTION("""COMPUTED_VALUE"""),"")</f>
        <v/>
      </c>
      <c r="D474" s="36" t="str">
        <f>IFERROR(__xludf.DUMMYFUNCTION("""COMPUTED_VALUE"""),"")</f>
        <v/>
      </c>
      <c r="E474" s="36" t="str">
        <f>IFERROR(__xludf.DUMMYFUNCTION("""COMPUTED_VALUE"""),"08-31-01-1")</f>
        <v>08-31-01-1</v>
      </c>
      <c r="F474" s="36"/>
      <c r="G474" s="36" t="str">
        <f>IFERROR(__xludf.DUMMYFUNCTION("""COMPUTED_VALUE"""),"Av. N. Benavídez e Ing. Quiroga  ")</f>
        <v>Av. N. Benavídez e Ing. Quiroga  </v>
      </c>
      <c r="H474" s="36" t="str">
        <f>IFERROR(__xludf.DUMMYFUNCTION("""COMPUTED_VALUE"""),"")</f>
        <v/>
      </c>
    </row>
    <row r="475">
      <c r="A475" s="36" t="str">
        <f>IFERROR(__xludf.DUMMYFUNCTION("""COMPUTED_VALUE"""),"02-24-05-33")</f>
        <v>02-24-05-33</v>
      </c>
      <c r="B475" s="36" t="str">
        <f>IFERROR(__xludf.DUMMYFUNCTION("""COMPUTED_VALUE"""),"")</f>
        <v/>
      </c>
      <c r="C475" s="36" t="str">
        <f>IFERROR(__xludf.DUMMYFUNCTION("""COMPUTED_VALUE"""),"")</f>
        <v/>
      </c>
      <c r="D475" s="36" t="str">
        <f>IFERROR(__xludf.DUMMYFUNCTION("""COMPUTED_VALUE"""),"")</f>
        <v/>
      </c>
      <c r="E475" s="36" t="str">
        <f>IFERROR(__xludf.DUMMYFUNCTION("""COMPUTED_VALUE"""),"03-22-04-1")</f>
        <v>03-22-04-1</v>
      </c>
      <c r="F475" s="36"/>
      <c r="G475" s="36" t="str">
        <f>IFERROR(__xludf.DUMMYFUNCTION("""COMPUTED_VALUE"""),"Av. N. Benavídez y Alvear")</f>
        <v>Av. N. Benavídez y Alvear</v>
      </c>
      <c r="H475" s="36" t="str">
        <f>IFERROR(__xludf.DUMMYFUNCTION("""COMPUTED_VALUE"""),"")</f>
        <v/>
      </c>
    </row>
    <row r="476">
      <c r="A476" s="36" t="str">
        <f>IFERROR(__xludf.DUMMYFUNCTION("""COMPUTED_VALUE"""),"02-24-05-47")</f>
        <v>02-24-05-47</v>
      </c>
      <c r="B476" s="36" t="str">
        <f>IFERROR(__xludf.DUMMYFUNCTION("""COMPUTED_VALUE"""),"")</f>
        <v/>
      </c>
      <c r="C476" s="36" t="str">
        <f>IFERROR(__xludf.DUMMYFUNCTION("""COMPUTED_VALUE"""),"")</f>
        <v/>
      </c>
      <c r="D476" s="36" t="str">
        <f>IFERROR(__xludf.DUMMYFUNCTION("""COMPUTED_VALUE"""),"")</f>
        <v/>
      </c>
      <c r="E476" s="36" t="str">
        <f>IFERROR(__xludf.DUMMYFUNCTION("""COMPUTED_VALUE"""),"02-26-01-18A")</f>
        <v>02-26-01-18A</v>
      </c>
      <c r="F476" s="36"/>
      <c r="G476" s="36" t="str">
        <f>IFERROR(__xludf.DUMMYFUNCTION("""COMPUTED_VALUE"""),"Av. N. Benavídez y Av. Los Pinos")</f>
        <v>Av. N. Benavídez y Av. Los Pinos</v>
      </c>
      <c r="H476" s="36" t="str">
        <f>IFERROR(__xludf.DUMMYFUNCTION("""COMPUTED_VALUE"""),"")</f>
        <v/>
      </c>
    </row>
    <row r="477">
      <c r="A477" s="36" t="str">
        <f>IFERROR(__xludf.DUMMYFUNCTION("""COMPUTED_VALUE"""),"02-24-05-51")</f>
        <v>02-24-05-51</v>
      </c>
      <c r="B477" s="36" t="str">
        <f>IFERROR(__xludf.DUMMYFUNCTION("""COMPUTED_VALUE"""),"")</f>
        <v/>
      </c>
      <c r="C477" s="36" t="str">
        <f>IFERROR(__xludf.DUMMYFUNCTION("""COMPUTED_VALUE"""),"")</f>
        <v/>
      </c>
      <c r="D477" s="36" t="str">
        <f>IFERROR(__xludf.DUMMYFUNCTION("""COMPUTED_VALUE"""),"")</f>
        <v/>
      </c>
      <c r="E477" s="36" t="str">
        <f>IFERROR(__xludf.DUMMYFUNCTION("""COMPUTED_VALUE"""),"08-24-04-4")</f>
        <v>08-24-04-4</v>
      </c>
      <c r="F477" s="36"/>
      <c r="G477" s="36" t="str">
        <f>IFERROR(__xludf.DUMMYFUNCTION("""COMPUTED_VALUE"""),"Av. N. Benavídez y Blanco")</f>
        <v>Av. N. Benavídez y Blanco</v>
      </c>
      <c r="H477" s="36" t="str">
        <f>IFERROR(__xludf.DUMMYFUNCTION("""COMPUTED_VALUE"""),"")</f>
        <v/>
      </c>
    </row>
    <row r="478">
      <c r="A478" s="36" t="str">
        <f>IFERROR(__xludf.DUMMYFUNCTION("""COMPUTED_VALUE"""),"02-24-05-52")</f>
        <v>02-24-05-52</v>
      </c>
      <c r="B478" s="36" t="str">
        <f>IFERROR(__xludf.DUMMYFUNCTION("""COMPUTED_VALUE"""),"")</f>
        <v/>
      </c>
      <c r="C478" s="36" t="str">
        <f>IFERROR(__xludf.DUMMYFUNCTION("""COMPUTED_VALUE"""),"")</f>
        <v/>
      </c>
      <c r="D478" s="36" t="str">
        <f>IFERROR(__xludf.DUMMYFUNCTION("""COMPUTED_VALUE"""),"")</f>
        <v/>
      </c>
      <c r="E478" s="36" t="str">
        <f>IFERROR(__xludf.DUMMYFUNCTION("""COMPUTED_VALUE"""),"08-23-04-98")</f>
        <v>08-23-04-98</v>
      </c>
      <c r="F478" s="36"/>
      <c r="G478" s="36" t="str">
        <f>IFERROR(__xludf.DUMMYFUNCTION("""COMPUTED_VALUE"""),"Av. N. Benavídez y Chacabuco N")</f>
        <v>Av. N. Benavídez y Chacabuco N</v>
      </c>
      <c r="H478" s="36" t="str">
        <f>IFERROR(__xludf.DUMMYFUNCTION("""COMPUTED_VALUE"""),"")</f>
        <v/>
      </c>
    </row>
    <row r="479">
      <c r="A479" s="36" t="str">
        <f>IFERROR(__xludf.DUMMYFUNCTION("""COMPUTED_VALUE"""),"02-24-05-53")</f>
        <v>02-24-05-53</v>
      </c>
      <c r="B479" s="36" t="str">
        <f>IFERROR(__xludf.DUMMYFUNCTION("""COMPUTED_VALUE"""),"")</f>
        <v/>
      </c>
      <c r="C479" s="36" t="str">
        <f>IFERROR(__xludf.DUMMYFUNCTION("""COMPUTED_VALUE"""),"")</f>
        <v/>
      </c>
      <c r="D479" s="36" t="str">
        <f>IFERROR(__xludf.DUMMYFUNCTION("""COMPUTED_VALUE"""),"")</f>
        <v/>
      </c>
      <c r="E479" s="36" t="str">
        <f>IFERROR(__xludf.DUMMYFUNCTION("""COMPUTED_VALUE"""),"03-20-04-97")</f>
        <v>03-20-04-97</v>
      </c>
      <c r="F479" s="36"/>
      <c r="G479" s="36" t="str">
        <f>IFERROR(__xludf.DUMMYFUNCTION("""COMPUTED_VALUE"""),"Av. N. Benavídez y Chacabuco S")</f>
        <v>Av. N. Benavídez y Chacabuco S</v>
      </c>
      <c r="H479" s="36" t="str">
        <f>IFERROR(__xludf.DUMMYFUNCTION("""COMPUTED_VALUE"""),"")</f>
        <v/>
      </c>
    </row>
    <row r="480">
      <c r="A480" s="36" t="str">
        <f>IFERROR(__xludf.DUMMYFUNCTION("""COMPUTED_VALUE"""),"02-24-05-54")</f>
        <v>02-24-05-54</v>
      </c>
      <c r="B480" s="36" t="str">
        <f>IFERROR(__xludf.DUMMYFUNCTION("""COMPUTED_VALUE"""),"")</f>
        <v/>
      </c>
      <c r="C480" s="36" t="str">
        <f>IFERROR(__xludf.DUMMYFUNCTION("""COMPUTED_VALUE"""),"")</f>
        <v/>
      </c>
      <c r="D480" s="36" t="str">
        <f>IFERROR(__xludf.DUMMYFUNCTION("""COMPUTED_VALUE"""),"")</f>
        <v/>
      </c>
      <c r="E480" s="36" t="str">
        <f>IFERROR(__xludf.DUMMYFUNCTION("""COMPUTED_VALUE"""),"03-20-04-105")</f>
        <v>03-20-04-105</v>
      </c>
      <c r="F480" s="36"/>
      <c r="G480" s="36" t="str">
        <f>IFERROR(__xludf.DUMMYFUNCTION("""COMPUTED_VALUE"""),"Av. N. Benavídez y Colón")</f>
        <v>Av. N. Benavídez y Colón</v>
      </c>
      <c r="H480" s="36" t="str">
        <f>IFERROR(__xludf.DUMMYFUNCTION("""COMPUTED_VALUE"""),"")</f>
        <v/>
      </c>
    </row>
    <row r="481">
      <c r="A481" s="36" t="str">
        <f>IFERROR(__xludf.DUMMYFUNCTION("""COMPUTED_VALUE"""),"02-24-05-55")</f>
        <v>02-24-05-55</v>
      </c>
      <c r="B481" s="36" t="str">
        <f>IFERROR(__xludf.DUMMYFUNCTION("""COMPUTED_VALUE"""),"")</f>
        <v/>
      </c>
      <c r="C481" s="36" t="str">
        <f>IFERROR(__xludf.DUMMYFUNCTION("""COMPUTED_VALUE"""),"")</f>
        <v/>
      </c>
      <c r="D481" s="36" t="str">
        <f>IFERROR(__xludf.DUMMYFUNCTION("""COMPUTED_VALUE"""),"")</f>
        <v/>
      </c>
      <c r="E481" s="36" t="str">
        <f>IFERROR(__xludf.DUMMYFUNCTION("""COMPUTED_VALUE"""),"08-23-04-104")</f>
        <v>08-23-04-104</v>
      </c>
      <c r="F481" s="36"/>
      <c r="G481" s="36" t="str">
        <f>IFERROR(__xludf.DUMMYFUNCTION("""COMPUTED_VALUE"""),"Av. N. Benavídez y Derqui N")</f>
        <v>Av. N. Benavídez y Derqui N</v>
      </c>
      <c r="H481" s="36" t="str">
        <f>IFERROR(__xludf.DUMMYFUNCTION("""COMPUTED_VALUE"""),"")</f>
        <v/>
      </c>
    </row>
    <row r="482">
      <c r="A482" s="36" t="str">
        <f>IFERROR(__xludf.DUMMYFUNCTION("""COMPUTED_VALUE"""),"02-24-05-56")</f>
        <v>02-24-05-56</v>
      </c>
      <c r="B482" s="36" t="str">
        <f>IFERROR(__xludf.DUMMYFUNCTION("""COMPUTED_VALUE"""),"")</f>
        <v/>
      </c>
      <c r="C482" s="36" t="str">
        <f>IFERROR(__xludf.DUMMYFUNCTION("""COMPUTED_VALUE"""),"")</f>
        <v/>
      </c>
      <c r="D482" s="36" t="str">
        <f>IFERROR(__xludf.DUMMYFUNCTION("""COMPUTED_VALUE"""),"")</f>
        <v/>
      </c>
      <c r="E482" s="36" t="str">
        <f>IFERROR(__xludf.DUMMYFUNCTION("""COMPUTED_VALUE"""),"03-20-04-103")</f>
        <v>03-20-04-103</v>
      </c>
      <c r="F482" s="36"/>
      <c r="G482" s="36" t="str">
        <f>IFERROR(__xludf.DUMMYFUNCTION("""COMPUTED_VALUE"""),"Av. N. Benavídez y Derqui S")</f>
        <v>Av. N. Benavídez y Derqui S</v>
      </c>
      <c r="H482" s="36" t="str">
        <f>IFERROR(__xludf.DUMMYFUNCTION("""COMPUTED_VALUE"""),"")</f>
        <v/>
      </c>
    </row>
    <row r="483">
      <c r="A483" s="36" t="str">
        <f>IFERROR(__xludf.DUMMYFUNCTION("""COMPUTED_VALUE"""),"02-24-05-57")</f>
        <v>02-24-05-57</v>
      </c>
      <c r="B483" s="36" t="str">
        <f>IFERROR(__xludf.DUMMYFUNCTION("""COMPUTED_VALUE"""),"")</f>
        <v/>
      </c>
      <c r="C483" s="36" t="str">
        <f>IFERROR(__xludf.DUMMYFUNCTION("""COMPUTED_VALUE"""),"")</f>
        <v/>
      </c>
      <c r="D483" s="36" t="str">
        <f>IFERROR(__xludf.DUMMYFUNCTION("""COMPUTED_VALUE"""),"")</f>
        <v/>
      </c>
      <c r="E483" s="36" t="str">
        <f>IFERROR(__xludf.DUMMYFUNCTION("""COMPUTED_VALUE"""),"08-32-01-18")</f>
        <v>08-32-01-18</v>
      </c>
      <c r="F483" s="36"/>
      <c r="G483" s="36" t="str">
        <f>IFERROR(__xludf.DUMMYFUNCTION("""COMPUTED_VALUE"""),"Av. N. Benavídez y El Domador ")</f>
        <v>Av. N. Benavídez y El Domador </v>
      </c>
      <c r="H483" s="36" t="str">
        <f>IFERROR(__xludf.DUMMYFUNCTION("""COMPUTED_VALUE"""),"")</f>
        <v/>
      </c>
    </row>
    <row r="484">
      <c r="A484" s="36" t="str">
        <f>IFERROR(__xludf.DUMMYFUNCTION("""COMPUTED_VALUE"""),"02-24-05-58")</f>
        <v>02-24-05-58</v>
      </c>
      <c r="B484" s="36" t="str">
        <f>IFERROR(__xludf.DUMMYFUNCTION("""COMPUTED_VALUE"""),"")</f>
        <v/>
      </c>
      <c r="C484" s="36" t="str">
        <f>IFERROR(__xludf.DUMMYFUNCTION("""COMPUTED_VALUE"""),"")</f>
        <v/>
      </c>
      <c r="D484" s="36" t="str">
        <f>IFERROR(__xludf.DUMMYFUNCTION("""COMPUTED_VALUE"""),"")</f>
        <v/>
      </c>
      <c r="E484" s="36" t="str">
        <f>IFERROR(__xludf.DUMMYFUNCTION("""COMPUTED_VALUE"""),"03-24-04-5")</f>
        <v>03-24-04-5</v>
      </c>
      <c r="F484" s="36"/>
      <c r="G484" s="36" t="str">
        <f>IFERROR(__xludf.DUMMYFUNCTION("""COMPUTED_VALUE"""),"Av. N. Benavídez y Flores")</f>
        <v>Av. N. Benavídez y Flores</v>
      </c>
      <c r="H484" s="36" t="str">
        <f>IFERROR(__xludf.DUMMYFUNCTION("""COMPUTED_VALUE"""),"")</f>
        <v/>
      </c>
    </row>
    <row r="485">
      <c r="A485" s="36" t="str">
        <f>IFERROR(__xludf.DUMMYFUNCTION("""COMPUTED_VALUE"""),"02-24-05-59")</f>
        <v>02-24-05-59</v>
      </c>
      <c r="B485" s="36" t="str">
        <f>IFERROR(__xludf.DUMMYFUNCTION("""COMPUTED_VALUE"""),"")</f>
        <v/>
      </c>
      <c r="C485" s="36" t="str">
        <f>IFERROR(__xludf.DUMMYFUNCTION("""COMPUTED_VALUE"""),"")</f>
        <v/>
      </c>
      <c r="D485" s="36" t="str">
        <f>IFERROR(__xludf.DUMMYFUNCTION("""COMPUTED_VALUE"""),"")</f>
        <v/>
      </c>
      <c r="E485" s="36" t="str">
        <f>IFERROR(__xludf.DUMMYFUNCTION("""COMPUTED_VALUE"""),"08-23-04-91A")</f>
        <v>08-23-04-91A</v>
      </c>
      <c r="F485" s="36"/>
      <c r="G485" s="36" t="str">
        <f>IFERROR(__xludf.DUMMYFUNCTION("""COMPUTED_VALUE"""),"Av. N. Benavídez y Grecco")</f>
        <v>Av. N. Benavídez y Grecco</v>
      </c>
      <c r="H485" s="36" t="str">
        <f>IFERROR(__xludf.DUMMYFUNCTION("""COMPUTED_VALUE"""),"")</f>
        <v/>
      </c>
    </row>
    <row r="486">
      <c r="A486" s="36" t="str">
        <f>IFERROR(__xludf.DUMMYFUNCTION("""COMPUTED_VALUE"""),"02-24-05-60")</f>
        <v>02-24-05-60</v>
      </c>
      <c r="B486" s="36" t="str">
        <f>IFERROR(__xludf.DUMMYFUNCTION("""COMPUTED_VALUE"""),"")</f>
        <v/>
      </c>
      <c r="C486" s="36" t="str">
        <f>IFERROR(__xludf.DUMMYFUNCTION("""COMPUTED_VALUE"""),"")</f>
        <v/>
      </c>
      <c r="D486" s="36" t="str">
        <f>IFERROR(__xludf.DUMMYFUNCTION("""COMPUTED_VALUE"""),"")</f>
        <v/>
      </c>
      <c r="E486" s="36" t="str">
        <f>IFERROR(__xludf.DUMMYFUNCTION("""COMPUTED_VALUE"""),"08-34-01-31")</f>
        <v>08-34-01-31</v>
      </c>
      <c r="F486" s="36"/>
      <c r="G486" s="36" t="str">
        <f>IFERROR(__xludf.DUMMYFUNCTION("""COMPUTED_VALUE"""),"Av. N. Benavídez y J. Vidable")</f>
        <v>Av. N. Benavídez y J. Vidable</v>
      </c>
      <c r="H486" s="36" t="str">
        <f>IFERROR(__xludf.DUMMYFUNCTION("""COMPUTED_VALUE"""),"")</f>
        <v/>
      </c>
    </row>
    <row r="487">
      <c r="A487" s="36" t="str">
        <f>IFERROR(__xludf.DUMMYFUNCTION("""COMPUTED_VALUE"""),"02-24-05-61")</f>
        <v>02-24-05-61</v>
      </c>
      <c r="B487" s="36" t="str">
        <f>IFERROR(__xludf.DUMMYFUNCTION("""COMPUTED_VALUE"""),"")</f>
        <v/>
      </c>
      <c r="C487" s="36" t="str">
        <f>IFERROR(__xludf.DUMMYFUNCTION("""COMPUTED_VALUE"""),"")</f>
        <v/>
      </c>
      <c r="D487" s="36" t="str">
        <f>IFERROR(__xludf.DUMMYFUNCTION("""COMPUTED_VALUE"""),"")</f>
        <v/>
      </c>
      <c r="E487" s="36" t="str">
        <f>IFERROR(__xludf.DUMMYFUNCTION("""COMPUTED_VALUE"""),"08-40-02-14")</f>
        <v>08-40-02-14</v>
      </c>
      <c r="F487" s="36"/>
      <c r="G487" s="36" t="str">
        <f>IFERROR(__xludf.DUMMYFUNCTION("""COMPUTED_VALUE"""),"Av. N. Benavídez y Jáchal N")</f>
        <v>Av. N. Benavídez y Jáchal N</v>
      </c>
      <c r="H487" s="36" t="str">
        <f>IFERROR(__xludf.DUMMYFUNCTION("""COMPUTED_VALUE"""),"")</f>
        <v/>
      </c>
    </row>
    <row r="488">
      <c r="A488" s="36" t="str">
        <f>IFERROR(__xludf.DUMMYFUNCTION("""COMPUTED_VALUE"""),"02-24-05-62")</f>
        <v>02-24-05-62</v>
      </c>
      <c r="B488" s="36" t="str">
        <f>IFERROR(__xludf.DUMMYFUNCTION("""COMPUTED_VALUE"""),"")</f>
        <v/>
      </c>
      <c r="C488" s="36" t="str">
        <f>IFERROR(__xludf.DUMMYFUNCTION("""COMPUTED_VALUE"""),"")</f>
        <v/>
      </c>
      <c r="D488" s="36" t="str">
        <f>IFERROR(__xludf.DUMMYFUNCTION("""COMPUTED_VALUE"""),"")</f>
        <v/>
      </c>
      <c r="E488" s="36" t="str">
        <f>IFERROR(__xludf.DUMMYFUNCTION("""COMPUTED_VALUE"""),"01-21-02-15")</f>
        <v>01-21-02-15</v>
      </c>
      <c r="F488" s="36"/>
      <c r="G488" s="36" t="str">
        <f>IFERROR(__xludf.DUMMYFUNCTION("""COMPUTED_VALUE"""),"Av. N. Benavídez y Jáchal S")</f>
        <v>Av. N. Benavídez y Jáchal S</v>
      </c>
      <c r="H488" s="36" t="str">
        <f>IFERROR(__xludf.DUMMYFUNCTION("""COMPUTED_VALUE"""),"")</f>
        <v/>
      </c>
    </row>
    <row r="489">
      <c r="A489" s="36" t="str">
        <f>IFERROR(__xludf.DUMMYFUNCTION("""COMPUTED_VALUE"""),"02-24-05-63")</f>
        <v>02-24-05-63</v>
      </c>
      <c r="B489" s="36" t="str">
        <f>IFERROR(__xludf.DUMMYFUNCTION("""COMPUTED_VALUE"""),"")</f>
        <v/>
      </c>
      <c r="C489" s="36" t="str">
        <f>IFERROR(__xludf.DUMMYFUNCTION("""COMPUTED_VALUE"""),"")</f>
        <v/>
      </c>
      <c r="D489" s="36" t="str">
        <f>IFERROR(__xludf.DUMMYFUNCTION("""COMPUTED_VALUE"""),"")</f>
        <v/>
      </c>
      <c r="E489" s="36" t="str">
        <f>IFERROR(__xludf.DUMMYFUNCTION("""COMPUTED_VALUE"""),"08-34-01-28")</f>
        <v>08-34-01-28</v>
      </c>
      <c r="F489" s="36"/>
      <c r="G489" s="36" t="str">
        <f>IFERROR(__xludf.DUMMYFUNCTION("""COMPUTED_VALUE"""),"Av. N. Benavídez y Mancini N")</f>
        <v>Av. N. Benavídez y Mancini N</v>
      </c>
      <c r="H489" s="36" t="str">
        <f>IFERROR(__xludf.DUMMYFUNCTION("""COMPUTED_VALUE"""),"")</f>
        <v/>
      </c>
    </row>
    <row r="490">
      <c r="A490" s="36" t="str">
        <f>IFERROR(__xludf.DUMMYFUNCTION("""COMPUTED_VALUE"""),"02-24-05-64")</f>
        <v>02-24-05-64</v>
      </c>
      <c r="B490" s="36" t="str">
        <f>IFERROR(__xludf.DUMMYFUNCTION("""COMPUTED_VALUE"""),"")</f>
        <v/>
      </c>
      <c r="C490" s="36" t="str">
        <f>IFERROR(__xludf.DUMMYFUNCTION("""COMPUTED_VALUE"""),"")</f>
        <v/>
      </c>
      <c r="D490" s="36" t="str">
        <f>IFERROR(__xludf.DUMMYFUNCTION("""COMPUTED_VALUE"""),"")</f>
        <v/>
      </c>
      <c r="E490" s="36" t="str">
        <f>IFERROR(__xludf.DUMMYFUNCTION("""COMPUTED_VALUE"""),"02-26-01-27")</f>
        <v>02-26-01-27</v>
      </c>
      <c r="F490" s="36"/>
      <c r="G490" s="36" t="str">
        <f>IFERROR(__xludf.DUMMYFUNCTION("""COMPUTED_VALUE"""),"Av. N. Benavídez y Mancini S")</f>
        <v>Av. N. Benavídez y Mancini S</v>
      </c>
      <c r="H490" s="36" t="str">
        <f>IFERROR(__xludf.DUMMYFUNCTION("""COMPUTED_VALUE"""),"")</f>
        <v/>
      </c>
    </row>
    <row r="491">
      <c r="A491" s="36" t="str">
        <f>IFERROR(__xludf.DUMMYFUNCTION("""COMPUTED_VALUE"""),"02-24-05-66")</f>
        <v>02-24-05-66</v>
      </c>
      <c r="B491" s="36" t="str">
        <f>IFERROR(__xludf.DUMMYFUNCTION("""COMPUTED_VALUE"""),"")</f>
        <v/>
      </c>
      <c r="C491" s="36" t="str">
        <f>IFERROR(__xludf.DUMMYFUNCTION("""COMPUTED_VALUE"""),"")</f>
        <v/>
      </c>
      <c r="D491" s="36" t="str">
        <f>IFERROR(__xludf.DUMMYFUNCTION("""COMPUTED_VALUE"""),"")</f>
        <v/>
      </c>
      <c r="E491" s="36" t="str">
        <f>IFERROR(__xludf.DUMMYFUNCTION("""COMPUTED_VALUE"""),"08-40-02-13")</f>
        <v>08-40-02-13</v>
      </c>
      <c r="F491" s="36"/>
      <c r="G491" s="36" t="str">
        <f>IFERROR(__xludf.DUMMYFUNCTION("""COMPUTED_VALUE"""),"Av. N. Benavídez y Maradona")</f>
        <v>Av. N. Benavídez y Maradona</v>
      </c>
      <c r="H491" s="36" t="str">
        <f>IFERROR(__xludf.DUMMYFUNCTION("""COMPUTED_VALUE"""),"")</f>
        <v/>
      </c>
    </row>
    <row r="492">
      <c r="A492" s="36" t="str">
        <f>IFERROR(__xludf.DUMMYFUNCTION("""COMPUTED_VALUE"""),"02-24-05-68")</f>
        <v>02-24-05-68</v>
      </c>
      <c r="B492" s="36" t="str">
        <f>IFERROR(__xludf.DUMMYFUNCTION("""COMPUTED_VALUE"""),"")</f>
        <v/>
      </c>
      <c r="C492" s="36" t="str">
        <f>IFERROR(__xludf.DUMMYFUNCTION("""COMPUTED_VALUE"""),"")</f>
        <v/>
      </c>
      <c r="D492" s="36" t="str">
        <f>IFERROR(__xludf.DUMMYFUNCTION("""COMPUTED_VALUE"""),"")</f>
        <v/>
      </c>
      <c r="E492" s="36" t="str">
        <f>IFERROR(__xludf.DUMMYFUNCTION("""COMPUTED_VALUE"""),"08-23-04-94")</f>
        <v>08-23-04-94</v>
      </c>
      <c r="F492" s="36"/>
      <c r="G492" s="36" t="str">
        <f>IFERROR(__xludf.DUMMYFUNCTION("""COMPUTED_VALUE"""),"Av. N. Benavídez y Necochea N")</f>
        <v>Av. N. Benavídez y Necochea N</v>
      </c>
      <c r="H492" s="36" t="str">
        <f>IFERROR(__xludf.DUMMYFUNCTION("""COMPUTED_VALUE"""),"")</f>
        <v/>
      </c>
    </row>
    <row r="493">
      <c r="A493" s="36" t="str">
        <f>IFERROR(__xludf.DUMMYFUNCTION("""COMPUTED_VALUE"""),"02-26-05-70")</f>
        <v>02-26-05-70</v>
      </c>
      <c r="B493" s="36" t="str">
        <f>IFERROR(__xludf.DUMMYFUNCTION("""COMPUTED_VALUE"""),"")</f>
        <v/>
      </c>
      <c r="C493" s="36" t="str">
        <f>IFERROR(__xludf.DUMMYFUNCTION("""COMPUTED_VALUE"""),"")</f>
        <v/>
      </c>
      <c r="D493" s="36" t="str">
        <f>IFERROR(__xludf.DUMMYFUNCTION("""COMPUTED_VALUE"""),"")</f>
        <v/>
      </c>
      <c r="E493" s="36" t="str">
        <f>IFERROR(__xludf.DUMMYFUNCTION("""COMPUTED_VALUE"""),"01-25-04-92")</f>
        <v>01-25-04-92</v>
      </c>
      <c r="F493" s="36"/>
      <c r="G493" s="36" t="str">
        <f>IFERROR(__xludf.DUMMYFUNCTION("""COMPUTED_VALUE"""),"Av. N. Benavídez y Necochea S")</f>
        <v>Av. N. Benavídez y Necochea S</v>
      </c>
      <c r="H493" s="36" t="str">
        <f>IFERROR(__xludf.DUMMYFUNCTION("""COMPUTED_VALUE"""),"")</f>
        <v/>
      </c>
    </row>
    <row r="494">
      <c r="A494" s="36" t="str">
        <f>IFERROR(__xludf.DUMMYFUNCTION("""COMPUTED_VALUE"""),"02-26-05-72")</f>
        <v>02-26-05-72</v>
      </c>
      <c r="B494" s="36" t="str">
        <f>IFERROR(__xludf.DUMMYFUNCTION("""COMPUTED_VALUE"""),"")</f>
        <v/>
      </c>
      <c r="C494" s="36" t="str">
        <f>IFERROR(__xludf.DUMMYFUNCTION("""COMPUTED_VALUE"""),"")</f>
        <v/>
      </c>
      <c r="D494" s="36" t="str">
        <f>IFERROR(__xludf.DUMMYFUNCTION("""COMPUTED_VALUE"""),"")</f>
        <v/>
      </c>
      <c r="E494" s="36" t="str">
        <f>IFERROR(__xludf.DUMMYFUNCTION("""COMPUTED_VALUE"""),"01-20-02-122B")</f>
        <v>01-20-02-122B</v>
      </c>
      <c r="F494" s="36"/>
      <c r="G494" s="36" t="str">
        <f>IFERROR(__xludf.DUMMYFUNCTION("""COMPUTED_VALUE"""),"Av. N. Benavídez y Paula A. de Sarmiento E ")</f>
        <v>Av. N. Benavídez y Paula A. de Sarmiento E </v>
      </c>
      <c r="H494" s="36" t="str">
        <f>IFERROR(__xludf.DUMMYFUNCTION("""COMPUTED_VALUE"""),"")</f>
        <v/>
      </c>
    </row>
    <row r="495">
      <c r="A495" s="36" t="str">
        <f>IFERROR(__xludf.DUMMYFUNCTION("""COMPUTED_VALUE"""),"02-31-05-16")</f>
        <v>02-31-05-16</v>
      </c>
      <c r="B495" s="36" t="str">
        <f>IFERROR(__xludf.DUMMYFUNCTION("""COMPUTED_VALUE"""),"")</f>
        <v/>
      </c>
      <c r="C495" s="36" t="str">
        <f>IFERROR(__xludf.DUMMYFUNCTION("""COMPUTED_VALUE"""),"")</f>
        <v/>
      </c>
      <c r="D495" s="36" t="str">
        <f>IFERROR(__xludf.DUMMYFUNCTION("""COMPUTED_VALUE"""),"")</f>
        <v/>
      </c>
      <c r="E495" s="36" t="str">
        <f>IFERROR(__xludf.DUMMYFUNCTION("""COMPUTED_VALUE"""),"08-36-02-122A")</f>
        <v>08-36-02-122A</v>
      </c>
      <c r="F495" s="36"/>
      <c r="G495" s="36" t="str">
        <f>IFERROR(__xludf.DUMMYFUNCTION("""COMPUTED_VALUE"""),"Av. N. Benavídez y Paula A. de Sarmiento N")</f>
        <v>Av. N. Benavídez y Paula A. de Sarmiento N</v>
      </c>
      <c r="H495" s="36" t="str">
        <f>IFERROR(__xludf.DUMMYFUNCTION("""COMPUTED_VALUE"""),"")</f>
        <v/>
      </c>
    </row>
    <row r="496">
      <c r="A496" s="36" t="str">
        <f>IFERROR(__xludf.DUMMYFUNCTION("""COMPUTED_VALUE"""),"02-31-05-17")</f>
        <v>02-31-05-17</v>
      </c>
      <c r="B496" s="36" t="str">
        <f>IFERROR(__xludf.DUMMYFUNCTION("""COMPUTED_VALUE"""),"")</f>
        <v/>
      </c>
      <c r="C496" s="36" t="str">
        <f>IFERROR(__xludf.DUMMYFUNCTION("""COMPUTED_VALUE"""),"")</f>
        <v/>
      </c>
      <c r="D496" s="36" t="str">
        <f>IFERROR(__xludf.DUMMYFUNCTION("""COMPUTED_VALUE"""),"")</f>
        <v/>
      </c>
      <c r="E496" s="36" t="str">
        <f>IFERROR(__xludf.DUMMYFUNCTION("""COMPUTED_VALUE"""),"08-23-04-109")</f>
        <v>08-23-04-109</v>
      </c>
      <c r="F496" s="36"/>
      <c r="G496" s="36" t="str">
        <f>IFERROR(__xludf.DUMMYFUNCTION("""COMPUTED_VALUE"""),"Av. N. Benavídez y Pineda N")</f>
        <v>Av. N. Benavídez y Pineda N</v>
      </c>
      <c r="H496" s="36" t="str">
        <f>IFERROR(__xludf.DUMMYFUNCTION("""COMPUTED_VALUE"""),"")</f>
        <v/>
      </c>
    </row>
    <row r="497">
      <c r="A497" s="36" t="str">
        <f>IFERROR(__xludf.DUMMYFUNCTION("""COMPUTED_VALUE"""),"02-31-05-18")</f>
        <v>02-31-05-18</v>
      </c>
      <c r="B497" s="36" t="str">
        <f>IFERROR(__xludf.DUMMYFUNCTION("""COMPUTED_VALUE"""),"")</f>
        <v/>
      </c>
      <c r="C497" s="36" t="str">
        <f>IFERROR(__xludf.DUMMYFUNCTION("""COMPUTED_VALUE"""),"")</f>
        <v/>
      </c>
      <c r="D497" s="36" t="str">
        <f>IFERROR(__xludf.DUMMYFUNCTION("""COMPUTED_VALUE"""),"")</f>
        <v/>
      </c>
      <c r="E497" s="36" t="str">
        <f>IFERROR(__xludf.DUMMYFUNCTION("""COMPUTED_VALUE"""),"03-22-04-108")</f>
        <v>03-22-04-108</v>
      </c>
      <c r="F497" s="36"/>
      <c r="G497" s="36" t="str">
        <f>IFERROR(__xludf.DUMMYFUNCTION("""COMPUTED_VALUE"""),"Av. N. Benavídez y Pineda S")</f>
        <v>Av. N. Benavídez y Pineda S</v>
      </c>
      <c r="H497" s="36" t="str">
        <f>IFERROR(__xludf.DUMMYFUNCTION("""COMPUTED_VALUE"""),"")</f>
        <v/>
      </c>
    </row>
    <row r="498">
      <c r="A498" s="36" t="str">
        <f>IFERROR(__xludf.DUMMYFUNCTION("""COMPUTED_VALUE"""),"02-31-05-2")</f>
        <v>02-31-05-2</v>
      </c>
      <c r="B498" s="36" t="str">
        <f>IFERROR(__xludf.DUMMYFUNCTION("""COMPUTED_VALUE"""),"")</f>
        <v/>
      </c>
      <c r="C498" s="36" t="str">
        <f>IFERROR(__xludf.DUMMYFUNCTION("""COMPUTED_VALUE"""),"")</f>
        <v/>
      </c>
      <c r="D498" s="36" t="str">
        <f>IFERROR(__xludf.DUMMYFUNCTION("""COMPUTED_VALUE"""),"")</f>
        <v/>
      </c>
      <c r="E498" s="36" t="str">
        <f>IFERROR(__xludf.DUMMYFUNCTION("""COMPUTED_VALUE"""),"08-23-04-117")</f>
        <v>08-23-04-117</v>
      </c>
      <c r="F498" s="36"/>
      <c r="G498" s="36" t="str">
        <f>IFERROR(__xludf.DUMMYFUNCTION("""COMPUTED_VALUE"""),"Av. N. Benavídez y San Juan N")</f>
        <v>Av. N. Benavídez y San Juan N</v>
      </c>
      <c r="H498" s="36" t="str">
        <f>IFERROR(__xludf.DUMMYFUNCTION("""COMPUTED_VALUE"""),"")</f>
        <v/>
      </c>
    </row>
    <row r="499">
      <c r="A499" s="36" t="str">
        <f>IFERROR(__xludf.DUMMYFUNCTION("""COMPUTED_VALUE"""),"02-31-05-4")</f>
        <v>02-31-05-4</v>
      </c>
      <c r="B499" s="36" t="str">
        <f>IFERROR(__xludf.DUMMYFUNCTION("""COMPUTED_VALUE"""),"")</f>
        <v/>
      </c>
      <c r="C499" s="36" t="str">
        <f>IFERROR(__xludf.DUMMYFUNCTION("""COMPUTED_VALUE"""),"")</f>
        <v/>
      </c>
      <c r="D499" s="36" t="str">
        <f>IFERROR(__xludf.DUMMYFUNCTION("""COMPUTED_VALUE"""),"")</f>
        <v/>
      </c>
      <c r="E499" s="36" t="str">
        <f>IFERROR(__xludf.DUMMYFUNCTION("""COMPUTED_VALUE"""),"03-22-04-116")</f>
        <v>03-22-04-116</v>
      </c>
      <c r="F499" s="36"/>
      <c r="G499" s="36" t="str">
        <f>IFERROR(__xludf.DUMMYFUNCTION("""COMPUTED_VALUE"""),"Av. N. Benavídez y San Juan S")</f>
        <v>Av. N. Benavídez y San Juan S</v>
      </c>
      <c r="H499" s="36" t="str">
        <f>IFERROR(__xludf.DUMMYFUNCTION("""COMPUTED_VALUE"""),"")</f>
        <v/>
      </c>
    </row>
    <row r="500">
      <c r="A500" s="36" t="str">
        <f>IFERROR(__xludf.DUMMYFUNCTION("""COMPUTED_VALUE"""),"02-32-05-10")</f>
        <v>02-32-05-10</v>
      </c>
      <c r="B500" s="36" t="str">
        <f>IFERROR(__xludf.DUMMYFUNCTION("""COMPUTED_VALUE"""),"")</f>
        <v/>
      </c>
      <c r="C500" s="36" t="str">
        <f>IFERROR(__xludf.DUMMYFUNCTION("""COMPUTED_VALUE"""),"")</f>
        <v/>
      </c>
      <c r="D500" s="36" t="str">
        <f>IFERROR(__xludf.DUMMYFUNCTION("""COMPUTED_VALUE"""),"")</f>
        <v/>
      </c>
      <c r="E500" s="36" t="str">
        <f>IFERROR(__xludf.DUMMYFUNCTION("""COMPUTED_VALUE"""),"08-34-0-43")</f>
        <v>08-34-0-43</v>
      </c>
      <c r="F500" s="36"/>
      <c r="G500" s="36" t="str">
        <f>IFERROR(__xludf.DUMMYFUNCTION("""COMPUTED_VALUE"""),"Av. N. Benavídez y Velázquez ")</f>
        <v>Av. N. Benavídez y Velázquez </v>
      </c>
      <c r="H500" s="36" t="str">
        <f>IFERROR(__xludf.DUMMYFUNCTION("""COMPUTED_VALUE"""),"")</f>
        <v/>
      </c>
    </row>
    <row r="501">
      <c r="A501" s="36" t="str">
        <f>IFERROR(__xludf.DUMMYFUNCTION("""COMPUTED_VALUE"""),"02-32-05-11")</f>
        <v>02-32-05-11</v>
      </c>
      <c r="B501" s="36" t="str">
        <f>IFERROR(__xludf.DUMMYFUNCTION("""COMPUTED_VALUE"""),"")</f>
        <v/>
      </c>
      <c r="C501" s="36" t="str">
        <f>IFERROR(__xludf.DUMMYFUNCTION("""COMPUTED_VALUE"""),"")</f>
        <v/>
      </c>
      <c r="D501" s="36" t="str">
        <f>IFERROR(__xludf.DUMMYFUNCTION("""COMPUTED_VALUE"""),"")</f>
        <v/>
      </c>
      <c r="E501" s="36" t="str">
        <f>IFERROR(__xludf.DUMMYFUNCTION("""COMPUTED_VALUE"""),"08-23-04-100")</f>
        <v>08-23-04-100</v>
      </c>
      <c r="F501" s="36"/>
      <c r="G501" s="36" t="str">
        <f>IFERROR(__xludf.DUMMYFUNCTION("""COMPUTED_VALUE"""),"Av. N. Benavídez y Villa del Sur N")</f>
        <v>Av. N. Benavídez y Villa del Sur N</v>
      </c>
      <c r="H501" s="36" t="str">
        <f>IFERROR(__xludf.DUMMYFUNCTION("""COMPUTED_VALUE"""),"")</f>
        <v/>
      </c>
    </row>
    <row r="502">
      <c r="A502" s="36" t="str">
        <f>IFERROR(__xludf.DUMMYFUNCTION("""COMPUTED_VALUE"""),"02-32-05-12")</f>
        <v>02-32-05-12</v>
      </c>
      <c r="B502" s="36" t="str">
        <f>IFERROR(__xludf.DUMMYFUNCTION("""COMPUTED_VALUE"""),"")</f>
        <v/>
      </c>
      <c r="C502" s="36" t="str">
        <f>IFERROR(__xludf.DUMMYFUNCTION("""COMPUTED_VALUE"""),"")</f>
        <v/>
      </c>
      <c r="D502" s="36" t="str">
        <f>IFERROR(__xludf.DUMMYFUNCTION("""COMPUTED_VALUE"""),"")</f>
        <v/>
      </c>
      <c r="E502" s="36" t="str">
        <f>IFERROR(__xludf.DUMMYFUNCTION("""COMPUTED_VALUE"""),"03-20-04-99")</f>
        <v>03-20-04-99</v>
      </c>
      <c r="F502" s="36"/>
      <c r="G502" s="36" t="str">
        <f>IFERROR(__xludf.DUMMYFUNCTION("""COMPUTED_VALUE"""),"Av. N. Benavídez y Villa del Sur S")</f>
        <v>Av. N. Benavídez y Villa del Sur S</v>
      </c>
      <c r="H502" s="36" t="str">
        <f>IFERROR(__xludf.DUMMYFUNCTION("""COMPUTED_VALUE"""),"")</f>
        <v/>
      </c>
    </row>
    <row r="503">
      <c r="A503" s="36" t="str">
        <f>IFERROR(__xludf.DUMMYFUNCTION("""COMPUTED_VALUE"""),"02-32-05-13")</f>
        <v>02-32-05-13</v>
      </c>
      <c r="B503" s="36" t="str">
        <f>IFERROR(__xludf.DUMMYFUNCTION("""COMPUTED_VALUE"""),"")</f>
        <v/>
      </c>
      <c r="C503" s="36" t="str">
        <f>IFERROR(__xludf.DUMMYFUNCTION("""COMPUTED_VALUE"""),"")</f>
        <v/>
      </c>
      <c r="D503" s="36" t="str">
        <f>IFERROR(__xludf.DUMMYFUNCTION("""COMPUTED_VALUE"""),"")</f>
        <v/>
      </c>
      <c r="E503" s="36" t="str">
        <f>IFERROR(__xludf.DUMMYFUNCTION("""COMPUTED_VALUE"""),"01-58-07-56")</f>
        <v>01-58-07-56</v>
      </c>
      <c r="F503" s="36"/>
      <c r="G503" s="36" t="str">
        <f>IFERROR(__xludf.DUMMYFUNCTION("""COMPUTED_VALUE"""),"Av. Nuche y Segundino Navarro")</f>
        <v>Av. Nuche y Segundino Navarro</v>
      </c>
      <c r="H503" s="36" t="str">
        <f>IFERROR(__xludf.DUMMYFUNCTION("""COMPUTED_VALUE"""),"")</f>
        <v/>
      </c>
    </row>
    <row r="504">
      <c r="A504" s="36" t="str">
        <f>IFERROR(__xludf.DUMMYFUNCTION("""COMPUTED_VALUE"""),"02-32-05-14")</f>
        <v>02-32-05-14</v>
      </c>
      <c r="B504" s="36" t="str">
        <f>IFERROR(__xludf.DUMMYFUNCTION("""COMPUTED_VALUE"""),"")</f>
        <v/>
      </c>
      <c r="C504" s="36" t="str">
        <f>IFERROR(__xludf.DUMMYFUNCTION("""COMPUTED_VALUE"""),"")</f>
        <v/>
      </c>
      <c r="D504" s="36" t="str">
        <f>IFERROR(__xludf.DUMMYFUNCTION("""COMPUTED_VALUE"""),"")</f>
        <v/>
      </c>
      <c r="E504" s="36" t="str">
        <f>IFERROR(__xludf.DUMMYFUNCTION("""COMPUTED_VALUE"""),"02-32-11-104")</f>
        <v>02-32-11-104</v>
      </c>
      <c r="F504" s="36"/>
      <c r="G504" s="36" t="str">
        <f>IFERROR(__xludf.DUMMYFUNCTION("""COMPUTED_VALUE"""),"Av. P. Argentinos Norte y R. Salinas")</f>
        <v>Av. P. Argentinos Norte y R. Salinas</v>
      </c>
      <c r="H504" s="36" t="str">
        <f>IFERROR(__xludf.DUMMYFUNCTION("""COMPUTED_VALUE"""),"")</f>
        <v/>
      </c>
    </row>
    <row r="505">
      <c r="A505" s="36" t="str">
        <f>IFERROR(__xludf.DUMMYFUNCTION("""COMPUTED_VALUE"""),"02-32-05-15")</f>
        <v>02-32-05-15</v>
      </c>
      <c r="B505" s="36" t="str">
        <f>IFERROR(__xludf.DUMMYFUNCTION("""COMPUTED_VALUE"""),"")</f>
        <v/>
      </c>
      <c r="C505" s="36" t="str">
        <f>IFERROR(__xludf.DUMMYFUNCTION("""COMPUTED_VALUE"""),"")</f>
        <v/>
      </c>
      <c r="D505" s="36" t="str">
        <f>IFERROR(__xludf.DUMMYFUNCTION("""COMPUTED_VALUE"""),"")</f>
        <v/>
      </c>
      <c r="E505" s="36" t="str">
        <f>IFERROR(__xludf.DUMMYFUNCTION("""COMPUTED_VALUE"""),"02-32-11-105")</f>
        <v>02-32-11-105</v>
      </c>
      <c r="F505" s="36"/>
      <c r="G505" s="36" t="str">
        <f>IFERROR(__xludf.DUMMYFUNCTION("""COMPUTED_VALUE"""),"Av. P. Argentinos Sur y Dr. Cortínez")</f>
        <v>Av. P. Argentinos Sur y Dr. Cortínez</v>
      </c>
      <c r="H505" s="36" t="str">
        <f>IFERROR(__xludf.DUMMYFUNCTION("""COMPUTED_VALUE"""),"")</f>
        <v/>
      </c>
    </row>
    <row r="506">
      <c r="A506" s="36" t="str">
        <f>IFERROR(__xludf.DUMMYFUNCTION("""COMPUTED_VALUE"""),"02-32-05-19")</f>
        <v>02-32-05-19</v>
      </c>
      <c r="B506" s="36" t="str">
        <f>IFERROR(__xludf.DUMMYFUNCTION("""COMPUTED_VALUE"""),"")</f>
        <v/>
      </c>
      <c r="C506" s="36" t="str">
        <f>IFERROR(__xludf.DUMMYFUNCTION("""COMPUTED_VALUE"""),"")</f>
        <v/>
      </c>
      <c r="D506" s="36" t="str">
        <f>IFERROR(__xludf.DUMMYFUNCTION("""COMPUTED_VALUE"""),"")</f>
        <v/>
      </c>
      <c r="E506" s="36" t="str">
        <f>IFERROR(__xludf.DUMMYFUNCTION("""COMPUTED_VALUE"""),"02-32-11-104A")</f>
        <v>02-32-11-104A</v>
      </c>
      <c r="F506" s="36"/>
      <c r="G506" s="36" t="str">
        <f>IFERROR(__xludf.DUMMYFUNCTION("""COMPUTED_VALUE"""),"Av. P. Argentinos Sur y R. Salinas")</f>
        <v>Av. P. Argentinos Sur y R. Salinas</v>
      </c>
      <c r="H506" s="36" t="str">
        <f>IFERROR(__xludf.DUMMYFUNCTION("""COMPUTED_VALUE"""),"")</f>
        <v/>
      </c>
    </row>
    <row r="507">
      <c r="A507" s="36" t="str">
        <f>IFERROR(__xludf.DUMMYFUNCTION("""COMPUTED_VALUE"""),"02-32-05-21")</f>
        <v>02-32-05-21</v>
      </c>
      <c r="B507" s="36" t="str">
        <f>IFERROR(__xludf.DUMMYFUNCTION("""COMPUTED_VALUE"""),"")</f>
        <v/>
      </c>
      <c r="C507" s="36" t="str">
        <f>IFERROR(__xludf.DUMMYFUNCTION("""COMPUTED_VALUE"""),"")</f>
        <v/>
      </c>
      <c r="D507" s="36" t="str">
        <f>IFERROR(__xludf.DUMMYFUNCTION("""COMPUTED_VALUE"""),"")</f>
        <v/>
      </c>
      <c r="E507" s="36" t="str">
        <f>IFERROR(__xludf.DUMMYFUNCTION("""COMPUTED_VALUE"""),"02-38-12-206")</f>
        <v>02-38-12-206</v>
      </c>
      <c r="F507" s="36"/>
      <c r="G507" s="36" t="str">
        <f>IFERROR(__xludf.DUMMYFUNCTION("""COMPUTED_VALUE"""),"Av. Paula A. de Sarmiento y Cmte Cabot N")</f>
        <v>Av. Paula A. de Sarmiento y Cmte Cabot N</v>
      </c>
      <c r="H507" s="36" t="str">
        <f>IFERROR(__xludf.DUMMYFUNCTION("""COMPUTED_VALUE"""),"")</f>
        <v/>
      </c>
    </row>
    <row r="508">
      <c r="A508" s="36" t="str">
        <f>IFERROR(__xludf.DUMMYFUNCTION("""COMPUTED_VALUE"""),"02-32-05-22")</f>
        <v>02-32-05-22</v>
      </c>
      <c r="B508" s="36" t="str">
        <f>IFERROR(__xludf.DUMMYFUNCTION("""COMPUTED_VALUE"""),"")</f>
        <v/>
      </c>
      <c r="C508" s="36" t="str">
        <f>IFERROR(__xludf.DUMMYFUNCTION("""COMPUTED_VALUE"""),"")</f>
        <v/>
      </c>
      <c r="D508" s="36" t="str">
        <f>IFERROR(__xludf.DUMMYFUNCTION("""COMPUTED_VALUE"""),"")</f>
        <v/>
      </c>
      <c r="E508" s="36" t="str">
        <f>IFERROR(__xludf.DUMMYFUNCTION("""COMPUTED_VALUE"""),"02-38-12-204")</f>
        <v>02-38-12-204</v>
      </c>
      <c r="F508" s="36"/>
      <c r="G508" s="36" t="str">
        <f>IFERROR(__xludf.DUMMYFUNCTION("""COMPUTED_VALUE"""),"Av. Paula A. de Sarmiento y Cmte Cabot S")</f>
        <v>Av. Paula A. de Sarmiento y Cmte Cabot S</v>
      </c>
      <c r="H508" s="36" t="str">
        <f>IFERROR(__xludf.DUMMYFUNCTION("""COMPUTED_VALUE"""),"")</f>
        <v/>
      </c>
    </row>
    <row r="509">
      <c r="A509" s="36" t="str">
        <f>IFERROR(__xludf.DUMMYFUNCTION("""COMPUTED_VALUE"""),"02-32-05-23")</f>
        <v>02-32-05-23</v>
      </c>
      <c r="B509" s="36" t="str">
        <f>IFERROR(__xludf.DUMMYFUNCTION("""COMPUTED_VALUE"""),"")</f>
        <v/>
      </c>
      <c r="C509" s="36" t="str">
        <f>IFERROR(__xludf.DUMMYFUNCTION("""COMPUTED_VALUE"""),"")</f>
        <v/>
      </c>
      <c r="D509" s="36" t="str">
        <f>IFERROR(__xludf.DUMMYFUNCTION("""COMPUTED_VALUE"""),"")</f>
        <v/>
      </c>
      <c r="E509" s="36" t="str">
        <f>IFERROR(__xludf.DUMMYFUNCTION("""COMPUTED_VALUE"""),"01-40-08-129")</f>
        <v>01-40-08-129</v>
      </c>
      <c r="F509" s="36"/>
      <c r="G509" s="36" t="str">
        <f>IFERROR(__xludf.DUMMYFUNCTION("""COMPUTED_VALUE"""),"Av. Rawson y 25 de Mayo")</f>
        <v>Av. Rawson y 25 de Mayo</v>
      </c>
      <c r="H509" s="36" t="str">
        <f>IFERROR(__xludf.DUMMYFUNCTION("""COMPUTED_VALUE"""),"")</f>
        <v/>
      </c>
    </row>
    <row r="510">
      <c r="A510" s="36" t="str">
        <f>IFERROR(__xludf.DUMMYFUNCTION("""COMPUTED_VALUE"""),"02-32-05-24")</f>
        <v>02-32-05-24</v>
      </c>
      <c r="B510" s="36" t="str">
        <f>IFERROR(__xludf.DUMMYFUNCTION("""COMPUTED_VALUE"""),"")</f>
        <v/>
      </c>
      <c r="C510" s="36" t="str">
        <f>IFERROR(__xludf.DUMMYFUNCTION("""COMPUTED_VALUE"""),"")</f>
        <v/>
      </c>
      <c r="D510" s="36" t="str">
        <f>IFERROR(__xludf.DUMMYFUNCTION("""COMPUTED_VALUE"""),"")</f>
        <v/>
      </c>
      <c r="E510" s="36" t="str">
        <f>IFERROR(__xludf.DUMMYFUNCTION("""COMPUTED_VALUE"""),"01-53-08-35")</f>
        <v>01-53-08-35</v>
      </c>
      <c r="F510" s="36"/>
      <c r="G510" s="36" t="str">
        <f>IFERROR(__xludf.DUMMYFUNCTION("""COMPUTED_VALUE"""),"Av. Rawson y Av. Ig. de la Roza")</f>
        <v>Av. Rawson y Av. Ig. de la Roza</v>
      </c>
      <c r="H510" s="36" t="str">
        <f>IFERROR(__xludf.DUMMYFUNCTION("""COMPUTED_VALUE"""),"")</f>
        <v/>
      </c>
    </row>
    <row r="511">
      <c r="A511" s="36" t="str">
        <f>IFERROR(__xludf.DUMMYFUNCTION("""COMPUTED_VALUE"""),"02-32-05-26")</f>
        <v>02-32-05-26</v>
      </c>
      <c r="B511" s="36" t="str">
        <f>IFERROR(__xludf.DUMMYFUNCTION("""COMPUTED_VALUE"""),"")</f>
        <v/>
      </c>
      <c r="C511" s="36" t="str">
        <f>IFERROR(__xludf.DUMMYFUNCTION("""COMPUTED_VALUE"""),"")</f>
        <v/>
      </c>
      <c r="D511" s="36" t="str">
        <f>IFERROR(__xludf.DUMMYFUNCTION("""COMPUTED_VALUE"""),"")</f>
        <v/>
      </c>
      <c r="E511" s="36" t="str">
        <f>IFERROR(__xludf.DUMMYFUNCTION("""COMPUTED_VALUE"""),"01-40-08-36")</f>
        <v>01-40-08-36</v>
      </c>
      <c r="F511" s="36"/>
      <c r="G511" s="36" t="str">
        <f>IFERROR(__xludf.DUMMYFUNCTION("""COMPUTED_VALUE"""),"Av. Rawson y Av. Libertador ")</f>
        <v>Av. Rawson y Av. Libertador </v>
      </c>
      <c r="H511" s="36" t="str">
        <f>IFERROR(__xludf.DUMMYFUNCTION("""COMPUTED_VALUE"""),"")</f>
        <v/>
      </c>
    </row>
    <row r="512">
      <c r="A512" s="36" t="str">
        <f>IFERROR(__xludf.DUMMYFUNCTION("""COMPUTED_VALUE"""),"02-32-05-27")</f>
        <v>02-32-05-27</v>
      </c>
      <c r="B512" s="36" t="str">
        <f>IFERROR(__xludf.DUMMYFUNCTION("""COMPUTED_VALUE"""),"")</f>
        <v/>
      </c>
      <c r="C512" s="36" t="str">
        <f>IFERROR(__xludf.DUMMYFUNCTION("""COMPUTED_VALUE"""),"")</f>
        <v/>
      </c>
      <c r="D512" s="36" t="str">
        <f>IFERROR(__xludf.DUMMYFUNCTION("""COMPUTED_VALUE"""),"")</f>
        <v/>
      </c>
      <c r="E512" s="36" t="str">
        <f>IFERROR(__xludf.DUMMYFUNCTION("""COMPUTED_VALUE"""),"01-53-08-35B")</f>
        <v>01-53-08-35B</v>
      </c>
      <c r="F512" s="36"/>
      <c r="G512" s="36" t="str">
        <f>IFERROR(__xludf.DUMMYFUNCTION("""COMPUTED_VALUE"""),"Av. Rawson y Bartolomé Mitre")</f>
        <v>Av. Rawson y Bartolomé Mitre</v>
      </c>
      <c r="H512" s="36" t="str">
        <f>IFERROR(__xludf.DUMMYFUNCTION("""COMPUTED_VALUE"""),"")</f>
        <v/>
      </c>
    </row>
    <row r="513">
      <c r="A513" s="36" t="str">
        <f>IFERROR(__xludf.DUMMYFUNCTION("""COMPUTED_VALUE"""),"02-32-05-28")</f>
        <v>02-32-05-28</v>
      </c>
      <c r="B513" s="36" t="str">
        <f>IFERROR(__xludf.DUMMYFUNCTION("""COMPUTED_VALUE"""),"")</f>
        <v/>
      </c>
      <c r="C513" s="36" t="str">
        <f>IFERROR(__xludf.DUMMYFUNCTION("""COMPUTED_VALUE"""),"")</f>
        <v/>
      </c>
      <c r="D513" s="36" t="str">
        <f>IFERROR(__xludf.DUMMYFUNCTION("""COMPUTED_VALUE"""),"")</f>
        <v/>
      </c>
      <c r="E513" s="36" t="str">
        <f>IFERROR(__xludf.DUMMYFUNCTION("""COMPUTED_VALUE"""),"01-40-08-53A")</f>
        <v>01-40-08-53A</v>
      </c>
      <c r="F513" s="36"/>
      <c r="G513" s="36" t="str">
        <f>IFERROR(__xludf.DUMMYFUNCTION("""COMPUTED_VALUE"""),"Av. Rawson y Boulogne Sour Mer")</f>
        <v>Av. Rawson y Boulogne Sour Mer</v>
      </c>
      <c r="H513" s="36" t="str">
        <f>IFERROR(__xludf.DUMMYFUNCTION("""COMPUTED_VALUE"""),"")</f>
        <v/>
      </c>
    </row>
    <row r="514">
      <c r="A514" s="36" t="str">
        <f>IFERROR(__xludf.DUMMYFUNCTION("""COMPUTED_VALUE"""),"02-32-05-29")</f>
        <v>02-32-05-29</v>
      </c>
      <c r="B514" s="36" t="str">
        <f>IFERROR(__xludf.DUMMYFUNCTION("""COMPUTED_VALUE"""),"")</f>
        <v/>
      </c>
      <c r="C514" s="36" t="str">
        <f>IFERROR(__xludf.DUMMYFUNCTION("""COMPUTED_VALUE"""),"")</f>
        <v/>
      </c>
      <c r="D514" s="36" t="str">
        <f>IFERROR(__xludf.DUMMYFUNCTION("""COMPUTED_VALUE"""),"")</f>
        <v/>
      </c>
      <c r="E514" s="36" t="str">
        <f>IFERROR(__xludf.DUMMYFUNCTION("""COMPUTED_VALUE"""),"01-39-08-65")</f>
        <v>01-39-08-65</v>
      </c>
      <c r="F514" s="36"/>
      <c r="G514" s="36" t="str">
        <f>IFERROR(__xludf.DUMMYFUNCTION("""COMPUTED_VALUE"""),"Av. Rawson y Cereceto ")</f>
        <v>Av. Rawson y Cereceto </v>
      </c>
      <c r="H514" s="36" t="str">
        <f>IFERROR(__xludf.DUMMYFUNCTION("""COMPUTED_VALUE"""),"")</f>
        <v/>
      </c>
    </row>
    <row r="515">
      <c r="A515" s="36" t="str">
        <f>IFERROR(__xludf.DUMMYFUNCTION("""COMPUTED_VALUE"""),"02-32-05-29A")</f>
        <v>02-32-05-29A</v>
      </c>
      <c r="B515" s="36" t="str">
        <f>IFERROR(__xludf.DUMMYFUNCTION("""COMPUTED_VALUE"""),"")</f>
        <v/>
      </c>
      <c r="C515" s="36" t="str">
        <f>IFERROR(__xludf.DUMMYFUNCTION("""COMPUTED_VALUE"""),"")</f>
        <v/>
      </c>
      <c r="D515" s="36" t="str">
        <f>IFERROR(__xludf.DUMMYFUNCTION("""COMPUTED_VALUE"""),"")</f>
        <v/>
      </c>
      <c r="E515" s="36" t="str">
        <f>IFERROR(__xludf.DUMMYFUNCTION("""COMPUTED_VALUE"""),"01-39-08-59")</f>
        <v>01-39-08-59</v>
      </c>
      <c r="F515" s="36"/>
      <c r="G515" s="36" t="str">
        <f>IFERROR(__xludf.DUMMYFUNCTION("""COMPUTED_VALUE"""),"Av. Rawson y Chile")</f>
        <v>Av. Rawson y Chile</v>
      </c>
      <c r="H515" s="36" t="str">
        <f>IFERROR(__xludf.DUMMYFUNCTION("""COMPUTED_VALUE"""),"")</f>
        <v/>
      </c>
    </row>
    <row r="516">
      <c r="A516" s="36" t="str">
        <f>IFERROR(__xludf.DUMMYFUNCTION("""COMPUTED_VALUE"""),"02-32-05-3")</f>
        <v>02-32-05-3</v>
      </c>
      <c r="B516" s="36" t="str">
        <f>IFERROR(__xludf.DUMMYFUNCTION("""COMPUTED_VALUE"""),"")</f>
        <v/>
      </c>
      <c r="C516" s="36" t="str">
        <f>IFERROR(__xludf.DUMMYFUNCTION("""COMPUTED_VALUE"""),"")</f>
        <v/>
      </c>
      <c r="D516" s="36" t="str">
        <f>IFERROR(__xludf.DUMMYFUNCTION("""COMPUTED_VALUE"""),"")</f>
        <v/>
      </c>
      <c r="E516" s="36" t="str">
        <f>IFERROR(__xludf.DUMMYFUNCTION("""COMPUTED_VALUE"""),"01-39-08-60")</f>
        <v>01-39-08-60</v>
      </c>
      <c r="F516" s="36"/>
      <c r="G516" s="36" t="str">
        <f>IFERROR(__xludf.DUMMYFUNCTION("""COMPUTED_VALUE"""),"Av. Rawson y Chile -E")</f>
        <v>Av. Rawson y Chile -E</v>
      </c>
      <c r="H516" s="36" t="str">
        <f>IFERROR(__xludf.DUMMYFUNCTION("""COMPUTED_VALUE"""),"")</f>
        <v/>
      </c>
    </row>
    <row r="517">
      <c r="A517" s="36" t="str">
        <f>IFERROR(__xludf.DUMMYFUNCTION("""COMPUTED_VALUE"""),"02-32-05-30")</f>
        <v>02-32-05-30</v>
      </c>
      <c r="B517" s="36" t="str">
        <f>IFERROR(__xludf.DUMMYFUNCTION("""COMPUTED_VALUE"""),"")</f>
        <v/>
      </c>
      <c r="C517" s="36" t="str">
        <f>IFERROR(__xludf.DUMMYFUNCTION("""COMPUTED_VALUE"""),"")</f>
        <v/>
      </c>
      <c r="D517" s="36" t="str">
        <f>IFERROR(__xludf.DUMMYFUNCTION("""COMPUTED_VALUE"""),"")</f>
        <v/>
      </c>
      <c r="E517" s="36" t="str">
        <f>IFERROR(__xludf.DUMMYFUNCTION("""COMPUTED_VALUE"""),"01-26-08-136")</f>
        <v>01-26-08-136</v>
      </c>
      <c r="F517" s="36"/>
      <c r="G517" s="36" t="str">
        <f>IFERROR(__xludf.DUMMYFUNCTION("""COMPUTED_VALUE"""),"Av. Rawson y Colombia")</f>
        <v>Av. Rawson y Colombia</v>
      </c>
      <c r="H517" s="36" t="str">
        <f>IFERROR(__xludf.DUMMYFUNCTION("""COMPUTED_VALUE"""),"NOMBRE")</f>
        <v>NOMBRE</v>
      </c>
    </row>
    <row r="518">
      <c r="A518" s="36" t="str">
        <f>IFERROR(__xludf.DUMMYFUNCTION("""COMPUTED_VALUE"""),"02-32-05-30A")</f>
        <v>02-32-05-30A</v>
      </c>
      <c r="B518" s="36" t="str">
        <f>IFERROR(__xludf.DUMMYFUNCTION("""COMPUTED_VALUE"""),"")</f>
        <v/>
      </c>
      <c r="C518" s="36" t="str">
        <f>IFERROR(__xludf.DUMMYFUNCTION("""COMPUTED_VALUE"""),"")</f>
        <v/>
      </c>
      <c r="D518" s="36" t="str">
        <f>IFERROR(__xludf.DUMMYFUNCTION("""COMPUTED_VALUE"""),"")</f>
        <v/>
      </c>
      <c r="E518" s="36" t="str">
        <f>IFERROR(__xludf.DUMMYFUNCTION("""COMPUTED_VALUE"""),"01-39-08-135")</f>
        <v>01-39-08-135</v>
      </c>
      <c r="F518" s="36"/>
      <c r="G518" s="36" t="str">
        <f>IFERROR(__xludf.DUMMYFUNCTION("""COMPUTED_VALUE"""),"Av. Rawson y Colombia")</f>
        <v>Av. Rawson y Colombia</v>
      </c>
      <c r="H518" s="36" t="str">
        <f>IFERROR(__xludf.DUMMYFUNCTION("""COMPUTED_VALUE"""),"")</f>
        <v/>
      </c>
    </row>
    <row r="519">
      <c r="A519" s="36" t="str">
        <f>IFERROR(__xludf.DUMMYFUNCTION("""COMPUTED_VALUE"""),"02-32-05-5")</f>
        <v>02-32-05-5</v>
      </c>
      <c r="B519" s="36" t="str">
        <f>IFERROR(__xludf.DUMMYFUNCTION("""COMPUTED_VALUE"""),"")</f>
        <v/>
      </c>
      <c r="C519" s="36" t="str">
        <f>IFERROR(__xludf.DUMMYFUNCTION("""COMPUTED_VALUE"""),"")</f>
        <v/>
      </c>
      <c r="D519" s="36" t="str">
        <f>IFERROR(__xludf.DUMMYFUNCTION("""COMPUTED_VALUE"""),"")</f>
        <v/>
      </c>
      <c r="E519" s="36" t="str">
        <f>IFERROR(__xludf.DUMMYFUNCTION("""COMPUTED_VALUE"""),"01-39-08-58")</f>
        <v>01-39-08-58</v>
      </c>
      <c r="F519" s="36"/>
      <c r="G519" s="36" t="str">
        <f>IFERROR(__xludf.DUMMYFUNCTION("""COMPUTED_VALUE"""),"Av. Rawson y Cuba")</f>
        <v>Av. Rawson y Cuba</v>
      </c>
      <c r="H519" s="36" t="str">
        <f>IFERROR(__xludf.DUMMYFUNCTION("""COMPUTED_VALUE"""),"")</f>
        <v/>
      </c>
    </row>
    <row r="520">
      <c r="A520" s="36" t="str">
        <f>IFERROR(__xludf.DUMMYFUNCTION("""COMPUTED_VALUE"""),"02-32-05-50")</f>
        <v>02-32-05-50</v>
      </c>
      <c r="B520" s="36" t="str">
        <f>IFERROR(__xludf.DUMMYFUNCTION("""COMPUTED_VALUE"""),"")</f>
        <v/>
      </c>
      <c r="C520" s="36" t="str">
        <f>IFERROR(__xludf.DUMMYFUNCTION("""COMPUTED_VALUE"""),"")</f>
        <v/>
      </c>
      <c r="D520" s="36" t="str">
        <f>IFERROR(__xludf.DUMMYFUNCTION("""COMPUTED_VALUE"""),"")</f>
        <v/>
      </c>
      <c r="E520" s="36" t="str">
        <f>IFERROR(__xludf.DUMMYFUNCTION("""COMPUTED_VALUE"""),"01-39-08-131")</f>
        <v>01-39-08-131</v>
      </c>
      <c r="F520" s="36"/>
      <c r="G520" s="36" t="str">
        <f>IFERROR(__xludf.DUMMYFUNCTION("""COMPUTED_VALUE"""),"Av. Rawson y Juan Jufré")</f>
        <v>Av. Rawson y Juan Jufré</v>
      </c>
      <c r="H520" s="36" t="str">
        <f>IFERROR(__xludf.DUMMYFUNCTION("""COMPUTED_VALUE"""),"")</f>
        <v/>
      </c>
    </row>
    <row r="521">
      <c r="A521" s="36" t="str">
        <f>IFERROR(__xludf.DUMMYFUNCTION("""COMPUTED_VALUE"""),"02-32-05-6")</f>
        <v>02-32-05-6</v>
      </c>
      <c r="B521" s="36" t="str">
        <f>IFERROR(__xludf.DUMMYFUNCTION("""COMPUTED_VALUE"""),"")</f>
        <v/>
      </c>
      <c r="C521" s="36" t="str">
        <f>IFERROR(__xludf.DUMMYFUNCTION("""COMPUTED_VALUE"""),"")</f>
        <v/>
      </c>
      <c r="D521" s="36" t="str">
        <f>IFERROR(__xludf.DUMMYFUNCTION("""COMPUTED_VALUE"""),"")</f>
        <v/>
      </c>
      <c r="E521" s="36" t="str">
        <f>IFERROR(__xludf.DUMMYFUNCTION("""COMPUTED_VALUE"""),"01-26-08-137")</f>
        <v>01-26-08-137</v>
      </c>
      <c r="F521" s="36"/>
      <c r="G521" s="36" t="str">
        <f>IFERROR(__xludf.DUMMYFUNCTION("""COMPUTED_VALUE"""),"Av. Rawson y Lautaro")</f>
        <v>Av. Rawson y Lautaro</v>
      </c>
      <c r="H521" s="36" t="str">
        <f>IFERROR(__xludf.DUMMYFUNCTION("""COMPUTED_VALUE"""),"")</f>
        <v/>
      </c>
    </row>
    <row r="522">
      <c r="A522" s="36" t="str">
        <f>IFERROR(__xludf.DUMMYFUNCTION("""COMPUTED_VALUE"""),"02-32-05-65")</f>
        <v>02-32-05-65</v>
      </c>
      <c r="B522" s="36" t="str">
        <f>IFERROR(__xludf.DUMMYFUNCTION("""COMPUTED_VALUE"""),"")</f>
        <v/>
      </c>
      <c r="C522" s="36" t="str">
        <f>IFERROR(__xludf.DUMMYFUNCTION("""COMPUTED_VALUE"""),"")</f>
        <v/>
      </c>
      <c r="D522" s="36" t="str">
        <f>IFERROR(__xludf.DUMMYFUNCTION("""COMPUTED_VALUE"""),"")</f>
        <v/>
      </c>
      <c r="E522" s="36" t="str">
        <f>IFERROR(__xludf.DUMMYFUNCTION("""COMPUTED_VALUE"""),"01-39-08-57")</f>
        <v>01-39-08-57</v>
      </c>
      <c r="F522" s="36"/>
      <c r="G522" s="36" t="str">
        <f>IFERROR(__xludf.DUMMYFUNCTION("""COMPUTED_VALUE"""),"Av. Rawson y Maipú")</f>
        <v>Av. Rawson y Maipú</v>
      </c>
      <c r="H522" s="36" t="str">
        <f>IFERROR(__xludf.DUMMYFUNCTION("""COMPUTED_VALUE"""),"")</f>
        <v/>
      </c>
    </row>
    <row r="523">
      <c r="A523" s="36" t="str">
        <f>IFERROR(__xludf.DUMMYFUNCTION("""COMPUTED_VALUE"""),"02-32-05-67")</f>
        <v>02-32-05-67</v>
      </c>
      <c r="B523" s="36" t="str">
        <f>IFERROR(__xludf.DUMMYFUNCTION("""COMPUTED_VALUE"""),"")</f>
        <v/>
      </c>
      <c r="C523" s="36" t="str">
        <f>IFERROR(__xludf.DUMMYFUNCTION("""COMPUTED_VALUE"""),"")</f>
        <v/>
      </c>
      <c r="D523" s="36" t="str">
        <f>IFERROR(__xludf.DUMMYFUNCTION("""COMPUTED_VALUE"""),"")</f>
        <v/>
      </c>
      <c r="E523" s="36" t="str">
        <f>IFERROR(__xludf.DUMMYFUNCTION("""COMPUTED_VALUE"""),"01-39-08-56")</f>
        <v>01-39-08-56</v>
      </c>
      <c r="F523" s="36"/>
      <c r="G523" s="36" t="str">
        <f>IFERROR(__xludf.DUMMYFUNCTION("""COMPUTED_VALUE"""),"Av. Rawson y Maipú -E")</f>
        <v>Av. Rawson y Maipú -E</v>
      </c>
      <c r="H523" s="36" t="str">
        <f>IFERROR(__xludf.DUMMYFUNCTION("""COMPUTED_VALUE"""),"")</f>
        <v/>
      </c>
    </row>
    <row r="524">
      <c r="A524" s="36" t="str">
        <f>IFERROR(__xludf.DUMMYFUNCTION("""COMPUTED_VALUE"""),"02-32-05-69")</f>
        <v>02-32-05-69</v>
      </c>
      <c r="B524" s="36" t="str">
        <f>IFERROR(__xludf.DUMMYFUNCTION("""COMPUTED_VALUE"""),"")</f>
        <v/>
      </c>
      <c r="C524" s="36" t="str">
        <f>IFERROR(__xludf.DUMMYFUNCTION("""COMPUTED_VALUE"""),"")</f>
        <v/>
      </c>
      <c r="D524" s="36" t="str">
        <f>IFERROR(__xludf.DUMMYFUNCTION("""COMPUTED_VALUE"""),"")</f>
        <v/>
      </c>
      <c r="E524" s="36" t="str">
        <f>IFERROR(__xludf.DUMMYFUNCTION("""COMPUTED_VALUE"""),"01-26-08-139")</f>
        <v>01-26-08-139</v>
      </c>
      <c r="F524" s="36"/>
      <c r="G524" s="36" t="str">
        <f>IFERROR(__xludf.DUMMYFUNCTION("""COMPUTED_VALUE"""),"Av. Rawson y Monteagudo")</f>
        <v>Av. Rawson y Monteagudo</v>
      </c>
      <c r="H524" s="36" t="str">
        <f>IFERROR(__xludf.DUMMYFUNCTION("""COMPUTED_VALUE"""),"")</f>
        <v/>
      </c>
    </row>
    <row r="525">
      <c r="A525" s="36" t="str">
        <f>IFERROR(__xludf.DUMMYFUNCTION("""COMPUTED_VALUE"""),"02-32-05-7")</f>
        <v>02-32-05-7</v>
      </c>
      <c r="B525" s="36" t="str">
        <f>IFERROR(__xludf.DUMMYFUNCTION("""COMPUTED_VALUE"""),"")</f>
        <v/>
      </c>
      <c r="C525" s="36" t="str">
        <f>IFERROR(__xludf.DUMMYFUNCTION("""COMPUTED_VALUE"""),"")</f>
        <v/>
      </c>
      <c r="D525" s="36" t="str">
        <f>IFERROR(__xludf.DUMMYFUNCTION("""COMPUTED_VALUE"""),"")</f>
        <v/>
      </c>
      <c r="E525" s="36" t="str">
        <f>IFERROR(__xludf.DUMMYFUNCTION("""COMPUTED_VALUE"""),"01-39-08-61")</f>
        <v>01-39-08-61</v>
      </c>
      <c r="F525" s="36"/>
      <c r="G525" s="36" t="str">
        <f>IFERROR(__xludf.DUMMYFUNCTION("""COMPUTED_VALUE"""),"Av. Rawson y Paraguay ")</f>
        <v>Av. Rawson y Paraguay </v>
      </c>
      <c r="H525" s="36" t="str">
        <f>IFERROR(__xludf.DUMMYFUNCTION("""COMPUTED_VALUE"""),"")</f>
        <v/>
      </c>
    </row>
    <row r="526">
      <c r="A526" s="36" t="str">
        <f>IFERROR(__xludf.DUMMYFUNCTION("""COMPUTED_VALUE"""),"02-32-05-71")</f>
        <v>02-32-05-71</v>
      </c>
      <c r="B526" s="36" t="str">
        <f>IFERROR(__xludf.DUMMYFUNCTION("""COMPUTED_VALUE"""),"")</f>
        <v/>
      </c>
      <c r="C526" s="36" t="str">
        <f>IFERROR(__xludf.DUMMYFUNCTION("""COMPUTED_VALUE"""),"")</f>
        <v/>
      </c>
      <c r="D526" s="36" t="str">
        <f>IFERROR(__xludf.DUMMYFUNCTION("""COMPUTED_VALUE"""),"")</f>
        <v/>
      </c>
      <c r="E526" s="36" t="str">
        <f>IFERROR(__xludf.DUMMYFUNCTION("""COMPUTED_VALUE"""),"01-40-08-54")</f>
        <v>01-40-08-54</v>
      </c>
      <c r="F526" s="36"/>
      <c r="G526" s="36" t="str">
        <f>IFERROR(__xludf.DUMMYFUNCTION("""COMPUTED_VALUE"""),"Av. Rawson y Pedro Echagüe -O")</f>
        <v>Av. Rawson y Pedro Echagüe -O</v>
      </c>
      <c r="H526" s="36" t="str">
        <f>IFERROR(__xludf.DUMMYFUNCTION("""COMPUTED_VALUE"""),"")</f>
        <v/>
      </c>
    </row>
    <row r="527">
      <c r="A527" s="36" t="str">
        <f>IFERROR(__xludf.DUMMYFUNCTION("""COMPUTED_VALUE"""),"02-32-05-8")</f>
        <v>02-32-05-8</v>
      </c>
      <c r="B527" s="36" t="str">
        <f>IFERROR(__xludf.DUMMYFUNCTION("""COMPUTED_VALUE"""),"")</f>
        <v/>
      </c>
      <c r="C527" s="36" t="str">
        <f>IFERROR(__xludf.DUMMYFUNCTION("""COMPUTED_VALUE"""),"")</f>
        <v/>
      </c>
      <c r="D527" s="36" t="str">
        <f>IFERROR(__xludf.DUMMYFUNCTION("""COMPUTED_VALUE"""),"")</f>
        <v/>
      </c>
      <c r="E527" s="36" t="str">
        <f>IFERROR(__xludf.DUMMYFUNCTION("""COMPUTED_VALUE"""),"01-26-08-138")</f>
        <v>01-26-08-138</v>
      </c>
      <c r="F527" s="36"/>
      <c r="G527" s="36" t="str">
        <f>IFERROR(__xludf.DUMMYFUNCTION("""COMPUTED_VALUE"""),"Av. Rawson y San Lorenzo")</f>
        <v>Av. Rawson y San Lorenzo</v>
      </c>
      <c r="H527" s="36" t="str">
        <f>IFERROR(__xludf.DUMMYFUNCTION("""COMPUTED_VALUE"""),"")</f>
        <v/>
      </c>
    </row>
    <row r="528">
      <c r="A528" s="36" t="str">
        <f>IFERROR(__xludf.DUMMYFUNCTION("""COMPUTED_VALUE"""),"02-32-05-9")</f>
        <v>02-32-05-9</v>
      </c>
      <c r="B528" s="36" t="str">
        <f>IFERROR(__xludf.DUMMYFUNCTION("""COMPUTED_VALUE"""),"")</f>
        <v/>
      </c>
      <c r="C528" s="36" t="str">
        <f>IFERROR(__xludf.DUMMYFUNCTION("""COMPUTED_VALUE"""),"")</f>
        <v/>
      </c>
      <c r="D528" s="36" t="str">
        <f>IFERROR(__xludf.DUMMYFUNCTION("""COMPUTED_VALUE"""),"")</f>
        <v/>
      </c>
      <c r="E528" s="36" t="str">
        <f>IFERROR(__xludf.DUMMYFUNCTION("""COMPUTED_VALUE"""),"01-40-08-38")</f>
        <v>01-40-08-38</v>
      </c>
      <c r="F528" s="36"/>
      <c r="G528" s="36" t="str">
        <f>IFERROR(__xludf.DUMMYFUNCTION("""COMPUTED_VALUE"""),"Av. Rawson y San Luis")</f>
        <v>Av. Rawson y San Luis</v>
      </c>
      <c r="H528" s="36" t="str">
        <f>IFERROR(__xludf.DUMMYFUNCTION("""COMPUTED_VALUE"""),"")</f>
        <v/>
      </c>
    </row>
    <row r="529">
      <c r="A529" s="36" t="str">
        <f>IFERROR(__xludf.DUMMYFUNCTION("""COMPUTED_VALUE"""),"02-34-05-31")</f>
        <v>02-34-05-31</v>
      </c>
      <c r="B529" s="36" t="str">
        <f>IFERROR(__xludf.DUMMYFUNCTION("""COMPUTED_VALUE"""),"")</f>
        <v/>
      </c>
      <c r="C529" s="36" t="str">
        <f>IFERROR(__xludf.DUMMYFUNCTION("""COMPUTED_VALUE"""),"")</f>
        <v/>
      </c>
      <c r="D529" s="36" t="str">
        <f>IFERROR(__xludf.DUMMYFUNCTION("""COMPUTED_VALUE"""),"")</f>
        <v/>
      </c>
      <c r="E529" s="36" t="str">
        <f>IFERROR(__xludf.DUMMYFUNCTION("""COMPUTED_VALUE"""),"01-40-08-37")</f>
        <v>01-40-08-37</v>
      </c>
      <c r="F529" s="36"/>
      <c r="G529" s="36" t="str">
        <f>IFERROR(__xludf.DUMMYFUNCTION("""COMPUTED_VALUE"""),"Av. Rawson y San Luis -E")</f>
        <v>Av. Rawson y San Luis -E</v>
      </c>
      <c r="H529" s="36" t="str">
        <f>IFERROR(__xludf.DUMMYFUNCTION("""COMPUTED_VALUE"""),"")</f>
        <v/>
      </c>
    </row>
    <row r="530">
      <c r="A530" s="36" t="str">
        <f>IFERROR(__xludf.DUMMYFUNCTION("""COMPUTED_VALUE"""),"02-34-05-35")</f>
        <v>02-34-05-35</v>
      </c>
      <c r="B530" s="36" t="str">
        <f>IFERROR(__xludf.DUMMYFUNCTION("""COMPUTED_VALUE"""),"")</f>
        <v/>
      </c>
      <c r="C530" s="36" t="str">
        <f>IFERROR(__xludf.DUMMYFUNCTION("""COMPUTED_VALUE"""),"")</f>
        <v/>
      </c>
      <c r="D530" s="36" t="str">
        <f>IFERROR(__xludf.DUMMYFUNCTION("""COMPUTED_VALUE"""),"")</f>
        <v/>
      </c>
      <c r="E530" s="36" t="str">
        <f>IFERROR(__xludf.DUMMYFUNCTION("""COMPUTED_VALUE"""),"01-53-08-29")</f>
        <v>01-53-08-29</v>
      </c>
      <c r="F530" s="36"/>
      <c r="G530" s="36" t="str">
        <f>IFERROR(__xludf.DUMMYFUNCTION("""COMPUTED_VALUE"""),"Av. Rawson y Santa Fe")</f>
        <v>Av. Rawson y Santa Fe</v>
      </c>
      <c r="H530" s="36" t="str">
        <f>IFERROR(__xludf.DUMMYFUNCTION("""COMPUTED_VALUE"""),"")</f>
        <v/>
      </c>
    </row>
    <row r="531">
      <c r="A531" s="36" t="str">
        <f>IFERROR(__xludf.DUMMYFUNCTION("""COMPUTED_VALUE"""),"02-34-05-36")</f>
        <v>02-34-05-36</v>
      </c>
      <c r="B531" s="36" t="str">
        <f>IFERROR(__xludf.DUMMYFUNCTION("""COMPUTED_VALUE"""),"")</f>
        <v/>
      </c>
      <c r="C531" s="36" t="str">
        <f>IFERROR(__xludf.DUMMYFUNCTION("""COMPUTED_VALUE"""),"")</f>
        <v/>
      </c>
      <c r="D531" s="36" t="str">
        <f>IFERROR(__xludf.DUMMYFUNCTION("""COMPUTED_VALUE"""),"")</f>
        <v/>
      </c>
      <c r="E531" s="36" t="str">
        <f>IFERROR(__xludf.DUMMYFUNCTION("""COMPUTED_VALUE"""),"01-62-13-249")</f>
        <v>01-62-13-249</v>
      </c>
      <c r="F531" s="36"/>
      <c r="G531" s="36" t="str">
        <f>IFERROR(__xludf.DUMMYFUNCTION("""COMPUTED_VALUE"""),"Av. Rawson y Saturnino Sarasa")</f>
        <v>Av. Rawson y Saturnino Sarasa</v>
      </c>
      <c r="H531" s="36" t="str">
        <f>IFERROR(__xludf.DUMMYFUNCTION("""COMPUTED_VALUE"""),"NOMBRE")</f>
        <v>NOMBRE</v>
      </c>
    </row>
    <row r="532">
      <c r="A532" s="36" t="str">
        <f>IFERROR(__xludf.DUMMYFUNCTION("""COMPUTED_VALUE"""),"02-34-05-37")</f>
        <v>02-34-05-37</v>
      </c>
      <c r="B532" s="36" t="str">
        <f>IFERROR(__xludf.DUMMYFUNCTION("""COMPUTED_VALUE"""),"")</f>
        <v/>
      </c>
      <c r="C532" s="36" t="str">
        <f>IFERROR(__xludf.DUMMYFUNCTION("""COMPUTED_VALUE"""),"")</f>
        <v/>
      </c>
      <c r="D532" s="36" t="str">
        <f>IFERROR(__xludf.DUMMYFUNCTION("""COMPUTED_VALUE"""),"")</f>
        <v/>
      </c>
      <c r="E532" s="36" t="str">
        <f>IFERROR(__xludf.DUMMYFUNCTION("""COMPUTED_VALUE"""),"01-62-13-249")</f>
        <v>01-62-13-249</v>
      </c>
      <c r="F532" s="36"/>
      <c r="G532" s="36" t="str">
        <f>IFERROR(__xludf.DUMMYFUNCTION("""COMPUTED_VALUE"""),"Av. Rawson y Saturnino Sarasa")</f>
        <v>Av. Rawson y Saturnino Sarasa</v>
      </c>
      <c r="H532" s="36" t="str">
        <f>IFERROR(__xludf.DUMMYFUNCTION("""COMPUTED_VALUE"""),"")</f>
        <v/>
      </c>
    </row>
    <row r="533">
      <c r="A533" s="36" t="str">
        <f>IFERROR(__xludf.DUMMYFUNCTION("""COMPUTED_VALUE"""),"02-34-05-38")</f>
        <v>02-34-05-38</v>
      </c>
      <c r="B533" s="36" t="str">
        <f>IFERROR(__xludf.DUMMYFUNCTION("""COMPUTED_VALUE"""),"")</f>
        <v/>
      </c>
      <c r="C533" s="36" t="str">
        <f>IFERROR(__xludf.DUMMYFUNCTION("""COMPUTED_VALUE"""),"")</f>
        <v/>
      </c>
      <c r="D533" s="36" t="str">
        <f>IFERROR(__xludf.DUMMYFUNCTION("""COMPUTED_VALUE"""),"")</f>
        <v/>
      </c>
      <c r="E533" s="36" t="str">
        <f>IFERROR(__xludf.DUMMYFUNCTION("""COMPUTED_VALUE"""),"01-65-13-216")</f>
        <v>01-65-13-216</v>
      </c>
      <c r="F533" s="36"/>
      <c r="G533" s="36" t="str">
        <f>IFERROR(__xludf.DUMMYFUNCTION("""COMPUTED_VALUE"""),"Av. Rioja y 12 de Octubre -S")</f>
        <v>Av. Rioja y 12 de Octubre -S</v>
      </c>
      <c r="H533" s="36" t="str">
        <f>IFERROR(__xludf.DUMMYFUNCTION("""COMPUTED_VALUE"""),"")</f>
        <v/>
      </c>
    </row>
    <row r="534">
      <c r="A534" s="36" t="str">
        <f>IFERROR(__xludf.DUMMYFUNCTION("""COMPUTED_VALUE"""),"02-34-05-39")</f>
        <v>02-34-05-39</v>
      </c>
      <c r="B534" s="36" t="str">
        <f>IFERROR(__xludf.DUMMYFUNCTION("""COMPUTED_VALUE"""),"")</f>
        <v/>
      </c>
      <c r="C534" s="36" t="str">
        <f>IFERROR(__xludf.DUMMYFUNCTION("""COMPUTED_VALUE"""),"")</f>
        <v/>
      </c>
      <c r="D534" s="36" t="str">
        <f>IFERROR(__xludf.DUMMYFUNCTION("""COMPUTED_VALUE"""),"")</f>
        <v/>
      </c>
      <c r="E534" s="36" t="str">
        <f>IFERROR(__xludf.DUMMYFUNCTION("""COMPUTED_VALUE"""),"01-62-13-234")</f>
        <v>01-62-13-234</v>
      </c>
      <c r="F534" s="36"/>
      <c r="G534" s="36" t="str">
        <f>IFERROR(__xludf.DUMMYFUNCTION("""COMPUTED_VALUE"""),"Av. Rioja y Abraham Tapia -N")</f>
        <v>Av. Rioja y Abraham Tapia -N</v>
      </c>
      <c r="H534" s="36" t="str">
        <f>IFERROR(__xludf.DUMMYFUNCTION("""COMPUTED_VALUE"""),"")</f>
        <v/>
      </c>
    </row>
    <row r="535">
      <c r="A535" s="36" t="str">
        <f>IFERROR(__xludf.DUMMYFUNCTION("""COMPUTED_VALUE"""),"02-34-05-40")</f>
        <v>02-34-05-40</v>
      </c>
      <c r="B535" s="36" t="str">
        <f>IFERROR(__xludf.DUMMYFUNCTION("""COMPUTED_VALUE"""),"")</f>
        <v/>
      </c>
      <c r="C535" s="36" t="str">
        <f>IFERROR(__xludf.DUMMYFUNCTION("""COMPUTED_VALUE"""),"")</f>
        <v/>
      </c>
      <c r="D535" s="36" t="str">
        <f>IFERROR(__xludf.DUMMYFUNCTION("""COMPUTED_VALUE"""),"")</f>
        <v/>
      </c>
      <c r="E535" s="36" t="str">
        <f>IFERROR(__xludf.DUMMYFUNCTION("""COMPUTED_VALUE"""),"04-22-13-210")</f>
        <v>04-22-13-210</v>
      </c>
      <c r="F535" s="36"/>
      <c r="G535" s="36" t="str">
        <f>IFERROR(__xludf.DUMMYFUNCTION("""COMPUTED_VALUE"""),"Av. Rioja y Comandante Cabot -N")</f>
        <v>Av. Rioja y Comandante Cabot -N</v>
      </c>
      <c r="H535" s="36" t="str">
        <f>IFERROR(__xludf.DUMMYFUNCTION("""COMPUTED_VALUE"""),"")</f>
        <v/>
      </c>
    </row>
    <row r="536">
      <c r="A536" s="36" t="str">
        <f>IFERROR(__xludf.DUMMYFUNCTION("""COMPUTED_VALUE"""),"02-34-05-41")</f>
        <v>02-34-05-41</v>
      </c>
      <c r="B536" s="36" t="str">
        <f>IFERROR(__xludf.DUMMYFUNCTION("""COMPUTED_VALUE"""),"")</f>
        <v/>
      </c>
      <c r="C536" s="36" t="str">
        <f>IFERROR(__xludf.DUMMYFUNCTION("""COMPUTED_VALUE"""),"")</f>
        <v/>
      </c>
      <c r="D536" s="36" t="str">
        <f>IFERROR(__xludf.DUMMYFUNCTION("""COMPUTED_VALUE"""),"")</f>
        <v/>
      </c>
      <c r="E536" s="36" t="str">
        <f>IFERROR(__xludf.DUMMYFUNCTION("""COMPUTED_VALUE"""),"04-22-13-209")</f>
        <v>04-22-13-209</v>
      </c>
      <c r="F536" s="36"/>
      <c r="G536" s="36" t="str">
        <f>IFERROR(__xludf.DUMMYFUNCTION("""COMPUTED_VALUE"""),"Av. Rioja y Comandante Cabot -S")</f>
        <v>Av. Rioja y Comandante Cabot -S</v>
      </c>
      <c r="H536" s="36" t="str">
        <f>IFERROR(__xludf.DUMMYFUNCTION("""COMPUTED_VALUE"""),"")</f>
        <v/>
      </c>
    </row>
    <row r="537">
      <c r="A537" s="36" t="str">
        <f>IFERROR(__xludf.DUMMYFUNCTION("""COMPUTED_VALUE"""),"02-34-05-42")</f>
        <v>02-34-05-42</v>
      </c>
      <c r="B537" s="36" t="str">
        <f>IFERROR(__xludf.DUMMYFUNCTION("""COMPUTED_VALUE"""),"")</f>
        <v/>
      </c>
      <c r="C537" s="36" t="str">
        <f>IFERROR(__xludf.DUMMYFUNCTION("""COMPUTED_VALUE"""),"")</f>
        <v/>
      </c>
      <c r="D537" s="36" t="str">
        <f>IFERROR(__xludf.DUMMYFUNCTION("""COMPUTED_VALUE"""),"")</f>
        <v/>
      </c>
      <c r="E537" s="36" t="str">
        <f>IFERROR(__xludf.DUMMYFUNCTION("""COMPUTED_VALUE"""),"04-22-13-206")</f>
        <v>04-22-13-206</v>
      </c>
      <c r="F537" s="36"/>
      <c r="G537" s="36" t="str">
        <f>IFERROR(__xludf.DUMMYFUNCTION("""COMPUTED_VALUE"""),"Av. Rioja y El Cano -N")</f>
        <v>Av. Rioja y El Cano -N</v>
      </c>
      <c r="H537" s="36" t="str">
        <f>IFERROR(__xludf.DUMMYFUNCTION("""COMPUTED_VALUE"""),"")</f>
        <v/>
      </c>
    </row>
    <row r="538">
      <c r="A538" s="36" t="str">
        <f>IFERROR(__xludf.DUMMYFUNCTION("""COMPUTED_VALUE"""),"02-36-05-1")</f>
        <v>02-36-05-1</v>
      </c>
      <c r="B538" s="36" t="str">
        <f>IFERROR(__xludf.DUMMYFUNCTION("""COMPUTED_VALUE"""),"")</f>
        <v/>
      </c>
      <c r="C538" s="36" t="str">
        <f>IFERROR(__xludf.DUMMYFUNCTION("""COMPUTED_VALUE"""),"")</f>
        <v/>
      </c>
      <c r="D538" s="36" t="str">
        <f>IFERROR(__xludf.DUMMYFUNCTION("""COMPUTED_VALUE"""),"")</f>
        <v/>
      </c>
      <c r="E538" s="36" t="str">
        <f>IFERROR(__xludf.DUMMYFUNCTION("""COMPUTED_VALUE"""),"04-22-13-205")</f>
        <v>04-22-13-205</v>
      </c>
      <c r="F538" s="36"/>
      <c r="G538" s="36" t="str">
        <f>IFERROR(__xludf.DUMMYFUNCTION("""COMPUTED_VALUE"""),"Av. Rioja y El Cano -S")</f>
        <v>Av. Rioja y El Cano -S</v>
      </c>
      <c r="H538" s="36" t="str">
        <f>IFERROR(__xludf.DUMMYFUNCTION("""COMPUTED_VALUE"""),"")</f>
        <v/>
      </c>
    </row>
    <row r="539">
      <c r="A539" s="36" t="str">
        <f>IFERROR(__xludf.DUMMYFUNCTION("""COMPUTED_VALUE"""),"02-36-05-19A")</f>
        <v>02-36-05-19A</v>
      </c>
      <c r="B539" s="36" t="str">
        <f>IFERROR(__xludf.DUMMYFUNCTION("""COMPUTED_VALUE"""),"")</f>
        <v/>
      </c>
      <c r="C539" s="36" t="str">
        <f>IFERROR(__xludf.DUMMYFUNCTION("""COMPUTED_VALUE"""),"")</f>
        <v/>
      </c>
      <c r="D539" s="36" t="str">
        <f>IFERROR(__xludf.DUMMYFUNCTION("""COMPUTED_VALUE"""),"")</f>
        <v/>
      </c>
      <c r="E539" s="36" t="str">
        <f>IFERROR(__xludf.DUMMYFUNCTION("""COMPUTED_VALUE"""),"01-65-13-214")</f>
        <v>01-65-13-214</v>
      </c>
      <c r="F539" s="36"/>
      <c r="G539" s="36" t="str">
        <f>IFERROR(__xludf.DUMMYFUNCTION("""COMPUTED_VALUE"""),"Av. Rioja y Francisco Villagra -E")</f>
        <v>Av. Rioja y Francisco Villagra -E</v>
      </c>
      <c r="H539" s="36" t="str">
        <f>IFERROR(__xludf.DUMMYFUNCTION("""COMPUTED_VALUE"""),"")</f>
        <v/>
      </c>
    </row>
    <row r="540">
      <c r="A540" s="36" t="str">
        <f>IFERROR(__xludf.DUMMYFUNCTION("""COMPUTED_VALUE"""),"02-36-05-20")</f>
        <v>02-36-05-20</v>
      </c>
      <c r="B540" s="36" t="str">
        <f>IFERROR(__xludf.DUMMYFUNCTION("""COMPUTED_VALUE"""),"")</f>
        <v/>
      </c>
      <c r="C540" s="36" t="str">
        <f>IFERROR(__xludf.DUMMYFUNCTION("""COMPUTED_VALUE"""),"")</f>
        <v/>
      </c>
      <c r="D540" s="36" t="str">
        <f>IFERROR(__xludf.DUMMYFUNCTION("""COMPUTED_VALUE"""),"")</f>
        <v/>
      </c>
      <c r="E540" s="36" t="str">
        <f>IFERROR(__xludf.DUMMYFUNCTION("""COMPUTED_VALUE"""),"01-65-13-215")</f>
        <v>01-65-13-215</v>
      </c>
      <c r="F540" s="36"/>
      <c r="G540" s="36" t="str">
        <f>IFERROR(__xludf.DUMMYFUNCTION("""COMPUTED_VALUE"""),"Av. Rioja y Francisco Villagra -O")</f>
        <v>Av. Rioja y Francisco Villagra -O</v>
      </c>
      <c r="H540" s="36" t="str">
        <f>IFERROR(__xludf.DUMMYFUNCTION("""COMPUTED_VALUE"""),"")</f>
        <v/>
      </c>
    </row>
    <row r="541">
      <c r="A541" s="36" t="str">
        <f>IFERROR(__xludf.DUMMYFUNCTION("""COMPUTED_VALUE"""),"01-32-06-35")</f>
        <v>01-32-06-35</v>
      </c>
      <c r="B541" s="36" t="str">
        <f>IFERROR(__xludf.DUMMYFUNCTION("""COMPUTED_VALUE"""),"")</f>
        <v/>
      </c>
      <c r="C541" s="36" t="str">
        <f>IFERROR(__xludf.DUMMYFUNCTION("""COMPUTED_VALUE"""),"")</f>
        <v/>
      </c>
      <c r="D541" s="36" t="str">
        <f>IFERROR(__xludf.DUMMYFUNCTION("""COMPUTED_VALUE"""),"")</f>
        <v/>
      </c>
      <c r="E541" s="36" t="str">
        <f>IFERROR(__xludf.DUMMYFUNCTION("""COMPUTED_VALUE"""),"01-62-13-261")</f>
        <v>01-62-13-261</v>
      </c>
      <c r="F541" s="36"/>
      <c r="G541" s="36" t="str">
        <f>IFERROR(__xludf.DUMMYFUNCTION("""COMPUTED_VALUE"""),"Av. Rioja y Fray Mamerto Esquiú")</f>
        <v>Av. Rioja y Fray Mamerto Esquiú</v>
      </c>
      <c r="H541" s="36" t="str">
        <f>IFERROR(__xludf.DUMMYFUNCTION("""COMPUTED_VALUE"""),"")</f>
        <v/>
      </c>
    </row>
    <row r="542">
      <c r="A542" s="36" t="str">
        <f>IFERROR(__xludf.DUMMYFUNCTION("""COMPUTED_VALUE"""),"01-32-06-37A")</f>
        <v>01-32-06-37A</v>
      </c>
      <c r="B542" s="36" t="str">
        <f>IFERROR(__xludf.DUMMYFUNCTION("""COMPUTED_VALUE"""),"")</f>
        <v/>
      </c>
      <c r="C542" s="36" t="str">
        <f>IFERROR(__xludf.DUMMYFUNCTION("""COMPUTED_VALUE"""),"")</f>
        <v/>
      </c>
      <c r="D542" s="36" t="str">
        <f>IFERROR(__xludf.DUMMYFUNCTION("""COMPUTED_VALUE"""),"")</f>
        <v/>
      </c>
      <c r="E542" s="36" t="str">
        <f>IFERROR(__xludf.DUMMYFUNCTION("""COMPUTED_VALUE"""),"01-65-13-219")</f>
        <v>01-65-13-219</v>
      </c>
      <c r="F542" s="36"/>
      <c r="G542" s="36" t="str">
        <f>IFERROR(__xludf.DUMMYFUNCTION("""COMPUTED_VALUE"""),"Av. Rioja y Lat. de Circunvalación -S")</f>
        <v>Av. Rioja y Lat. de Circunvalación -S</v>
      </c>
      <c r="H542" s="36" t="str">
        <f>IFERROR(__xludf.DUMMYFUNCTION("""COMPUTED_VALUE"""),"")</f>
        <v/>
      </c>
    </row>
    <row r="543">
      <c r="A543" s="36" t="str">
        <f>IFERROR(__xludf.DUMMYFUNCTION("""COMPUTED_VALUE"""),"01-32-06-37B")</f>
        <v>01-32-06-37B</v>
      </c>
      <c r="B543" s="36" t="str">
        <f>IFERROR(__xludf.DUMMYFUNCTION("""COMPUTED_VALUE"""),"")</f>
        <v/>
      </c>
      <c r="C543" s="36" t="str">
        <f>IFERROR(__xludf.DUMMYFUNCTION("""COMPUTED_VALUE"""),"")</f>
        <v/>
      </c>
      <c r="D543" s="36" t="str">
        <f>IFERROR(__xludf.DUMMYFUNCTION("""COMPUTED_VALUE"""),"")</f>
        <v/>
      </c>
      <c r="E543" s="36" t="str">
        <f>IFERROR(__xludf.DUMMYFUNCTION("""COMPUTED_VALUE"""),"01-65-13-213")</f>
        <v>01-65-13-213</v>
      </c>
      <c r="F543" s="36"/>
      <c r="G543" s="36" t="str">
        <f>IFERROR(__xludf.DUMMYFUNCTION("""COMPUTED_VALUE"""),"Av. Rioja y Nicanor Larraín -N")</f>
        <v>Av. Rioja y Nicanor Larraín -N</v>
      </c>
      <c r="H543" s="36" t="str">
        <f>IFERROR(__xludf.DUMMYFUNCTION("""COMPUTED_VALUE"""),"")</f>
        <v/>
      </c>
    </row>
    <row r="544">
      <c r="A544" s="36" t="str">
        <f>IFERROR(__xludf.DUMMYFUNCTION("""COMPUTED_VALUE"""),"01-32-06-72A")</f>
        <v>01-32-06-72A</v>
      </c>
      <c r="B544" s="36" t="str">
        <f>IFERROR(__xludf.DUMMYFUNCTION("""COMPUTED_VALUE"""),"")</f>
        <v/>
      </c>
      <c r="C544" s="36" t="str">
        <f>IFERROR(__xludf.DUMMYFUNCTION("""COMPUTED_VALUE"""),"")</f>
        <v/>
      </c>
      <c r="D544" s="36" t="str">
        <f>IFERROR(__xludf.DUMMYFUNCTION("""COMPUTED_VALUE"""),"")</f>
        <v/>
      </c>
      <c r="E544" s="36" t="str">
        <f>IFERROR(__xludf.DUMMYFUNCTION("""COMPUTED_VALUE"""),"04-22-13-208")</f>
        <v>04-22-13-208</v>
      </c>
      <c r="F544" s="36"/>
      <c r="G544" s="36" t="str">
        <f>IFERROR(__xludf.DUMMYFUNCTION("""COMPUTED_VALUE"""),"Av. Rioja y Sabattini -N")</f>
        <v>Av. Rioja y Sabattini -N</v>
      </c>
      <c r="H544" s="36" t="str">
        <f>IFERROR(__xludf.DUMMYFUNCTION("""COMPUTED_VALUE"""),"")</f>
        <v/>
      </c>
    </row>
    <row r="545">
      <c r="A545" s="36" t="str">
        <f>IFERROR(__xludf.DUMMYFUNCTION("""COMPUTED_VALUE"""),"01-32-06-73A")</f>
        <v>01-32-06-73A</v>
      </c>
      <c r="B545" s="36" t="str">
        <f>IFERROR(__xludf.DUMMYFUNCTION("""COMPUTED_VALUE"""),"")</f>
        <v/>
      </c>
      <c r="C545" s="36" t="str">
        <f>IFERROR(__xludf.DUMMYFUNCTION("""COMPUTED_VALUE"""),"")</f>
        <v/>
      </c>
      <c r="D545" s="36" t="str">
        <f>IFERROR(__xludf.DUMMYFUNCTION("""COMPUTED_VALUE"""),"")</f>
        <v/>
      </c>
      <c r="E545" s="36" t="str">
        <f>IFERROR(__xludf.DUMMYFUNCTION("""COMPUTED_VALUE"""),"04-22-13-207")</f>
        <v>04-22-13-207</v>
      </c>
      <c r="F545" s="36"/>
      <c r="G545" s="36" t="str">
        <f>IFERROR(__xludf.DUMMYFUNCTION("""COMPUTED_VALUE"""),"Av. Rioja y Sabattini -S")</f>
        <v>Av. Rioja y Sabattini -S</v>
      </c>
      <c r="H545" s="36" t="str">
        <f>IFERROR(__xludf.DUMMYFUNCTION("""COMPUTED_VALUE"""),"")</f>
        <v/>
      </c>
    </row>
    <row r="546">
      <c r="A546" s="36" t="str">
        <f>IFERROR(__xludf.DUMMYFUNCTION("""COMPUTED_VALUE"""),"01-32-06-74A")</f>
        <v>01-32-06-74A</v>
      </c>
      <c r="B546" s="36" t="str">
        <f>IFERROR(__xludf.DUMMYFUNCTION("""COMPUTED_VALUE"""),"")</f>
        <v/>
      </c>
      <c r="C546" s="36" t="str">
        <f>IFERROR(__xludf.DUMMYFUNCTION("""COMPUTED_VALUE"""),"")</f>
        <v/>
      </c>
      <c r="D546" s="36" t="str">
        <f>IFERROR(__xludf.DUMMYFUNCTION("""COMPUTED_VALUE"""),"")</f>
        <v/>
      </c>
      <c r="E546" s="36" t="str">
        <f>IFERROR(__xludf.DUMMYFUNCTION("""COMPUTED_VALUE"""),"01-65-13-218")</f>
        <v>01-65-13-218</v>
      </c>
      <c r="F546" s="36"/>
      <c r="G546" s="36" t="str">
        <f>IFERROR(__xludf.DUMMYFUNCTION("""COMPUTED_VALUE"""),"Av. Rioja y San Francisco del Monte")</f>
        <v>Av. Rioja y San Francisco del Monte</v>
      </c>
      <c r="H546" s="36" t="str">
        <f>IFERROR(__xludf.DUMMYFUNCTION("""COMPUTED_VALUE"""),"")</f>
        <v/>
      </c>
    </row>
    <row r="547">
      <c r="A547" s="36" t="str">
        <f>IFERROR(__xludf.DUMMYFUNCTION("""COMPUTED_VALUE"""),"01-33-06-18")</f>
        <v>01-33-06-18</v>
      </c>
      <c r="B547" s="36" t="str">
        <f>IFERROR(__xludf.DUMMYFUNCTION("""COMPUTED_VALUE"""),"")</f>
        <v/>
      </c>
      <c r="C547" s="36" t="str">
        <f>IFERROR(__xludf.DUMMYFUNCTION("""COMPUTED_VALUE"""),"")</f>
        <v/>
      </c>
      <c r="D547" s="36" t="str">
        <f>IFERROR(__xludf.DUMMYFUNCTION("""COMPUTED_VALUE"""),"")</f>
        <v/>
      </c>
      <c r="E547" s="36" t="str">
        <f>IFERROR(__xludf.DUMMYFUNCTION("""COMPUTED_VALUE"""),"03-32-09-74")</f>
        <v>03-32-09-74</v>
      </c>
      <c r="F547" s="36"/>
      <c r="G547" s="36" t="str">
        <f>IFERROR(__xludf.DUMMYFUNCTION("""COMPUTED_VALUE"""),"Av. Sarmiento -N y Aberastain")</f>
        <v>Av. Sarmiento -N y Aberastain</v>
      </c>
      <c r="H547" s="36" t="str">
        <f>IFERROR(__xludf.DUMMYFUNCTION("""COMPUTED_VALUE"""),"")</f>
        <v/>
      </c>
    </row>
    <row r="548">
      <c r="A548" s="36" t="str">
        <f>IFERROR(__xludf.DUMMYFUNCTION("""COMPUTED_VALUE"""),"01-33-06-18A")</f>
        <v>01-33-06-18A</v>
      </c>
      <c r="B548" s="36" t="str">
        <f>IFERROR(__xludf.DUMMYFUNCTION("""COMPUTED_VALUE"""),"")</f>
        <v/>
      </c>
      <c r="C548" s="36" t="str">
        <f>IFERROR(__xludf.DUMMYFUNCTION("""COMPUTED_VALUE"""),"")</f>
        <v/>
      </c>
      <c r="D548" s="36" t="str">
        <f>IFERROR(__xludf.DUMMYFUNCTION("""COMPUTED_VALUE"""),"")</f>
        <v/>
      </c>
      <c r="E548" s="36" t="str">
        <f>IFERROR(__xludf.DUMMYFUNCTION("""COMPUTED_VALUE"""),"03-32-09-61x")</f>
        <v>03-32-09-61x</v>
      </c>
      <c r="F548" s="36"/>
      <c r="G548" s="36" t="str">
        <f>IFERROR(__xludf.DUMMYFUNCTION("""COMPUTED_VALUE"""),"Av. Sarmiento -N y Colón")</f>
        <v>Av. Sarmiento -N y Colón</v>
      </c>
      <c r="H548" s="36" t="str">
        <f>IFERROR(__xludf.DUMMYFUNCTION("""COMPUTED_VALUE"""),"")</f>
        <v/>
      </c>
    </row>
    <row r="549">
      <c r="A549" s="36" t="str">
        <f>IFERROR(__xludf.DUMMYFUNCTION("""COMPUTED_VALUE"""),"01-46-06-10A")</f>
        <v>01-46-06-10A</v>
      </c>
      <c r="B549" s="36" t="str">
        <f>IFERROR(__xludf.DUMMYFUNCTION("""COMPUTED_VALUE"""),"")</f>
        <v/>
      </c>
      <c r="C549" s="36" t="str">
        <f>IFERROR(__xludf.DUMMYFUNCTION("""COMPUTED_VALUE"""),"")</f>
        <v/>
      </c>
      <c r="D549" s="36" t="str">
        <f>IFERROR(__xludf.DUMMYFUNCTION("""COMPUTED_VALUE"""),"")</f>
        <v/>
      </c>
      <c r="E549" s="36" t="str">
        <f>IFERROR(__xludf.DUMMYFUNCTION("""COMPUTED_VALUE"""),"03-32-09-65")</f>
        <v>03-32-09-65</v>
      </c>
      <c r="F549" s="36"/>
      <c r="G549" s="36" t="str">
        <f>IFERROR(__xludf.DUMMYFUNCTION("""COMPUTED_VALUE"""),"Av. Sarmiento -N y Ramón Franco")</f>
        <v>Av. Sarmiento -N y Ramón Franco</v>
      </c>
      <c r="H549" s="36" t="str">
        <f>IFERROR(__xludf.DUMMYFUNCTION("""COMPUTED_VALUE"""),"")</f>
        <v/>
      </c>
    </row>
    <row r="550">
      <c r="A550" s="36" t="str">
        <f>IFERROR(__xludf.DUMMYFUNCTION("""COMPUTED_VALUE"""),"01-46-06-16A")</f>
        <v>01-46-06-16A</v>
      </c>
      <c r="B550" s="36" t="str">
        <f>IFERROR(__xludf.DUMMYFUNCTION("""COMPUTED_VALUE"""),"")</f>
        <v/>
      </c>
      <c r="C550" s="36" t="str">
        <f>IFERROR(__xludf.DUMMYFUNCTION("""COMPUTED_VALUE"""),"")</f>
        <v/>
      </c>
      <c r="D550" s="36" t="str">
        <f>IFERROR(__xludf.DUMMYFUNCTION("""COMPUTED_VALUE"""),"")</f>
        <v/>
      </c>
      <c r="E550" s="36" t="str">
        <f>IFERROR(__xludf.DUMMYFUNCTION("""COMPUTED_VALUE"""),"03-32-09-73")</f>
        <v>03-32-09-73</v>
      </c>
      <c r="F550" s="36"/>
      <c r="G550" s="36" t="str">
        <f>IFERROR(__xludf.DUMMYFUNCTION("""COMPUTED_VALUE"""),"Av. Sarmiento -S y Aberastain")</f>
        <v>Av. Sarmiento -S y Aberastain</v>
      </c>
      <c r="H550" s="36" t="str">
        <f>IFERROR(__xludf.DUMMYFUNCTION("""COMPUTED_VALUE"""),"")</f>
        <v/>
      </c>
    </row>
    <row r="551">
      <c r="A551" s="36" t="str">
        <f>IFERROR(__xludf.DUMMYFUNCTION("""COMPUTED_VALUE"""),"02-26-06-58A")</f>
        <v>02-26-06-58A</v>
      </c>
      <c r="B551" s="36" t="str">
        <f>IFERROR(__xludf.DUMMYFUNCTION("""COMPUTED_VALUE"""),"")</f>
        <v/>
      </c>
      <c r="C551" s="36" t="str">
        <f>IFERROR(__xludf.DUMMYFUNCTION("""COMPUTED_VALUE"""),"")</f>
        <v/>
      </c>
      <c r="D551" s="36" t="str">
        <f>IFERROR(__xludf.DUMMYFUNCTION("""COMPUTED_VALUE"""),"")</f>
        <v/>
      </c>
      <c r="E551" s="36" t="str">
        <f>IFERROR(__xludf.DUMMYFUNCTION("""COMPUTED_VALUE"""),"03-48-09-63")</f>
        <v>03-48-09-63</v>
      </c>
      <c r="F551" s="36"/>
      <c r="G551" s="36" t="str">
        <f>IFERROR(__xludf.DUMMYFUNCTION("""COMPUTED_VALUE"""),"Av. Sarmiento -S y Amarfil")</f>
        <v>Av. Sarmiento -S y Amarfil</v>
      </c>
      <c r="H551" s="36" t="str">
        <f>IFERROR(__xludf.DUMMYFUNCTION("""COMPUTED_VALUE"""),"")</f>
        <v/>
      </c>
    </row>
    <row r="552">
      <c r="A552" s="36" t="str">
        <f>IFERROR(__xludf.DUMMYFUNCTION("""COMPUTED_VALUE"""),"02-26-06-59A")</f>
        <v>02-26-06-59A</v>
      </c>
      <c r="B552" s="36" t="str">
        <f>IFERROR(__xludf.DUMMYFUNCTION("""COMPUTED_VALUE"""),"")</f>
        <v/>
      </c>
      <c r="C552" s="36" t="str">
        <f>IFERROR(__xludf.DUMMYFUNCTION("""COMPUTED_VALUE"""),"")</f>
        <v/>
      </c>
      <c r="D552" s="36" t="str">
        <f>IFERROR(__xludf.DUMMYFUNCTION("""COMPUTED_VALUE"""),"")</f>
        <v/>
      </c>
      <c r="E552" s="36" t="str">
        <f>IFERROR(__xludf.DUMMYFUNCTION("""COMPUTED_VALUE"""),"03-32-09-20")</f>
        <v>03-32-09-20</v>
      </c>
      <c r="F552" s="36"/>
      <c r="G552" s="36" t="str">
        <f>IFERROR(__xludf.DUMMYFUNCTION("""COMPUTED_VALUE"""),"Av. Sarmiento -S y Av. Argentina")</f>
        <v>Av. Sarmiento -S y Av. Argentina</v>
      </c>
      <c r="H552" s="36" t="str">
        <f>IFERROR(__xludf.DUMMYFUNCTION("""COMPUTED_VALUE"""),"")</f>
        <v/>
      </c>
    </row>
    <row r="553">
      <c r="A553" s="36" t="str">
        <f>IFERROR(__xludf.DUMMYFUNCTION("""COMPUTED_VALUE"""),"02-26-06-60A")</f>
        <v>02-26-06-60A</v>
      </c>
      <c r="B553" s="36" t="str">
        <f>IFERROR(__xludf.DUMMYFUNCTION("""COMPUTED_VALUE"""),"")</f>
        <v/>
      </c>
      <c r="C553" s="36" t="str">
        <f>IFERROR(__xludf.DUMMYFUNCTION("""COMPUTED_VALUE"""),"")</f>
        <v/>
      </c>
      <c r="D553" s="36" t="str">
        <f>IFERROR(__xludf.DUMMYFUNCTION("""COMPUTED_VALUE"""),"")</f>
        <v/>
      </c>
      <c r="E553" s="36" t="str">
        <f>IFERROR(__xludf.DUMMYFUNCTION("""COMPUTED_VALUE"""),"03-48-09-59")</f>
        <v>03-48-09-59</v>
      </c>
      <c r="F553" s="36"/>
      <c r="G553" s="36" t="str">
        <f>IFERROR(__xludf.DUMMYFUNCTION("""COMPUTED_VALUE"""),"Av. Sarmiento -S y Colón")</f>
        <v>Av. Sarmiento -S y Colón</v>
      </c>
      <c r="H553" s="36" t="str">
        <f>IFERROR(__xludf.DUMMYFUNCTION("""COMPUTED_VALUE"""),"")</f>
        <v/>
      </c>
    </row>
    <row r="554">
      <c r="A554" s="36" t="str">
        <f>IFERROR(__xludf.DUMMYFUNCTION("""COMPUTED_VALUE"""),"02-26-06-80A")</f>
        <v>02-26-06-80A</v>
      </c>
      <c r="B554" s="36" t="str">
        <f>IFERROR(__xludf.DUMMYFUNCTION("""COMPUTED_VALUE"""),"")</f>
        <v/>
      </c>
      <c r="C554" s="36" t="str">
        <f>IFERROR(__xludf.DUMMYFUNCTION("""COMPUTED_VALUE"""),"")</f>
        <v/>
      </c>
      <c r="D554" s="36" t="str">
        <f>IFERROR(__xludf.DUMMYFUNCTION("""COMPUTED_VALUE"""),"")</f>
        <v/>
      </c>
      <c r="E554" s="36" t="str">
        <f>IFERROR(__xludf.DUMMYFUNCTION("""COMPUTED_VALUE"""),"03-32-09-66")</f>
        <v>03-32-09-66</v>
      </c>
      <c r="F554" s="36"/>
      <c r="G554" s="36" t="str">
        <f>IFERROR(__xludf.DUMMYFUNCTION("""COMPUTED_VALUE"""),"Av. Sarmiento -S y Ramón Franco")</f>
        <v>Av. Sarmiento -S y Ramón Franco</v>
      </c>
      <c r="H554" s="36" t="str">
        <f>IFERROR(__xludf.DUMMYFUNCTION("""COMPUTED_VALUE"""),"")</f>
        <v/>
      </c>
    </row>
    <row r="555">
      <c r="A555" s="36" t="str">
        <f>IFERROR(__xludf.DUMMYFUNCTION("""COMPUTED_VALUE"""),"02-26-06-80C")</f>
        <v>02-26-06-80C</v>
      </c>
      <c r="B555" s="36" t="str">
        <f>IFERROR(__xludf.DUMMYFUNCTION("""COMPUTED_VALUE"""),"")</f>
        <v/>
      </c>
      <c r="C555" s="36" t="str">
        <f>IFERROR(__xludf.DUMMYFUNCTION("""COMPUTED_VALUE"""),"")</f>
        <v/>
      </c>
      <c r="D555" s="36" t="str">
        <f>IFERROR(__xludf.DUMMYFUNCTION("""COMPUTED_VALUE"""),"")</f>
        <v/>
      </c>
      <c r="E555" s="36" t="str">
        <f>IFERROR(__xludf.DUMMYFUNCTION("""COMPUTED_VALUE"""),"03-32-09-38")</f>
        <v>03-32-09-38</v>
      </c>
      <c r="F555" s="36"/>
      <c r="G555" s="36" t="str">
        <f>IFERROR(__xludf.DUMMYFUNCTION("""COMPUTED_VALUE"""),"Av. Sarmiento N y Av. Circunvalación")</f>
        <v>Av. Sarmiento N y Av. Circunvalación</v>
      </c>
      <c r="H555" s="36" t="str">
        <f>IFERROR(__xludf.DUMMYFUNCTION("""COMPUTED_VALUE"""),"")</f>
        <v/>
      </c>
    </row>
    <row r="556">
      <c r="A556" s="36" t="str">
        <f>IFERROR(__xludf.DUMMYFUNCTION("""COMPUTED_VALUE"""),"02-26-06-81")</f>
        <v>02-26-06-81</v>
      </c>
      <c r="B556" s="36" t="str">
        <f>IFERROR(__xludf.DUMMYFUNCTION("""COMPUTED_VALUE"""),"")</f>
        <v/>
      </c>
      <c r="C556" s="36" t="str">
        <f>IFERROR(__xludf.DUMMYFUNCTION("""COMPUTED_VALUE"""),"")</f>
        <v/>
      </c>
      <c r="D556" s="36" t="str">
        <f>IFERROR(__xludf.DUMMYFUNCTION("""COMPUTED_VALUE"""),"")</f>
        <v/>
      </c>
      <c r="E556" s="36" t="str">
        <f>IFERROR(__xludf.DUMMYFUNCTION("""COMPUTED_VALUE"""),"03-32-09-40")</f>
        <v>03-32-09-40</v>
      </c>
      <c r="F556" s="36"/>
      <c r="G556" s="36" t="str">
        <f>IFERROR(__xludf.DUMMYFUNCTION("""COMPUTED_VALUE"""),"Av. Sarmiento N y Balaguer")</f>
        <v>Av. Sarmiento N y Balaguer</v>
      </c>
      <c r="H556" s="36" t="str">
        <f>IFERROR(__xludf.DUMMYFUNCTION("""COMPUTED_VALUE"""),"")</f>
        <v/>
      </c>
    </row>
    <row r="557">
      <c r="A557" s="36" t="str">
        <f>IFERROR(__xludf.DUMMYFUNCTION("""COMPUTED_VALUE"""),"02-26-06-81B")</f>
        <v>02-26-06-81B</v>
      </c>
      <c r="B557" s="36" t="str">
        <f>IFERROR(__xludf.DUMMYFUNCTION("""COMPUTED_VALUE"""),"")</f>
        <v/>
      </c>
      <c r="C557" s="36" t="str">
        <f>IFERROR(__xludf.DUMMYFUNCTION("""COMPUTED_VALUE"""),"")</f>
        <v/>
      </c>
      <c r="D557" s="36" t="str">
        <f>IFERROR(__xludf.DUMMYFUNCTION("""COMPUTED_VALUE"""),"")</f>
        <v/>
      </c>
      <c r="E557" s="36" t="str">
        <f>IFERROR(__xludf.DUMMYFUNCTION("""COMPUTED_VALUE"""),"03-32-09-37")</f>
        <v>03-32-09-37</v>
      </c>
      <c r="F557" s="36"/>
      <c r="G557" s="36" t="str">
        <f>IFERROR(__xludf.DUMMYFUNCTION("""COMPUTED_VALUE"""),"Av. Sarmiento S y Av. Circunvalación")</f>
        <v>Av. Sarmiento S y Av. Circunvalación</v>
      </c>
      <c r="H557" s="36" t="str">
        <f>IFERROR(__xludf.DUMMYFUNCTION("""COMPUTED_VALUE"""),"")</f>
        <v/>
      </c>
    </row>
    <row r="558">
      <c r="A558" s="36" t="str">
        <f>IFERROR(__xludf.DUMMYFUNCTION("""COMPUTED_VALUE"""),"02-27-06-79")</f>
        <v>02-27-06-79</v>
      </c>
      <c r="B558" s="36" t="str">
        <f>IFERROR(__xludf.DUMMYFUNCTION("""COMPUTED_VALUE"""),"")</f>
        <v/>
      </c>
      <c r="C558" s="36" t="str">
        <f>IFERROR(__xludf.DUMMYFUNCTION("""COMPUTED_VALUE"""),"")</f>
        <v/>
      </c>
      <c r="D558" s="36" t="str">
        <f>IFERROR(__xludf.DUMMYFUNCTION("""COMPUTED_VALUE"""),"")</f>
        <v/>
      </c>
      <c r="E558" s="36" t="str">
        <f>IFERROR(__xludf.DUMMYFUNCTION("""COMPUTED_VALUE"""),"03-32-09-41")</f>
        <v>03-32-09-41</v>
      </c>
      <c r="F558" s="36"/>
      <c r="G558" s="36" t="str">
        <f>IFERROR(__xludf.DUMMYFUNCTION("""COMPUTED_VALUE"""),"Av. Sarmiento S y Balaguer")</f>
        <v>Av. Sarmiento S y Balaguer</v>
      </c>
      <c r="H558" s="36" t="str">
        <f>IFERROR(__xludf.DUMMYFUNCTION("""COMPUTED_VALUE"""),"")</f>
        <v/>
      </c>
    </row>
    <row r="559">
      <c r="A559" s="36" t="str">
        <f>IFERROR(__xludf.DUMMYFUNCTION("""COMPUTED_VALUE"""),"02-27-06-80")</f>
        <v>02-27-06-80</v>
      </c>
      <c r="B559" s="36" t="str">
        <f>IFERROR(__xludf.DUMMYFUNCTION("""COMPUTED_VALUE"""),"")</f>
        <v/>
      </c>
      <c r="C559" s="36" t="str">
        <f>IFERROR(__xludf.DUMMYFUNCTION("""COMPUTED_VALUE"""),"")</f>
        <v/>
      </c>
      <c r="D559" s="36" t="str">
        <f>IFERROR(__xludf.DUMMYFUNCTION("""COMPUTED_VALUE"""),"")</f>
        <v/>
      </c>
      <c r="E559" s="36" t="str">
        <f>IFERROR(__xludf.DUMMYFUNCTION("""COMPUTED_VALUE"""),"03-32-09-72")</f>
        <v>03-32-09-72</v>
      </c>
      <c r="F559" s="36"/>
      <c r="G559" s="36" t="str">
        <f>IFERROR(__xludf.DUMMYFUNCTION("""COMPUTED_VALUE"""),"Av. Sarmiento y Aberastain -S")</f>
        <v>Av. Sarmiento y Aberastain -S</v>
      </c>
      <c r="H559" s="36" t="str">
        <f>IFERROR(__xludf.DUMMYFUNCTION("""COMPUTED_VALUE"""),"")</f>
        <v/>
      </c>
    </row>
    <row r="560">
      <c r="A560" s="36" t="str">
        <f>IFERROR(__xludf.DUMMYFUNCTION("""COMPUTED_VALUE"""),"02-27-06-80B")</f>
        <v>02-27-06-80B</v>
      </c>
      <c r="B560" s="36" t="str">
        <f>IFERROR(__xludf.DUMMYFUNCTION("""COMPUTED_VALUE"""),"")</f>
        <v/>
      </c>
      <c r="C560" s="36" t="str">
        <f>IFERROR(__xludf.DUMMYFUNCTION("""COMPUTED_VALUE"""),"")</f>
        <v/>
      </c>
      <c r="D560" s="36" t="str">
        <f>IFERROR(__xludf.DUMMYFUNCTION("""COMPUTED_VALUE"""),"")</f>
        <v/>
      </c>
      <c r="E560" s="36" t="str">
        <f>IFERROR(__xludf.DUMMYFUNCTION("""COMPUTED_VALUE"""),"03-32-09-62")</f>
        <v>03-32-09-62</v>
      </c>
      <c r="F560" s="36"/>
      <c r="G560" s="36" t="str">
        <f>IFERROR(__xludf.DUMMYFUNCTION("""COMPUTED_VALUE"""),"Av. Sarmiento y Amarfil")</f>
        <v>Av. Sarmiento y Amarfil</v>
      </c>
      <c r="H560" s="36" t="str">
        <f>IFERROR(__xludf.DUMMYFUNCTION("""COMPUTED_VALUE"""),"")</f>
        <v/>
      </c>
    </row>
    <row r="561">
      <c r="A561" s="36" t="str">
        <f>IFERROR(__xludf.DUMMYFUNCTION("""COMPUTED_VALUE"""),"02-27-06-81A")</f>
        <v>02-27-06-81A</v>
      </c>
      <c r="B561" s="36" t="str">
        <f>IFERROR(__xludf.DUMMYFUNCTION("""COMPUTED_VALUE"""),"")</f>
        <v/>
      </c>
      <c r="C561" s="36" t="str">
        <f>IFERROR(__xludf.DUMMYFUNCTION("""COMPUTED_VALUE"""),"")</f>
        <v/>
      </c>
      <c r="D561" s="36" t="str">
        <f>IFERROR(__xludf.DUMMYFUNCTION("""COMPUTED_VALUE"""),"")</f>
        <v/>
      </c>
      <c r="E561" s="36" t="str">
        <f>IFERROR(__xludf.DUMMYFUNCTION("""COMPUTED_VALUE"""),"03-32-09-19")</f>
        <v>03-32-09-19</v>
      </c>
      <c r="F561" s="36"/>
      <c r="G561" s="36" t="str">
        <f>IFERROR(__xludf.DUMMYFUNCTION("""COMPUTED_VALUE"""),"Av. Sarmiento y Av. Argentina")</f>
        <v>Av. Sarmiento y Av. Argentina</v>
      </c>
      <c r="H561" s="36" t="str">
        <f>IFERROR(__xludf.DUMMYFUNCTION("""COMPUTED_VALUE"""),"")</f>
        <v/>
      </c>
    </row>
    <row r="562">
      <c r="A562" s="36" t="str">
        <f>IFERROR(__xludf.DUMMYFUNCTION("""COMPUTED_VALUE"""),"02-27-06-82")</f>
        <v>02-27-06-82</v>
      </c>
      <c r="B562" s="36" t="str">
        <f>IFERROR(__xludf.DUMMYFUNCTION("""COMPUTED_VALUE"""),"")</f>
        <v/>
      </c>
      <c r="C562" s="36" t="str">
        <f>IFERROR(__xludf.DUMMYFUNCTION("""COMPUTED_VALUE"""),"")</f>
        <v/>
      </c>
      <c r="D562" s="36" t="str">
        <f>IFERROR(__xludf.DUMMYFUNCTION("""COMPUTED_VALUE"""),"")</f>
        <v/>
      </c>
      <c r="E562" s="36" t="str">
        <f>IFERROR(__xludf.DUMMYFUNCTION("""COMPUTED_VALUE"""),"03-32-09-39")</f>
        <v>03-32-09-39</v>
      </c>
      <c r="F562" s="36"/>
      <c r="G562" s="36" t="str">
        <f>IFERROR(__xludf.DUMMYFUNCTION("""COMPUTED_VALUE"""),"Av. Sarmiento y Av. Circunvalación E")</f>
        <v>Av. Sarmiento y Av. Circunvalación E</v>
      </c>
      <c r="H562" s="36" t="str">
        <f>IFERROR(__xludf.DUMMYFUNCTION("""COMPUTED_VALUE"""),"")</f>
        <v/>
      </c>
    </row>
    <row r="563">
      <c r="A563" s="36" t="str">
        <f>IFERROR(__xludf.DUMMYFUNCTION("""COMPUTED_VALUE"""),"02-27-06-83")</f>
        <v>02-27-06-83</v>
      </c>
      <c r="B563" s="36" t="str">
        <f>IFERROR(__xludf.DUMMYFUNCTION("""COMPUTED_VALUE"""),"")</f>
        <v/>
      </c>
      <c r="C563" s="36" t="str">
        <f>IFERROR(__xludf.DUMMYFUNCTION("""COMPUTED_VALUE"""),"")</f>
        <v/>
      </c>
      <c r="D563" s="36" t="str">
        <f>IFERROR(__xludf.DUMMYFUNCTION("""COMPUTED_VALUE"""),"")</f>
        <v/>
      </c>
      <c r="E563" s="36" t="str">
        <f>IFERROR(__xludf.DUMMYFUNCTION("""COMPUTED_VALUE"""),"03-32-09-60")</f>
        <v>03-32-09-60</v>
      </c>
      <c r="F563" s="36"/>
      <c r="G563" s="36" t="str">
        <f>IFERROR(__xludf.DUMMYFUNCTION("""COMPUTED_VALUE"""),"Av. Sarmiento y Colón -E")</f>
        <v>Av. Sarmiento y Colón -E</v>
      </c>
      <c r="H563" s="36" t="str">
        <f>IFERROR(__xludf.DUMMYFUNCTION("""COMPUTED_VALUE"""),"")</f>
        <v/>
      </c>
    </row>
    <row r="564">
      <c r="A564" s="36" t="str">
        <f>IFERROR(__xludf.DUMMYFUNCTION("""COMPUTED_VALUE"""),"02-27-06-84")</f>
        <v>02-27-06-84</v>
      </c>
      <c r="B564" s="36" t="str">
        <f>IFERROR(__xludf.DUMMYFUNCTION("""COMPUTED_VALUE"""),"")</f>
        <v/>
      </c>
      <c r="C564" s="36" t="str">
        <f>IFERROR(__xludf.DUMMYFUNCTION("""COMPUTED_VALUE"""),"")</f>
        <v/>
      </c>
      <c r="D564" s="36" t="str">
        <f>IFERROR(__xludf.DUMMYFUNCTION("""COMPUTED_VALUE"""),"")</f>
        <v/>
      </c>
      <c r="E564" s="36" t="str">
        <f>IFERROR(__xludf.DUMMYFUNCTION("""COMPUTED_VALUE"""),"03-32-09-64")</f>
        <v>03-32-09-64</v>
      </c>
      <c r="F564" s="36"/>
      <c r="G564" s="36" t="str">
        <f>IFERROR(__xludf.DUMMYFUNCTION("""COMPUTED_VALUE"""),"Av. Sarmiento y Ramón Franco -S")</f>
        <v>Av. Sarmiento y Ramón Franco -S</v>
      </c>
      <c r="H564" s="36" t="str">
        <f>IFERROR(__xludf.DUMMYFUNCTION("""COMPUTED_VALUE"""),"")</f>
        <v/>
      </c>
    </row>
    <row r="565">
      <c r="A565" s="36" t="str">
        <f>IFERROR(__xludf.DUMMYFUNCTION("""COMPUTED_VALUE"""),"02-27-06-85")</f>
        <v>02-27-06-85</v>
      </c>
      <c r="B565" s="36" t="str">
        <f>IFERROR(__xludf.DUMMYFUNCTION("""COMPUTED_VALUE"""),"")</f>
        <v/>
      </c>
      <c r="C565" s="36" t="str">
        <f>IFERROR(__xludf.DUMMYFUNCTION("""COMPUTED_VALUE"""),"")</f>
        <v/>
      </c>
      <c r="D565" s="36" t="str">
        <f>IFERROR(__xludf.DUMMYFUNCTION("""COMPUTED_VALUE"""),"")</f>
        <v/>
      </c>
      <c r="E565" s="36" t="str">
        <f>IFERROR(__xludf.DUMMYFUNCTION("""COMPUTED_VALUE"""),"01-65-13-217")</f>
        <v>01-65-13-217</v>
      </c>
      <c r="F565" s="36"/>
      <c r="G565" s="36" t="str">
        <f>IFERROR(__xludf.DUMMYFUNCTION("""COMPUTED_VALUE"""),"Av.Rioja y 12 de Octubre -N")</f>
        <v>Av.Rioja y 12 de Octubre -N</v>
      </c>
      <c r="H565" s="36" t="str">
        <f>IFERROR(__xludf.DUMMYFUNCTION("""COMPUTED_VALUE"""),"")</f>
        <v/>
      </c>
    </row>
    <row r="566">
      <c r="A566" s="36" t="str">
        <f>IFERROR(__xludf.DUMMYFUNCTION("""COMPUTED_VALUE"""),"02-27-06-86")</f>
        <v>02-27-06-86</v>
      </c>
      <c r="B566" s="36" t="str">
        <f>IFERROR(__xludf.DUMMYFUNCTION("""COMPUTED_VALUE"""),"")</f>
        <v/>
      </c>
      <c r="C566" s="36" t="str">
        <f>IFERROR(__xludf.DUMMYFUNCTION("""COMPUTED_VALUE"""),"")</f>
        <v/>
      </c>
      <c r="D566" s="36" t="str">
        <f>IFERROR(__xludf.DUMMYFUNCTION("""COMPUTED_VALUE"""),"")</f>
        <v/>
      </c>
      <c r="E566" s="36" t="str">
        <f>IFERROR(__xludf.DUMMYFUNCTION("""COMPUTED_VALUE"""),"03-24-10-87B")</f>
        <v>03-24-10-87B</v>
      </c>
      <c r="F566" s="36"/>
      <c r="G566" s="36" t="str">
        <f>IFERROR(__xludf.DUMMYFUNCTION("""COMPUTED_VALUE"""),"Avellaneda casi Aconcagua Este")</f>
        <v>Avellaneda casi Aconcagua Este</v>
      </c>
      <c r="H566" s="36" t="str">
        <f>IFERROR(__xludf.DUMMYFUNCTION("""COMPUTED_VALUE"""),"")</f>
        <v/>
      </c>
    </row>
    <row r="567">
      <c r="A567" s="36" t="str">
        <f>IFERROR(__xludf.DUMMYFUNCTION("""COMPUTED_VALUE"""),"02-27-06-87")</f>
        <v>02-27-06-87</v>
      </c>
      <c r="B567" s="36" t="str">
        <f>IFERROR(__xludf.DUMMYFUNCTION("""COMPUTED_VALUE"""),"")</f>
        <v/>
      </c>
      <c r="C567" s="36" t="str">
        <f>IFERROR(__xludf.DUMMYFUNCTION("""COMPUTED_VALUE"""),"")</f>
        <v/>
      </c>
      <c r="D567" s="36" t="str">
        <f>IFERROR(__xludf.DUMMYFUNCTION("""COMPUTED_VALUE"""),"")</f>
        <v/>
      </c>
      <c r="E567" s="36" t="str">
        <f>IFERROR(__xludf.DUMMYFUNCTION("""COMPUTED_VALUE"""),"03-24-10-87A")</f>
        <v>03-24-10-87A</v>
      </c>
      <c r="F567" s="36"/>
      <c r="G567" s="36" t="str">
        <f>IFERROR(__xludf.DUMMYFUNCTION("""COMPUTED_VALUE"""),"Avellaneda casi Aconcagua Oeste")</f>
        <v>Avellaneda casi Aconcagua Oeste</v>
      </c>
      <c r="H567" s="36" t="str">
        <f>IFERROR(__xludf.DUMMYFUNCTION("""COMPUTED_VALUE"""),"")</f>
        <v/>
      </c>
    </row>
    <row r="568">
      <c r="A568" s="36" t="str">
        <f>IFERROR(__xludf.DUMMYFUNCTION("""COMPUTED_VALUE"""),"02-27-06-87A")</f>
        <v>02-27-06-87A</v>
      </c>
      <c r="B568" s="36" t="str">
        <f>IFERROR(__xludf.DUMMYFUNCTION("""COMPUTED_VALUE"""),"")</f>
        <v/>
      </c>
      <c r="C568" s="36" t="str">
        <f>IFERROR(__xludf.DUMMYFUNCTION("""COMPUTED_VALUE"""),"")</f>
        <v/>
      </c>
      <c r="D568" s="36" t="str">
        <f>IFERROR(__xludf.DUMMYFUNCTION("""COMPUTED_VALUE"""),"")</f>
        <v/>
      </c>
      <c r="E568" s="36" t="str">
        <f>IFERROR(__xludf.DUMMYFUNCTION("""COMPUTED_VALUE"""),"03-24-10-86B")</f>
        <v>03-24-10-86B</v>
      </c>
      <c r="F568" s="36"/>
      <c r="G568" s="36" t="str">
        <f>IFERROR(__xludf.DUMMYFUNCTION("""COMPUTED_VALUE"""),"Avellaneda casi Argentina Este")</f>
        <v>Avellaneda casi Argentina Este</v>
      </c>
      <c r="H568" s="36" t="str">
        <f>IFERROR(__xludf.DUMMYFUNCTION("""COMPUTED_VALUE"""),"")</f>
        <v/>
      </c>
    </row>
    <row r="569">
      <c r="A569" s="36" t="str">
        <f>IFERROR(__xludf.DUMMYFUNCTION("""COMPUTED_VALUE"""),"02-27-06-88")</f>
        <v>02-27-06-88</v>
      </c>
      <c r="B569" s="36" t="str">
        <f>IFERROR(__xludf.DUMMYFUNCTION("""COMPUTED_VALUE"""),"")</f>
        <v/>
      </c>
      <c r="C569" s="36" t="str">
        <f>IFERROR(__xludf.DUMMYFUNCTION("""COMPUTED_VALUE"""),"")</f>
        <v/>
      </c>
      <c r="D569" s="36" t="str">
        <f>IFERROR(__xludf.DUMMYFUNCTION("""COMPUTED_VALUE"""),"")</f>
        <v/>
      </c>
      <c r="E569" s="36" t="str">
        <f>IFERROR(__xludf.DUMMYFUNCTION("""COMPUTED_VALUE"""),"03-24-10-86A")</f>
        <v>03-24-10-86A</v>
      </c>
      <c r="F569" s="36"/>
      <c r="G569" s="36" t="str">
        <f>IFERROR(__xludf.DUMMYFUNCTION("""COMPUTED_VALUE"""),"Avellaneda casi Argentina Oeste")</f>
        <v>Avellaneda casi Argentina Oeste</v>
      </c>
      <c r="H569" s="36" t="str">
        <f>IFERROR(__xludf.DUMMYFUNCTION("""COMPUTED_VALUE"""),"")</f>
        <v/>
      </c>
    </row>
    <row r="570">
      <c r="A570" s="36" t="str">
        <f>IFERROR(__xludf.DUMMYFUNCTION("""COMPUTED_VALUE"""),"02-27-06-89")</f>
        <v>02-27-06-89</v>
      </c>
      <c r="B570" s="36" t="str">
        <f>IFERROR(__xludf.DUMMYFUNCTION("""COMPUTED_VALUE"""),"")</f>
        <v/>
      </c>
      <c r="C570" s="36" t="str">
        <f>IFERROR(__xludf.DUMMYFUNCTION("""COMPUTED_VALUE"""),"")</f>
        <v/>
      </c>
      <c r="D570" s="36" t="str">
        <f>IFERROR(__xludf.DUMMYFUNCTION("""COMPUTED_VALUE"""),"")</f>
        <v/>
      </c>
      <c r="E570" s="36" t="str">
        <f>IFERROR(__xludf.DUMMYFUNCTION("""COMPUTED_VALUE"""),"03-24-10-88B")</f>
        <v>03-24-10-88B</v>
      </c>
      <c r="F570" s="36"/>
      <c r="G570" s="36" t="str">
        <f>IFERROR(__xludf.DUMMYFUNCTION("""COMPUTED_VALUE"""),"Avellaneda y Aconcagua Este")</f>
        <v>Avellaneda y Aconcagua Este</v>
      </c>
      <c r="H570" s="36" t="str">
        <f>IFERROR(__xludf.DUMMYFUNCTION("""COMPUTED_VALUE"""),"")</f>
        <v/>
      </c>
    </row>
    <row r="571">
      <c r="A571" s="36" t="str">
        <f>IFERROR(__xludf.DUMMYFUNCTION("""COMPUTED_VALUE"""),"02-28-06-100")</f>
        <v>02-28-06-100</v>
      </c>
      <c r="B571" s="36" t="str">
        <f>IFERROR(__xludf.DUMMYFUNCTION("""COMPUTED_VALUE"""),"")</f>
        <v/>
      </c>
      <c r="C571" s="36" t="str">
        <f>IFERROR(__xludf.DUMMYFUNCTION("""COMPUTED_VALUE"""),"")</f>
        <v/>
      </c>
      <c r="D571" s="36" t="str">
        <f>IFERROR(__xludf.DUMMYFUNCTION("""COMPUTED_VALUE"""),"")</f>
        <v/>
      </c>
      <c r="E571" s="36" t="str">
        <f>IFERROR(__xludf.DUMMYFUNCTION("""COMPUTED_VALUE"""),"03-24-10-88A")</f>
        <v>03-24-10-88A</v>
      </c>
      <c r="F571" s="36"/>
      <c r="G571" s="36" t="str">
        <f>IFERROR(__xludf.DUMMYFUNCTION("""COMPUTED_VALUE"""),"Avellaneda y Aconcagua Oeste")</f>
        <v>Avellaneda y Aconcagua Oeste</v>
      </c>
      <c r="H571" s="36" t="str">
        <f>IFERROR(__xludf.DUMMYFUNCTION("""COMPUTED_VALUE"""),"")</f>
        <v/>
      </c>
    </row>
    <row r="572">
      <c r="A572" s="36" t="str">
        <f>IFERROR(__xludf.DUMMYFUNCTION("""COMPUTED_VALUE"""),"02-28-06-100A")</f>
        <v>02-28-06-100A</v>
      </c>
      <c r="B572" s="36" t="str">
        <f>IFERROR(__xludf.DUMMYFUNCTION("""COMPUTED_VALUE"""),"")</f>
        <v/>
      </c>
      <c r="C572" s="36" t="str">
        <f>IFERROR(__xludf.DUMMYFUNCTION("""COMPUTED_VALUE"""),"")</f>
        <v/>
      </c>
      <c r="D572" s="36" t="str">
        <f>IFERROR(__xludf.DUMMYFUNCTION("""COMPUTED_VALUE"""),"")</f>
        <v/>
      </c>
      <c r="E572" s="36" t="str">
        <f>IFERROR(__xludf.DUMMYFUNCTION("""COMPUTED_VALUE"""),"03-28-10-88")</f>
        <v>03-28-10-88</v>
      </c>
      <c r="F572" s="36"/>
      <c r="G572" s="36" t="str">
        <f>IFERROR(__xludf.DUMMYFUNCTION("""COMPUTED_VALUE"""),"Avellaneda y Aconcagua Sur")</f>
        <v>Avellaneda y Aconcagua Sur</v>
      </c>
      <c r="H572" s="36" t="str">
        <f>IFERROR(__xludf.DUMMYFUNCTION("""COMPUTED_VALUE"""),"")</f>
        <v/>
      </c>
    </row>
    <row r="573">
      <c r="A573" s="36" t="str">
        <f>IFERROR(__xludf.DUMMYFUNCTION("""COMPUTED_VALUE"""),"02-28-06-101")</f>
        <v>02-28-06-101</v>
      </c>
      <c r="B573" s="36" t="str">
        <f>IFERROR(__xludf.DUMMYFUNCTION("""COMPUTED_VALUE"""),"")</f>
        <v/>
      </c>
      <c r="C573" s="36" t="str">
        <f>IFERROR(__xludf.DUMMYFUNCTION("""COMPUTED_VALUE"""),"")</f>
        <v/>
      </c>
      <c r="D573" s="36" t="str">
        <f>IFERROR(__xludf.DUMMYFUNCTION("""COMPUTED_VALUE"""),"")</f>
        <v/>
      </c>
      <c r="E573" s="36" t="str">
        <f>IFERROR(__xludf.DUMMYFUNCTION("""COMPUTED_VALUE"""),"03-24-10-85B")</f>
        <v>03-24-10-85B</v>
      </c>
      <c r="F573" s="36"/>
      <c r="G573" s="36" t="str">
        <f>IFERROR(__xludf.DUMMYFUNCTION("""COMPUTED_VALUE"""),"Avellaneda y Argentina")</f>
        <v>Avellaneda y Argentina</v>
      </c>
      <c r="H573" s="36" t="str">
        <f>IFERROR(__xludf.DUMMYFUNCTION("""COMPUTED_VALUE"""),"")</f>
        <v/>
      </c>
    </row>
    <row r="574">
      <c r="A574" s="36" t="str">
        <f>IFERROR(__xludf.DUMMYFUNCTION("""COMPUTED_VALUE"""),"02-28-06-102A")</f>
        <v>02-28-06-102A</v>
      </c>
      <c r="B574" s="36" t="str">
        <f>IFERROR(__xludf.DUMMYFUNCTION("""COMPUTED_VALUE"""),"")</f>
        <v/>
      </c>
      <c r="C574" s="36" t="str">
        <f>IFERROR(__xludf.DUMMYFUNCTION("""COMPUTED_VALUE"""),"")</f>
        <v/>
      </c>
      <c r="D574" s="36" t="str">
        <f>IFERROR(__xludf.DUMMYFUNCTION("""COMPUTED_VALUE"""),"")</f>
        <v/>
      </c>
      <c r="E574" s="36" t="str">
        <f>IFERROR(__xludf.DUMMYFUNCTION("""COMPUTED_VALUE"""),"01-40-09-11x")</f>
        <v>01-40-09-11x</v>
      </c>
      <c r="F574" s="36"/>
      <c r="G574" s="36" t="str">
        <f>IFERROR(__xludf.DUMMYFUNCTION("""COMPUTED_VALUE"""),"Avellaneda y Bartolomé Mitre")</f>
        <v>Avellaneda y Bartolomé Mitre</v>
      </c>
      <c r="H574" s="36" t="str">
        <f>IFERROR(__xludf.DUMMYFUNCTION("""COMPUTED_VALUE"""),"NOMBRE")</f>
        <v>NOMBRE</v>
      </c>
    </row>
    <row r="575">
      <c r="A575" s="36" t="str">
        <f>IFERROR(__xludf.DUMMYFUNCTION("""COMPUTED_VALUE"""),"02-28-06-103A")</f>
        <v>02-28-06-103A</v>
      </c>
      <c r="B575" s="36" t="str">
        <f>IFERROR(__xludf.DUMMYFUNCTION("""COMPUTED_VALUE"""),"")</f>
        <v/>
      </c>
      <c r="C575" s="36" t="str">
        <f>IFERROR(__xludf.DUMMYFUNCTION("""COMPUTED_VALUE"""),"")</f>
        <v/>
      </c>
      <c r="D575" s="36" t="str">
        <f>IFERROR(__xludf.DUMMYFUNCTION("""COMPUTED_VALUE"""),"")</f>
        <v/>
      </c>
      <c r="E575" s="36" t="str">
        <f>IFERROR(__xludf.DUMMYFUNCTION("""COMPUTED_VALUE"""),"01-53-09-12")</f>
        <v>01-53-09-12</v>
      </c>
      <c r="F575" s="36"/>
      <c r="G575" s="36" t="str">
        <f>IFERROR(__xludf.DUMMYFUNCTION("""COMPUTED_VALUE"""),"Avellaneda y Bartolomé Mitre")</f>
        <v>Avellaneda y Bartolomé Mitre</v>
      </c>
      <c r="H575" s="36" t="str">
        <f>IFERROR(__xludf.DUMMYFUNCTION("""COMPUTED_VALUE"""),"")</f>
        <v/>
      </c>
    </row>
    <row r="576">
      <c r="A576" s="36" t="str">
        <f>IFERROR(__xludf.DUMMYFUNCTION("""COMPUTED_VALUE"""),"02-28-06-105A")</f>
        <v>02-28-06-105A</v>
      </c>
      <c r="B576" s="36" t="str">
        <f>IFERROR(__xludf.DUMMYFUNCTION("""COMPUTED_VALUE"""),"")</f>
        <v/>
      </c>
      <c r="C576" s="36" t="str">
        <f>IFERROR(__xludf.DUMMYFUNCTION("""COMPUTED_VALUE"""),"")</f>
        <v/>
      </c>
      <c r="D576" s="36" t="str">
        <f>IFERROR(__xludf.DUMMYFUNCTION("""COMPUTED_VALUE"""),"")</f>
        <v/>
      </c>
      <c r="E576" s="36" t="str">
        <f>IFERROR(__xludf.DUMMYFUNCTION("""COMPUTED_VALUE"""),"01-46-07-160A")</f>
        <v>01-46-07-160A</v>
      </c>
      <c r="F576" s="36"/>
      <c r="G576" s="36" t="str">
        <f>IFERROR(__xludf.DUMMYFUNCTION("""COMPUTED_VALUE"""),"Avenida Nuche")</f>
        <v>Avenida Nuche</v>
      </c>
      <c r="H576" s="36" t="str">
        <f>IFERROR(__xludf.DUMMYFUNCTION("""COMPUTED_VALUE"""),"NOMBRE")</f>
        <v>NOMBRE</v>
      </c>
    </row>
    <row r="577">
      <c r="A577" s="36" t="str">
        <f>IFERROR(__xludf.DUMMYFUNCTION("""COMPUTED_VALUE"""),"02-28-06-75A")</f>
        <v>02-28-06-75A</v>
      </c>
      <c r="B577" s="36" t="str">
        <f>IFERROR(__xludf.DUMMYFUNCTION("""COMPUTED_VALUE"""),"")</f>
        <v/>
      </c>
      <c r="C577" s="36" t="str">
        <f>IFERROR(__xludf.DUMMYFUNCTION("""COMPUTED_VALUE"""),"")</f>
        <v/>
      </c>
      <c r="D577" s="36" t="str">
        <f>IFERROR(__xludf.DUMMYFUNCTION("""COMPUTED_VALUE"""),"")</f>
        <v/>
      </c>
      <c r="E577" s="36" t="str">
        <f>IFERROR(__xludf.DUMMYFUNCTION("""COMPUTED_VALUE"""),"01-46-07-160B")</f>
        <v>01-46-07-160B</v>
      </c>
      <c r="F577" s="36"/>
      <c r="G577" s="36" t="str">
        <f>IFERROR(__xludf.DUMMYFUNCTION("""COMPUTED_VALUE"""),"Avenida Nuche")</f>
        <v>Avenida Nuche</v>
      </c>
      <c r="H577" s="36" t="str">
        <f>IFERROR(__xludf.DUMMYFUNCTION("""COMPUTED_VALUE"""),"")</f>
        <v/>
      </c>
    </row>
    <row r="578">
      <c r="A578" s="36" t="str">
        <f>IFERROR(__xludf.DUMMYFUNCTION("""COMPUTED_VALUE"""),"02-28-06-76B")</f>
        <v>02-28-06-76B</v>
      </c>
      <c r="B578" s="36" t="str">
        <f>IFERROR(__xludf.DUMMYFUNCTION("""COMPUTED_VALUE"""),"")</f>
        <v/>
      </c>
      <c r="C578" s="36" t="str">
        <f>IFERROR(__xludf.DUMMYFUNCTION("""COMPUTED_VALUE"""),"")</f>
        <v/>
      </c>
      <c r="D578" s="36" t="str">
        <f>IFERROR(__xludf.DUMMYFUNCTION("""COMPUTED_VALUE"""),"")</f>
        <v/>
      </c>
      <c r="E578" s="36" t="str">
        <f>IFERROR(__xludf.DUMMYFUNCTION("""COMPUTED_VALUE"""),"02-42-11-38")</f>
        <v>02-42-11-38</v>
      </c>
      <c r="F578" s="36"/>
      <c r="G578" s="36" t="str">
        <f>IFERROR(__xludf.DUMMYFUNCTION("""COMPUTED_VALUE"""),"B. Rivadavia y Clemente Sarmiento")</f>
        <v>B. Rivadavia y Clemente Sarmiento</v>
      </c>
      <c r="H578" s="36" t="str">
        <f>IFERROR(__xludf.DUMMYFUNCTION("""COMPUTED_VALUE"""),"")</f>
        <v/>
      </c>
    </row>
    <row r="579">
      <c r="A579" s="36" t="str">
        <f>IFERROR(__xludf.DUMMYFUNCTION("""COMPUTED_VALUE"""),"02-28-06-89A")</f>
        <v>02-28-06-89A</v>
      </c>
      <c r="B579" s="36" t="str">
        <f>IFERROR(__xludf.DUMMYFUNCTION("""COMPUTED_VALUE"""),"")</f>
        <v/>
      </c>
      <c r="C579" s="36" t="str">
        <f>IFERROR(__xludf.DUMMYFUNCTION("""COMPUTED_VALUE"""),"")</f>
        <v/>
      </c>
      <c r="D579" s="36" t="str">
        <f>IFERROR(__xludf.DUMMYFUNCTION("""COMPUTED_VALUE"""),"")</f>
        <v/>
      </c>
      <c r="E579" s="36" t="str">
        <f>IFERROR(__xludf.DUMMYFUNCTION("""COMPUTED_VALUE"""),"08-20-02-63")</f>
        <v>08-20-02-63</v>
      </c>
      <c r="F579" s="36"/>
      <c r="G579" s="36" t="str">
        <f>IFERROR(__xludf.DUMMYFUNCTION("""COMPUTED_VALUE"""),"B° 19 de Noviembre")</f>
        <v>B° 19 de Noviembre</v>
      </c>
      <c r="H579" s="36" t="str">
        <f>IFERROR(__xludf.DUMMYFUNCTION("""COMPUTED_VALUE"""),"")</f>
        <v/>
      </c>
    </row>
    <row r="580">
      <c r="A580" s="36" t="str">
        <f>IFERROR(__xludf.DUMMYFUNCTION("""COMPUTED_VALUE"""),"02-28-06-90")</f>
        <v>02-28-06-90</v>
      </c>
      <c r="B580" s="36" t="str">
        <f>IFERROR(__xludf.DUMMYFUNCTION("""COMPUTED_VALUE"""),"")</f>
        <v/>
      </c>
      <c r="C580" s="36" t="str">
        <f>IFERROR(__xludf.DUMMYFUNCTION("""COMPUTED_VALUE"""),"")</f>
        <v/>
      </c>
      <c r="D580" s="36" t="str">
        <f>IFERROR(__xludf.DUMMYFUNCTION("""COMPUTED_VALUE"""),"")</f>
        <v/>
      </c>
      <c r="E580" s="36" t="str">
        <f>IFERROR(__xludf.DUMMYFUNCTION("""COMPUTED_VALUE"""),"08-22-04-41A")</f>
        <v>08-22-04-41A</v>
      </c>
      <c r="F580" s="36"/>
      <c r="G580" s="36" t="str">
        <f>IFERROR(__xludf.DUMMYFUNCTION("""COMPUTED_VALUE"""),"B° 2 de Abril ")</f>
        <v>B° 2 de Abril </v>
      </c>
      <c r="H580" s="36" t="str">
        <f>IFERROR(__xludf.DUMMYFUNCTION("""COMPUTED_VALUE"""),"")</f>
        <v/>
      </c>
    </row>
    <row r="581">
      <c r="A581" s="36" t="str">
        <f>IFERROR(__xludf.DUMMYFUNCTION("""COMPUTED_VALUE"""),"02-28-06-90A")</f>
        <v>02-28-06-90A</v>
      </c>
      <c r="B581" s="36" t="str">
        <f>IFERROR(__xludf.DUMMYFUNCTION("""COMPUTED_VALUE"""),"")</f>
        <v/>
      </c>
      <c r="C581" s="36" t="str">
        <f>IFERROR(__xludf.DUMMYFUNCTION("""COMPUTED_VALUE"""),"")</f>
        <v/>
      </c>
      <c r="D581" s="36" t="str">
        <f>IFERROR(__xludf.DUMMYFUNCTION("""COMPUTED_VALUE"""),"")</f>
        <v/>
      </c>
      <c r="E581" s="36" t="str">
        <f>IFERROR(__xludf.DUMMYFUNCTION("""COMPUTED_VALUE"""),"03-31-09-93")</f>
        <v>03-31-09-93</v>
      </c>
      <c r="F581" s="36"/>
      <c r="G581" s="36" t="str">
        <f>IFERROR(__xludf.DUMMYFUNCTION("""COMPUTED_VALUE"""),"B° 30 de Octubre")</f>
        <v>B° 30 de Octubre</v>
      </c>
      <c r="H581" s="36" t="str">
        <f>IFERROR(__xludf.DUMMYFUNCTION("""COMPUTED_VALUE"""),"")</f>
        <v/>
      </c>
    </row>
    <row r="582">
      <c r="A582" s="36" t="str">
        <f>IFERROR(__xludf.DUMMYFUNCTION("""COMPUTED_VALUE"""),"02-28-06-90B")</f>
        <v>02-28-06-90B</v>
      </c>
      <c r="B582" s="36" t="str">
        <f>IFERROR(__xludf.DUMMYFUNCTION("""COMPUTED_VALUE"""),"")</f>
        <v/>
      </c>
      <c r="C582" s="36" t="str">
        <f>IFERROR(__xludf.DUMMYFUNCTION("""COMPUTED_VALUE"""),"")</f>
        <v/>
      </c>
      <c r="D582" s="36" t="str">
        <f>IFERROR(__xludf.DUMMYFUNCTION("""COMPUTED_VALUE"""),"")</f>
        <v/>
      </c>
      <c r="E582" s="36" t="str">
        <f>IFERROR(__xludf.DUMMYFUNCTION("""COMPUTED_VALUE"""),"08-28-03-26")</f>
        <v>08-28-03-26</v>
      </c>
      <c r="F582" s="36"/>
      <c r="G582" s="36" t="str">
        <f>IFERROR(__xludf.DUMMYFUNCTION("""COMPUTED_VALUE"""),"B° 5 de Octubre")</f>
        <v>B° 5 de Octubre</v>
      </c>
      <c r="H582" s="36" t="str">
        <f>IFERROR(__xludf.DUMMYFUNCTION("""COMPUTED_VALUE"""),"")</f>
        <v/>
      </c>
    </row>
    <row r="583">
      <c r="A583" s="36" t="str">
        <f>IFERROR(__xludf.DUMMYFUNCTION("""COMPUTED_VALUE"""),"02-28-06-91")</f>
        <v>02-28-06-91</v>
      </c>
      <c r="B583" s="36" t="str">
        <f>IFERROR(__xludf.DUMMYFUNCTION("""COMPUTED_VALUE"""),"")</f>
        <v/>
      </c>
      <c r="C583" s="36" t="str">
        <f>IFERROR(__xludf.DUMMYFUNCTION("""COMPUTED_VALUE"""),"")</f>
        <v/>
      </c>
      <c r="D583" s="36" t="str">
        <f>IFERROR(__xludf.DUMMYFUNCTION("""COMPUTED_VALUE"""),"")</f>
        <v/>
      </c>
      <c r="E583" s="36" t="str">
        <f>IFERROR(__xludf.DUMMYFUNCTION("""COMPUTED_VALUE"""),"04-43-11-67A")</f>
        <v>04-43-11-67A</v>
      </c>
      <c r="F583" s="36"/>
      <c r="G583" s="36" t="str">
        <f>IFERROR(__xludf.DUMMYFUNCTION("""COMPUTED_VALUE"""),"B° Altos de Meglioli")</f>
        <v>B° Altos de Meglioli</v>
      </c>
      <c r="H583" s="36" t="str">
        <f>IFERROR(__xludf.DUMMYFUNCTION("""COMPUTED_VALUE"""),"")</f>
        <v/>
      </c>
    </row>
    <row r="584">
      <c r="A584" s="36" t="str">
        <f>IFERROR(__xludf.DUMMYFUNCTION("""COMPUTED_VALUE"""),"02-28-06-91A")</f>
        <v>02-28-06-91A</v>
      </c>
      <c r="B584" s="36" t="str">
        <f>IFERROR(__xludf.DUMMYFUNCTION("""COMPUTED_VALUE"""),"")</f>
        <v/>
      </c>
      <c r="C584" s="36" t="str">
        <f>IFERROR(__xludf.DUMMYFUNCTION("""COMPUTED_VALUE"""),"")</f>
        <v/>
      </c>
      <c r="D584" s="36" t="str">
        <f>IFERROR(__xludf.DUMMYFUNCTION("""COMPUTED_VALUE"""),"")</f>
        <v/>
      </c>
      <c r="E584" s="36" t="str">
        <f>IFERROR(__xludf.DUMMYFUNCTION("""COMPUTED_VALUE"""),"04-42-11-67")</f>
        <v>04-42-11-67</v>
      </c>
      <c r="F584" s="36"/>
      <c r="G584" s="36" t="str">
        <f>IFERROR(__xludf.DUMMYFUNCTION("""COMPUTED_VALUE"""),"B° Altos de Meglioli I")</f>
        <v>B° Altos de Meglioli I</v>
      </c>
      <c r="H584" s="36" t="str">
        <f>IFERROR(__xludf.DUMMYFUNCTION("""COMPUTED_VALUE"""),"")</f>
        <v/>
      </c>
    </row>
    <row r="585">
      <c r="A585" s="36" t="str">
        <f>IFERROR(__xludf.DUMMYFUNCTION("""COMPUTED_VALUE"""),"02-28-06-92")</f>
        <v>02-28-06-92</v>
      </c>
      <c r="B585" s="36" t="str">
        <f>IFERROR(__xludf.DUMMYFUNCTION("""COMPUTED_VALUE"""),"")</f>
        <v/>
      </c>
      <c r="C585" s="36" t="str">
        <f>IFERROR(__xludf.DUMMYFUNCTION("""COMPUTED_VALUE"""),"")</f>
        <v/>
      </c>
      <c r="D585" s="36" t="str">
        <f>IFERROR(__xludf.DUMMYFUNCTION("""COMPUTED_VALUE"""),"")</f>
        <v/>
      </c>
      <c r="E585" s="36" t="str">
        <f>IFERROR(__xludf.DUMMYFUNCTION("""COMPUTED_VALUE"""),"04-30-14-125A")</f>
        <v>04-30-14-125A</v>
      </c>
      <c r="F585" s="36"/>
      <c r="G585" s="36" t="str">
        <f>IFERROR(__xludf.DUMMYFUNCTION("""COMPUTED_VALUE"""),"B° Amecom 3 - Plaza Cura Brochero N")</f>
        <v>B° Amecom 3 - Plaza Cura Brochero N</v>
      </c>
      <c r="H585" s="36" t="str">
        <f>IFERROR(__xludf.DUMMYFUNCTION("""COMPUTED_VALUE"""),"")</f>
        <v/>
      </c>
    </row>
    <row r="586">
      <c r="A586" s="36" t="str">
        <f>IFERROR(__xludf.DUMMYFUNCTION("""COMPUTED_VALUE"""),"02-28-06-92A")</f>
        <v>02-28-06-92A</v>
      </c>
      <c r="B586" s="36" t="str">
        <f>IFERROR(__xludf.DUMMYFUNCTION("""COMPUTED_VALUE"""),"")</f>
        <v/>
      </c>
      <c r="C586" s="36" t="str">
        <f>IFERROR(__xludf.DUMMYFUNCTION("""COMPUTED_VALUE"""),"")</f>
        <v/>
      </c>
      <c r="D586" s="36" t="str">
        <f>IFERROR(__xludf.DUMMYFUNCTION("""COMPUTED_VALUE"""),"")</f>
        <v/>
      </c>
      <c r="E586" s="36" t="str">
        <f>IFERROR(__xludf.DUMMYFUNCTION("""COMPUTED_VALUE"""),"04-30-14-124A")</f>
        <v>04-30-14-124A</v>
      </c>
      <c r="F586" s="36"/>
      <c r="G586" s="36" t="str">
        <f>IFERROR(__xludf.DUMMYFUNCTION("""COMPUTED_VALUE"""),"B° Amecom 3 - Plaza Cura Brochero S")</f>
        <v>B° Amecom 3 - Plaza Cura Brochero S</v>
      </c>
      <c r="H586" s="36" t="str">
        <f>IFERROR(__xludf.DUMMYFUNCTION("""COMPUTED_VALUE"""),"")</f>
        <v/>
      </c>
    </row>
    <row r="587">
      <c r="A587" s="36" t="str">
        <f>IFERROR(__xludf.DUMMYFUNCTION("""COMPUTED_VALUE"""),"02-28-06-92B")</f>
        <v>02-28-06-92B</v>
      </c>
      <c r="B587" s="36" t="str">
        <f>IFERROR(__xludf.DUMMYFUNCTION("""COMPUTED_VALUE"""),"")</f>
        <v/>
      </c>
      <c r="C587" s="36" t="str">
        <f>IFERROR(__xludf.DUMMYFUNCTION("""COMPUTED_VALUE"""),"")</f>
        <v/>
      </c>
      <c r="D587" s="36" t="str">
        <f>IFERROR(__xludf.DUMMYFUNCTION("""COMPUTED_VALUE"""),"")</f>
        <v/>
      </c>
      <c r="E587" s="36" t="str">
        <f>IFERROR(__xludf.DUMMYFUNCTION("""COMPUTED_VALUE"""),"04-30-14-124")</f>
        <v>04-30-14-124</v>
      </c>
      <c r="F587" s="36"/>
      <c r="G587" s="36" t="str">
        <f>IFERROR(__xludf.DUMMYFUNCTION("""COMPUTED_VALUE"""),"B° Amecom 4 - Plaza E")</f>
        <v>B° Amecom 4 - Plaza E</v>
      </c>
      <c r="H587" s="36" t="str">
        <f>IFERROR(__xludf.DUMMYFUNCTION("""COMPUTED_VALUE"""),"")</f>
        <v/>
      </c>
    </row>
    <row r="588">
      <c r="A588" s="36" t="str">
        <f>IFERROR(__xludf.DUMMYFUNCTION("""COMPUTED_VALUE"""),"02-28-06-92C")</f>
        <v>02-28-06-92C</v>
      </c>
      <c r="B588" s="36" t="str">
        <f>IFERROR(__xludf.DUMMYFUNCTION("""COMPUTED_VALUE"""),"")</f>
        <v/>
      </c>
      <c r="C588" s="36" t="str">
        <f>IFERROR(__xludf.DUMMYFUNCTION("""COMPUTED_VALUE"""),"")</f>
        <v/>
      </c>
      <c r="D588" s="36" t="str">
        <f>IFERROR(__xludf.DUMMYFUNCTION("""COMPUTED_VALUE"""),"")</f>
        <v/>
      </c>
      <c r="E588" s="36" t="str">
        <f>IFERROR(__xludf.DUMMYFUNCTION("""COMPUTED_VALUE"""),"04-30-14-125")</f>
        <v>04-30-14-125</v>
      </c>
      <c r="F588" s="36"/>
      <c r="G588" s="36" t="str">
        <f>IFERROR(__xludf.DUMMYFUNCTION("""COMPUTED_VALUE"""),"B° Amecom 4 - Plaza O")</f>
        <v>B° Amecom 4 - Plaza O</v>
      </c>
      <c r="H588" s="36" t="str">
        <f>IFERROR(__xludf.DUMMYFUNCTION("""COMPUTED_VALUE"""),"")</f>
        <v/>
      </c>
    </row>
    <row r="589">
      <c r="A589" s="36" t="str">
        <f>IFERROR(__xludf.DUMMYFUNCTION("""COMPUTED_VALUE"""),"02-28-06-93")</f>
        <v>02-28-06-93</v>
      </c>
      <c r="B589" s="36" t="str">
        <f>IFERROR(__xludf.DUMMYFUNCTION("""COMPUTED_VALUE"""),"")</f>
        <v/>
      </c>
      <c r="C589" s="36" t="str">
        <f>IFERROR(__xludf.DUMMYFUNCTION("""COMPUTED_VALUE"""),"")</f>
        <v/>
      </c>
      <c r="D589" s="36" t="str">
        <f>IFERROR(__xludf.DUMMYFUNCTION("""COMPUTED_VALUE"""),"")</f>
        <v/>
      </c>
      <c r="E589" s="36" t="str">
        <f>IFERROR(__xludf.DUMMYFUNCTION("""COMPUTED_VALUE"""),"02-28-06-100")</f>
        <v>02-28-06-100</v>
      </c>
      <c r="F589" s="36"/>
      <c r="G589" s="36" t="str">
        <f>IFERROR(__xludf.DUMMYFUNCTION("""COMPUTED_VALUE"""),"B° ATE-API N")</f>
        <v>B° ATE-API N</v>
      </c>
      <c r="H589" s="36" t="str">
        <f>IFERROR(__xludf.DUMMYFUNCTION("""COMPUTED_VALUE"""),"")</f>
        <v/>
      </c>
    </row>
    <row r="590">
      <c r="A590" s="36" t="str">
        <f>IFERROR(__xludf.DUMMYFUNCTION("""COMPUTED_VALUE"""),"02-28-06-93A")</f>
        <v>02-28-06-93A</v>
      </c>
      <c r="B590" s="36" t="str">
        <f>IFERROR(__xludf.DUMMYFUNCTION("""COMPUTED_VALUE"""),"")</f>
        <v/>
      </c>
      <c r="C590" s="36" t="str">
        <f>IFERROR(__xludf.DUMMYFUNCTION("""COMPUTED_VALUE"""),"")</f>
        <v/>
      </c>
      <c r="D590" s="36" t="str">
        <f>IFERROR(__xludf.DUMMYFUNCTION("""COMPUTED_VALUE"""),"")</f>
        <v/>
      </c>
      <c r="E590" s="36" t="str">
        <f>IFERROR(__xludf.DUMMYFUNCTION("""COMPUTED_VALUE"""),"02-28-06-100A")</f>
        <v>02-28-06-100A</v>
      </c>
      <c r="F590" s="36"/>
      <c r="G590" s="36" t="str">
        <f>IFERROR(__xludf.DUMMYFUNCTION("""COMPUTED_VALUE"""),"B° ATE-API S")</f>
        <v>B° ATE-API S</v>
      </c>
      <c r="H590" s="36" t="str">
        <f>IFERROR(__xludf.DUMMYFUNCTION("""COMPUTED_VALUE"""),"")</f>
        <v/>
      </c>
    </row>
    <row r="591">
      <c r="A591" s="36" t="str">
        <f>IFERROR(__xludf.DUMMYFUNCTION("""COMPUTED_VALUE"""),"02-28-06-94")</f>
        <v>02-28-06-94</v>
      </c>
      <c r="B591" s="36" t="str">
        <f>IFERROR(__xludf.DUMMYFUNCTION("""COMPUTED_VALUE"""),"")</f>
        <v/>
      </c>
      <c r="C591" s="36" t="str">
        <f>IFERROR(__xludf.DUMMYFUNCTION("""COMPUTED_VALUE"""),"")</f>
        <v/>
      </c>
      <c r="D591" s="36" t="str">
        <f>IFERROR(__xludf.DUMMYFUNCTION("""COMPUTED_VALUE"""),"")</f>
        <v/>
      </c>
      <c r="E591" s="36" t="str">
        <f>IFERROR(__xludf.DUMMYFUNCTION("""COMPUTED_VALUE"""),"02-31-05-16")</f>
        <v>02-31-05-16</v>
      </c>
      <c r="F591" s="36"/>
      <c r="G591" s="36" t="str">
        <f>IFERROR(__xludf.DUMMYFUNCTION("""COMPUTED_VALUE"""),"B° ATSA IV E")</f>
        <v>B° ATSA IV E</v>
      </c>
      <c r="H591" s="36" t="str">
        <f>IFERROR(__xludf.DUMMYFUNCTION("""COMPUTED_VALUE"""),"")</f>
        <v/>
      </c>
    </row>
    <row r="592">
      <c r="A592" s="36" t="str">
        <f>IFERROR(__xludf.DUMMYFUNCTION("""COMPUTED_VALUE"""),"02-28-06-94A")</f>
        <v>02-28-06-94A</v>
      </c>
      <c r="B592" s="36" t="str">
        <f>IFERROR(__xludf.DUMMYFUNCTION("""COMPUTED_VALUE"""),"")</f>
        <v/>
      </c>
      <c r="C592" s="36" t="str">
        <f>IFERROR(__xludf.DUMMYFUNCTION("""COMPUTED_VALUE"""),"")</f>
        <v/>
      </c>
      <c r="D592" s="36" t="str">
        <f>IFERROR(__xludf.DUMMYFUNCTION("""COMPUTED_VALUE"""),"")</f>
        <v/>
      </c>
      <c r="E592" s="36" t="str">
        <f>IFERROR(__xludf.DUMMYFUNCTION("""COMPUTED_VALUE"""),"02-32-05-15")</f>
        <v>02-32-05-15</v>
      </c>
      <c r="F592" s="36"/>
      <c r="G592" s="36" t="str">
        <f>IFERROR(__xludf.DUMMYFUNCTION("""COMPUTED_VALUE"""),"B° ATSA IV N")</f>
        <v>B° ATSA IV N</v>
      </c>
      <c r="H592" s="36" t="str">
        <f>IFERROR(__xludf.DUMMYFUNCTION("""COMPUTED_VALUE"""),"")</f>
        <v/>
      </c>
    </row>
    <row r="593">
      <c r="A593" s="36" t="str">
        <f>IFERROR(__xludf.DUMMYFUNCTION("""COMPUTED_VALUE"""),"02-28-06-95")</f>
        <v>02-28-06-95</v>
      </c>
      <c r="B593" s="36" t="str">
        <f>IFERROR(__xludf.DUMMYFUNCTION("""COMPUTED_VALUE"""),"")</f>
        <v/>
      </c>
      <c r="C593" s="36" t="str">
        <f>IFERROR(__xludf.DUMMYFUNCTION("""COMPUTED_VALUE"""),"")</f>
        <v/>
      </c>
      <c r="D593" s="36" t="str">
        <f>IFERROR(__xludf.DUMMYFUNCTION("""COMPUTED_VALUE"""),"")</f>
        <v/>
      </c>
      <c r="E593" s="36" t="str">
        <f>IFERROR(__xludf.DUMMYFUNCTION("""COMPUTED_VALUE"""),"02-32-05-14")</f>
        <v>02-32-05-14</v>
      </c>
      <c r="F593" s="36"/>
      <c r="G593" s="36" t="str">
        <f>IFERROR(__xludf.DUMMYFUNCTION("""COMPUTED_VALUE"""),"B° ATSA IV S")</f>
        <v>B° ATSA IV S</v>
      </c>
      <c r="H593" s="36" t="str">
        <f>IFERROR(__xludf.DUMMYFUNCTION("""COMPUTED_VALUE"""),"")</f>
        <v/>
      </c>
    </row>
    <row r="594">
      <c r="A594" s="36" t="str">
        <f>IFERROR(__xludf.DUMMYFUNCTION("""COMPUTED_VALUE"""),"02-28-06-96")</f>
        <v>02-28-06-96</v>
      </c>
      <c r="B594" s="36" t="str">
        <f>IFERROR(__xludf.DUMMYFUNCTION("""COMPUTED_VALUE"""),"")</f>
        <v/>
      </c>
      <c r="C594" s="36" t="str">
        <f>IFERROR(__xludf.DUMMYFUNCTION("""COMPUTED_VALUE"""),"")</f>
        <v/>
      </c>
      <c r="D594" s="36" t="str">
        <f>IFERROR(__xludf.DUMMYFUNCTION("""COMPUTED_VALUE"""),"")</f>
        <v/>
      </c>
      <c r="E594" s="36" t="str">
        <f>IFERROR(__xludf.DUMMYFUNCTION("""COMPUTED_VALUE"""),"04-43-11-70A")</f>
        <v>04-43-11-70A</v>
      </c>
      <c r="F594" s="36"/>
      <c r="G594" s="36" t="str">
        <f>IFERROR(__xludf.DUMMYFUNCTION("""COMPUTED_VALUE"""),"B° Caracoles")</f>
        <v>B° Caracoles</v>
      </c>
      <c r="H594" s="36" t="str">
        <f>IFERROR(__xludf.DUMMYFUNCTION("""COMPUTED_VALUE"""),"")</f>
        <v/>
      </c>
    </row>
    <row r="595">
      <c r="A595" s="36" t="str">
        <f>IFERROR(__xludf.DUMMYFUNCTION("""COMPUTED_VALUE"""),"02-28-06-96A")</f>
        <v>02-28-06-96A</v>
      </c>
      <c r="B595" s="36" t="str">
        <f>IFERROR(__xludf.DUMMYFUNCTION("""COMPUTED_VALUE"""),"")</f>
        <v/>
      </c>
      <c r="C595" s="36" t="str">
        <f>IFERROR(__xludf.DUMMYFUNCTION("""COMPUTED_VALUE"""),"")</f>
        <v/>
      </c>
      <c r="D595" s="36" t="str">
        <f>IFERROR(__xludf.DUMMYFUNCTION("""COMPUTED_VALUE"""),"")</f>
        <v/>
      </c>
      <c r="E595" s="36" t="str">
        <f>IFERROR(__xludf.DUMMYFUNCTION("""COMPUTED_VALUE"""),"04-42-11-70")</f>
        <v>04-42-11-70</v>
      </c>
      <c r="F595" s="36"/>
      <c r="G595" s="36" t="str">
        <f>IFERROR(__xludf.DUMMYFUNCTION("""COMPUTED_VALUE"""),"B° Caracoles I")</f>
        <v>B° Caracoles I</v>
      </c>
      <c r="H595" s="36" t="str">
        <f>IFERROR(__xludf.DUMMYFUNCTION("""COMPUTED_VALUE"""),"")</f>
        <v/>
      </c>
    </row>
    <row r="596">
      <c r="A596" s="36" t="str">
        <f>IFERROR(__xludf.DUMMYFUNCTION("""COMPUTED_VALUE"""),"02-28-06-97")</f>
        <v>02-28-06-97</v>
      </c>
      <c r="B596" s="36" t="str">
        <f>IFERROR(__xludf.DUMMYFUNCTION("""COMPUTED_VALUE"""),"")</f>
        <v/>
      </c>
      <c r="C596" s="36" t="str">
        <f>IFERROR(__xludf.DUMMYFUNCTION("""COMPUTED_VALUE"""),"")</f>
        <v/>
      </c>
      <c r="D596" s="36" t="str">
        <f>IFERROR(__xludf.DUMMYFUNCTION("""COMPUTED_VALUE"""),"")</f>
        <v/>
      </c>
      <c r="E596" s="36" t="str">
        <f>IFERROR(__xludf.DUMMYFUNCTION("""COMPUTED_VALUE"""),"08-22-03-81B")</f>
        <v>08-22-03-81B</v>
      </c>
      <c r="F596" s="36"/>
      <c r="G596" s="36" t="str">
        <f>IFERROR(__xludf.DUMMYFUNCTION("""COMPUTED_VALUE"""),"B° Centenario A")</f>
        <v>B° Centenario A</v>
      </c>
      <c r="H596" s="36" t="str">
        <f>IFERROR(__xludf.DUMMYFUNCTION("""COMPUTED_VALUE"""),"")</f>
        <v/>
      </c>
    </row>
    <row r="597">
      <c r="A597" s="36" t="str">
        <f>IFERROR(__xludf.DUMMYFUNCTION("""COMPUTED_VALUE"""),"02-28-06-97A")</f>
        <v>02-28-06-97A</v>
      </c>
      <c r="B597" s="36" t="str">
        <f>IFERROR(__xludf.DUMMYFUNCTION("""COMPUTED_VALUE"""),"")</f>
        <v/>
      </c>
      <c r="C597" s="36" t="str">
        <f>IFERROR(__xludf.DUMMYFUNCTION("""COMPUTED_VALUE"""),"")</f>
        <v/>
      </c>
      <c r="D597" s="36" t="str">
        <f>IFERROR(__xludf.DUMMYFUNCTION("""COMPUTED_VALUE"""),"")</f>
        <v/>
      </c>
      <c r="E597" s="36" t="str">
        <f>IFERROR(__xludf.DUMMYFUNCTION("""COMPUTED_VALUE"""),"08-22-03-81I")</f>
        <v>08-22-03-81I</v>
      </c>
      <c r="F597" s="36"/>
      <c r="G597" s="36" t="str">
        <f>IFERROR(__xludf.DUMMYFUNCTION("""COMPUTED_VALUE"""),"B° Centenario B")</f>
        <v>B° Centenario B</v>
      </c>
      <c r="H597" s="36" t="str">
        <f>IFERROR(__xludf.DUMMYFUNCTION("""COMPUTED_VALUE"""),"")</f>
        <v/>
      </c>
    </row>
    <row r="598">
      <c r="A598" s="36" t="str">
        <f>IFERROR(__xludf.DUMMYFUNCTION("""COMPUTED_VALUE"""),"02-28-06-97B")</f>
        <v>02-28-06-97B</v>
      </c>
      <c r="B598" s="36" t="str">
        <f>IFERROR(__xludf.DUMMYFUNCTION("""COMPUTED_VALUE"""),"")</f>
        <v/>
      </c>
      <c r="C598" s="36" t="str">
        <f>IFERROR(__xludf.DUMMYFUNCTION("""COMPUTED_VALUE"""),"")</f>
        <v/>
      </c>
      <c r="D598" s="36" t="str">
        <f>IFERROR(__xludf.DUMMYFUNCTION("""COMPUTED_VALUE"""),"")</f>
        <v/>
      </c>
      <c r="E598" s="36" t="str">
        <f>IFERROR(__xludf.DUMMYFUNCTION("""COMPUTED_VALUE"""),"02-42-11-45")</f>
        <v>02-42-11-45</v>
      </c>
      <c r="F598" s="36"/>
      <c r="G598" s="36" t="str">
        <f>IFERROR(__xludf.DUMMYFUNCTION("""COMPUTED_VALUE"""),"B° Conjunto 1, 2 y 3 Sur")</f>
        <v>B° Conjunto 1, 2 y 3 Sur</v>
      </c>
      <c r="H598" s="36" t="str">
        <f>IFERROR(__xludf.DUMMYFUNCTION("""COMPUTED_VALUE"""),"")</f>
        <v/>
      </c>
    </row>
    <row r="599">
      <c r="A599" s="36" t="str">
        <f>IFERROR(__xludf.DUMMYFUNCTION("""COMPUTED_VALUE"""),"02-28-06-98")</f>
        <v>02-28-06-98</v>
      </c>
      <c r="B599" s="36" t="str">
        <f>IFERROR(__xludf.DUMMYFUNCTION("""COMPUTED_VALUE"""),"")</f>
        <v/>
      </c>
      <c r="C599" s="36" t="str">
        <f>IFERROR(__xludf.DUMMYFUNCTION("""COMPUTED_VALUE"""),"")</f>
        <v/>
      </c>
      <c r="D599" s="36" t="str">
        <f>IFERROR(__xludf.DUMMYFUNCTION("""COMPUTED_VALUE"""),"")</f>
        <v/>
      </c>
      <c r="E599" s="36" t="str">
        <f>IFERROR(__xludf.DUMMYFUNCTION("""COMPUTED_VALUE"""),"02-42-11-45A")</f>
        <v>02-42-11-45A</v>
      </c>
      <c r="F599" s="36"/>
      <c r="G599" s="36" t="str">
        <f>IFERROR(__xludf.DUMMYFUNCTION("""COMPUTED_VALUE"""),"B° Conjunto 1, 2 y 4 Norte")</f>
        <v>B° Conjunto 1, 2 y 4 Norte</v>
      </c>
      <c r="H599" s="36" t="str">
        <f>IFERROR(__xludf.DUMMYFUNCTION("""COMPUTED_VALUE"""),"")</f>
        <v/>
      </c>
    </row>
    <row r="600">
      <c r="A600" s="36" t="str">
        <f>IFERROR(__xludf.DUMMYFUNCTION("""COMPUTED_VALUE"""),"02-28-06-98A")</f>
        <v>02-28-06-98A</v>
      </c>
      <c r="B600" s="36" t="str">
        <f>IFERROR(__xludf.DUMMYFUNCTION("""COMPUTED_VALUE"""),"")</f>
        <v/>
      </c>
      <c r="C600" s="36" t="str">
        <f>IFERROR(__xludf.DUMMYFUNCTION("""COMPUTED_VALUE"""),"")</f>
        <v/>
      </c>
      <c r="D600" s="36" t="str">
        <f>IFERROR(__xludf.DUMMYFUNCTION("""COMPUTED_VALUE"""),"")</f>
        <v/>
      </c>
      <c r="E600" s="36" t="str">
        <f>IFERROR(__xludf.DUMMYFUNCTION("""COMPUTED_VALUE"""),"04-43-11-69A")</f>
        <v>04-43-11-69A</v>
      </c>
      <c r="F600" s="36"/>
      <c r="G600" s="36" t="str">
        <f>IFERROR(__xludf.DUMMYFUNCTION("""COMPUTED_VALUE"""),"B° Conjunto 7 Rawson")</f>
        <v>B° Conjunto 7 Rawson</v>
      </c>
      <c r="H600" s="36" t="str">
        <f>IFERROR(__xludf.DUMMYFUNCTION("""COMPUTED_VALUE"""),"")</f>
        <v/>
      </c>
    </row>
    <row r="601">
      <c r="A601" s="36" t="str">
        <f>IFERROR(__xludf.DUMMYFUNCTION("""COMPUTED_VALUE"""),"02-28-06-99")</f>
        <v>02-28-06-99</v>
      </c>
      <c r="B601" s="36" t="str">
        <f>IFERROR(__xludf.DUMMYFUNCTION("""COMPUTED_VALUE"""),"")</f>
        <v/>
      </c>
      <c r="C601" s="36" t="str">
        <f>IFERROR(__xludf.DUMMYFUNCTION("""COMPUTED_VALUE"""),"")</f>
        <v/>
      </c>
      <c r="D601" s="36" t="str">
        <f>IFERROR(__xludf.DUMMYFUNCTION("""COMPUTED_VALUE"""),"")</f>
        <v/>
      </c>
      <c r="E601" s="36" t="str">
        <f>IFERROR(__xludf.DUMMYFUNCTION("""COMPUTED_VALUE"""),"04-42-11-69")</f>
        <v>04-42-11-69</v>
      </c>
      <c r="F601" s="36"/>
      <c r="G601" s="36" t="str">
        <f>IFERROR(__xludf.DUMMYFUNCTION("""COMPUTED_VALUE"""),"B° Conjunto 7 Rawson I")</f>
        <v>B° Conjunto 7 Rawson I</v>
      </c>
      <c r="H601" s="36" t="str">
        <f>IFERROR(__xludf.DUMMYFUNCTION("""COMPUTED_VALUE"""),"")</f>
        <v/>
      </c>
    </row>
    <row r="602">
      <c r="A602" s="36" t="str">
        <f>IFERROR(__xludf.DUMMYFUNCTION("""COMPUTED_VALUE"""),"02-28-06-99A")</f>
        <v>02-28-06-99A</v>
      </c>
      <c r="B602" s="36" t="str">
        <f>IFERROR(__xludf.DUMMYFUNCTION("""COMPUTED_VALUE"""),"")</f>
        <v/>
      </c>
      <c r="C602" s="36" t="str">
        <f>IFERROR(__xludf.DUMMYFUNCTION("""COMPUTED_VALUE"""),"")</f>
        <v/>
      </c>
      <c r="D602" s="36" t="str">
        <f>IFERROR(__xludf.DUMMYFUNCTION("""COMPUTED_VALUE"""),"")</f>
        <v/>
      </c>
      <c r="E602" s="36" t="str">
        <f>IFERROR(__xludf.DUMMYFUNCTION("""COMPUTED_VALUE"""),"08-26-04-56")</f>
        <v>08-26-04-56</v>
      </c>
      <c r="F602" s="36"/>
      <c r="G602" s="36" t="str">
        <f>IFERROR(__xludf.DUMMYFUNCTION("""COMPUTED_VALUE"""),"B° Conjunto Único N")</f>
        <v>B° Conjunto Único N</v>
      </c>
      <c r="H602" s="36" t="str">
        <f>IFERROR(__xludf.DUMMYFUNCTION("""COMPUTED_VALUE"""),"")</f>
        <v/>
      </c>
    </row>
    <row r="603">
      <c r="A603" s="36" t="str">
        <f>IFERROR(__xludf.DUMMYFUNCTION("""COMPUTED_VALUE"""),"02-29-06-101A")</f>
        <v>02-29-06-101A</v>
      </c>
      <c r="B603" s="36" t="str">
        <f>IFERROR(__xludf.DUMMYFUNCTION("""COMPUTED_VALUE"""),"")</f>
        <v/>
      </c>
      <c r="C603" s="36" t="str">
        <f>IFERROR(__xludf.DUMMYFUNCTION("""COMPUTED_VALUE"""),"")</f>
        <v/>
      </c>
      <c r="D603" s="36" t="str">
        <f>IFERROR(__xludf.DUMMYFUNCTION("""COMPUTED_VALUE"""),"")</f>
        <v/>
      </c>
      <c r="E603" s="36" t="str">
        <f>IFERROR(__xludf.DUMMYFUNCTION("""COMPUTED_VALUE"""),"08-26-04-55")</f>
        <v>08-26-04-55</v>
      </c>
      <c r="F603" s="36"/>
      <c r="G603" s="36" t="str">
        <f>IFERROR(__xludf.DUMMYFUNCTION("""COMPUTED_VALUE"""),"B° Conjunto Único S")</f>
        <v>B° Conjunto Único S</v>
      </c>
      <c r="H603" s="36" t="str">
        <f>IFERROR(__xludf.DUMMYFUNCTION("""COMPUTED_VALUE"""),"")</f>
        <v/>
      </c>
    </row>
    <row r="604">
      <c r="A604" s="36" t="str">
        <f>IFERROR(__xludf.DUMMYFUNCTION("""COMPUTED_VALUE"""),"02-29-06-101B")</f>
        <v>02-29-06-101B</v>
      </c>
      <c r="B604" s="36" t="str">
        <f>IFERROR(__xludf.DUMMYFUNCTION("""COMPUTED_VALUE"""),"")</f>
        <v/>
      </c>
      <c r="C604" s="36" t="str">
        <f>IFERROR(__xludf.DUMMYFUNCTION("""COMPUTED_VALUE"""),"")</f>
        <v/>
      </c>
      <c r="D604" s="36" t="str">
        <f>IFERROR(__xludf.DUMMYFUNCTION("""COMPUTED_VALUE"""),"")</f>
        <v/>
      </c>
      <c r="E604" s="36" t="str">
        <f>IFERROR(__xludf.DUMMYFUNCTION("""COMPUTED_VALUE"""),"02-42-11-48")</f>
        <v>02-42-11-48</v>
      </c>
      <c r="F604" s="36"/>
      <c r="G604" s="36" t="str">
        <f>IFERROR(__xludf.DUMMYFUNCTION("""COMPUTED_VALUE"""),"B° Conjuntos 1,2 y 3 Mzna. B Norte")</f>
        <v>B° Conjuntos 1,2 y 3 Mzna. B Norte</v>
      </c>
      <c r="H604" s="36" t="str">
        <f>IFERROR(__xludf.DUMMYFUNCTION("""COMPUTED_VALUE"""),"")</f>
        <v/>
      </c>
    </row>
    <row r="605">
      <c r="A605" s="36" t="str">
        <f>IFERROR(__xludf.DUMMYFUNCTION("""COMPUTED_VALUE"""),"02-29-06-102")</f>
        <v>02-29-06-102</v>
      </c>
      <c r="B605" s="36" t="str">
        <f>IFERROR(__xludf.DUMMYFUNCTION("""COMPUTED_VALUE"""),"")</f>
        <v/>
      </c>
      <c r="C605" s="36" t="str">
        <f>IFERROR(__xludf.DUMMYFUNCTION("""COMPUTED_VALUE"""),"")</f>
        <v/>
      </c>
      <c r="D605" s="36" t="str">
        <f>IFERROR(__xludf.DUMMYFUNCTION("""COMPUTED_VALUE"""),"")</f>
        <v/>
      </c>
      <c r="E605" s="36" t="str">
        <f>IFERROR(__xludf.DUMMYFUNCTION("""COMPUTED_VALUE"""),"02-42-11-48A")</f>
        <v>02-42-11-48A</v>
      </c>
      <c r="F605" s="36"/>
      <c r="G605" s="36" t="str">
        <f>IFERROR(__xludf.DUMMYFUNCTION("""COMPUTED_VALUE"""),"B° Conjuntos 1,2 y 3 Mzna. C Sur")</f>
        <v>B° Conjuntos 1,2 y 3 Mzna. C Sur</v>
      </c>
      <c r="H605" s="36" t="str">
        <f>IFERROR(__xludf.DUMMYFUNCTION("""COMPUTED_VALUE"""),"")</f>
        <v/>
      </c>
    </row>
    <row r="606">
      <c r="A606" s="36" t="str">
        <f>IFERROR(__xludf.DUMMYFUNCTION("""COMPUTED_VALUE"""),"02-29-06-103B")</f>
        <v>02-29-06-103B</v>
      </c>
      <c r="B606" s="36" t="str">
        <f>IFERROR(__xludf.DUMMYFUNCTION("""COMPUTED_VALUE"""),"")</f>
        <v/>
      </c>
      <c r="C606" s="36" t="str">
        <f>IFERROR(__xludf.DUMMYFUNCTION("""COMPUTED_VALUE"""),"")</f>
        <v/>
      </c>
      <c r="D606" s="36" t="str">
        <f>IFERROR(__xludf.DUMMYFUNCTION("""COMPUTED_VALUE"""),"")</f>
        <v/>
      </c>
      <c r="E606" s="36" t="str">
        <f>IFERROR(__xludf.DUMMYFUNCTION("""COMPUTED_VALUE"""),"01-26-09-250H")</f>
        <v>01-26-09-250H</v>
      </c>
      <c r="F606" s="36"/>
      <c r="G606" s="36" t="str">
        <f>IFERROR(__xludf.DUMMYFUNCTION("""COMPUTED_VALUE"""),"B° Corrientes")</f>
        <v>B° Corrientes</v>
      </c>
      <c r="H606" s="36" t="str">
        <f>IFERROR(__xludf.DUMMYFUNCTION("""COMPUTED_VALUE"""),"")</f>
        <v/>
      </c>
    </row>
    <row r="607">
      <c r="A607" s="36" t="str">
        <f>IFERROR(__xludf.DUMMYFUNCTION("""COMPUTED_VALUE"""),"02-29-06-103C")</f>
        <v>02-29-06-103C</v>
      </c>
      <c r="B607" s="36" t="str">
        <f>IFERROR(__xludf.DUMMYFUNCTION("""COMPUTED_VALUE"""),"")</f>
        <v/>
      </c>
      <c r="C607" s="36" t="str">
        <f>IFERROR(__xludf.DUMMYFUNCTION("""COMPUTED_VALUE"""),"")</f>
        <v/>
      </c>
      <c r="D607" s="36" t="str">
        <f>IFERROR(__xludf.DUMMYFUNCTION("""COMPUTED_VALUE"""),"")</f>
        <v/>
      </c>
      <c r="E607" s="36" t="str">
        <f>IFERROR(__xludf.DUMMYFUNCTION("""COMPUTED_VALUE"""),"03-40-10-106")</f>
        <v>03-40-10-106</v>
      </c>
      <c r="F607" s="36"/>
      <c r="G607" s="36" t="str">
        <f>IFERROR(__xludf.DUMMYFUNCTION("""COMPUTED_VALUE"""),"B° Difunta Correa Mza D")</f>
        <v>B° Difunta Correa Mza D</v>
      </c>
      <c r="H607" s="36" t="str">
        <f>IFERROR(__xludf.DUMMYFUNCTION("""COMPUTED_VALUE"""),"")</f>
        <v/>
      </c>
    </row>
    <row r="608">
      <c r="A608" s="36" t="str">
        <f>IFERROR(__xludf.DUMMYFUNCTION("""COMPUTED_VALUE"""),"02-29-06-104")</f>
        <v>02-29-06-104</v>
      </c>
      <c r="B608" s="36" t="str">
        <f>IFERROR(__xludf.DUMMYFUNCTION("""COMPUTED_VALUE"""),"")</f>
        <v/>
      </c>
      <c r="C608" s="36" t="str">
        <f>IFERROR(__xludf.DUMMYFUNCTION("""COMPUTED_VALUE"""),"")</f>
        <v/>
      </c>
      <c r="D608" s="36" t="str">
        <f>IFERROR(__xludf.DUMMYFUNCTION("""COMPUTED_VALUE"""),"")</f>
        <v/>
      </c>
      <c r="E608" s="36" t="str">
        <f>IFERROR(__xludf.DUMMYFUNCTION("""COMPUTED_VALUE"""),"03-40-10-105A")</f>
        <v>03-40-10-105A</v>
      </c>
      <c r="F608" s="36"/>
      <c r="G608" s="36" t="str">
        <f>IFERROR(__xludf.DUMMYFUNCTION("""COMPUTED_VALUE"""),"B° Difunta Correa Mza E Norte")</f>
        <v>B° Difunta Correa Mza E Norte</v>
      </c>
      <c r="H608" s="36" t="str">
        <f>IFERROR(__xludf.DUMMYFUNCTION("""COMPUTED_VALUE"""),"")</f>
        <v/>
      </c>
    </row>
    <row r="609">
      <c r="A609" s="36" t="str">
        <f>IFERROR(__xludf.DUMMYFUNCTION("""COMPUTED_VALUE"""),"02-29-06-105B")</f>
        <v>02-29-06-105B</v>
      </c>
      <c r="B609" s="36" t="str">
        <f>IFERROR(__xludf.DUMMYFUNCTION("""COMPUTED_VALUE"""),"")</f>
        <v/>
      </c>
      <c r="C609" s="36" t="str">
        <f>IFERROR(__xludf.DUMMYFUNCTION("""COMPUTED_VALUE"""),"")</f>
        <v/>
      </c>
      <c r="D609" s="36" t="str">
        <f>IFERROR(__xludf.DUMMYFUNCTION("""COMPUTED_VALUE"""),"")</f>
        <v/>
      </c>
      <c r="E609" s="36" t="str">
        <f>IFERROR(__xludf.DUMMYFUNCTION("""COMPUTED_VALUE"""),"03-40-10-105B")</f>
        <v>03-40-10-105B</v>
      </c>
      <c r="F609" s="36"/>
      <c r="G609" s="36" t="str">
        <f>IFERROR(__xludf.DUMMYFUNCTION("""COMPUTED_VALUE"""),"B° Difunta Correa Mza E Sur")</f>
        <v>B° Difunta Correa Mza E Sur</v>
      </c>
      <c r="H609" s="36" t="str">
        <f>IFERROR(__xludf.DUMMYFUNCTION("""COMPUTED_VALUE"""),"")</f>
        <v/>
      </c>
    </row>
    <row r="610">
      <c r="A610" s="36" t="str">
        <f>IFERROR(__xludf.DUMMYFUNCTION("""COMPUTED_VALUE"""),"02-30-06-36")</f>
        <v>02-30-06-36</v>
      </c>
      <c r="B610" s="36" t="str">
        <f>IFERROR(__xludf.DUMMYFUNCTION("""COMPUTED_VALUE"""),"")</f>
        <v/>
      </c>
      <c r="C610" s="36" t="str">
        <f>IFERROR(__xludf.DUMMYFUNCTION("""COMPUTED_VALUE"""),"")</f>
        <v/>
      </c>
      <c r="D610" s="36" t="str">
        <f>IFERROR(__xludf.DUMMYFUNCTION("""COMPUTED_VALUE"""),"")</f>
        <v/>
      </c>
      <c r="E610" s="36" t="str">
        <f>IFERROR(__xludf.DUMMYFUNCTION("""COMPUTED_VALUE"""),"02-24-05-66")</f>
        <v>02-24-05-66</v>
      </c>
      <c r="F610" s="36"/>
      <c r="G610" s="36" t="str">
        <f>IFERROR(__xludf.DUMMYFUNCTION("""COMPUTED_VALUE"""),"B° El Arriero N")</f>
        <v>B° El Arriero N</v>
      </c>
      <c r="H610" s="36" t="str">
        <f>IFERROR(__xludf.DUMMYFUNCTION("""COMPUTED_VALUE"""),"")</f>
        <v/>
      </c>
    </row>
    <row r="611">
      <c r="A611" s="36" t="str">
        <f>IFERROR(__xludf.DUMMYFUNCTION("""COMPUTED_VALUE"""),"02-30-06-37")</f>
        <v>02-30-06-37</v>
      </c>
      <c r="B611" s="36" t="str">
        <f>IFERROR(__xludf.DUMMYFUNCTION("""COMPUTED_VALUE"""),"")</f>
        <v/>
      </c>
      <c r="C611" s="36" t="str">
        <f>IFERROR(__xludf.DUMMYFUNCTION("""COMPUTED_VALUE"""),"")</f>
        <v/>
      </c>
      <c r="D611" s="36" t="str">
        <f>IFERROR(__xludf.DUMMYFUNCTION("""COMPUTED_VALUE"""),"")</f>
        <v/>
      </c>
      <c r="E611" s="36" t="str">
        <f>IFERROR(__xludf.DUMMYFUNCTION("""COMPUTED_VALUE"""),"02-32-05-65")</f>
        <v>02-32-05-65</v>
      </c>
      <c r="F611" s="36"/>
      <c r="G611" s="36" t="str">
        <f>IFERROR(__xludf.DUMMYFUNCTION("""COMPUTED_VALUE"""),"B° El Arriero S")</f>
        <v>B° El Arriero S</v>
      </c>
      <c r="H611" s="36" t="str">
        <f>IFERROR(__xludf.DUMMYFUNCTION("""COMPUTED_VALUE"""),"")</f>
        <v/>
      </c>
    </row>
    <row r="612">
      <c r="A612" s="36" t="str">
        <f>IFERROR(__xludf.DUMMYFUNCTION("""COMPUTED_VALUE"""),"02-30-06-38")</f>
        <v>02-30-06-38</v>
      </c>
      <c r="B612" s="36" t="str">
        <f>IFERROR(__xludf.DUMMYFUNCTION("""COMPUTED_VALUE"""),"")</f>
        <v/>
      </c>
      <c r="C612" s="36" t="str">
        <f>IFERROR(__xludf.DUMMYFUNCTION("""COMPUTED_VALUE"""),"")</f>
        <v/>
      </c>
      <c r="D612" s="36" t="str">
        <f>IFERROR(__xludf.DUMMYFUNCTION("""COMPUTED_VALUE"""),"")</f>
        <v/>
      </c>
      <c r="E612" s="36" t="str">
        <f>IFERROR(__xludf.DUMMYFUNCTION("""COMPUTED_VALUE"""),"02-46-11-16A")</f>
        <v>02-46-11-16A</v>
      </c>
      <c r="F612" s="36"/>
      <c r="G612" s="36" t="str">
        <f>IFERROR(__xludf.DUMMYFUNCTION("""COMPUTED_VALUE"""),"B° El Jilguero Este")</f>
        <v>B° El Jilguero Este</v>
      </c>
      <c r="H612" s="36" t="str">
        <f>IFERROR(__xludf.DUMMYFUNCTION("""COMPUTED_VALUE"""),"")</f>
        <v/>
      </c>
    </row>
    <row r="613">
      <c r="A613" s="36" t="str">
        <f>IFERROR(__xludf.DUMMYFUNCTION("""COMPUTED_VALUE"""),"02-30-06-38A")</f>
        <v>02-30-06-38A</v>
      </c>
      <c r="B613" s="36" t="str">
        <f>IFERROR(__xludf.DUMMYFUNCTION("""COMPUTED_VALUE"""),"")</f>
        <v/>
      </c>
      <c r="C613" s="36" t="str">
        <f>IFERROR(__xludf.DUMMYFUNCTION("""COMPUTED_VALUE"""),"")</f>
        <v/>
      </c>
      <c r="D613" s="36" t="str">
        <f>IFERROR(__xludf.DUMMYFUNCTION("""COMPUTED_VALUE"""),"")</f>
        <v/>
      </c>
      <c r="E613" s="36" t="str">
        <f>IFERROR(__xludf.DUMMYFUNCTION("""COMPUTED_VALUE"""),"02-46-11-16")</f>
        <v>02-46-11-16</v>
      </c>
      <c r="F613" s="36"/>
      <c r="G613" s="36" t="str">
        <f>IFERROR(__xludf.DUMMYFUNCTION("""COMPUTED_VALUE"""),"B° El Jilguero Oeste")</f>
        <v>B° El Jilguero Oeste</v>
      </c>
      <c r="H613" s="36" t="str">
        <f>IFERROR(__xludf.DUMMYFUNCTION("""COMPUTED_VALUE"""),"")</f>
        <v/>
      </c>
    </row>
    <row r="614">
      <c r="A614" s="36" t="str">
        <f>IFERROR(__xludf.DUMMYFUNCTION("""COMPUTED_VALUE"""),"02-30-06-39")</f>
        <v>02-30-06-39</v>
      </c>
      <c r="B614" s="36" t="str">
        <f>IFERROR(__xludf.DUMMYFUNCTION("""COMPUTED_VALUE"""),"")</f>
        <v/>
      </c>
      <c r="C614" s="36" t="str">
        <f>IFERROR(__xludf.DUMMYFUNCTION("""COMPUTED_VALUE"""),"")</f>
        <v/>
      </c>
      <c r="D614" s="36" t="str">
        <f>IFERROR(__xludf.DUMMYFUNCTION("""COMPUTED_VALUE"""),"")</f>
        <v/>
      </c>
      <c r="E614" s="36" t="str">
        <f>IFERROR(__xludf.DUMMYFUNCTION("""COMPUTED_VALUE"""),"08-40-02-18")</f>
        <v>08-40-02-18</v>
      </c>
      <c r="F614" s="36"/>
      <c r="G614" s="36" t="str">
        <f>IFERROR(__xludf.DUMMYFUNCTION("""COMPUTED_VALUE"""),"B° Jardines del Sol E")</f>
        <v>B° Jardines del Sol E</v>
      </c>
      <c r="H614" s="36" t="str">
        <f>IFERROR(__xludf.DUMMYFUNCTION("""COMPUTED_VALUE"""),"")</f>
        <v/>
      </c>
    </row>
    <row r="615">
      <c r="A615" s="36" t="str">
        <f>IFERROR(__xludf.DUMMYFUNCTION("""COMPUTED_VALUE"""),"02-30-06-39A")</f>
        <v>02-30-06-39A</v>
      </c>
      <c r="B615" s="36" t="str">
        <f>IFERROR(__xludf.DUMMYFUNCTION("""COMPUTED_VALUE"""),"")</f>
        <v/>
      </c>
      <c r="C615" s="36" t="str">
        <f>IFERROR(__xludf.DUMMYFUNCTION("""COMPUTED_VALUE"""),"")</f>
        <v/>
      </c>
      <c r="D615" s="36" t="str">
        <f>IFERROR(__xludf.DUMMYFUNCTION("""COMPUTED_VALUE"""),"")</f>
        <v/>
      </c>
      <c r="E615" s="36" t="str">
        <f>IFERROR(__xludf.DUMMYFUNCTION("""COMPUTED_VALUE"""),"08-40-02-19")</f>
        <v>08-40-02-19</v>
      </c>
      <c r="F615" s="36"/>
      <c r="G615" s="36" t="str">
        <f>IFERROR(__xludf.DUMMYFUNCTION("""COMPUTED_VALUE"""),"B° Jardines del Sol O")</f>
        <v>B° Jardines del Sol O</v>
      </c>
      <c r="H615" s="36" t="str">
        <f>IFERROR(__xludf.DUMMYFUNCTION("""COMPUTED_VALUE"""),"")</f>
        <v/>
      </c>
    </row>
    <row r="616">
      <c r="A616" s="36" t="str">
        <f>IFERROR(__xludf.DUMMYFUNCTION("""COMPUTED_VALUE"""),"02-30-06-40")</f>
        <v>02-30-06-40</v>
      </c>
      <c r="B616" s="36" t="str">
        <f>IFERROR(__xludf.DUMMYFUNCTION("""COMPUTED_VALUE"""),"")</f>
        <v/>
      </c>
      <c r="C616" s="36" t="str">
        <f>IFERROR(__xludf.DUMMYFUNCTION("""COMPUTED_VALUE"""),"")</f>
        <v/>
      </c>
      <c r="D616" s="36" t="str">
        <f>IFERROR(__xludf.DUMMYFUNCTION("""COMPUTED_VALUE"""),"")</f>
        <v/>
      </c>
      <c r="E616" s="36" t="str">
        <f>IFERROR(__xludf.DUMMYFUNCTION("""COMPUTED_VALUE"""),"01-22-08-93")</f>
        <v>01-22-08-93</v>
      </c>
      <c r="F616" s="36"/>
      <c r="G616" s="36" t="str">
        <f>IFERROR(__xludf.DUMMYFUNCTION("""COMPUTED_VALUE"""),"B° La Capilla")</f>
        <v>B° La Capilla</v>
      </c>
      <c r="H616" s="36" t="str">
        <f>IFERROR(__xludf.DUMMYFUNCTION("""COMPUTED_VALUE"""),"")</f>
        <v/>
      </c>
    </row>
    <row r="617">
      <c r="A617" s="36" t="str">
        <f>IFERROR(__xludf.DUMMYFUNCTION("""COMPUTED_VALUE"""),"02-30-06-40A")</f>
        <v>02-30-06-40A</v>
      </c>
      <c r="B617" s="36" t="str">
        <f>IFERROR(__xludf.DUMMYFUNCTION("""COMPUTED_VALUE"""),"")</f>
        <v/>
      </c>
      <c r="C617" s="36" t="str">
        <f>IFERROR(__xludf.DUMMYFUNCTION("""COMPUTED_VALUE"""),"")</f>
        <v/>
      </c>
      <c r="D617" s="36" t="str">
        <f>IFERROR(__xludf.DUMMYFUNCTION("""COMPUTED_VALUE"""),"")</f>
        <v/>
      </c>
      <c r="E617" s="36" t="str">
        <f>IFERROR(__xludf.DUMMYFUNCTION("""COMPUTED_VALUE"""),"02-24-05-60")</f>
        <v>02-24-05-60</v>
      </c>
      <c r="F617" s="36"/>
      <c r="G617" s="36" t="str">
        <f>IFERROR(__xludf.DUMMYFUNCTION("""COMPUTED_VALUE"""),"B° Los Zorzales")</f>
        <v>B° Los Zorzales</v>
      </c>
      <c r="H617" s="36" t="str">
        <f>IFERROR(__xludf.DUMMYFUNCTION("""COMPUTED_VALUE"""),"")</f>
        <v/>
      </c>
    </row>
    <row r="618">
      <c r="A618" s="36" t="str">
        <f>IFERROR(__xludf.DUMMYFUNCTION("""COMPUTED_VALUE"""),"02-30-06-41")</f>
        <v>02-30-06-41</v>
      </c>
      <c r="B618" s="36" t="str">
        <f>IFERROR(__xludf.DUMMYFUNCTION("""COMPUTED_VALUE"""),"")</f>
        <v/>
      </c>
      <c r="C618" s="36" t="str">
        <f>IFERROR(__xludf.DUMMYFUNCTION("""COMPUTED_VALUE"""),"")</f>
        <v/>
      </c>
      <c r="D618" s="36" t="str">
        <f>IFERROR(__xludf.DUMMYFUNCTION("""COMPUTED_VALUE"""),"")</f>
        <v/>
      </c>
      <c r="E618" s="36" t="str">
        <f>IFERROR(__xludf.DUMMYFUNCTION("""COMPUTED_VALUE"""),"02-32-05-50")</f>
        <v>02-32-05-50</v>
      </c>
      <c r="F618" s="36"/>
      <c r="G618" s="36" t="str">
        <f>IFERROR(__xludf.DUMMYFUNCTION("""COMPUTED_VALUE"""),"B° Lote Hogar 53 ")</f>
        <v>B° Lote Hogar 53 </v>
      </c>
      <c r="H618" s="36" t="str">
        <f>IFERROR(__xludf.DUMMYFUNCTION("""COMPUTED_VALUE"""),"")</f>
        <v/>
      </c>
    </row>
    <row r="619">
      <c r="A619" s="36" t="str">
        <f>IFERROR(__xludf.DUMMYFUNCTION("""COMPUTED_VALUE"""),"02-30-06-41A")</f>
        <v>02-30-06-41A</v>
      </c>
      <c r="B619" s="36" t="str">
        <f>IFERROR(__xludf.DUMMYFUNCTION("""COMPUTED_VALUE"""),"")</f>
        <v/>
      </c>
      <c r="C619" s="36" t="str">
        <f>IFERROR(__xludf.DUMMYFUNCTION("""COMPUTED_VALUE"""),"")</f>
        <v/>
      </c>
      <c r="D619" s="36" t="str">
        <f>IFERROR(__xludf.DUMMYFUNCTION("""COMPUTED_VALUE"""),"")</f>
        <v/>
      </c>
      <c r="E619" s="36" t="str">
        <f>IFERROR(__xludf.DUMMYFUNCTION("""COMPUTED_VALUE"""),"08-22-03-81F")</f>
        <v>08-22-03-81F</v>
      </c>
      <c r="F619" s="36"/>
      <c r="G619" s="36" t="str">
        <f>IFERROR(__xludf.DUMMYFUNCTION("""COMPUTED_VALUE"""),"B° Lote Hogar 59")</f>
        <v>B° Lote Hogar 59</v>
      </c>
      <c r="H619" s="36" t="str">
        <f>IFERROR(__xludf.DUMMYFUNCTION("""COMPUTED_VALUE"""),"")</f>
        <v/>
      </c>
    </row>
    <row r="620">
      <c r="A620" s="36" t="str">
        <f>IFERROR(__xludf.DUMMYFUNCTION("""COMPUTED_VALUE"""),"02-30-06-42")</f>
        <v>02-30-06-42</v>
      </c>
      <c r="B620" s="36" t="str">
        <f>IFERROR(__xludf.DUMMYFUNCTION("""COMPUTED_VALUE"""),"")</f>
        <v/>
      </c>
      <c r="C620" s="36" t="str">
        <f>IFERROR(__xludf.DUMMYFUNCTION("""COMPUTED_VALUE"""),"")</f>
        <v/>
      </c>
      <c r="D620" s="36" t="str">
        <f>IFERROR(__xludf.DUMMYFUNCTION("""COMPUTED_VALUE"""),"")</f>
        <v/>
      </c>
      <c r="E620" s="36" t="str">
        <f>IFERROR(__xludf.DUMMYFUNCTION("""COMPUTED_VALUE"""),"08-22-03-23")</f>
        <v>08-22-03-23</v>
      </c>
      <c r="F620" s="36"/>
      <c r="G620" s="36" t="str">
        <f>IFERROR(__xludf.DUMMYFUNCTION("""COMPUTED_VALUE"""),"B° Lote Hogar 59 y RN40")</f>
        <v>B° Lote Hogar 59 y RN40</v>
      </c>
      <c r="H620" s="36" t="str">
        <f>IFERROR(__xludf.DUMMYFUNCTION("""COMPUTED_VALUE"""),"")</f>
        <v/>
      </c>
    </row>
    <row r="621">
      <c r="A621" s="36" t="str">
        <f>IFERROR(__xludf.DUMMYFUNCTION("""COMPUTED_VALUE"""),"02-30-06-43")</f>
        <v>02-30-06-43</v>
      </c>
      <c r="B621" s="36" t="str">
        <f>IFERROR(__xludf.DUMMYFUNCTION("""COMPUTED_VALUE"""),"")</f>
        <v/>
      </c>
      <c r="C621" s="36" t="str">
        <f>IFERROR(__xludf.DUMMYFUNCTION("""COMPUTED_VALUE"""),"")</f>
        <v/>
      </c>
      <c r="D621" s="36" t="str">
        <f>IFERROR(__xludf.DUMMYFUNCTION("""COMPUTED_VALUE"""),"")</f>
        <v/>
      </c>
      <c r="E621" s="36" t="str">
        <f>IFERROR(__xludf.DUMMYFUNCTION("""COMPUTED_VALUE"""),"04-30-14-82")</f>
        <v>04-30-14-82</v>
      </c>
      <c r="F621" s="36"/>
      <c r="G621" s="36" t="str">
        <f>IFERROR(__xludf.DUMMYFUNCTION("""COMPUTED_VALUE"""),"B° Luz y Fuerza 5 ")</f>
        <v>B° Luz y Fuerza 5 </v>
      </c>
      <c r="H621" s="36" t="str">
        <f>IFERROR(__xludf.DUMMYFUNCTION("""COMPUTED_VALUE"""),"")</f>
        <v/>
      </c>
    </row>
    <row r="622">
      <c r="A622" s="36" t="str">
        <f>IFERROR(__xludf.DUMMYFUNCTION("""COMPUTED_VALUE"""),"02-30-06-44")</f>
        <v>02-30-06-44</v>
      </c>
      <c r="B622" s="36" t="str">
        <f>IFERROR(__xludf.DUMMYFUNCTION("""COMPUTED_VALUE"""),"")</f>
        <v/>
      </c>
      <c r="C622" s="36" t="str">
        <f>IFERROR(__xludf.DUMMYFUNCTION("""COMPUTED_VALUE"""),"")</f>
        <v/>
      </c>
      <c r="D622" s="36" t="str">
        <f>IFERROR(__xludf.DUMMYFUNCTION("""COMPUTED_VALUE"""),"")</f>
        <v/>
      </c>
      <c r="E622" s="36" t="str">
        <f>IFERROR(__xludf.DUMMYFUNCTION("""COMPUTED_VALUE"""),"02-46-11-14")</f>
        <v>02-46-11-14</v>
      </c>
      <c r="F622" s="36"/>
      <c r="G622" s="36" t="str">
        <f>IFERROR(__xludf.DUMMYFUNCTION("""COMPUTED_VALUE"""),"B° Nuevo Cuyo Norte")</f>
        <v>B° Nuevo Cuyo Norte</v>
      </c>
      <c r="H622" s="36" t="str">
        <f>IFERROR(__xludf.DUMMYFUNCTION("""COMPUTED_VALUE"""),"")</f>
        <v/>
      </c>
    </row>
    <row r="623">
      <c r="A623" s="36" t="str">
        <f>IFERROR(__xludf.DUMMYFUNCTION("""COMPUTED_VALUE"""),"02-30-06-69")</f>
        <v>02-30-06-69</v>
      </c>
      <c r="B623" s="36" t="str">
        <f>IFERROR(__xludf.DUMMYFUNCTION("""COMPUTED_VALUE"""),"")</f>
        <v/>
      </c>
      <c r="C623" s="36" t="str">
        <f>IFERROR(__xludf.DUMMYFUNCTION("""COMPUTED_VALUE"""),"")</f>
        <v/>
      </c>
      <c r="D623" s="36" t="str">
        <f>IFERROR(__xludf.DUMMYFUNCTION("""COMPUTED_VALUE"""),"")</f>
        <v/>
      </c>
      <c r="E623" s="36" t="str">
        <f>IFERROR(__xludf.DUMMYFUNCTION("""COMPUTED_VALUE"""),"02-46-11-14A")</f>
        <v>02-46-11-14A</v>
      </c>
      <c r="F623" s="36"/>
      <c r="G623" s="36" t="str">
        <f>IFERROR(__xludf.DUMMYFUNCTION("""COMPUTED_VALUE"""),"B° Nuevo Cuyo Sur")</f>
        <v>B° Nuevo Cuyo Sur</v>
      </c>
      <c r="H623" s="36" t="str">
        <f>IFERROR(__xludf.DUMMYFUNCTION("""COMPUTED_VALUE"""),"")</f>
        <v/>
      </c>
    </row>
    <row r="624">
      <c r="A624" s="36" t="str">
        <f>IFERROR(__xludf.DUMMYFUNCTION("""COMPUTED_VALUE"""),"02-30-06-70")</f>
        <v>02-30-06-70</v>
      </c>
      <c r="B624" s="36" t="str">
        <f>IFERROR(__xludf.DUMMYFUNCTION("""COMPUTED_VALUE"""),"")</f>
        <v/>
      </c>
      <c r="C624" s="36" t="str">
        <f>IFERROR(__xludf.DUMMYFUNCTION("""COMPUTED_VALUE"""),"")</f>
        <v/>
      </c>
      <c r="D624" s="36" t="str">
        <f>IFERROR(__xludf.DUMMYFUNCTION("""COMPUTED_VALUE"""),"")</f>
        <v/>
      </c>
      <c r="E624" s="36" t="str">
        <f>IFERROR(__xludf.DUMMYFUNCTION("""COMPUTED_VALUE"""),"04-30-14-135")</f>
        <v>04-30-14-135</v>
      </c>
      <c r="F624" s="36"/>
      <c r="G624" s="36" t="str">
        <f>IFERROR(__xludf.DUMMYFUNCTION("""COMPUTED_VALUE"""),"B° Obreros Textiles - Plaza central E")</f>
        <v>B° Obreros Textiles - Plaza central E</v>
      </c>
      <c r="H624" s="36" t="str">
        <f>IFERROR(__xludf.DUMMYFUNCTION("""COMPUTED_VALUE"""),"")</f>
        <v/>
      </c>
    </row>
    <row r="625">
      <c r="A625" s="36" t="str">
        <f>IFERROR(__xludf.DUMMYFUNCTION("""COMPUTED_VALUE"""),"02-30-06-71")</f>
        <v>02-30-06-71</v>
      </c>
      <c r="B625" s="36" t="str">
        <f>IFERROR(__xludf.DUMMYFUNCTION("""COMPUTED_VALUE"""),"")</f>
        <v/>
      </c>
      <c r="C625" s="36" t="str">
        <f>IFERROR(__xludf.DUMMYFUNCTION("""COMPUTED_VALUE"""),"")</f>
        <v/>
      </c>
      <c r="D625" s="36" t="str">
        <f>IFERROR(__xludf.DUMMYFUNCTION("""COMPUTED_VALUE"""),"")</f>
        <v/>
      </c>
      <c r="E625" s="36" t="str">
        <f>IFERROR(__xludf.DUMMYFUNCTION("""COMPUTED_VALUE"""),"04-30-14-134")</f>
        <v>04-30-14-134</v>
      </c>
      <c r="F625" s="36"/>
      <c r="G625" s="36" t="str">
        <f>IFERROR(__xludf.DUMMYFUNCTION("""COMPUTED_VALUE"""),"B° Obreros Textiles - Plaza central O")</f>
        <v>B° Obreros Textiles - Plaza central O</v>
      </c>
      <c r="H625" s="36" t="str">
        <f>IFERROR(__xludf.DUMMYFUNCTION("""COMPUTED_VALUE"""),"")</f>
        <v/>
      </c>
    </row>
    <row r="626">
      <c r="A626" s="36" t="str">
        <f>IFERROR(__xludf.DUMMYFUNCTION("""COMPUTED_VALUE"""),"02-30-06-72")</f>
        <v>02-30-06-72</v>
      </c>
      <c r="B626" s="36" t="str">
        <f>IFERROR(__xludf.DUMMYFUNCTION("""COMPUTED_VALUE"""),"")</f>
        <v/>
      </c>
      <c r="C626" s="36" t="str">
        <f>IFERROR(__xludf.DUMMYFUNCTION("""COMPUTED_VALUE"""),"")</f>
        <v/>
      </c>
      <c r="D626" s="36" t="str">
        <f>IFERROR(__xludf.DUMMYFUNCTION("""COMPUTED_VALUE"""),"")</f>
        <v/>
      </c>
      <c r="E626" s="36" t="str">
        <f>IFERROR(__xludf.DUMMYFUNCTION("""COMPUTED_VALUE"""),"04-43-11-71A")</f>
        <v>04-43-11-71A</v>
      </c>
      <c r="F626" s="36"/>
      <c r="G626" s="36" t="str">
        <f>IFERROR(__xludf.DUMMYFUNCTION("""COMPUTED_VALUE"""),"B° Río Blanco")</f>
        <v>B° Río Blanco</v>
      </c>
      <c r="H626" s="36" t="str">
        <f>IFERROR(__xludf.DUMMYFUNCTION("""COMPUTED_VALUE"""),"")</f>
        <v/>
      </c>
    </row>
    <row r="627">
      <c r="A627" s="36" t="str">
        <f>IFERROR(__xludf.DUMMYFUNCTION("""COMPUTED_VALUE"""),"02-30-06-73")</f>
        <v>02-30-06-73</v>
      </c>
      <c r="B627" s="36" t="str">
        <f>IFERROR(__xludf.DUMMYFUNCTION("""COMPUTED_VALUE"""),"")</f>
        <v/>
      </c>
      <c r="C627" s="36" t="str">
        <f>IFERROR(__xludf.DUMMYFUNCTION("""COMPUTED_VALUE"""),"")</f>
        <v/>
      </c>
      <c r="D627" s="36" t="str">
        <f>IFERROR(__xludf.DUMMYFUNCTION("""COMPUTED_VALUE"""),"")</f>
        <v/>
      </c>
      <c r="E627" s="36" t="str">
        <f>IFERROR(__xludf.DUMMYFUNCTION("""COMPUTED_VALUE"""),"04-42-11-71")</f>
        <v>04-42-11-71</v>
      </c>
      <c r="F627" s="36"/>
      <c r="G627" s="36" t="str">
        <f>IFERROR(__xludf.DUMMYFUNCTION("""COMPUTED_VALUE"""),"B° Río Blanco I")</f>
        <v>B° Río Blanco I</v>
      </c>
      <c r="H627" s="36" t="str">
        <f>IFERROR(__xludf.DUMMYFUNCTION("""COMPUTED_VALUE"""),"")</f>
        <v/>
      </c>
    </row>
    <row r="628">
      <c r="A628" s="36" t="str">
        <f>IFERROR(__xludf.DUMMYFUNCTION("""COMPUTED_VALUE"""),"02-30-06-74")</f>
        <v>02-30-06-74</v>
      </c>
      <c r="B628" s="36" t="str">
        <f>IFERROR(__xludf.DUMMYFUNCTION("""COMPUTED_VALUE"""),"")</f>
        <v/>
      </c>
      <c r="C628" s="36" t="str">
        <f>IFERROR(__xludf.DUMMYFUNCTION("""COMPUTED_VALUE"""),"")</f>
        <v/>
      </c>
      <c r="D628" s="36" t="str">
        <f>IFERROR(__xludf.DUMMYFUNCTION("""COMPUTED_VALUE"""),"")</f>
        <v/>
      </c>
      <c r="E628" s="36" t="str">
        <f>IFERROR(__xludf.DUMMYFUNCTION("""COMPUTED_VALUE"""),"01-51-08-8A")</f>
        <v>01-51-08-8A</v>
      </c>
      <c r="F628" s="36"/>
      <c r="G628" s="36" t="str">
        <f>IFERROR(__xludf.DUMMYFUNCTION("""COMPUTED_VALUE"""),"B° Rivadavia")</f>
        <v>B° Rivadavia</v>
      </c>
      <c r="H628" s="36" t="str">
        <f>IFERROR(__xludf.DUMMYFUNCTION("""COMPUTED_VALUE"""),"")</f>
        <v/>
      </c>
    </row>
    <row r="629">
      <c r="A629" s="36" t="str">
        <f>IFERROR(__xludf.DUMMYFUNCTION("""COMPUTED_VALUE"""),"02-30-06-75")</f>
        <v>02-30-06-75</v>
      </c>
      <c r="B629" s="36" t="str">
        <f>IFERROR(__xludf.DUMMYFUNCTION("""COMPUTED_VALUE"""),"")</f>
        <v/>
      </c>
      <c r="C629" s="36" t="str">
        <f>IFERROR(__xludf.DUMMYFUNCTION("""COMPUTED_VALUE"""),"")</f>
        <v/>
      </c>
      <c r="D629" s="36" t="str">
        <f>IFERROR(__xludf.DUMMYFUNCTION("""COMPUTED_VALUE"""),"")</f>
        <v/>
      </c>
      <c r="E629" s="36" t="str">
        <f>IFERROR(__xludf.DUMMYFUNCTION("""COMPUTED_VALUE"""),"08-36-02-108")</f>
        <v>08-36-02-108</v>
      </c>
      <c r="F629" s="36"/>
      <c r="G629" s="36" t="str">
        <f>IFERROR(__xludf.DUMMYFUNCTION("""COMPUTED_VALUE"""),"B° San Francisco II N")</f>
        <v>B° San Francisco II N</v>
      </c>
      <c r="H629" s="36" t="str">
        <f>IFERROR(__xludf.DUMMYFUNCTION("""COMPUTED_VALUE"""),"")</f>
        <v/>
      </c>
    </row>
    <row r="630">
      <c r="A630" s="36" t="str">
        <f>IFERROR(__xludf.DUMMYFUNCTION("""COMPUTED_VALUE"""),"02-30-06-76A")</f>
        <v>02-30-06-76A</v>
      </c>
      <c r="B630" s="36" t="str">
        <f>IFERROR(__xludf.DUMMYFUNCTION("""COMPUTED_VALUE"""),"")</f>
        <v/>
      </c>
      <c r="C630" s="36" t="str">
        <f>IFERROR(__xludf.DUMMYFUNCTION("""COMPUTED_VALUE"""),"")</f>
        <v/>
      </c>
      <c r="D630" s="36" t="str">
        <f>IFERROR(__xludf.DUMMYFUNCTION("""COMPUTED_VALUE"""),"")</f>
        <v/>
      </c>
      <c r="E630" s="36" t="str">
        <f>IFERROR(__xludf.DUMMYFUNCTION("""COMPUTED_VALUE"""),"08-36-02-109")</f>
        <v>08-36-02-109</v>
      </c>
      <c r="F630" s="36"/>
      <c r="G630" s="36" t="str">
        <f>IFERROR(__xludf.DUMMYFUNCTION("""COMPUTED_VALUE"""),"B° San Francisco II S")</f>
        <v>B° San Francisco II S</v>
      </c>
      <c r="H630" s="36" t="str">
        <f>IFERROR(__xludf.DUMMYFUNCTION("""COMPUTED_VALUE"""),"")</f>
        <v/>
      </c>
    </row>
    <row r="631">
      <c r="A631" s="36" t="str">
        <f>IFERROR(__xludf.DUMMYFUNCTION("""COMPUTED_VALUE"""),"02-30-06-77")</f>
        <v>02-30-06-77</v>
      </c>
      <c r="B631" s="36" t="str">
        <f>IFERROR(__xludf.DUMMYFUNCTION("""COMPUTED_VALUE"""),"")</f>
        <v/>
      </c>
      <c r="C631" s="36" t="str">
        <f>IFERROR(__xludf.DUMMYFUNCTION("""COMPUTED_VALUE"""),"")</f>
        <v/>
      </c>
      <c r="D631" s="36" t="str">
        <f>IFERROR(__xludf.DUMMYFUNCTION("""COMPUTED_VALUE"""),"")</f>
        <v/>
      </c>
      <c r="E631" s="36" t="str">
        <f>IFERROR(__xludf.DUMMYFUNCTION("""COMPUTED_VALUE"""),"01-28-08-89")</f>
        <v>01-28-08-89</v>
      </c>
      <c r="F631" s="36"/>
      <c r="G631" s="36" t="str">
        <f>IFERROR(__xludf.DUMMYFUNCTION("""COMPUTED_VALUE"""),"B° San Martín")</f>
        <v>B° San Martín</v>
      </c>
      <c r="H631" s="36" t="str">
        <f>IFERROR(__xludf.DUMMYFUNCTION("""COMPUTED_VALUE"""),"")</f>
        <v/>
      </c>
    </row>
    <row r="632">
      <c r="A632" s="36" t="str">
        <f>IFERROR(__xludf.DUMMYFUNCTION("""COMPUTED_VALUE"""),"02-30-06-78")</f>
        <v>02-30-06-78</v>
      </c>
      <c r="B632" s="36" t="str">
        <f>IFERROR(__xludf.DUMMYFUNCTION("""COMPUTED_VALUE"""),"")</f>
        <v/>
      </c>
      <c r="C632" s="36" t="str">
        <f>IFERROR(__xludf.DUMMYFUNCTION("""COMPUTED_VALUE"""),"")</f>
        <v/>
      </c>
      <c r="D632" s="36" t="str">
        <f>IFERROR(__xludf.DUMMYFUNCTION("""COMPUTED_VALUE"""),"")</f>
        <v/>
      </c>
      <c r="E632" s="36" t="str">
        <f>IFERROR(__xludf.DUMMYFUNCTION("""COMPUTED_VALUE"""),"02-39-12-250")</f>
        <v>02-39-12-250</v>
      </c>
      <c r="F632" s="36"/>
      <c r="G632" s="36" t="str">
        <f>IFERROR(__xludf.DUMMYFUNCTION("""COMPUTED_VALUE"""),"B° San Miguel")</f>
        <v>B° San Miguel</v>
      </c>
      <c r="H632" s="36" t="str">
        <f>IFERROR(__xludf.DUMMYFUNCTION("""COMPUTED_VALUE"""),"")</f>
        <v/>
      </c>
    </row>
    <row r="633">
      <c r="A633" s="36" t="str">
        <f>IFERROR(__xludf.DUMMYFUNCTION("""COMPUTED_VALUE"""),"02-30-06-79B")</f>
        <v>02-30-06-79B</v>
      </c>
      <c r="B633" s="36" t="str">
        <f>IFERROR(__xludf.DUMMYFUNCTION("""COMPUTED_VALUE"""),"")</f>
        <v/>
      </c>
      <c r="C633" s="36" t="str">
        <f>IFERROR(__xludf.DUMMYFUNCTION("""COMPUTED_VALUE"""),"")</f>
        <v/>
      </c>
      <c r="D633" s="36" t="str">
        <f>IFERROR(__xludf.DUMMYFUNCTION("""COMPUTED_VALUE"""),"")</f>
        <v/>
      </c>
      <c r="E633" s="36" t="str">
        <f>IFERROR(__xludf.DUMMYFUNCTION("""COMPUTED_VALUE"""),"03-33-10-58D")</f>
        <v>03-33-10-58D</v>
      </c>
      <c r="F633" s="36"/>
      <c r="G633" s="36" t="str">
        <f>IFERROR(__xludf.DUMMYFUNCTION("""COMPUTED_VALUE"""),"B° Santa Lucía Maestro Sánchez")</f>
        <v>B° Santa Lucía Maestro Sánchez</v>
      </c>
      <c r="H633" s="36" t="str">
        <f>IFERROR(__xludf.DUMMYFUNCTION("""COMPUTED_VALUE"""),"")</f>
        <v/>
      </c>
    </row>
    <row r="634">
      <c r="A634" s="36" t="str">
        <f>IFERROR(__xludf.DUMMYFUNCTION("""COMPUTED_VALUE"""),"02-30-06-95A")</f>
        <v>02-30-06-95A</v>
      </c>
      <c r="B634" s="36" t="str">
        <f>IFERROR(__xludf.DUMMYFUNCTION("""COMPUTED_VALUE"""),"")</f>
        <v/>
      </c>
      <c r="C634" s="36" t="str">
        <f>IFERROR(__xludf.DUMMYFUNCTION("""COMPUTED_VALUE"""),"")</f>
        <v/>
      </c>
      <c r="D634" s="36" t="str">
        <f>IFERROR(__xludf.DUMMYFUNCTION("""COMPUTED_VALUE"""),"")</f>
        <v/>
      </c>
      <c r="E634" s="36" t="str">
        <f>IFERROR(__xludf.DUMMYFUNCTION("""COMPUTED_VALUE"""),"02-32-05-29A")</f>
        <v>02-32-05-29A</v>
      </c>
      <c r="F634" s="36"/>
      <c r="G634" s="36" t="str">
        <f>IFERROR(__xludf.DUMMYFUNCTION("""COMPUTED_VALUE"""),"B° Terrazas al Oeste N")</f>
        <v>B° Terrazas al Oeste N</v>
      </c>
      <c r="H634" s="36" t="str">
        <f>IFERROR(__xludf.DUMMYFUNCTION("""COMPUTED_VALUE"""),"")</f>
        <v/>
      </c>
    </row>
    <row r="635">
      <c r="A635" s="36" t="str">
        <f>IFERROR(__xludf.DUMMYFUNCTION("""COMPUTED_VALUE"""),"02-30-06-96B")</f>
        <v>02-30-06-96B</v>
      </c>
      <c r="B635" s="36" t="str">
        <f>IFERROR(__xludf.DUMMYFUNCTION("""COMPUTED_VALUE"""),"")</f>
        <v/>
      </c>
      <c r="C635" s="36" t="str">
        <f>IFERROR(__xludf.DUMMYFUNCTION("""COMPUTED_VALUE"""),"")</f>
        <v/>
      </c>
      <c r="D635" s="36" t="str">
        <f>IFERROR(__xludf.DUMMYFUNCTION("""COMPUTED_VALUE"""),"")</f>
        <v/>
      </c>
      <c r="E635" s="36" t="str">
        <f>IFERROR(__xludf.DUMMYFUNCTION("""COMPUTED_VALUE"""),"02-31-05-17")</f>
        <v>02-31-05-17</v>
      </c>
      <c r="F635" s="36"/>
      <c r="G635" s="36" t="str">
        <f>IFERROR(__xludf.DUMMYFUNCTION("""COMPUTED_VALUE"""),"B° UDAP II N")</f>
        <v>B° UDAP II N</v>
      </c>
      <c r="H635" s="36" t="str">
        <f>IFERROR(__xludf.DUMMYFUNCTION("""COMPUTED_VALUE"""),"")</f>
        <v/>
      </c>
    </row>
    <row r="636">
      <c r="A636" s="36" t="str">
        <f>IFERROR(__xludf.DUMMYFUNCTION("""COMPUTED_VALUE"""),"02-31-06-27A")</f>
        <v>02-31-06-27A</v>
      </c>
      <c r="B636" s="36" t="str">
        <f>IFERROR(__xludf.DUMMYFUNCTION("""COMPUTED_VALUE"""),"")</f>
        <v/>
      </c>
      <c r="C636" s="36" t="str">
        <f>IFERROR(__xludf.DUMMYFUNCTION("""COMPUTED_VALUE"""),"")</f>
        <v/>
      </c>
      <c r="D636" s="36" t="str">
        <f>IFERROR(__xludf.DUMMYFUNCTION("""COMPUTED_VALUE"""),"")</f>
        <v/>
      </c>
      <c r="E636" s="36" t="str">
        <f>IFERROR(__xludf.DUMMYFUNCTION("""COMPUTED_VALUE"""),"02-31-05-18")</f>
        <v>02-31-05-18</v>
      </c>
      <c r="F636" s="36"/>
      <c r="G636" s="36" t="str">
        <f>IFERROR(__xludf.DUMMYFUNCTION("""COMPUTED_VALUE"""),"B° UDAP II S")</f>
        <v>B° UDAP II S</v>
      </c>
      <c r="H636" s="36" t="str">
        <f>IFERROR(__xludf.DUMMYFUNCTION("""COMPUTED_VALUE"""),"")</f>
        <v/>
      </c>
    </row>
    <row r="637">
      <c r="A637" s="36" t="str">
        <f>IFERROR(__xludf.DUMMYFUNCTION("""COMPUTED_VALUE"""),"02-31-06-28A")</f>
        <v>02-31-06-28A</v>
      </c>
      <c r="B637" s="36" t="str">
        <f>IFERROR(__xludf.DUMMYFUNCTION("""COMPUTED_VALUE"""),"")</f>
        <v/>
      </c>
      <c r="C637" s="36" t="str">
        <f>IFERROR(__xludf.DUMMYFUNCTION("""COMPUTED_VALUE"""),"")</f>
        <v/>
      </c>
      <c r="D637" s="36" t="str">
        <f>IFERROR(__xludf.DUMMYFUNCTION("""COMPUTED_VALUE"""),"")</f>
        <v/>
      </c>
      <c r="E637" s="36" t="str">
        <f>IFERROR(__xludf.DUMMYFUNCTION("""COMPUTED_VALUE"""),"02-32-05-29")</f>
        <v>02-32-05-29</v>
      </c>
      <c r="F637" s="36"/>
      <c r="G637" s="36" t="str">
        <f>IFERROR(__xludf.DUMMYFUNCTION("""COMPUTED_VALUE"""),"B° UTA- Unión Tranviarios Automotor N")</f>
        <v>B° UTA- Unión Tranviarios Automotor N</v>
      </c>
      <c r="H637" s="36" t="str">
        <f>IFERROR(__xludf.DUMMYFUNCTION("""COMPUTED_VALUE"""),"")</f>
        <v/>
      </c>
    </row>
    <row r="638">
      <c r="A638" s="36" t="str">
        <f>IFERROR(__xludf.DUMMYFUNCTION("""COMPUTED_VALUE"""),"02-31-06-29B")</f>
        <v>02-31-06-29B</v>
      </c>
      <c r="B638" s="36" t="str">
        <f>IFERROR(__xludf.DUMMYFUNCTION("""COMPUTED_VALUE"""),"")</f>
        <v/>
      </c>
      <c r="C638" s="36" t="str">
        <f>IFERROR(__xludf.DUMMYFUNCTION("""COMPUTED_VALUE"""),"")</f>
        <v/>
      </c>
      <c r="D638" s="36" t="str">
        <f>IFERROR(__xludf.DUMMYFUNCTION("""COMPUTED_VALUE"""),"")</f>
        <v/>
      </c>
      <c r="E638" s="36" t="str">
        <f>IFERROR(__xludf.DUMMYFUNCTION("""COMPUTED_VALUE"""),"02-32-05-30")</f>
        <v>02-32-05-30</v>
      </c>
      <c r="F638" s="36"/>
      <c r="G638" s="36" t="str">
        <f>IFERROR(__xludf.DUMMYFUNCTION("""COMPUTED_VALUE"""),"B° UTA- Unión Tranviarios Automotor S")</f>
        <v>B° UTA- Unión Tranviarios Automotor S</v>
      </c>
      <c r="H638" s="36" t="str">
        <f>IFERROR(__xludf.DUMMYFUNCTION("""COMPUTED_VALUE"""),"")</f>
        <v/>
      </c>
    </row>
    <row r="639">
      <c r="A639" s="36" t="str">
        <f>IFERROR(__xludf.DUMMYFUNCTION("""COMPUTED_VALUE"""),"02-31-06-31B")</f>
        <v>02-31-06-31B</v>
      </c>
      <c r="B639" s="36" t="str">
        <f>IFERROR(__xludf.DUMMYFUNCTION("""COMPUTED_VALUE"""),"")</f>
        <v/>
      </c>
      <c r="C639" s="36" t="str">
        <f>IFERROR(__xludf.DUMMYFUNCTION("""COMPUTED_VALUE"""),"")</f>
        <v/>
      </c>
      <c r="D639" s="36" t="str">
        <f>IFERROR(__xludf.DUMMYFUNCTION("""COMPUTED_VALUE"""),"")</f>
        <v/>
      </c>
      <c r="E639" s="36" t="str">
        <f>IFERROR(__xludf.DUMMYFUNCTION("""COMPUTED_VALUE"""),"02-42-11-53a")</f>
        <v>02-42-11-53a</v>
      </c>
      <c r="F639" s="36"/>
      <c r="G639" s="36" t="str">
        <f>IFERROR(__xludf.DUMMYFUNCTION("""COMPUTED_VALUE"""),"B° Valle Grande")</f>
        <v>B° Valle Grande</v>
      </c>
      <c r="H639" s="36" t="str">
        <f>IFERROR(__xludf.DUMMYFUNCTION("""COMPUTED_VALUE"""),"")</f>
        <v/>
      </c>
    </row>
    <row r="640">
      <c r="A640" s="36" t="str">
        <f>IFERROR(__xludf.DUMMYFUNCTION("""COMPUTED_VALUE"""),"02-31-06-42A")</f>
        <v>02-31-06-42A</v>
      </c>
      <c r="B640" s="36" t="str">
        <f>IFERROR(__xludf.DUMMYFUNCTION("""COMPUTED_VALUE"""),"")</f>
        <v/>
      </c>
      <c r="C640" s="36" t="str">
        <f>IFERROR(__xludf.DUMMYFUNCTION("""COMPUTED_VALUE"""),"")</f>
        <v/>
      </c>
      <c r="D640" s="36" t="str">
        <f>IFERROR(__xludf.DUMMYFUNCTION("""COMPUTED_VALUE"""),"")</f>
        <v/>
      </c>
      <c r="E640" s="36" t="str">
        <f>IFERROR(__xludf.DUMMYFUNCTION("""COMPUTED_VALUE"""),"01-39-08-63")</f>
        <v>01-39-08-63</v>
      </c>
      <c r="F640" s="36"/>
      <c r="G640" s="36" t="str">
        <f>IFERROR(__xludf.DUMMYFUNCTION("""COMPUTED_VALUE"""),"B° Villa América")</f>
        <v>B° Villa América</v>
      </c>
      <c r="H640" s="36" t="str">
        <f>IFERROR(__xludf.DUMMYFUNCTION("""COMPUTED_VALUE"""),"")</f>
        <v/>
      </c>
    </row>
    <row r="641">
      <c r="A641" s="36" t="str">
        <f>IFERROR(__xludf.DUMMYFUNCTION("""COMPUTED_VALUE"""),"02-31-06-42B")</f>
        <v>02-31-06-42B</v>
      </c>
      <c r="B641" s="36" t="str">
        <f>IFERROR(__xludf.DUMMYFUNCTION("""COMPUTED_VALUE"""),"")</f>
        <v/>
      </c>
      <c r="C641" s="36" t="str">
        <f>IFERROR(__xludf.DUMMYFUNCTION("""COMPUTED_VALUE"""),"")</f>
        <v/>
      </c>
      <c r="D641" s="36" t="str">
        <f>IFERROR(__xludf.DUMMYFUNCTION("""COMPUTED_VALUE"""),"")</f>
        <v/>
      </c>
      <c r="E641" s="36" t="str">
        <f>IFERROR(__xludf.DUMMYFUNCTION("""COMPUTED_VALUE"""),"08-34-01-34")</f>
        <v>08-34-01-34</v>
      </c>
      <c r="F641" s="36"/>
      <c r="G641" s="36" t="str">
        <f>IFERROR(__xludf.DUMMYFUNCTION("""COMPUTED_VALUE"""),"B°Costanera III - Manzana P")</f>
        <v>B°Costanera III - Manzana P</v>
      </c>
      <c r="H641" s="36" t="str">
        <f>IFERROR(__xludf.DUMMYFUNCTION("""COMPUTED_VALUE"""),"")</f>
        <v/>
      </c>
    </row>
    <row r="642">
      <c r="A642" s="36" t="str">
        <f>IFERROR(__xludf.DUMMYFUNCTION("""COMPUTED_VALUE"""),"02-31-06-43A")</f>
        <v>02-31-06-43A</v>
      </c>
      <c r="B642" s="36" t="str">
        <f>IFERROR(__xludf.DUMMYFUNCTION("""COMPUTED_VALUE"""),"")</f>
        <v/>
      </c>
      <c r="C642" s="36" t="str">
        <f>IFERROR(__xludf.DUMMYFUNCTION("""COMPUTED_VALUE"""),"")</f>
        <v/>
      </c>
      <c r="D642" s="36" t="str">
        <f>IFERROR(__xludf.DUMMYFUNCTION("""COMPUTED_VALUE"""),"")</f>
        <v/>
      </c>
      <c r="E642" s="36" t="str">
        <f>IFERROR(__xludf.DUMMYFUNCTION("""COMPUTED_VALUE"""),"08-34-01-33")</f>
        <v>08-34-01-33</v>
      </c>
      <c r="F642" s="36"/>
      <c r="G642" s="36" t="str">
        <f>IFERROR(__xludf.DUMMYFUNCTION("""COMPUTED_VALUE"""),"B°Costanera III - Manzana Q")</f>
        <v>B°Costanera III - Manzana Q</v>
      </c>
      <c r="H642" s="36" t="str">
        <f>IFERROR(__xludf.DUMMYFUNCTION("""COMPUTED_VALUE"""),"")</f>
        <v/>
      </c>
    </row>
    <row r="643">
      <c r="A643" s="36" t="str">
        <f>IFERROR(__xludf.DUMMYFUNCTION("""COMPUTED_VALUE"""),"02-31-06-44A")</f>
        <v>02-31-06-44A</v>
      </c>
      <c r="B643" s="36" t="str">
        <f>IFERROR(__xludf.DUMMYFUNCTION("""COMPUTED_VALUE"""),"")</f>
        <v/>
      </c>
      <c r="C643" s="36" t="str">
        <f>IFERROR(__xludf.DUMMYFUNCTION("""COMPUTED_VALUE"""),"")</f>
        <v/>
      </c>
      <c r="D643" s="36" t="str">
        <f>IFERROR(__xludf.DUMMYFUNCTION("""COMPUTED_VALUE"""),"")</f>
        <v/>
      </c>
      <c r="E643" s="36" t="str">
        <f>IFERROR(__xludf.DUMMYFUNCTION("""COMPUTED_VALUE"""),"01-54-14-11")</f>
        <v>01-54-14-11</v>
      </c>
      <c r="F643" s="36"/>
      <c r="G643" s="36" t="str">
        <f>IFERROR(__xludf.DUMMYFUNCTION("""COMPUTED_VALUE"""),"Baca y Estados Unidos")</f>
        <v>Baca y Estados Unidos</v>
      </c>
      <c r="H643" s="36" t="str">
        <f>IFERROR(__xludf.DUMMYFUNCTION("""COMPUTED_VALUE"""),"")</f>
        <v/>
      </c>
    </row>
    <row r="644">
      <c r="A644" s="36" t="str">
        <f>IFERROR(__xludf.DUMMYFUNCTION("""COMPUTED_VALUE"""),"02-31-06-45")</f>
        <v>02-31-06-45</v>
      </c>
      <c r="B644" s="36" t="str">
        <f>IFERROR(__xludf.DUMMYFUNCTION("""COMPUTED_VALUE"""),"")</f>
        <v/>
      </c>
      <c r="C644" s="36" t="str">
        <f>IFERROR(__xludf.DUMMYFUNCTION("""COMPUTED_VALUE"""),"")</f>
        <v/>
      </c>
      <c r="D644" s="36" t="str">
        <f>IFERROR(__xludf.DUMMYFUNCTION("""COMPUTED_VALUE"""),"")</f>
        <v/>
      </c>
      <c r="E644" s="36" t="str">
        <f>IFERROR(__xludf.DUMMYFUNCTION("""COMPUTED_VALUE"""),"08-34-01-29")</f>
        <v>08-34-01-29</v>
      </c>
      <c r="F644" s="36"/>
      <c r="G644" s="36" t="str">
        <f>IFERROR(__xludf.DUMMYFUNCTION("""COMPUTED_VALUE"""),"Bachillerato José Manuel Estrada")</f>
        <v>Bachillerato José Manuel Estrada</v>
      </c>
      <c r="H644" s="36" t="str">
        <f>IFERROR(__xludf.DUMMYFUNCTION("""COMPUTED_VALUE"""),"")</f>
        <v/>
      </c>
    </row>
    <row r="645">
      <c r="A645" s="36" t="str">
        <f>IFERROR(__xludf.DUMMYFUNCTION("""COMPUTED_VALUE"""),"02-31-06-45A")</f>
        <v>02-31-06-45A</v>
      </c>
      <c r="B645" s="36" t="str">
        <f>IFERROR(__xludf.DUMMYFUNCTION("""COMPUTED_VALUE"""),"")</f>
        <v/>
      </c>
      <c r="C645" s="36" t="str">
        <f>IFERROR(__xludf.DUMMYFUNCTION("""COMPUTED_VALUE"""),"")</f>
        <v/>
      </c>
      <c r="D645" s="36" t="str">
        <f>IFERROR(__xludf.DUMMYFUNCTION("""COMPUTED_VALUE"""),"")</f>
        <v/>
      </c>
      <c r="E645" s="36" t="str">
        <f>IFERROR(__xludf.DUMMYFUNCTION("""COMPUTED_VALUE"""),"04-35-12-49")</f>
        <v>04-35-12-49</v>
      </c>
      <c r="F645" s="36"/>
      <c r="G645" s="36" t="str">
        <f>IFERROR(__xludf.DUMMYFUNCTION("""COMPUTED_VALUE"""),"Bahía Blanca y Liniers")</f>
        <v>Bahía Blanca y Liniers</v>
      </c>
      <c r="H645" s="36" t="str">
        <f>IFERROR(__xludf.DUMMYFUNCTION("""COMPUTED_VALUE"""),"")</f>
        <v/>
      </c>
    </row>
    <row r="646">
      <c r="A646" s="36" t="str">
        <f>IFERROR(__xludf.DUMMYFUNCTION("""COMPUTED_VALUE"""),"02-31-06-46")</f>
        <v>02-31-06-46</v>
      </c>
      <c r="B646" s="36" t="str">
        <f>IFERROR(__xludf.DUMMYFUNCTION("""COMPUTED_VALUE"""),"")</f>
        <v/>
      </c>
      <c r="C646" s="36" t="str">
        <f>IFERROR(__xludf.DUMMYFUNCTION("""COMPUTED_VALUE"""),"")</f>
        <v/>
      </c>
      <c r="D646" s="36" t="str">
        <f>IFERROR(__xludf.DUMMYFUNCTION("""COMPUTED_VALUE"""),"")</f>
        <v/>
      </c>
      <c r="E646" s="36" t="str">
        <f>IFERROR(__xludf.DUMMYFUNCTION("""COMPUTED_VALUE"""),"09-20-10-109A")</f>
        <v>09-20-10-109A</v>
      </c>
      <c r="F646" s="36"/>
      <c r="G646" s="36" t="str">
        <f>IFERROR(__xludf.DUMMYFUNCTION("""COMPUTED_VALUE"""),"Bahía Blanca y Roque Sáenz Peña")</f>
        <v>Bahía Blanca y Roque Sáenz Peña</v>
      </c>
      <c r="H646" s="36" t="str">
        <f>IFERROR(__xludf.DUMMYFUNCTION("""COMPUTED_VALUE"""),"")</f>
        <v/>
      </c>
    </row>
    <row r="647">
      <c r="A647" s="36" t="str">
        <f>IFERROR(__xludf.DUMMYFUNCTION("""COMPUTED_VALUE"""),"02-31-06-46A")</f>
        <v>02-31-06-46A</v>
      </c>
      <c r="B647" s="36" t="str">
        <f>IFERROR(__xludf.DUMMYFUNCTION("""COMPUTED_VALUE"""),"")</f>
        <v/>
      </c>
      <c r="C647" s="36" t="str">
        <f>IFERROR(__xludf.DUMMYFUNCTION("""COMPUTED_VALUE"""),"")</f>
        <v/>
      </c>
      <c r="D647" s="36" t="str">
        <f>IFERROR(__xludf.DUMMYFUNCTION("""COMPUTED_VALUE"""),"")</f>
        <v/>
      </c>
      <c r="E647" s="36" t="str">
        <f>IFERROR(__xludf.DUMMYFUNCTION("""COMPUTED_VALUE"""),"03-40-10-108")</f>
        <v>03-40-10-108</v>
      </c>
      <c r="F647" s="36"/>
      <c r="G647" s="36" t="str">
        <f>IFERROR(__xludf.DUMMYFUNCTION("""COMPUTED_VALUE"""),"Bahía Blanca y San Martín")</f>
        <v>Bahía Blanca y San Martín</v>
      </c>
      <c r="H647" s="36" t="str">
        <f>IFERROR(__xludf.DUMMYFUNCTION("""COMPUTED_VALUE"""),"")</f>
        <v/>
      </c>
    </row>
    <row r="648">
      <c r="A648" s="36" t="str">
        <f>IFERROR(__xludf.DUMMYFUNCTION("""COMPUTED_VALUE"""),"02-31-06-47")</f>
        <v>02-31-06-47</v>
      </c>
      <c r="B648" s="36" t="str">
        <f>IFERROR(__xludf.DUMMYFUNCTION("""COMPUTED_VALUE"""),"")</f>
        <v/>
      </c>
      <c r="C648" s="36" t="str">
        <f>IFERROR(__xludf.DUMMYFUNCTION("""COMPUTED_VALUE"""),"")</f>
        <v/>
      </c>
      <c r="D648" s="36" t="str">
        <f>IFERROR(__xludf.DUMMYFUNCTION("""COMPUTED_VALUE"""),"")</f>
        <v/>
      </c>
      <c r="E648" s="36" t="str">
        <f>IFERROR(__xludf.DUMMYFUNCTION("""COMPUTED_VALUE"""),"04-35-12-50")</f>
        <v>04-35-12-50</v>
      </c>
      <c r="F648" s="36"/>
      <c r="G648" s="36" t="str">
        <f>IFERROR(__xludf.DUMMYFUNCTION("""COMPUTED_VALUE"""),"Bahía Blanca y Santiago Albarracín Este")</f>
        <v>Bahía Blanca y Santiago Albarracín Este</v>
      </c>
      <c r="H648" s="36" t="str">
        <f>IFERROR(__xludf.DUMMYFUNCTION("""COMPUTED_VALUE"""),"")</f>
        <v/>
      </c>
    </row>
    <row r="649">
      <c r="A649" s="36" t="str">
        <f>IFERROR(__xludf.DUMMYFUNCTION("""COMPUTED_VALUE"""),"02-31-06-47A")</f>
        <v>02-31-06-47A</v>
      </c>
      <c r="B649" s="36" t="str">
        <f>IFERROR(__xludf.DUMMYFUNCTION("""COMPUTED_VALUE"""),"")</f>
        <v/>
      </c>
      <c r="C649" s="36" t="str">
        <f>IFERROR(__xludf.DUMMYFUNCTION("""COMPUTED_VALUE"""),"")</f>
        <v/>
      </c>
      <c r="D649" s="36" t="str">
        <f>IFERROR(__xludf.DUMMYFUNCTION("""COMPUTED_VALUE"""),"")</f>
        <v/>
      </c>
      <c r="E649" s="36" t="str">
        <f>IFERROR(__xludf.DUMMYFUNCTION("""COMPUTED_VALUE"""),"04-35-12-51")</f>
        <v>04-35-12-51</v>
      </c>
      <c r="F649" s="36"/>
      <c r="G649" s="36" t="str">
        <f>IFERROR(__xludf.DUMMYFUNCTION("""COMPUTED_VALUE"""),"Bahía Blanca y Santiago Albarracín Oeste")</f>
        <v>Bahía Blanca y Santiago Albarracín Oeste</v>
      </c>
      <c r="H649" s="36" t="str">
        <f>IFERROR(__xludf.DUMMYFUNCTION("""COMPUTED_VALUE"""),"")</f>
        <v/>
      </c>
    </row>
    <row r="650">
      <c r="A650" s="36" t="str">
        <f>IFERROR(__xludf.DUMMYFUNCTION("""COMPUTED_VALUE"""),"02-31-06-48")</f>
        <v>02-31-06-48</v>
      </c>
      <c r="B650" s="36" t="str">
        <f>IFERROR(__xludf.DUMMYFUNCTION("""COMPUTED_VALUE"""),"")</f>
        <v/>
      </c>
      <c r="C650" s="36" t="str">
        <f>IFERROR(__xludf.DUMMYFUNCTION("""COMPUTED_VALUE"""),"")</f>
        <v/>
      </c>
      <c r="D650" s="36" t="str">
        <f>IFERROR(__xludf.DUMMYFUNCTION("""COMPUTED_VALUE"""),"")</f>
        <v/>
      </c>
      <c r="E650" s="36" t="str">
        <f>IFERROR(__xludf.DUMMYFUNCTION("""COMPUTED_VALUE"""),"03-32-09-75B")</f>
        <v>03-32-09-75B</v>
      </c>
      <c r="F650" s="36"/>
      <c r="G650" s="36" t="str">
        <f>IFERROR(__xludf.DUMMYFUNCTION("""COMPUTED_VALUE"""),"Balaguer -E y Laprida")</f>
        <v>Balaguer -E y Laprida</v>
      </c>
      <c r="H650" s="36" t="str">
        <f>IFERROR(__xludf.DUMMYFUNCTION("""COMPUTED_VALUE"""),"")</f>
        <v/>
      </c>
    </row>
    <row r="651">
      <c r="A651" s="36" t="str">
        <f>IFERROR(__xludf.DUMMYFUNCTION("""COMPUTED_VALUE"""),"02-31-06-48A")</f>
        <v>02-31-06-48A</v>
      </c>
      <c r="B651" s="36" t="str">
        <f>IFERROR(__xludf.DUMMYFUNCTION("""COMPUTED_VALUE"""),"")</f>
        <v/>
      </c>
      <c r="C651" s="36" t="str">
        <f>IFERROR(__xludf.DUMMYFUNCTION("""COMPUTED_VALUE"""),"")</f>
        <v/>
      </c>
      <c r="D651" s="36" t="str">
        <f>IFERROR(__xludf.DUMMYFUNCTION("""COMPUTED_VALUE"""),"")</f>
        <v/>
      </c>
      <c r="E651" s="36" t="str">
        <f>IFERROR(__xludf.DUMMYFUNCTION("""COMPUTED_VALUE"""),"03-32-09-75C")</f>
        <v>03-32-09-75C</v>
      </c>
      <c r="F651" s="36"/>
      <c r="G651" s="36" t="str">
        <f>IFERROR(__xludf.DUMMYFUNCTION("""COMPUTED_VALUE"""),"Balaguer y Av. Libertador")</f>
        <v>Balaguer y Av. Libertador</v>
      </c>
      <c r="H651" s="36" t="str">
        <f>IFERROR(__xludf.DUMMYFUNCTION("""COMPUTED_VALUE"""),"")</f>
        <v/>
      </c>
    </row>
    <row r="652">
      <c r="A652" s="36" t="str">
        <f>IFERROR(__xludf.DUMMYFUNCTION("""COMPUTED_VALUE"""),"02-31-06-49")</f>
        <v>02-31-06-49</v>
      </c>
      <c r="B652" s="36" t="str">
        <f>IFERROR(__xludf.DUMMYFUNCTION("""COMPUTED_VALUE"""),"")</f>
        <v/>
      </c>
      <c r="C652" s="36" t="str">
        <f>IFERROR(__xludf.DUMMYFUNCTION("""COMPUTED_VALUE"""),"")</f>
        <v/>
      </c>
      <c r="D652" s="36" t="str">
        <f>IFERROR(__xludf.DUMMYFUNCTION("""COMPUTED_VALUE"""),"")</f>
        <v/>
      </c>
      <c r="E652" s="36" t="str">
        <f>IFERROR(__xludf.DUMMYFUNCTION("""COMPUTED_VALUE"""),"03-32-09-75A")</f>
        <v>03-32-09-75A</v>
      </c>
      <c r="F652" s="36"/>
      <c r="G652" s="36" t="str">
        <f>IFERROR(__xludf.DUMMYFUNCTION("""COMPUTED_VALUE"""),"Balaguer y Laprida")</f>
        <v>Balaguer y Laprida</v>
      </c>
      <c r="H652" s="36" t="str">
        <f>IFERROR(__xludf.DUMMYFUNCTION("""COMPUTED_VALUE"""),"")</f>
        <v/>
      </c>
    </row>
    <row r="653">
      <c r="A653" s="36" t="str">
        <f>IFERROR(__xludf.DUMMYFUNCTION("""COMPUTED_VALUE"""),"02-31-06-49A")</f>
        <v>02-31-06-49A</v>
      </c>
      <c r="B653" s="36" t="str">
        <f>IFERROR(__xludf.DUMMYFUNCTION("""COMPUTED_VALUE"""),"")</f>
        <v/>
      </c>
      <c r="C653" s="36" t="str">
        <f>IFERROR(__xludf.DUMMYFUNCTION("""COMPUTED_VALUE"""),"")</f>
        <v/>
      </c>
      <c r="D653" s="36" t="str">
        <f>IFERROR(__xludf.DUMMYFUNCTION("""COMPUTED_VALUE"""),"")</f>
        <v/>
      </c>
      <c r="E653" s="36" t="str">
        <f>IFERROR(__xludf.DUMMYFUNCTION("""COMPUTED_VALUE"""),"03-46-10-112A")</f>
        <v>03-46-10-112A</v>
      </c>
      <c r="F653" s="36"/>
      <c r="G653" s="36" t="str">
        <f>IFERROR(__xludf.DUMMYFUNCTION("""COMPUTED_VALUE"""),"Balcarce e Hipólito Yrigoyen")</f>
        <v>Balcarce e Hipólito Yrigoyen</v>
      </c>
      <c r="H653" s="36" t="str">
        <f>IFERROR(__xludf.DUMMYFUNCTION("""COMPUTED_VALUE"""),"")</f>
        <v/>
      </c>
    </row>
    <row r="654">
      <c r="A654" s="36" t="str">
        <f>IFERROR(__xludf.DUMMYFUNCTION("""COMPUTED_VALUE"""),"02-31-06-50")</f>
        <v>02-31-06-50</v>
      </c>
      <c r="B654" s="36" t="str">
        <f>IFERROR(__xludf.DUMMYFUNCTION("""COMPUTED_VALUE"""),"")</f>
        <v/>
      </c>
      <c r="C654" s="36" t="str">
        <f>IFERROR(__xludf.DUMMYFUNCTION("""COMPUTED_VALUE"""),"")</f>
        <v/>
      </c>
      <c r="D654" s="36" t="str">
        <f>IFERROR(__xludf.DUMMYFUNCTION("""COMPUTED_VALUE"""),"")</f>
        <v/>
      </c>
      <c r="E654" s="36" t="str">
        <f>IFERROR(__xludf.DUMMYFUNCTION("""COMPUTED_VALUE"""),"03-36-10-48B")</f>
        <v>03-36-10-48B</v>
      </c>
      <c r="F654" s="36"/>
      <c r="G654" s="36" t="str">
        <f>IFERROR(__xludf.DUMMYFUNCTION("""COMPUTED_VALUE"""),"Balcarce y Av Gral San Martín  Oeste")</f>
        <v>Balcarce y Av Gral San Martín  Oeste</v>
      </c>
      <c r="H654" s="36" t="str">
        <f>IFERROR(__xludf.DUMMYFUNCTION("""COMPUTED_VALUE"""),"")</f>
        <v/>
      </c>
    </row>
    <row r="655">
      <c r="A655" s="36" t="str">
        <f>IFERROR(__xludf.DUMMYFUNCTION("""COMPUTED_VALUE"""),"02-31-06-50A")</f>
        <v>02-31-06-50A</v>
      </c>
      <c r="B655" s="36" t="str">
        <f>IFERROR(__xludf.DUMMYFUNCTION("""COMPUTED_VALUE"""),"")</f>
        <v/>
      </c>
      <c r="C655" s="36" t="str">
        <f>IFERROR(__xludf.DUMMYFUNCTION("""COMPUTED_VALUE"""),"")</f>
        <v/>
      </c>
      <c r="D655" s="36" t="str">
        <f>IFERROR(__xludf.DUMMYFUNCTION("""COMPUTED_VALUE"""),"")</f>
        <v/>
      </c>
      <c r="E655" s="36" t="str">
        <f>IFERROR(__xludf.DUMMYFUNCTION("""COMPUTED_VALUE"""),"03-34-10-48A")</f>
        <v>03-34-10-48A</v>
      </c>
      <c r="F655" s="36"/>
      <c r="G655" s="36" t="str">
        <f>IFERROR(__xludf.DUMMYFUNCTION("""COMPUTED_VALUE"""),"Balcarce y Av Gral San Martín Este")</f>
        <v>Balcarce y Av Gral San Martín Este</v>
      </c>
      <c r="H655" s="36" t="str">
        <f>IFERROR(__xludf.DUMMYFUNCTION("""COMPUTED_VALUE"""),"")</f>
        <v/>
      </c>
    </row>
    <row r="656">
      <c r="A656" s="36" t="str">
        <f>IFERROR(__xludf.DUMMYFUNCTION("""COMPUTED_VALUE"""),"02-31-06-51")</f>
        <v>02-31-06-51</v>
      </c>
      <c r="B656" s="36" t="str">
        <f>IFERROR(__xludf.DUMMYFUNCTION("""COMPUTED_VALUE"""),"")</f>
        <v/>
      </c>
      <c r="C656" s="36" t="str">
        <f>IFERROR(__xludf.DUMMYFUNCTION("""COMPUTED_VALUE"""),"")</f>
        <v/>
      </c>
      <c r="D656" s="36" t="str">
        <f>IFERROR(__xludf.DUMMYFUNCTION("""COMPUTED_VALUE"""),"")</f>
        <v/>
      </c>
      <c r="E656" s="36" t="str">
        <f>IFERROR(__xludf.DUMMYFUNCTION("""COMPUTED_VALUE"""),"03-46-10-110A")</f>
        <v>03-46-10-110A</v>
      </c>
      <c r="F656" s="36"/>
      <c r="G656" s="36" t="str">
        <f>IFERROR(__xludf.DUMMYFUNCTION("""COMPUTED_VALUE"""),"Balcarce y Carlos Pellegrini")</f>
        <v>Balcarce y Carlos Pellegrini</v>
      </c>
      <c r="H656" s="36" t="str">
        <f>IFERROR(__xludf.DUMMYFUNCTION("""COMPUTED_VALUE"""),"")</f>
        <v/>
      </c>
    </row>
    <row r="657">
      <c r="A657" s="36" t="str">
        <f>IFERROR(__xludf.DUMMYFUNCTION("""COMPUTED_VALUE"""),"02-31-06-51A")</f>
        <v>02-31-06-51A</v>
      </c>
      <c r="B657" s="36" t="str">
        <f>IFERROR(__xludf.DUMMYFUNCTION("""COMPUTED_VALUE"""),"")</f>
        <v/>
      </c>
      <c r="C657" s="36" t="str">
        <f>IFERROR(__xludf.DUMMYFUNCTION("""COMPUTED_VALUE"""),"")</f>
        <v/>
      </c>
      <c r="D657" s="36" t="str">
        <f>IFERROR(__xludf.DUMMYFUNCTION("""COMPUTED_VALUE"""),"")</f>
        <v/>
      </c>
      <c r="E657" s="36" t="str">
        <f>IFERROR(__xludf.DUMMYFUNCTION("""COMPUTED_VALUE"""),"03-36-10-110C")</f>
        <v>03-36-10-110C</v>
      </c>
      <c r="F657" s="36"/>
      <c r="G657" s="36" t="str">
        <f>IFERROR(__xludf.DUMMYFUNCTION("""COMPUTED_VALUE"""),"Balcarce y Proyectada Este")</f>
        <v>Balcarce y Proyectada Este</v>
      </c>
      <c r="H657" s="36" t="str">
        <f>IFERROR(__xludf.DUMMYFUNCTION("""COMPUTED_VALUE"""),"")</f>
        <v/>
      </c>
    </row>
    <row r="658">
      <c r="A658" s="36" t="str">
        <f>IFERROR(__xludf.DUMMYFUNCTION("""COMPUTED_VALUE"""),"02-31-06-51B")</f>
        <v>02-31-06-51B</v>
      </c>
      <c r="B658" s="36" t="str">
        <f>IFERROR(__xludf.DUMMYFUNCTION("""COMPUTED_VALUE"""),"")</f>
        <v/>
      </c>
      <c r="C658" s="36" t="str">
        <f>IFERROR(__xludf.DUMMYFUNCTION("""COMPUTED_VALUE"""),"")</f>
        <v/>
      </c>
      <c r="D658" s="36" t="str">
        <f>IFERROR(__xludf.DUMMYFUNCTION("""COMPUTED_VALUE"""),"")</f>
        <v/>
      </c>
      <c r="E658" s="36" t="str">
        <f>IFERROR(__xludf.DUMMYFUNCTION("""COMPUTED_VALUE"""),"03-34-10-110D")</f>
        <v>03-34-10-110D</v>
      </c>
      <c r="F658" s="36"/>
      <c r="G658" s="36" t="str">
        <f>IFERROR(__xludf.DUMMYFUNCTION("""COMPUTED_VALUE"""),"Balcarce y Proyectada Oeste")</f>
        <v>Balcarce y Proyectada Oeste</v>
      </c>
      <c r="H658" s="36" t="str">
        <f>IFERROR(__xludf.DUMMYFUNCTION("""COMPUTED_VALUE"""),"")</f>
        <v/>
      </c>
    </row>
    <row r="659">
      <c r="A659" s="36" t="str">
        <f>IFERROR(__xludf.DUMMYFUNCTION("""COMPUTED_VALUE"""),"02-31-06-52")</f>
        <v>02-31-06-52</v>
      </c>
      <c r="B659" s="36" t="str">
        <f>IFERROR(__xludf.DUMMYFUNCTION("""COMPUTED_VALUE"""),"")</f>
        <v/>
      </c>
      <c r="C659" s="36" t="str">
        <f>IFERROR(__xludf.DUMMYFUNCTION("""COMPUTED_VALUE"""),"")</f>
        <v/>
      </c>
      <c r="D659" s="36" t="str">
        <f>IFERROR(__xludf.DUMMYFUNCTION("""COMPUTED_VALUE"""),"")</f>
        <v/>
      </c>
      <c r="E659" s="36" t="str">
        <f>IFERROR(__xludf.DUMMYFUNCTION("""COMPUTED_VALUE"""),"04-22-14-79")</f>
        <v>04-22-14-79</v>
      </c>
      <c r="F659" s="36"/>
      <c r="G659" s="36" t="str">
        <f>IFERROR(__xludf.DUMMYFUNCTION("""COMPUTED_VALUE"""),"Balmaceda y Altos Verdes Este")</f>
        <v>Balmaceda y Altos Verdes Este</v>
      </c>
      <c r="H659" s="36" t="str">
        <f>IFERROR(__xludf.DUMMYFUNCTION("""COMPUTED_VALUE"""),"")</f>
        <v/>
      </c>
    </row>
    <row r="660">
      <c r="A660" s="36" t="str">
        <f>IFERROR(__xludf.DUMMYFUNCTION("""COMPUTED_VALUE"""),"02-31-06-52A")</f>
        <v>02-31-06-52A</v>
      </c>
      <c r="B660" s="36" t="str">
        <f>IFERROR(__xludf.DUMMYFUNCTION("""COMPUTED_VALUE"""),"")</f>
        <v/>
      </c>
      <c r="C660" s="36" t="str">
        <f>IFERROR(__xludf.DUMMYFUNCTION("""COMPUTED_VALUE"""),"")</f>
        <v/>
      </c>
      <c r="D660" s="36" t="str">
        <f>IFERROR(__xludf.DUMMYFUNCTION("""COMPUTED_VALUE"""),"")</f>
        <v/>
      </c>
      <c r="E660" s="36" t="str">
        <f>IFERROR(__xludf.DUMMYFUNCTION("""COMPUTED_VALUE"""),"04-30-14-80")</f>
        <v>04-30-14-80</v>
      </c>
      <c r="F660" s="36"/>
      <c r="G660" s="36" t="str">
        <f>IFERROR(__xludf.DUMMYFUNCTION("""COMPUTED_VALUE"""),"Balmaceda y Altos Verdes Oeste")</f>
        <v>Balmaceda y Altos Verdes Oeste</v>
      </c>
      <c r="H660" s="36" t="str">
        <f>IFERROR(__xludf.DUMMYFUNCTION("""COMPUTED_VALUE"""),"")</f>
        <v/>
      </c>
    </row>
    <row r="661">
      <c r="A661" s="36" t="str">
        <f>IFERROR(__xludf.DUMMYFUNCTION("""COMPUTED_VALUE"""),"02-31-06-53")</f>
        <v>02-31-06-53</v>
      </c>
      <c r="B661" s="36" t="str">
        <f>IFERROR(__xludf.DUMMYFUNCTION("""COMPUTED_VALUE"""),"")</f>
        <v/>
      </c>
      <c r="C661" s="36" t="str">
        <f>IFERROR(__xludf.DUMMYFUNCTION("""COMPUTED_VALUE"""),"")</f>
        <v/>
      </c>
      <c r="D661" s="36" t="str">
        <f>IFERROR(__xludf.DUMMYFUNCTION("""COMPUTED_VALUE"""),"")</f>
        <v/>
      </c>
      <c r="E661" s="36" t="str">
        <f>IFERROR(__xludf.DUMMYFUNCTION("""COMPUTED_VALUE"""),"04-22-14-81")</f>
        <v>04-22-14-81</v>
      </c>
      <c r="F661" s="36"/>
      <c r="G661" s="36" t="str">
        <f>IFERROR(__xludf.DUMMYFUNCTION("""COMPUTED_VALUE"""),"Balmaceda y B° Conjunto IX")</f>
        <v>Balmaceda y B° Conjunto IX</v>
      </c>
      <c r="H661" s="36" t="str">
        <f>IFERROR(__xludf.DUMMYFUNCTION("""COMPUTED_VALUE"""),"")</f>
        <v/>
      </c>
    </row>
    <row r="662">
      <c r="A662" s="36" t="str">
        <f>IFERROR(__xludf.DUMMYFUNCTION("""COMPUTED_VALUE"""),"02-31-06-53A")</f>
        <v>02-31-06-53A</v>
      </c>
      <c r="B662" s="36" t="str">
        <f>IFERROR(__xludf.DUMMYFUNCTION("""COMPUTED_VALUE"""),"")</f>
        <v/>
      </c>
      <c r="C662" s="36" t="str">
        <f>IFERROR(__xludf.DUMMYFUNCTION("""COMPUTED_VALUE"""),"")</f>
        <v/>
      </c>
      <c r="D662" s="36" t="str">
        <f>IFERROR(__xludf.DUMMYFUNCTION("""COMPUTED_VALUE"""),"")</f>
        <v/>
      </c>
      <c r="E662" s="36" t="str">
        <f>IFERROR(__xludf.DUMMYFUNCTION("""COMPUTED_VALUE"""),"04-22-14-83")</f>
        <v>04-22-14-83</v>
      </c>
      <c r="F662" s="36"/>
      <c r="G662" s="36" t="str">
        <f>IFERROR(__xludf.DUMMYFUNCTION("""COMPUTED_VALUE"""),"Balmaceda y Los Cerezos Este")</f>
        <v>Balmaceda y Los Cerezos Este</v>
      </c>
      <c r="H662" s="36" t="str">
        <f>IFERROR(__xludf.DUMMYFUNCTION("""COMPUTED_VALUE"""),"")</f>
        <v/>
      </c>
    </row>
    <row r="663">
      <c r="A663" s="36" t="str">
        <f>IFERROR(__xludf.DUMMYFUNCTION("""COMPUTED_VALUE"""),"02-31-06-54")</f>
        <v>02-31-06-54</v>
      </c>
      <c r="B663" s="36" t="str">
        <f>IFERROR(__xludf.DUMMYFUNCTION("""COMPUTED_VALUE"""),"")</f>
        <v/>
      </c>
      <c r="C663" s="36" t="str">
        <f>IFERROR(__xludf.DUMMYFUNCTION("""COMPUTED_VALUE"""),"")</f>
        <v/>
      </c>
      <c r="D663" s="36" t="str">
        <f>IFERROR(__xludf.DUMMYFUNCTION("""COMPUTED_VALUE"""),"")</f>
        <v/>
      </c>
      <c r="E663" s="36" t="str">
        <f>IFERROR(__xludf.DUMMYFUNCTION("""COMPUTED_VALUE"""),"04-22-14-84")</f>
        <v>04-22-14-84</v>
      </c>
      <c r="F663" s="36"/>
      <c r="G663" s="36" t="str">
        <f>IFERROR(__xludf.DUMMYFUNCTION("""COMPUTED_VALUE"""),"Balmaceda y Los Cerezos Oeste")</f>
        <v>Balmaceda y Los Cerezos Oeste</v>
      </c>
      <c r="H663" s="36" t="str">
        <f>IFERROR(__xludf.DUMMYFUNCTION("""COMPUTED_VALUE"""),"")</f>
        <v/>
      </c>
    </row>
    <row r="664">
      <c r="A664" s="36" t="str">
        <f>IFERROR(__xludf.DUMMYFUNCTION("""COMPUTED_VALUE"""),"02-31-06-54A")</f>
        <v>02-31-06-54A</v>
      </c>
      <c r="B664" s="36" t="str">
        <f>IFERROR(__xludf.DUMMYFUNCTION("""COMPUTED_VALUE"""),"")</f>
        <v/>
      </c>
      <c r="C664" s="36" t="str">
        <f>IFERROR(__xludf.DUMMYFUNCTION("""COMPUTED_VALUE"""),"")</f>
        <v/>
      </c>
      <c r="D664" s="36" t="str">
        <f>IFERROR(__xludf.DUMMYFUNCTION("""COMPUTED_VALUE"""),"")</f>
        <v/>
      </c>
      <c r="E664" s="36" t="str">
        <f>IFERROR(__xludf.DUMMYFUNCTION("""COMPUTED_VALUE"""),"04-30-14-77")</f>
        <v>04-30-14-77</v>
      </c>
      <c r="F664" s="36"/>
      <c r="G664" s="36" t="str">
        <f>IFERROR(__xludf.DUMMYFUNCTION("""COMPUTED_VALUE"""),"Balmaceda y Proy. de Bº Chacras de Cuyo E")</f>
        <v>Balmaceda y Proy. de Bº Chacras de Cuyo E</v>
      </c>
      <c r="H664" s="36" t="str">
        <f>IFERROR(__xludf.DUMMYFUNCTION("""COMPUTED_VALUE"""),"")</f>
        <v/>
      </c>
    </row>
    <row r="665">
      <c r="A665" s="36" t="str">
        <f>IFERROR(__xludf.DUMMYFUNCTION("""COMPUTED_VALUE"""),"02-31-06-55")</f>
        <v>02-31-06-55</v>
      </c>
      <c r="B665" s="36" t="str">
        <f>IFERROR(__xludf.DUMMYFUNCTION("""COMPUTED_VALUE"""),"")</f>
        <v/>
      </c>
      <c r="C665" s="36" t="str">
        <f>IFERROR(__xludf.DUMMYFUNCTION("""COMPUTED_VALUE"""),"")</f>
        <v/>
      </c>
      <c r="D665" s="36" t="str">
        <f>IFERROR(__xludf.DUMMYFUNCTION("""COMPUTED_VALUE"""),"")</f>
        <v/>
      </c>
      <c r="E665" s="36" t="str">
        <f>IFERROR(__xludf.DUMMYFUNCTION("""COMPUTED_VALUE"""),"04-30-14-78")</f>
        <v>04-30-14-78</v>
      </c>
      <c r="F665" s="36"/>
      <c r="G665" s="36" t="str">
        <f>IFERROR(__xludf.DUMMYFUNCTION("""COMPUTED_VALUE"""),"Balmaceda y Proy. de Bº Chacras de Cuyo O")</f>
        <v>Balmaceda y Proy. de Bº Chacras de Cuyo O</v>
      </c>
      <c r="H665" s="36" t="str">
        <f>IFERROR(__xludf.DUMMYFUNCTION("""COMPUTED_VALUE"""),"")</f>
        <v/>
      </c>
    </row>
    <row r="666">
      <c r="A666" s="36" t="str">
        <f>IFERROR(__xludf.DUMMYFUNCTION("""COMPUTED_VALUE"""),"02-31-06-55A")</f>
        <v>02-31-06-55A</v>
      </c>
      <c r="B666" s="36" t="str">
        <f>IFERROR(__xludf.DUMMYFUNCTION("""COMPUTED_VALUE"""),"")</f>
        <v/>
      </c>
      <c r="C666" s="36" t="str">
        <f>IFERROR(__xludf.DUMMYFUNCTION("""COMPUTED_VALUE"""),"")</f>
        <v/>
      </c>
      <c r="D666" s="36" t="str">
        <f>IFERROR(__xludf.DUMMYFUNCTION("""COMPUTED_VALUE"""),"")</f>
        <v/>
      </c>
      <c r="E666" s="36" t="str">
        <f>IFERROR(__xludf.DUMMYFUNCTION("""COMPUTED_VALUE"""),"04-30-14-76")</f>
        <v>04-30-14-76</v>
      </c>
      <c r="F666" s="36"/>
      <c r="G666" s="36" t="str">
        <f>IFERROR(__xludf.DUMMYFUNCTION("""COMPUTED_VALUE"""),"Balmaceda y Proyectada 2")</f>
        <v>Balmaceda y Proyectada 2</v>
      </c>
      <c r="H666" s="36" t="str">
        <f>IFERROR(__xludf.DUMMYFUNCTION("""COMPUTED_VALUE"""),"")</f>
        <v/>
      </c>
    </row>
    <row r="667">
      <c r="A667" s="36" t="str">
        <f>IFERROR(__xludf.DUMMYFUNCTION("""COMPUTED_VALUE"""),"02-31-06-56")</f>
        <v>02-31-06-56</v>
      </c>
      <c r="B667" s="36" t="str">
        <f>IFERROR(__xludf.DUMMYFUNCTION("""COMPUTED_VALUE"""),"")</f>
        <v/>
      </c>
      <c r="C667" s="36" t="str">
        <f>IFERROR(__xludf.DUMMYFUNCTION("""COMPUTED_VALUE"""),"")</f>
        <v/>
      </c>
      <c r="D667" s="36" t="str">
        <f>IFERROR(__xludf.DUMMYFUNCTION("""COMPUTED_VALUE"""),"")</f>
        <v/>
      </c>
      <c r="E667" s="36" t="str">
        <f>IFERROR(__xludf.DUMMYFUNCTION("""COMPUTED_VALUE"""),"04-44-12-98")</f>
        <v>04-44-12-98</v>
      </c>
      <c r="F667" s="36"/>
      <c r="G667" s="36" t="str">
        <f>IFERROR(__xludf.DUMMYFUNCTION("""COMPUTED_VALUE"""),"Barrio Aires de Florida 1")</f>
        <v>Barrio Aires de Florida 1</v>
      </c>
      <c r="H667" s="36" t="str">
        <f>IFERROR(__xludf.DUMMYFUNCTION("""COMPUTED_VALUE"""),"")</f>
        <v/>
      </c>
    </row>
    <row r="668">
      <c r="A668" s="36" t="str">
        <f>IFERROR(__xludf.DUMMYFUNCTION("""COMPUTED_VALUE"""),"02-31-06-56A")</f>
        <v>02-31-06-56A</v>
      </c>
      <c r="B668" s="36" t="str">
        <f>IFERROR(__xludf.DUMMYFUNCTION("""COMPUTED_VALUE"""),"")</f>
        <v/>
      </c>
      <c r="C668" s="36" t="str">
        <f>IFERROR(__xludf.DUMMYFUNCTION("""COMPUTED_VALUE"""),"")</f>
        <v/>
      </c>
      <c r="D668" s="36" t="str">
        <f>IFERROR(__xludf.DUMMYFUNCTION("""COMPUTED_VALUE"""),"")</f>
        <v/>
      </c>
      <c r="E668" s="36" t="str">
        <f>IFERROR(__xludf.DUMMYFUNCTION("""COMPUTED_VALUE"""),"04-44-12-97")</f>
        <v>04-44-12-97</v>
      </c>
      <c r="F668" s="36"/>
      <c r="G668" s="36" t="str">
        <f>IFERROR(__xludf.DUMMYFUNCTION("""COMPUTED_VALUE"""),"Barrio Aires de Florida 2")</f>
        <v>Barrio Aires de Florida 2</v>
      </c>
      <c r="H668" s="36" t="str">
        <f>IFERROR(__xludf.DUMMYFUNCTION("""COMPUTED_VALUE"""),"")</f>
        <v/>
      </c>
    </row>
    <row r="669">
      <c r="A669" s="36" t="str">
        <f>IFERROR(__xludf.DUMMYFUNCTION("""COMPUTED_VALUE"""),"02-31-06-57")</f>
        <v>02-31-06-57</v>
      </c>
      <c r="B669" s="36" t="str">
        <f>IFERROR(__xludf.DUMMYFUNCTION("""COMPUTED_VALUE"""),"")</f>
        <v/>
      </c>
      <c r="C669" s="36" t="str">
        <f>IFERROR(__xludf.DUMMYFUNCTION("""COMPUTED_VALUE"""),"")</f>
        <v/>
      </c>
      <c r="D669" s="36" t="str">
        <f>IFERROR(__xludf.DUMMYFUNCTION("""COMPUTED_VALUE"""),"")</f>
        <v/>
      </c>
      <c r="E669" s="36" t="str">
        <f>IFERROR(__xludf.DUMMYFUNCTION("""COMPUTED_VALUE"""),"04-44-12-96")</f>
        <v>04-44-12-96</v>
      </c>
      <c r="F669" s="36"/>
      <c r="G669" s="36" t="str">
        <f>IFERROR(__xludf.DUMMYFUNCTION("""COMPUTED_VALUE"""),"Barrio Aires de Florida 3")</f>
        <v>Barrio Aires de Florida 3</v>
      </c>
      <c r="H669" s="36" t="str">
        <f>IFERROR(__xludf.DUMMYFUNCTION("""COMPUTED_VALUE"""),"")</f>
        <v/>
      </c>
    </row>
    <row r="670">
      <c r="A670" s="36" t="str">
        <f>IFERROR(__xludf.DUMMYFUNCTION("""COMPUTED_VALUE"""),"02-31-06-58")</f>
        <v>02-31-06-58</v>
      </c>
      <c r="B670" s="36" t="str">
        <f>IFERROR(__xludf.DUMMYFUNCTION("""COMPUTED_VALUE"""),"")</f>
        <v/>
      </c>
      <c r="C670" s="36" t="str">
        <f>IFERROR(__xludf.DUMMYFUNCTION("""COMPUTED_VALUE"""),"")</f>
        <v/>
      </c>
      <c r="D670" s="36" t="str">
        <f>IFERROR(__xludf.DUMMYFUNCTION("""COMPUTED_VALUE"""),"")</f>
        <v/>
      </c>
      <c r="E670" s="36" t="str">
        <f>IFERROR(__xludf.DUMMYFUNCTION("""COMPUTED_VALUE"""),"04-44-12-95")</f>
        <v>04-44-12-95</v>
      </c>
      <c r="F670" s="36"/>
      <c r="G670" s="36" t="str">
        <f>IFERROR(__xludf.DUMMYFUNCTION("""COMPUTED_VALUE"""),"Barrio Aires de Florida 4")</f>
        <v>Barrio Aires de Florida 4</v>
      </c>
      <c r="H670" s="36" t="str">
        <f>IFERROR(__xludf.DUMMYFUNCTION("""COMPUTED_VALUE"""),"")</f>
        <v/>
      </c>
    </row>
    <row r="671">
      <c r="A671" s="36" t="str">
        <f>IFERROR(__xludf.DUMMYFUNCTION("""COMPUTED_VALUE"""),"02-31-06-59")</f>
        <v>02-31-06-59</v>
      </c>
      <c r="B671" s="36" t="str">
        <f>IFERROR(__xludf.DUMMYFUNCTION("""COMPUTED_VALUE"""),"")</f>
        <v/>
      </c>
      <c r="C671" s="36" t="str">
        <f>IFERROR(__xludf.DUMMYFUNCTION("""COMPUTED_VALUE"""),"")</f>
        <v/>
      </c>
      <c r="D671" s="36" t="str">
        <f>IFERROR(__xludf.DUMMYFUNCTION("""COMPUTED_VALUE"""),"")</f>
        <v/>
      </c>
      <c r="E671" s="36" t="str">
        <f>IFERROR(__xludf.DUMMYFUNCTION("""COMPUTED_VALUE"""),"03-30-10-135A")</f>
        <v>03-30-10-135A</v>
      </c>
      <c r="F671" s="36"/>
      <c r="G671" s="36" t="str">
        <f>IFERROR(__xludf.DUMMYFUNCTION("""COMPUTED_VALUE"""),"Barrio Ayres del Este Norte")</f>
        <v>Barrio Ayres del Este Norte</v>
      </c>
      <c r="H671" s="36" t="str">
        <f>IFERROR(__xludf.DUMMYFUNCTION("""COMPUTED_VALUE"""),"")</f>
        <v/>
      </c>
    </row>
    <row r="672">
      <c r="A672" s="36" t="str">
        <f>IFERROR(__xludf.DUMMYFUNCTION("""COMPUTED_VALUE"""),"02-31-06-60")</f>
        <v>02-31-06-60</v>
      </c>
      <c r="B672" s="36" t="str">
        <f>IFERROR(__xludf.DUMMYFUNCTION("""COMPUTED_VALUE"""),"")</f>
        <v/>
      </c>
      <c r="C672" s="36" t="str">
        <f>IFERROR(__xludf.DUMMYFUNCTION("""COMPUTED_VALUE"""),"")</f>
        <v/>
      </c>
      <c r="D672" s="36" t="str">
        <f>IFERROR(__xludf.DUMMYFUNCTION("""COMPUTED_VALUE"""),"")</f>
        <v/>
      </c>
      <c r="E672" s="36" t="str">
        <f>IFERROR(__xludf.DUMMYFUNCTION("""COMPUTED_VALUE"""),"03-33-10-135B")</f>
        <v>03-33-10-135B</v>
      </c>
      <c r="F672" s="36"/>
      <c r="G672" s="36" t="str">
        <f>IFERROR(__xludf.DUMMYFUNCTION("""COMPUTED_VALUE"""),"Barrio Ayres del Este Sur")</f>
        <v>Barrio Ayres del Este Sur</v>
      </c>
      <c r="H672" s="36" t="str">
        <f>IFERROR(__xludf.DUMMYFUNCTION("""COMPUTED_VALUE"""),"")</f>
        <v/>
      </c>
    </row>
    <row r="673">
      <c r="A673" s="36" t="str">
        <f>IFERROR(__xludf.DUMMYFUNCTION("""COMPUTED_VALUE"""),"02-31-06-61")</f>
        <v>02-31-06-61</v>
      </c>
      <c r="B673" s="36" t="str">
        <f>IFERROR(__xludf.DUMMYFUNCTION("""COMPUTED_VALUE"""),"")</f>
        <v/>
      </c>
      <c r="C673" s="36" t="str">
        <f>IFERROR(__xludf.DUMMYFUNCTION("""COMPUTED_VALUE"""),"")</f>
        <v/>
      </c>
      <c r="D673" s="36" t="str">
        <f>IFERROR(__xludf.DUMMYFUNCTION("""COMPUTED_VALUE"""),"")</f>
        <v/>
      </c>
      <c r="E673" s="36" t="str">
        <f>IFERROR(__xludf.DUMMYFUNCTION("""COMPUTED_VALUE"""),"01-21-07-20B")</f>
        <v>01-21-07-20B</v>
      </c>
      <c r="F673" s="36"/>
      <c r="G673" s="36" t="str">
        <f>IFERROR(__xludf.DUMMYFUNCTION("""COMPUTED_VALUE"""),"Barrio Conjunto 2")</f>
        <v>Barrio Conjunto 2</v>
      </c>
      <c r="H673" s="36" t="str">
        <f>IFERROR(__xludf.DUMMYFUNCTION("""COMPUTED_VALUE"""),"")</f>
        <v/>
      </c>
    </row>
    <row r="674">
      <c r="A674" s="36" t="str">
        <f>IFERROR(__xludf.DUMMYFUNCTION("""COMPUTED_VALUE"""),"02-31-06-61A")</f>
        <v>02-31-06-61A</v>
      </c>
      <c r="B674" s="36" t="str">
        <f>IFERROR(__xludf.DUMMYFUNCTION("""COMPUTED_VALUE"""),"")</f>
        <v/>
      </c>
      <c r="C674" s="36" t="str">
        <f>IFERROR(__xludf.DUMMYFUNCTION("""COMPUTED_VALUE"""),"")</f>
        <v/>
      </c>
      <c r="D674" s="36" t="str">
        <f>IFERROR(__xludf.DUMMYFUNCTION("""COMPUTED_VALUE"""),"")</f>
        <v/>
      </c>
      <c r="E674" s="36" t="str">
        <f>IFERROR(__xludf.DUMMYFUNCTION("""COMPUTED_VALUE"""),"04-43-12-95")</f>
        <v>04-43-12-95</v>
      </c>
      <c r="F674" s="36"/>
      <c r="G674" s="36" t="str">
        <f>IFERROR(__xludf.DUMMYFUNCTION("""COMPUTED_VALUE"""),"Barrio Conjunto 4 1")</f>
        <v>Barrio Conjunto 4 1</v>
      </c>
      <c r="H674" s="36" t="str">
        <f>IFERROR(__xludf.DUMMYFUNCTION("""COMPUTED_VALUE"""),"")</f>
        <v/>
      </c>
    </row>
    <row r="675">
      <c r="A675" s="36" t="str">
        <f>IFERROR(__xludf.DUMMYFUNCTION("""COMPUTED_VALUE"""),"02-31-06-62")</f>
        <v>02-31-06-62</v>
      </c>
      <c r="B675" s="36" t="str">
        <f>IFERROR(__xludf.DUMMYFUNCTION("""COMPUTED_VALUE"""),"")</f>
        <v/>
      </c>
      <c r="C675" s="36" t="str">
        <f>IFERROR(__xludf.DUMMYFUNCTION("""COMPUTED_VALUE"""),"")</f>
        <v/>
      </c>
      <c r="D675" s="36" t="str">
        <f>IFERROR(__xludf.DUMMYFUNCTION("""COMPUTED_VALUE"""),"")</f>
        <v/>
      </c>
      <c r="E675" s="36" t="str">
        <f>IFERROR(__xludf.DUMMYFUNCTION("""COMPUTED_VALUE"""),"04-43-12-93")</f>
        <v>04-43-12-93</v>
      </c>
      <c r="F675" s="36"/>
      <c r="G675" s="36" t="str">
        <f>IFERROR(__xludf.DUMMYFUNCTION("""COMPUTED_VALUE"""),"Barrio Conjunto 4 2")</f>
        <v>Barrio Conjunto 4 2</v>
      </c>
      <c r="H675" s="36" t="str">
        <f>IFERROR(__xludf.DUMMYFUNCTION("""COMPUTED_VALUE"""),"")</f>
        <v/>
      </c>
    </row>
    <row r="676">
      <c r="A676" s="36" t="str">
        <f>IFERROR(__xludf.DUMMYFUNCTION("""COMPUTED_VALUE"""),"02-31-06-62A")</f>
        <v>02-31-06-62A</v>
      </c>
      <c r="B676" s="36" t="str">
        <f>IFERROR(__xludf.DUMMYFUNCTION("""COMPUTED_VALUE"""),"")</f>
        <v/>
      </c>
      <c r="C676" s="36" t="str">
        <f>IFERROR(__xludf.DUMMYFUNCTION("""COMPUTED_VALUE"""),"")</f>
        <v/>
      </c>
      <c r="D676" s="36" t="str">
        <f>IFERROR(__xludf.DUMMYFUNCTION("""COMPUTED_VALUE"""),"")</f>
        <v/>
      </c>
      <c r="E676" s="36" t="str">
        <f>IFERROR(__xludf.DUMMYFUNCTION("""COMPUTED_VALUE"""),"03-36-10-46A")</f>
        <v>03-36-10-46A</v>
      </c>
      <c r="F676" s="36"/>
      <c r="G676" s="36" t="str">
        <f>IFERROR(__xludf.DUMMYFUNCTION("""COMPUTED_VALUE"""),"Barrio el Paso Norte")</f>
        <v>Barrio el Paso Norte</v>
      </c>
      <c r="H676" s="36" t="str">
        <f>IFERROR(__xludf.DUMMYFUNCTION("""COMPUTED_VALUE"""),"")</f>
        <v/>
      </c>
    </row>
    <row r="677">
      <c r="A677" s="36" t="str">
        <f>IFERROR(__xludf.DUMMYFUNCTION("""COMPUTED_VALUE"""),"02-31-06-63")</f>
        <v>02-31-06-63</v>
      </c>
      <c r="B677" s="36" t="str">
        <f>IFERROR(__xludf.DUMMYFUNCTION("""COMPUTED_VALUE"""),"")</f>
        <v/>
      </c>
      <c r="C677" s="36" t="str">
        <f>IFERROR(__xludf.DUMMYFUNCTION("""COMPUTED_VALUE"""),"")</f>
        <v/>
      </c>
      <c r="D677" s="36" t="str">
        <f>IFERROR(__xludf.DUMMYFUNCTION("""COMPUTED_VALUE"""),"")</f>
        <v/>
      </c>
      <c r="E677" s="36" t="str">
        <f>IFERROR(__xludf.DUMMYFUNCTION("""COMPUTED_VALUE"""),"03-36-10-46B")</f>
        <v>03-36-10-46B</v>
      </c>
      <c r="F677" s="36"/>
      <c r="G677" s="36" t="str">
        <f>IFERROR(__xludf.DUMMYFUNCTION("""COMPUTED_VALUE"""),"Barrio el Paso Sur")</f>
        <v>Barrio el Paso Sur</v>
      </c>
      <c r="H677" s="36" t="str">
        <f>IFERROR(__xludf.DUMMYFUNCTION("""COMPUTED_VALUE"""),"")</f>
        <v/>
      </c>
    </row>
    <row r="678">
      <c r="A678" s="36" t="str">
        <f>IFERROR(__xludf.DUMMYFUNCTION("""COMPUTED_VALUE"""),"02-31-06-63A")</f>
        <v>02-31-06-63A</v>
      </c>
      <c r="B678" s="36" t="str">
        <f>IFERROR(__xludf.DUMMYFUNCTION("""COMPUTED_VALUE"""),"")</f>
        <v/>
      </c>
      <c r="C678" s="36" t="str">
        <f>IFERROR(__xludf.DUMMYFUNCTION("""COMPUTED_VALUE"""),"")</f>
        <v/>
      </c>
      <c r="D678" s="36" t="str">
        <f>IFERROR(__xludf.DUMMYFUNCTION("""COMPUTED_VALUE"""),"")</f>
        <v/>
      </c>
      <c r="E678" s="36" t="str">
        <f>IFERROR(__xludf.DUMMYFUNCTION("""COMPUTED_VALUE"""),"03-22-10-79A")</f>
        <v>03-22-10-79A</v>
      </c>
      <c r="F678" s="36"/>
      <c r="G678" s="36" t="str">
        <f>IFERROR(__xludf.DUMMYFUNCTION("""COMPUTED_VALUE"""),"Barrio el Remanso Este")</f>
        <v>Barrio el Remanso Este</v>
      </c>
      <c r="H678" s="36" t="str">
        <f>IFERROR(__xludf.DUMMYFUNCTION("""COMPUTED_VALUE"""),"")</f>
        <v/>
      </c>
    </row>
    <row r="679">
      <c r="A679" s="36" t="str">
        <f>IFERROR(__xludf.DUMMYFUNCTION("""COMPUTED_VALUE"""),"02-31-06-64")</f>
        <v>02-31-06-64</v>
      </c>
      <c r="B679" s="36" t="str">
        <f>IFERROR(__xludf.DUMMYFUNCTION("""COMPUTED_VALUE"""),"")</f>
        <v/>
      </c>
      <c r="C679" s="36" t="str">
        <f>IFERROR(__xludf.DUMMYFUNCTION("""COMPUTED_VALUE"""),"")</f>
        <v/>
      </c>
      <c r="D679" s="36" t="str">
        <f>IFERROR(__xludf.DUMMYFUNCTION("""COMPUTED_VALUE"""),"")</f>
        <v/>
      </c>
      <c r="E679" s="36" t="str">
        <f>IFERROR(__xludf.DUMMYFUNCTION("""COMPUTED_VALUE"""),"03-22-10-79B")</f>
        <v>03-22-10-79B</v>
      </c>
      <c r="F679" s="36"/>
      <c r="G679" s="36" t="str">
        <f>IFERROR(__xludf.DUMMYFUNCTION("""COMPUTED_VALUE"""),"Barrio el Remanso Oeste")</f>
        <v>Barrio el Remanso Oeste</v>
      </c>
      <c r="H679" s="36" t="str">
        <f>IFERROR(__xludf.DUMMYFUNCTION("""COMPUTED_VALUE"""),"")</f>
        <v/>
      </c>
    </row>
    <row r="680">
      <c r="A680" s="36" t="str">
        <f>IFERROR(__xludf.DUMMYFUNCTION("""COMPUTED_VALUE"""),"02-31-06-64A")</f>
        <v>02-31-06-64A</v>
      </c>
      <c r="B680" s="36" t="str">
        <f>IFERROR(__xludf.DUMMYFUNCTION("""COMPUTED_VALUE"""),"")</f>
        <v/>
      </c>
      <c r="C680" s="36" t="str">
        <f>IFERROR(__xludf.DUMMYFUNCTION("""COMPUTED_VALUE"""),"")</f>
        <v/>
      </c>
      <c r="D680" s="36" t="str">
        <f>IFERROR(__xludf.DUMMYFUNCTION("""COMPUTED_VALUE"""),"")</f>
        <v/>
      </c>
      <c r="E680" s="36" t="str">
        <f>IFERROR(__xludf.DUMMYFUNCTION("""COMPUTED_VALUE"""),"02-38-12-276")</f>
        <v>02-38-12-276</v>
      </c>
      <c r="F680" s="36"/>
      <c r="G680" s="36" t="str">
        <f>IFERROR(__xludf.DUMMYFUNCTION("""COMPUTED_VALUE"""),"Barrio FOEVA")</f>
        <v>Barrio FOEVA</v>
      </c>
      <c r="H680" s="36" t="str">
        <f>IFERROR(__xludf.DUMMYFUNCTION("""COMPUTED_VALUE"""),"")</f>
        <v/>
      </c>
    </row>
    <row r="681">
      <c r="A681" s="36" t="str">
        <f>IFERROR(__xludf.DUMMYFUNCTION("""COMPUTED_VALUE"""),"02-31-06-64B")</f>
        <v>02-31-06-64B</v>
      </c>
      <c r="B681" s="36" t="str">
        <f>IFERROR(__xludf.DUMMYFUNCTION("""COMPUTED_VALUE"""),"")</f>
        <v/>
      </c>
      <c r="C681" s="36" t="str">
        <f>IFERROR(__xludf.DUMMYFUNCTION("""COMPUTED_VALUE"""),"")</f>
        <v/>
      </c>
      <c r="D681" s="36" t="str">
        <f>IFERROR(__xludf.DUMMYFUNCTION("""COMPUTED_VALUE"""),"")</f>
        <v/>
      </c>
      <c r="E681" s="36" t="str">
        <f>IFERROR(__xludf.DUMMYFUNCTION("""COMPUTED_VALUE"""),"04-34-12-35C")</f>
        <v>04-34-12-35C</v>
      </c>
      <c r="F681" s="36"/>
      <c r="G681" s="36" t="str">
        <f>IFERROR(__xludf.DUMMYFUNCTION("""COMPUTED_VALUE"""),"Barrio la Superiora")</f>
        <v>Barrio la Superiora</v>
      </c>
      <c r="H681" s="36" t="str">
        <f>IFERROR(__xludf.DUMMYFUNCTION("""COMPUTED_VALUE"""),"")</f>
        <v/>
      </c>
    </row>
    <row r="682">
      <c r="A682" s="36" t="str">
        <f>IFERROR(__xludf.DUMMYFUNCTION("""COMPUTED_VALUE"""),"02-31-06-65")</f>
        <v>02-31-06-65</v>
      </c>
      <c r="B682" s="36" t="str">
        <f>IFERROR(__xludf.DUMMYFUNCTION("""COMPUTED_VALUE"""),"")</f>
        <v/>
      </c>
      <c r="C682" s="36" t="str">
        <f>IFERROR(__xludf.DUMMYFUNCTION("""COMPUTED_VALUE"""),"")</f>
        <v/>
      </c>
      <c r="D682" s="36" t="str">
        <f>IFERROR(__xludf.DUMMYFUNCTION("""COMPUTED_VALUE"""),"")</f>
        <v/>
      </c>
      <c r="E682" s="36" t="str">
        <f>IFERROR(__xludf.DUMMYFUNCTION("""COMPUTED_VALUE"""),"01-21-07-20")</f>
        <v>01-21-07-20</v>
      </c>
      <c r="F682" s="36"/>
      <c r="G682" s="36" t="str">
        <f>IFERROR(__xludf.DUMMYFUNCTION("""COMPUTED_VALUE"""),"Barrio Los Aromos")</f>
        <v>Barrio Los Aromos</v>
      </c>
      <c r="H682" s="36" t="str">
        <f>IFERROR(__xludf.DUMMYFUNCTION("""COMPUTED_VALUE"""),"")</f>
        <v/>
      </c>
    </row>
    <row r="683">
      <c r="A683" s="36" t="str">
        <f>IFERROR(__xludf.DUMMYFUNCTION("""COMPUTED_VALUE"""),"02-31-06-65A")</f>
        <v>02-31-06-65A</v>
      </c>
      <c r="B683" s="36" t="str">
        <f>IFERROR(__xludf.DUMMYFUNCTION("""COMPUTED_VALUE"""),"")</f>
        <v/>
      </c>
      <c r="C683" s="36" t="str">
        <f>IFERROR(__xludf.DUMMYFUNCTION("""COMPUTED_VALUE"""),"")</f>
        <v/>
      </c>
      <c r="D683" s="36" t="str">
        <f>IFERROR(__xludf.DUMMYFUNCTION("""COMPUTED_VALUE"""),"")</f>
        <v/>
      </c>
      <c r="E683" s="36" t="str">
        <f>IFERROR(__xludf.DUMMYFUNCTION("""COMPUTED_VALUE"""),"03-22-10-71B")</f>
        <v>03-22-10-71B</v>
      </c>
      <c r="F683" s="36"/>
      <c r="G683" s="36" t="str">
        <f>IFERROR(__xludf.DUMMYFUNCTION("""COMPUTED_VALUE"""),"Barrio Los Nogales Este")</f>
        <v>Barrio Los Nogales Este</v>
      </c>
      <c r="H683" s="36" t="str">
        <f>IFERROR(__xludf.DUMMYFUNCTION("""COMPUTED_VALUE"""),"")</f>
        <v/>
      </c>
    </row>
    <row r="684">
      <c r="A684" s="36" t="str">
        <f>IFERROR(__xludf.DUMMYFUNCTION("""COMPUTED_VALUE"""),"02-31-06-65B")</f>
        <v>02-31-06-65B</v>
      </c>
      <c r="B684" s="36" t="str">
        <f>IFERROR(__xludf.DUMMYFUNCTION("""COMPUTED_VALUE"""),"")</f>
        <v/>
      </c>
      <c r="C684" s="36" t="str">
        <f>IFERROR(__xludf.DUMMYFUNCTION("""COMPUTED_VALUE"""),"")</f>
        <v/>
      </c>
      <c r="D684" s="36" t="str">
        <f>IFERROR(__xludf.DUMMYFUNCTION("""COMPUTED_VALUE"""),"")</f>
        <v/>
      </c>
      <c r="E684" s="36" t="str">
        <f>IFERROR(__xludf.DUMMYFUNCTION("""COMPUTED_VALUE"""),"03-22-10-71A")</f>
        <v>03-22-10-71A</v>
      </c>
      <c r="F684" s="36"/>
      <c r="G684" s="36" t="str">
        <f>IFERROR(__xludf.DUMMYFUNCTION("""COMPUTED_VALUE"""),"Barrio Los Nogales Oeste")</f>
        <v>Barrio Los Nogales Oeste</v>
      </c>
      <c r="H684" s="36" t="str">
        <f>IFERROR(__xludf.DUMMYFUNCTION("""COMPUTED_VALUE"""),"")</f>
        <v/>
      </c>
    </row>
    <row r="685">
      <c r="A685" s="36" t="str">
        <f>IFERROR(__xludf.DUMMYFUNCTION("""COMPUTED_VALUE"""),"02-31-06-66")</f>
        <v>02-31-06-66</v>
      </c>
      <c r="B685" s="36" t="str">
        <f>IFERROR(__xludf.DUMMYFUNCTION("""COMPUTED_VALUE"""),"")</f>
        <v/>
      </c>
      <c r="C685" s="36" t="str">
        <f>IFERROR(__xludf.DUMMYFUNCTION("""COMPUTED_VALUE"""),"")</f>
        <v/>
      </c>
      <c r="D685" s="36" t="str">
        <f>IFERROR(__xludf.DUMMYFUNCTION("""COMPUTED_VALUE"""),"")</f>
        <v/>
      </c>
      <c r="E685" s="36" t="str">
        <f>IFERROR(__xludf.DUMMYFUNCTION("""COMPUTED_VALUE"""),"03-29-10-80A")</f>
        <v>03-29-10-80A</v>
      </c>
      <c r="F685" s="36"/>
      <c r="G685" s="36" t="str">
        <f>IFERROR(__xludf.DUMMYFUNCTION("""COMPUTED_VALUE"""),"Barrio Portal Cuyano Este")</f>
        <v>Barrio Portal Cuyano Este</v>
      </c>
      <c r="H685" s="36" t="str">
        <f>IFERROR(__xludf.DUMMYFUNCTION("""COMPUTED_VALUE"""),"")</f>
        <v/>
      </c>
    </row>
    <row r="686">
      <c r="A686" s="36" t="str">
        <f>IFERROR(__xludf.DUMMYFUNCTION("""COMPUTED_VALUE"""),"02-31-06-66A")</f>
        <v>02-31-06-66A</v>
      </c>
      <c r="B686" s="36" t="str">
        <f>IFERROR(__xludf.DUMMYFUNCTION("""COMPUTED_VALUE"""),"")</f>
        <v/>
      </c>
      <c r="C686" s="36" t="str">
        <f>IFERROR(__xludf.DUMMYFUNCTION("""COMPUTED_VALUE"""),"")</f>
        <v/>
      </c>
      <c r="D686" s="36" t="str">
        <f>IFERROR(__xludf.DUMMYFUNCTION("""COMPUTED_VALUE"""),"")</f>
        <v/>
      </c>
      <c r="E686" s="36" t="str">
        <f>IFERROR(__xludf.DUMMYFUNCTION("""COMPUTED_VALUE"""),"03-22-10-80B")</f>
        <v>03-22-10-80B</v>
      </c>
      <c r="F686" s="36"/>
      <c r="G686" s="36" t="str">
        <f>IFERROR(__xludf.DUMMYFUNCTION("""COMPUTED_VALUE"""),"Barrio Portal Cuyano Oeste")</f>
        <v>Barrio Portal Cuyano Oeste</v>
      </c>
      <c r="H686" s="36" t="str">
        <f>IFERROR(__xludf.DUMMYFUNCTION("""COMPUTED_VALUE"""),"")</f>
        <v/>
      </c>
    </row>
    <row r="687">
      <c r="A687" s="36" t="str">
        <f>IFERROR(__xludf.DUMMYFUNCTION("""COMPUTED_VALUE"""),"02-31-06-67")</f>
        <v>02-31-06-67</v>
      </c>
      <c r="B687" s="36" t="str">
        <f>IFERROR(__xludf.DUMMYFUNCTION("""COMPUTED_VALUE"""),"")</f>
        <v/>
      </c>
      <c r="C687" s="36" t="str">
        <f>IFERROR(__xludf.DUMMYFUNCTION("""COMPUTED_VALUE"""),"")</f>
        <v/>
      </c>
      <c r="D687" s="36" t="str">
        <f>IFERROR(__xludf.DUMMYFUNCTION("""COMPUTED_VALUE"""),"")</f>
        <v/>
      </c>
      <c r="E687" s="36" t="str">
        <f>IFERROR(__xludf.DUMMYFUNCTION("""COMPUTED_VALUE"""),"04-43-12-97")</f>
        <v>04-43-12-97</v>
      </c>
      <c r="F687" s="36"/>
      <c r="G687" s="36" t="str">
        <f>IFERROR(__xludf.DUMMYFUNCTION("""COMPUTED_VALUE"""),"Barrio Río Blanco 1")</f>
        <v>Barrio Río Blanco 1</v>
      </c>
      <c r="H687" s="36" t="str">
        <f>IFERROR(__xludf.DUMMYFUNCTION("""COMPUTED_VALUE"""),"")</f>
        <v/>
      </c>
    </row>
    <row r="688">
      <c r="A688" s="36" t="str">
        <f>IFERROR(__xludf.DUMMYFUNCTION("""COMPUTED_VALUE"""),"02-31-06-67A")</f>
        <v>02-31-06-67A</v>
      </c>
      <c r="B688" s="36" t="str">
        <f>IFERROR(__xludf.DUMMYFUNCTION("""COMPUTED_VALUE"""),"")</f>
        <v/>
      </c>
      <c r="C688" s="36" t="str">
        <f>IFERROR(__xludf.DUMMYFUNCTION("""COMPUTED_VALUE"""),"")</f>
        <v/>
      </c>
      <c r="D688" s="36" t="str">
        <f>IFERROR(__xludf.DUMMYFUNCTION("""COMPUTED_VALUE"""),"")</f>
        <v/>
      </c>
      <c r="E688" s="36" t="str">
        <f>IFERROR(__xludf.DUMMYFUNCTION("""COMPUTED_VALUE"""),"04-43-12-96")</f>
        <v>04-43-12-96</v>
      </c>
      <c r="F688" s="36"/>
      <c r="G688" s="36" t="str">
        <f>IFERROR(__xludf.DUMMYFUNCTION("""COMPUTED_VALUE"""),"Barrio Río Blanco 2")</f>
        <v>Barrio Río Blanco 2</v>
      </c>
      <c r="H688" s="36" t="str">
        <f>IFERROR(__xludf.DUMMYFUNCTION("""COMPUTED_VALUE"""),"")</f>
        <v/>
      </c>
    </row>
    <row r="689">
      <c r="A689" s="36" t="str">
        <f>IFERROR(__xludf.DUMMYFUNCTION("""COMPUTED_VALUE"""),"02-31-06-68")</f>
        <v>02-31-06-68</v>
      </c>
      <c r="B689" s="36" t="str">
        <f>IFERROR(__xludf.DUMMYFUNCTION("""COMPUTED_VALUE"""),"")</f>
        <v/>
      </c>
      <c r="C689" s="36" t="str">
        <f>IFERROR(__xludf.DUMMYFUNCTION("""COMPUTED_VALUE"""),"")</f>
        <v/>
      </c>
      <c r="D689" s="36" t="str">
        <f>IFERROR(__xludf.DUMMYFUNCTION("""COMPUTED_VALUE"""),"")</f>
        <v/>
      </c>
      <c r="E689" s="36" t="str">
        <f>IFERROR(__xludf.DUMMYFUNCTION("""COMPUTED_VALUE"""),"03-38-10-40A")</f>
        <v>03-38-10-40A</v>
      </c>
      <c r="F689" s="36"/>
      <c r="G689" s="36" t="str">
        <f>IFERROR(__xludf.DUMMYFUNCTION("""COMPUTED_VALUE"""),"Barrio Rural Norte")</f>
        <v>Barrio Rural Norte</v>
      </c>
      <c r="H689" s="36" t="str">
        <f>IFERROR(__xludf.DUMMYFUNCTION("""COMPUTED_VALUE"""),"")</f>
        <v/>
      </c>
    </row>
    <row r="690">
      <c r="A690" s="36" t="str">
        <f>IFERROR(__xludf.DUMMYFUNCTION("""COMPUTED_VALUE"""),"02-31-06-68A")</f>
        <v>02-31-06-68A</v>
      </c>
      <c r="B690" s="36" t="str">
        <f>IFERROR(__xludf.DUMMYFUNCTION("""COMPUTED_VALUE"""),"")</f>
        <v/>
      </c>
      <c r="C690" s="36" t="str">
        <f>IFERROR(__xludf.DUMMYFUNCTION("""COMPUTED_VALUE"""),"")</f>
        <v/>
      </c>
      <c r="D690" s="36" t="str">
        <f>IFERROR(__xludf.DUMMYFUNCTION("""COMPUTED_VALUE"""),"")</f>
        <v/>
      </c>
      <c r="E690" s="36" t="str">
        <f>IFERROR(__xludf.DUMMYFUNCTION("""COMPUTED_VALUE"""),"03-42-10-40B")</f>
        <v>03-42-10-40B</v>
      </c>
      <c r="F690" s="36"/>
      <c r="G690" s="36" t="str">
        <f>IFERROR(__xludf.DUMMYFUNCTION("""COMPUTED_VALUE"""),"Barrio Rural Sur")</f>
        <v>Barrio Rural Sur</v>
      </c>
      <c r="H690" s="36" t="str">
        <f>IFERROR(__xludf.DUMMYFUNCTION("""COMPUTED_VALUE"""),"")</f>
        <v/>
      </c>
    </row>
    <row r="691">
      <c r="A691" s="36" t="str">
        <f>IFERROR(__xludf.DUMMYFUNCTION("""COMPUTED_VALUE"""),"02-31-06-69A")</f>
        <v>02-31-06-69A</v>
      </c>
      <c r="B691" s="36" t="str">
        <f>IFERROR(__xludf.DUMMYFUNCTION("""COMPUTED_VALUE"""),"")</f>
        <v/>
      </c>
      <c r="C691" s="36" t="str">
        <f>IFERROR(__xludf.DUMMYFUNCTION("""COMPUTED_VALUE"""),"")</f>
        <v/>
      </c>
      <c r="D691" s="36" t="str">
        <f>IFERROR(__xludf.DUMMYFUNCTION("""COMPUTED_VALUE"""),"")</f>
        <v/>
      </c>
      <c r="E691" s="36" t="str">
        <f>IFERROR(__xludf.DUMMYFUNCTION("""COMPUTED_VALUE"""),"04-43-12-85")</f>
        <v>04-43-12-85</v>
      </c>
      <c r="F691" s="36"/>
      <c r="G691" s="36" t="str">
        <f>IFERROR(__xludf.DUMMYFUNCTION("""COMPUTED_VALUE"""),"Barrio Serranías  Sur 1")</f>
        <v>Barrio Serranías  Sur 1</v>
      </c>
      <c r="H691" s="36" t="str">
        <f>IFERROR(__xludf.DUMMYFUNCTION("""COMPUTED_VALUE"""),"")</f>
        <v/>
      </c>
    </row>
    <row r="692">
      <c r="A692" s="36" t="str">
        <f>IFERROR(__xludf.DUMMYFUNCTION("""COMPUTED_VALUE"""),"02-31-06-70A")</f>
        <v>02-31-06-70A</v>
      </c>
      <c r="B692" s="36" t="str">
        <f>IFERROR(__xludf.DUMMYFUNCTION("""COMPUTED_VALUE"""),"")</f>
        <v/>
      </c>
      <c r="C692" s="36" t="str">
        <f>IFERROR(__xludf.DUMMYFUNCTION("""COMPUTED_VALUE"""),"")</f>
        <v/>
      </c>
      <c r="D692" s="36" t="str">
        <f>IFERROR(__xludf.DUMMYFUNCTION("""COMPUTED_VALUE"""),"")</f>
        <v/>
      </c>
      <c r="E692" s="36" t="str">
        <f>IFERROR(__xludf.DUMMYFUNCTION("""COMPUTED_VALUE"""),"04-44-12-94")</f>
        <v>04-44-12-94</v>
      </c>
      <c r="F692" s="36"/>
      <c r="G692" s="36" t="str">
        <f>IFERROR(__xludf.DUMMYFUNCTION("""COMPUTED_VALUE"""),"Barrio Victorino Ortega 1")</f>
        <v>Barrio Victorino Ortega 1</v>
      </c>
      <c r="H692" s="36" t="str">
        <f>IFERROR(__xludf.DUMMYFUNCTION("""COMPUTED_VALUE"""),"")</f>
        <v/>
      </c>
    </row>
    <row r="693">
      <c r="A693" s="36" t="str">
        <f>IFERROR(__xludf.DUMMYFUNCTION("""COMPUTED_VALUE"""),"02-31-06-71A")</f>
        <v>02-31-06-71A</v>
      </c>
      <c r="B693" s="36" t="str">
        <f>IFERROR(__xludf.DUMMYFUNCTION("""COMPUTED_VALUE"""),"")</f>
        <v/>
      </c>
      <c r="C693" s="36" t="str">
        <f>IFERROR(__xludf.DUMMYFUNCTION("""COMPUTED_VALUE"""),"")</f>
        <v/>
      </c>
      <c r="D693" s="36" t="str">
        <f>IFERROR(__xludf.DUMMYFUNCTION("""COMPUTED_VALUE"""),"")</f>
        <v/>
      </c>
      <c r="E693" s="36" t="str">
        <f>IFERROR(__xludf.DUMMYFUNCTION("""COMPUTED_VALUE"""),"04-44-12-93")</f>
        <v>04-44-12-93</v>
      </c>
      <c r="F693" s="36"/>
      <c r="G693" s="36" t="str">
        <f>IFERROR(__xludf.DUMMYFUNCTION("""COMPUTED_VALUE"""),"Barrio Victorino Ortega 2")</f>
        <v>Barrio Victorino Ortega 2</v>
      </c>
      <c r="H693" s="36" t="str">
        <f>IFERROR(__xludf.DUMMYFUNCTION("""COMPUTED_VALUE"""),"")</f>
        <v/>
      </c>
    </row>
    <row r="694">
      <c r="A694" s="36" t="str">
        <f>IFERROR(__xludf.DUMMYFUNCTION("""COMPUTED_VALUE"""),"02-31-06-79A")</f>
        <v>02-31-06-79A</v>
      </c>
      <c r="B694" s="36" t="str">
        <f>IFERROR(__xludf.DUMMYFUNCTION("""COMPUTED_VALUE"""),"")</f>
        <v/>
      </c>
      <c r="C694" s="36" t="str">
        <f>IFERROR(__xludf.DUMMYFUNCTION("""COMPUTED_VALUE"""),"")</f>
        <v/>
      </c>
      <c r="D694" s="36" t="str">
        <f>IFERROR(__xludf.DUMMYFUNCTION("""COMPUTED_VALUE"""),"")</f>
        <v/>
      </c>
      <c r="E694" s="36" t="str">
        <f>IFERROR(__xludf.DUMMYFUNCTION("""COMPUTED_VALUE"""),"03-49-09-46")</f>
        <v>03-49-09-46</v>
      </c>
      <c r="F694" s="36"/>
      <c r="G694" s="36" t="str">
        <f>IFERROR(__xludf.DUMMYFUNCTION("""COMPUTED_VALUE"""),"Barrio Villa del Parque")</f>
        <v>Barrio Villa del Parque</v>
      </c>
      <c r="H694" s="36" t="str">
        <f>IFERROR(__xludf.DUMMYFUNCTION("""COMPUTED_VALUE"""),"")</f>
        <v/>
      </c>
    </row>
    <row r="695">
      <c r="A695" s="36" t="str">
        <f>IFERROR(__xludf.DUMMYFUNCTION("""COMPUTED_VALUE"""),"02-36-06-1A")</f>
        <v>02-36-06-1A</v>
      </c>
      <c r="B695" s="36" t="str">
        <f>IFERROR(__xludf.DUMMYFUNCTION("""COMPUTED_VALUE"""),"")</f>
        <v/>
      </c>
      <c r="C695" s="36" t="str">
        <f>IFERROR(__xludf.DUMMYFUNCTION("""COMPUTED_VALUE"""),"")</f>
        <v/>
      </c>
      <c r="D695" s="36" t="str">
        <f>IFERROR(__xludf.DUMMYFUNCTION("""COMPUTED_VALUE"""),"")</f>
        <v/>
      </c>
      <c r="E695" s="36" t="str">
        <f>IFERROR(__xludf.DUMMYFUNCTION("""COMPUTED_VALUE"""),"02-31-06-56A")</f>
        <v>02-31-06-56A</v>
      </c>
      <c r="F695" s="36"/>
      <c r="G695" s="36" t="str">
        <f>IFERROR(__xludf.DUMMYFUNCTION("""COMPUTED_VALUE"""),"Barud de Quattropani y Riveros N")</f>
        <v>Barud de Quattropani y Riveros N</v>
      </c>
      <c r="H695" s="36" t="str">
        <f>IFERROR(__xludf.DUMMYFUNCTION("""COMPUTED_VALUE"""),"")</f>
        <v/>
      </c>
    </row>
    <row r="696">
      <c r="A696" s="36" t="str">
        <f>IFERROR(__xludf.DUMMYFUNCTION("""COMPUTED_VALUE"""),"02-36-06-2")</f>
        <v>02-36-06-2</v>
      </c>
      <c r="B696" s="36" t="str">
        <f>IFERROR(__xludf.DUMMYFUNCTION("""COMPUTED_VALUE"""),"")</f>
        <v/>
      </c>
      <c r="C696" s="36" t="str">
        <f>IFERROR(__xludf.DUMMYFUNCTION("""COMPUTED_VALUE"""),"")</f>
        <v/>
      </c>
      <c r="D696" s="36" t="str">
        <f>IFERROR(__xludf.DUMMYFUNCTION("""COMPUTED_VALUE"""),"")</f>
        <v/>
      </c>
      <c r="E696" s="36" t="str">
        <f>IFERROR(__xludf.DUMMYFUNCTION("""COMPUTED_VALUE"""),"02-31-06-57")</f>
        <v>02-31-06-57</v>
      </c>
      <c r="F696" s="36"/>
      <c r="G696" s="36" t="str">
        <f>IFERROR(__xludf.DUMMYFUNCTION("""COMPUTED_VALUE"""),"Barud de Quattropani y Riveros S")</f>
        <v>Barud de Quattropani y Riveros S</v>
      </c>
      <c r="H696" s="36" t="str">
        <f>IFERROR(__xludf.DUMMYFUNCTION("""COMPUTED_VALUE"""),"")</f>
        <v/>
      </c>
    </row>
    <row r="697">
      <c r="A697" s="36" t="str">
        <f>IFERROR(__xludf.DUMMYFUNCTION("""COMPUTED_VALUE"""),"02-36-06-25A")</f>
        <v>02-36-06-25A</v>
      </c>
      <c r="B697" s="36" t="str">
        <f>IFERROR(__xludf.DUMMYFUNCTION("""COMPUTED_VALUE"""),"")</f>
        <v/>
      </c>
      <c r="C697" s="36" t="str">
        <f>IFERROR(__xludf.DUMMYFUNCTION("""COMPUTED_VALUE"""),"")</f>
        <v/>
      </c>
      <c r="D697" s="36" t="str">
        <f>IFERROR(__xludf.DUMMYFUNCTION("""COMPUTED_VALUE"""),"")</f>
        <v/>
      </c>
      <c r="E697" s="36" t="str">
        <f>IFERROR(__xludf.DUMMYFUNCTION("""COMPUTED_VALUE"""),"02-31-06-56")</f>
        <v>02-31-06-56</v>
      </c>
      <c r="F697" s="36"/>
      <c r="G697" s="36" t="str">
        <f>IFERROR(__xludf.DUMMYFUNCTION("""COMPUTED_VALUE"""),"Barud de Quattropani y Sto. Domingo")</f>
        <v>Barud de Quattropani y Sto. Domingo</v>
      </c>
      <c r="H697" s="36" t="str">
        <f>IFERROR(__xludf.DUMMYFUNCTION("""COMPUTED_VALUE"""),"")</f>
        <v/>
      </c>
    </row>
    <row r="698">
      <c r="A698" s="36" t="str">
        <f>IFERROR(__xludf.DUMMYFUNCTION("""COMPUTED_VALUE"""),"02-36-06-25C")</f>
        <v>02-36-06-25C</v>
      </c>
      <c r="B698" s="36" t="str">
        <f>IFERROR(__xludf.DUMMYFUNCTION("""COMPUTED_VALUE"""),"")</f>
        <v/>
      </c>
      <c r="C698" s="36" t="str">
        <f>IFERROR(__xludf.DUMMYFUNCTION("""COMPUTED_VALUE"""),"")</f>
        <v/>
      </c>
      <c r="D698" s="36" t="str">
        <f>IFERROR(__xludf.DUMMYFUNCTION("""COMPUTED_VALUE"""),"")</f>
        <v/>
      </c>
      <c r="E698" s="36" t="str">
        <f>IFERROR(__xludf.DUMMYFUNCTION("""COMPUTED_VALUE"""),"02-29-06-103B")</f>
        <v>02-29-06-103B</v>
      </c>
      <c r="F698" s="36"/>
      <c r="G698" s="36" t="str">
        <f>IFERROR(__xludf.DUMMYFUNCTION("""COMPUTED_VALUE"""),"Bazán Agrás y Cipolletti")</f>
        <v>Bazán Agrás y Cipolletti</v>
      </c>
      <c r="H698" s="36" t="str">
        <f>IFERROR(__xludf.DUMMYFUNCTION("""COMPUTED_VALUE"""),"")</f>
        <v/>
      </c>
    </row>
    <row r="699">
      <c r="A699" s="36" t="str">
        <f>IFERROR(__xludf.DUMMYFUNCTION("""COMPUTED_VALUE"""),"02-36-06-26")</f>
        <v>02-36-06-26</v>
      </c>
      <c r="B699" s="36" t="str">
        <f>IFERROR(__xludf.DUMMYFUNCTION("""COMPUTED_VALUE"""),"")</f>
        <v/>
      </c>
      <c r="C699" s="36" t="str">
        <f>IFERROR(__xludf.DUMMYFUNCTION("""COMPUTED_VALUE"""),"")</f>
        <v/>
      </c>
      <c r="D699" s="36" t="str">
        <f>IFERROR(__xludf.DUMMYFUNCTION("""COMPUTED_VALUE"""),"")</f>
        <v/>
      </c>
      <c r="E699" s="36" t="str">
        <f>IFERROR(__xludf.DUMMYFUNCTION("""COMPUTED_VALUE"""),"03-46-10-14A")</f>
        <v>03-46-10-14A</v>
      </c>
      <c r="F699" s="36"/>
      <c r="G699" s="36" t="str">
        <f>IFERROR(__xludf.DUMMYFUNCTION("""COMPUTED_VALUE"""),"Belgrano y 21 de Febrero Norte")</f>
        <v>Belgrano y 21 de Febrero Norte</v>
      </c>
      <c r="H699" s="36" t="str">
        <f>IFERROR(__xludf.DUMMYFUNCTION("""COMPUTED_VALUE"""),"")</f>
        <v/>
      </c>
    </row>
    <row r="700">
      <c r="A700" s="36" t="str">
        <f>IFERROR(__xludf.DUMMYFUNCTION("""COMPUTED_VALUE"""),"02-36-06-26A")</f>
        <v>02-36-06-26A</v>
      </c>
      <c r="B700" s="36" t="str">
        <f>IFERROR(__xludf.DUMMYFUNCTION("""COMPUTED_VALUE"""),"")</f>
        <v/>
      </c>
      <c r="C700" s="36" t="str">
        <f>IFERROR(__xludf.DUMMYFUNCTION("""COMPUTED_VALUE"""),"")</f>
        <v/>
      </c>
      <c r="D700" s="36" t="str">
        <f>IFERROR(__xludf.DUMMYFUNCTION("""COMPUTED_VALUE"""),"")</f>
        <v/>
      </c>
      <c r="E700" s="36" t="str">
        <f>IFERROR(__xludf.DUMMYFUNCTION("""COMPUTED_VALUE"""),"04-26-10-14")</f>
        <v>04-26-10-14</v>
      </c>
      <c r="F700" s="36"/>
      <c r="G700" s="36" t="str">
        <f>IFERROR(__xludf.DUMMYFUNCTION("""COMPUTED_VALUE"""),"Belgrano y 21 de Febrero Sur")</f>
        <v>Belgrano y 21 de Febrero Sur</v>
      </c>
      <c r="H700" s="36" t="str">
        <f>IFERROR(__xludf.DUMMYFUNCTION("""COMPUTED_VALUE"""),"")</f>
        <v/>
      </c>
    </row>
    <row r="701">
      <c r="A701" s="36" t="str">
        <f>IFERROR(__xludf.DUMMYFUNCTION("""COMPUTED_VALUE"""),"02-36-06-27")</f>
        <v>02-36-06-27</v>
      </c>
      <c r="B701" s="36" t="str">
        <f>IFERROR(__xludf.DUMMYFUNCTION("""COMPUTED_VALUE"""),"")</f>
        <v/>
      </c>
      <c r="C701" s="36" t="str">
        <f>IFERROR(__xludf.DUMMYFUNCTION("""COMPUTED_VALUE"""),"")</f>
        <v/>
      </c>
      <c r="D701" s="36" t="str">
        <f>IFERROR(__xludf.DUMMYFUNCTION("""COMPUTED_VALUE"""),"")</f>
        <v/>
      </c>
      <c r="E701" s="36" t="str">
        <f>IFERROR(__xludf.DUMMYFUNCTION("""COMPUTED_VALUE"""),"01-55-13-242")</f>
        <v>01-55-13-242</v>
      </c>
      <c r="F701" s="36"/>
      <c r="G701" s="36" t="str">
        <f>IFERROR(__xludf.DUMMYFUNCTION("""COMPUTED_VALUE"""),"Belgrano y Aberastain")</f>
        <v>Belgrano y Aberastain</v>
      </c>
      <c r="H701" s="36" t="str">
        <f>IFERROR(__xludf.DUMMYFUNCTION("""COMPUTED_VALUE"""),"")</f>
        <v/>
      </c>
    </row>
    <row r="702">
      <c r="A702" s="36" t="str">
        <f>IFERROR(__xludf.DUMMYFUNCTION("""COMPUTED_VALUE"""),"02-36-06-28")</f>
        <v>02-36-06-28</v>
      </c>
      <c r="B702" s="36" t="str">
        <f>IFERROR(__xludf.DUMMYFUNCTION("""COMPUTED_VALUE"""),"")</f>
        <v/>
      </c>
      <c r="C702" s="36" t="str">
        <f>IFERROR(__xludf.DUMMYFUNCTION("""COMPUTED_VALUE"""),"")</f>
        <v/>
      </c>
      <c r="D702" s="36" t="str">
        <f>IFERROR(__xludf.DUMMYFUNCTION("""COMPUTED_VALUE"""),"")</f>
        <v/>
      </c>
      <c r="E702" s="36" t="str">
        <f>IFERROR(__xludf.DUMMYFUNCTION("""COMPUTED_VALUE"""),"01-55-13-246")</f>
        <v>01-55-13-246</v>
      </c>
      <c r="F702" s="36"/>
      <c r="G702" s="36" t="str">
        <f>IFERROR(__xludf.DUMMYFUNCTION("""COMPUTED_VALUE"""),"Belgrano y Av. Rioja")</f>
        <v>Belgrano y Av. Rioja</v>
      </c>
      <c r="H702" s="36" t="str">
        <f>IFERROR(__xludf.DUMMYFUNCTION("""COMPUTED_VALUE"""),"")</f>
        <v/>
      </c>
    </row>
    <row r="703">
      <c r="A703" s="36" t="str">
        <f>IFERROR(__xludf.DUMMYFUNCTION("""COMPUTED_VALUE"""),"02-36-06-29A")</f>
        <v>02-36-06-29A</v>
      </c>
      <c r="B703" s="36" t="str">
        <f>IFERROR(__xludf.DUMMYFUNCTION("""COMPUTED_VALUE"""),"")</f>
        <v/>
      </c>
      <c r="C703" s="36" t="str">
        <f>IFERROR(__xludf.DUMMYFUNCTION("""COMPUTED_VALUE"""),"")</f>
        <v/>
      </c>
      <c r="D703" s="36" t="str">
        <f>IFERROR(__xludf.DUMMYFUNCTION("""COMPUTED_VALUE"""),"")</f>
        <v/>
      </c>
      <c r="E703" s="36" t="str">
        <f>IFERROR(__xludf.DUMMYFUNCTION("""COMPUTED_VALUE"""),"04-26-10-16")</f>
        <v>04-26-10-16</v>
      </c>
      <c r="F703" s="36"/>
      <c r="G703" s="36" t="str">
        <f>IFERROR(__xludf.DUMMYFUNCTION("""COMPUTED_VALUE"""),"Belgrano y Callejón Herrera")</f>
        <v>Belgrano y Callejón Herrera</v>
      </c>
      <c r="H703" s="36" t="str">
        <f>IFERROR(__xludf.DUMMYFUNCTION("""COMPUTED_VALUE"""),"")</f>
        <v/>
      </c>
    </row>
    <row r="704">
      <c r="A704" s="36" t="str">
        <f>IFERROR(__xludf.DUMMYFUNCTION("""COMPUTED_VALUE"""),"02-36-06-30")</f>
        <v>02-36-06-30</v>
      </c>
      <c r="B704" s="36" t="str">
        <f>IFERROR(__xludf.DUMMYFUNCTION("""COMPUTED_VALUE"""),"")</f>
        <v/>
      </c>
      <c r="C704" s="36" t="str">
        <f>IFERROR(__xludf.DUMMYFUNCTION("""COMPUTED_VALUE"""),"")</f>
        <v/>
      </c>
      <c r="D704" s="36" t="str">
        <f>IFERROR(__xludf.DUMMYFUNCTION("""COMPUTED_VALUE"""),"")</f>
        <v/>
      </c>
      <c r="E704" s="36" t="str">
        <f>IFERROR(__xludf.DUMMYFUNCTION("""COMPUTED_VALUE"""),"03-52-10-15A")</f>
        <v>03-52-10-15A</v>
      </c>
      <c r="F704" s="36"/>
      <c r="G704" s="36" t="str">
        <f>IFERROR(__xludf.DUMMYFUNCTION("""COMPUTED_VALUE"""),"Belgrano y Chaparro Norte")</f>
        <v>Belgrano y Chaparro Norte</v>
      </c>
      <c r="H704" s="36" t="str">
        <f>IFERROR(__xludf.DUMMYFUNCTION("""COMPUTED_VALUE"""),"")</f>
        <v/>
      </c>
    </row>
    <row r="705">
      <c r="A705" s="36" t="str">
        <f>IFERROR(__xludf.DUMMYFUNCTION("""COMPUTED_VALUE"""),"02-36-06-30A")</f>
        <v>02-36-06-30A</v>
      </c>
      <c r="B705" s="36" t="str">
        <f>IFERROR(__xludf.DUMMYFUNCTION("""COMPUTED_VALUE"""),"")</f>
        <v/>
      </c>
      <c r="C705" s="36" t="str">
        <f>IFERROR(__xludf.DUMMYFUNCTION("""COMPUTED_VALUE"""),"")</f>
        <v/>
      </c>
      <c r="D705" s="36" t="str">
        <f>IFERROR(__xludf.DUMMYFUNCTION("""COMPUTED_VALUE"""),"")</f>
        <v/>
      </c>
      <c r="E705" s="36" t="str">
        <f>IFERROR(__xludf.DUMMYFUNCTION("""COMPUTED_VALUE"""),"04-26-10-15")</f>
        <v>04-26-10-15</v>
      </c>
      <c r="F705" s="36"/>
      <c r="G705" s="36" t="str">
        <f>IFERROR(__xludf.DUMMYFUNCTION("""COMPUTED_VALUE"""),"Belgrano y Chaparro Sur")</f>
        <v>Belgrano y Chaparro Sur</v>
      </c>
      <c r="H705" s="36" t="str">
        <f>IFERROR(__xludf.DUMMYFUNCTION("""COMPUTED_VALUE"""),"")</f>
        <v/>
      </c>
    </row>
    <row r="706">
      <c r="A706" s="36" t="str">
        <f>IFERROR(__xludf.DUMMYFUNCTION("""COMPUTED_VALUE"""),"02-36-06-30B")</f>
        <v>02-36-06-30B</v>
      </c>
      <c r="B706" s="36" t="str">
        <f>IFERROR(__xludf.DUMMYFUNCTION("""COMPUTED_VALUE"""),"")</f>
        <v/>
      </c>
      <c r="C706" s="36" t="str">
        <f>IFERROR(__xludf.DUMMYFUNCTION("""COMPUTED_VALUE"""),"")</f>
        <v/>
      </c>
      <c r="D706" s="36" t="str">
        <f>IFERROR(__xludf.DUMMYFUNCTION("""COMPUTED_VALUE"""),"")</f>
        <v/>
      </c>
      <c r="E706" s="36" t="str">
        <f>IFERROR(__xludf.DUMMYFUNCTION("""COMPUTED_VALUE"""),"03-46-10-13A")</f>
        <v>03-46-10-13A</v>
      </c>
      <c r="F706" s="36"/>
      <c r="G706" s="36" t="str">
        <f>IFERROR(__xludf.DUMMYFUNCTION("""COMPUTED_VALUE"""),"Belgrano y Güemes Este")</f>
        <v>Belgrano y Güemes Este</v>
      </c>
      <c r="H706" s="36" t="str">
        <f>IFERROR(__xludf.DUMMYFUNCTION("""COMPUTED_VALUE"""),"")</f>
        <v/>
      </c>
    </row>
    <row r="707">
      <c r="A707" s="36" t="str">
        <f>IFERROR(__xludf.DUMMYFUNCTION("""COMPUTED_VALUE"""),"02-36-06-30C")</f>
        <v>02-36-06-30C</v>
      </c>
      <c r="B707" s="36" t="str">
        <f>IFERROR(__xludf.DUMMYFUNCTION("""COMPUTED_VALUE"""),"")</f>
        <v/>
      </c>
      <c r="C707" s="36" t="str">
        <f>IFERROR(__xludf.DUMMYFUNCTION("""COMPUTED_VALUE"""),"")</f>
        <v/>
      </c>
      <c r="D707" s="36" t="str">
        <f>IFERROR(__xludf.DUMMYFUNCTION("""COMPUTED_VALUE"""),"")</f>
        <v/>
      </c>
      <c r="E707" s="36" t="str">
        <f>IFERROR(__xludf.DUMMYFUNCTION("""COMPUTED_VALUE"""),"04-24-10-13")</f>
        <v>04-24-10-13</v>
      </c>
      <c r="F707" s="36"/>
      <c r="G707" s="36" t="str">
        <f>IFERROR(__xludf.DUMMYFUNCTION("""COMPUTED_VALUE"""),"Belgrano y Güemes Oeste")</f>
        <v>Belgrano y Güemes Oeste</v>
      </c>
      <c r="H707" s="36" t="str">
        <f>IFERROR(__xludf.DUMMYFUNCTION("""COMPUTED_VALUE"""),"")</f>
        <v/>
      </c>
    </row>
    <row r="708">
      <c r="A708" s="36" t="str">
        <f>IFERROR(__xludf.DUMMYFUNCTION("""COMPUTED_VALUE"""),"02-36-06-31A")</f>
        <v>02-36-06-31A</v>
      </c>
      <c r="B708" s="36" t="str">
        <f>IFERROR(__xludf.DUMMYFUNCTION("""COMPUTED_VALUE"""),"")</f>
        <v/>
      </c>
      <c r="C708" s="36" t="str">
        <f>IFERROR(__xludf.DUMMYFUNCTION("""COMPUTED_VALUE"""),"")</f>
        <v/>
      </c>
      <c r="D708" s="36" t="str">
        <f>IFERROR(__xludf.DUMMYFUNCTION("""COMPUTED_VALUE"""),"")</f>
        <v/>
      </c>
      <c r="E708" s="36" t="str">
        <f>IFERROR(__xludf.DUMMYFUNCTION("""COMPUTED_VALUE"""),"02-39-12-267")</f>
        <v>02-39-12-267</v>
      </c>
      <c r="F708" s="36"/>
      <c r="G708" s="36" t="str">
        <f>IFERROR(__xludf.DUMMYFUNCTION("""COMPUTED_VALUE"""),"Bellas Artes y Agrimensor M. Garcia E")</f>
        <v>Bellas Artes y Agrimensor M. Garcia E</v>
      </c>
      <c r="H708" s="36" t="str">
        <f>IFERROR(__xludf.DUMMYFUNCTION("""COMPUTED_VALUE"""),"")</f>
        <v/>
      </c>
    </row>
    <row r="709">
      <c r="A709" s="36" t="str">
        <f>IFERROR(__xludf.DUMMYFUNCTION("""COMPUTED_VALUE"""),"02-36-06-3A")</f>
        <v>02-36-06-3A</v>
      </c>
      <c r="B709" s="36" t="str">
        <f>IFERROR(__xludf.DUMMYFUNCTION("""COMPUTED_VALUE"""),"")</f>
        <v/>
      </c>
      <c r="C709" s="36" t="str">
        <f>IFERROR(__xludf.DUMMYFUNCTION("""COMPUTED_VALUE"""),"")</f>
        <v/>
      </c>
      <c r="D709" s="36" t="str">
        <f>IFERROR(__xludf.DUMMYFUNCTION("""COMPUTED_VALUE"""),"")</f>
        <v/>
      </c>
      <c r="E709" s="36" t="str">
        <f>IFERROR(__xludf.DUMMYFUNCTION("""COMPUTED_VALUE"""),"02-39-12-266")</f>
        <v>02-39-12-266</v>
      </c>
      <c r="F709" s="36"/>
      <c r="G709" s="36" t="str">
        <f>IFERROR(__xludf.DUMMYFUNCTION("""COMPUTED_VALUE"""),"Bellas Artes y Agrimensor M. Garcia O")</f>
        <v>Bellas Artes y Agrimensor M. Garcia O</v>
      </c>
      <c r="H709" s="36" t="str">
        <f>IFERROR(__xludf.DUMMYFUNCTION("""COMPUTED_VALUE"""),"")</f>
        <v/>
      </c>
    </row>
    <row r="710">
      <c r="A710" s="36" t="str">
        <f>IFERROR(__xludf.DUMMYFUNCTION("""COMPUTED_VALUE"""),"02-36-06-4A")</f>
        <v>02-36-06-4A</v>
      </c>
      <c r="B710" s="36" t="str">
        <f>IFERROR(__xludf.DUMMYFUNCTION("""COMPUTED_VALUE"""),"")</f>
        <v/>
      </c>
      <c r="C710" s="36" t="str">
        <f>IFERROR(__xludf.DUMMYFUNCTION("""COMPUTED_VALUE"""),"")</f>
        <v/>
      </c>
      <c r="D710" s="36" t="str">
        <f>IFERROR(__xludf.DUMMYFUNCTION("""COMPUTED_VALUE"""),"")</f>
        <v/>
      </c>
      <c r="E710" s="36" t="str">
        <f>IFERROR(__xludf.DUMMYFUNCTION("""COMPUTED_VALUE"""),"02-39-12-268")</f>
        <v>02-39-12-268</v>
      </c>
      <c r="F710" s="36"/>
      <c r="G710" s="36" t="str">
        <f>IFERROR(__xludf.DUMMYFUNCTION("""COMPUTED_VALUE"""),"Bellas Artes y Av. Coratina Norte ")</f>
        <v>Bellas Artes y Av. Coratina Norte </v>
      </c>
      <c r="H710" s="36" t="str">
        <f>IFERROR(__xludf.DUMMYFUNCTION("""COMPUTED_VALUE"""),"")</f>
        <v/>
      </c>
    </row>
    <row r="711">
      <c r="A711" s="36" t="str">
        <f>IFERROR(__xludf.DUMMYFUNCTION("""COMPUTED_VALUE"""),"02-36-06-4B")</f>
        <v>02-36-06-4B</v>
      </c>
      <c r="B711" s="36" t="str">
        <f>IFERROR(__xludf.DUMMYFUNCTION("""COMPUTED_VALUE"""),"")</f>
        <v/>
      </c>
      <c r="C711" s="36" t="str">
        <f>IFERROR(__xludf.DUMMYFUNCTION("""COMPUTED_VALUE"""),"")</f>
        <v/>
      </c>
      <c r="D711" s="36" t="str">
        <f>IFERROR(__xludf.DUMMYFUNCTION("""COMPUTED_VALUE"""),"")</f>
        <v/>
      </c>
      <c r="E711" s="36" t="str">
        <f>IFERROR(__xludf.DUMMYFUNCTION("""COMPUTED_VALUE"""),"02-39-12-269")</f>
        <v>02-39-12-269</v>
      </c>
      <c r="F711" s="36"/>
      <c r="G711" s="36" t="str">
        <f>IFERROR(__xludf.DUMMYFUNCTION("""COMPUTED_VALUE"""),"Bellas Artes y Av. Coratina Sur")</f>
        <v>Bellas Artes y Av. Coratina Sur</v>
      </c>
      <c r="H711" s="36" t="str">
        <f>IFERROR(__xludf.DUMMYFUNCTION("""COMPUTED_VALUE"""),"")</f>
        <v/>
      </c>
    </row>
    <row r="712">
      <c r="A712" s="36" t="str">
        <f>IFERROR(__xludf.DUMMYFUNCTION("""COMPUTED_VALUE"""),"02-36-06-5A")</f>
        <v>02-36-06-5A</v>
      </c>
      <c r="B712" s="36" t="str">
        <f>IFERROR(__xludf.DUMMYFUNCTION("""COMPUTED_VALUE"""),"")</f>
        <v/>
      </c>
      <c r="C712" s="36" t="str">
        <f>IFERROR(__xludf.DUMMYFUNCTION("""COMPUTED_VALUE"""),"")</f>
        <v/>
      </c>
      <c r="D712" s="36" t="str">
        <f>IFERROR(__xludf.DUMMYFUNCTION("""COMPUTED_VALUE"""),"")</f>
        <v/>
      </c>
      <c r="E712" s="36" t="str">
        <f>IFERROR(__xludf.DUMMYFUNCTION("""COMPUTED_VALUE"""),"02-39-12-265")</f>
        <v>02-39-12-265</v>
      </c>
      <c r="F712" s="36"/>
      <c r="G712" s="36" t="str">
        <f>IFERROR(__xludf.DUMMYFUNCTION("""COMPUTED_VALUE"""),"Bellas Artes y Domingo Di P.")</f>
        <v>Bellas Artes y Domingo Di P.</v>
      </c>
      <c r="H712" s="36" t="str">
        <f>IFERROR(__xludf.DUMMYFUNCTION("""COMPUTED_VALUE"""),"")</f>
        <v/>
      </c>
    </row>
    <row r="713">
      <c r="A713" s="36" t="str">
        <f>IFERROR(__xludf.DUMMYFUNCTION("""COMPUTED_VALUE"""),"02-36-06-5B")</f>
        <v>02-36-06-5B</v>
      </c>
      <c r="B713" s="36" t="str">
        <f>IFERROR(__xludf.DUMMYFUNCTION("""COMPUTED_VALUE"""),"")</f>
        <v/>
      </c>
      <c r="C713" s="36" t="str">
        <f>IFERROR(__xludf.DUMMYFUNCTION("""COMPUTED_VALUE"""),"")</f>
        <v/>
      </c>
      <c r="D713" s="36" t="str">
        <f>IFERROR(__xludf.DUMMYFUNCTION("""COMPUTED_VALUE"""),"")</f>
        <v/>
      </c>
      <c r="E713" s="36" t="str">
        <f>IFERROR(__xludf.DUMMYFUNCTION("""COMPUTED_VALUE"""),"02-39-12-264")</f>
        <v>02-39-12-264</v>
      </c>
      <c r="F713" s="36"/>
      <c r="G713" s="36" t="str">
        <f>IFERROR(__xludf.DUMMYFUNCTION("""COMPUTED_VALUE"""),"Bellas Artes y Matias Ibazeta")</f>
        <v>Bellas Artes y Matias Ibazeta</v>
      </c>
      <c r="H713" s="36" t="str">
        <f>IFERROR(__xludf.DUMMYFUNCTION("""COMPUTED_VALUE"""),"")</f>
        <v/>
      </c>
    </row>
    <row r="714">
      <c r="A714" s="36" t="str">
        <f>IFERROR(__xludf.DUMMYFUNCTION("""COMPUTED_VALUE"""),"02-37-06-10")</f>
        <v>02-37-06-10</v>
      </c>
      <c r="B714" s="36" t="str">
        <f>IFERROR(__xludf.DUMMYFUNCTION("""COMPUTED_VALUE"""),"")</f>
        <v/>
      </c>
      <c r="C714" s="36" t="str">
        <f>IFERROR(__xludf.DUMMYFUNCTION("""COMPUTED_VALUE"""),"")</f>
        <v/>
      </c>
      <c r="D714" s="36" t="str">
        <f>IFERROR(__xludf.DUMMYFUNCTION("""COMPUTED_VALUE"""),"")</f>
        <v/>
      </c>
      <c r="E714" s="36" t="str">
        <f>IFERROR(__xludf.DUMMYFUNCTION("""COMPUTED_VALUE"""),"08-31-01-3")</f>
        <v>08-31-01-3</v>
      </c>
      <c r="F714" s="36"/>
      <c r="G714" s="36" t="str">
        <f>IFERROR(__xludf.DUMMYFUNCTION("""COMPUTED_VALUE"""),"Benavídez y Quiroga N")</f>
        <v>Benavídez y Quiroga N</v>
      </c>
      <c r="H714" s="36" t="str">
        <f>IFERROR(__xludf.DUMMYFUNCTION("""COMPUTED_VALUE"""),"")</f>
        <v/>
      </c>
    </row>
    <row r="715">
      <c r="A715" s="36" t="str">
        <f>IFERROR(__xludf.DUMMYFUNCTION("""COMPUTED_VALUE"""),"02-37-06-11")</f>
        <v>02-37-06-11</v>
      </c>
      <c r="B715" s="36" t="str">
        <f>IFERROR(__xludf.DUMMYFUNCTION("""COMPUTED_VALUE"""),"")</f>
        <v/>
      </c>
      <c r="C715" s="36" t="str">
        <f>IFERROR(__xludf.DUMMYFUNCTION("""COMPUTED_VALUE"""),"")</f>
        <v/>
      </c>
      <c r="D715" s="36" t="str">
        <f>IFERROR(__xludf.DUMMYFUNCTION("""COMPUTED_VALUE"""),"")</f>
        <v/>
      </c>
      <c r="E715" s="36" t="str">
        <f>IFERROR(__xludf.DUMMYFUNCTION("""COMPUTED_VALUE"""),"08-31-01-4")</f>
        <v>08-31-01-4</v>
      </c>
      <c r="F715" s="36"/>
      <c r="G715" s="36" t="str">
        <f>IFERROR(__xludf.DUMMYFUNCTION("""COMPUTED_VALUE"""),"Benavídez y Quiroga S")</f>
        <v>Benavídez y Quiroga S</v>
      </c>
      <c r="H715" s="36" t="str">
        <f>IFERROR(__xludf.DUMMYFUNCTION("""COMPUTED_VALUE"""),"")</f>
        <v/>
      </c>
    </row>
    <row r="716">
      <c r="A716" s="36" t="str">
        <f>IFERROR(__xludf.DUMMYFUNCTION("""COMPUTED_VALUE"""),"02-37-06-11A")</f>
        <v>02-37-06-11A</v>
      </c>
      <c r="B716" s="36" t="str">
        <f>IFERROR(__xludf.DUMMYFUNCTION("""COMPUTED_VALUE"""),"")</f>
        <v/>
      </c>
      <c r="C716" s="36" t="str">
        <f>IFERROR(__xludf.DUMMYFUNCTION("""COMPUTED_VALUE"""),"")</f>
        <v/>
      </c>
      <c r="D716" s="36" t="str">
        <f>IFERROR(__xludf.DUMMYFUNCTION("""COMPUTED_VALUE"""),"")</f>
        <v/>
      </c>
      <c r="E716" s="36" t="str">
        <f>IFERROR(__xludf.DUMMYFUNCTION("""COMPUTED_VALUE"""),"02-42-11-37")</f>
        <v>02-42-11-37</v>
      </c>
      <c r="F716" s="36"/>
      <c r="G716" s="36" t="str">
        <f>IFERROR(__xludf.DUMMYFUNCTION("""COMPUTED_VALUE"""),"Bernardino Rivadavia y Proyectada")</f>
        <v>Bernardino Rivadavia y Proyectada</v>
      </c>
      <c r="H716" s="36" t="str">
        <f>IFERROR(__xludf.DUMMYFUNCTION("""COMPUTED_VALUE"""),"")</f>
        <v/>
      </c>
    </row>
    <row r="717">
      <c r="A717" s="36" t="str">
        <f>IFERROR(__xludf.DUMMYFUNCTION("""COMPUTED_VALUE"""),"02-37-06-12")</f>
        <v>02-37-06-12</v>
      </c>
      <c r="B717" s="36" t="str">
        <f>IFERROR(__xludf.DUMMYFUNCTION("""COMPUTED_VALUE"""),"")</f>
        <v/>
      </c>
      <c r="C717" s="36" t="str">
        <f>IFERROR(__xludf.DUMMYFUNCTION("""COMPUTED_VALUE"""),"")</f>
        <v/>
      </c>
      <c r="D717" s="36" t="str">
        <f>IFERROR(__xludf.DUMMYFUNCTION("""COMPUTED_VALUE"""),"")</f>
        <v/>
      </c>
      <c r="E717" s="36" t="str">
        <f>IFERROR(__xludf.DUMMYFUNCTION("""COMPUTED_VALUE"""),"08-24-04-3")</f>
        <v>08-24-04-3</v>
      </c>
      <c r="F717" s="36"/>
      <c r="G717" s="36" t="str">
        <f>IFERROR(__xludf.DUMMYFUNCTION("""COMPUTED_VALUE"""),"Blanco y Av. N. Benavídez ")</f>
        <v>Blanco y Av. N. Benavídez </v>
      </c>
      <c r="H717" s="36" t="str">
        <f>IFERROR(__xludf.DUMMYFUNCTION("""COMPUTED_VALUE"""),"")</f>
        <v/>
      </c>
    </row>
    <row r="718">
      <c r="A718" s="36" t="str">
        <f>IFERROR(__xludf.DUMMYFUNCTION("""COMPUTED_VALUE"""),"02-37-06-12A")</f>
        <v>02-37-06-12A</v>
      </c>
      <c r="B718" s="36" t="str">
        <f>IFERROR(__xludf.DUMMYFUNCTION("""COMPUTED_VALUE"""),"")</f>
        <v/>
      </c>
      <c r="C718" s="36" t="str">
        <f>IFERROR(__xludf.DUMMYFUNCTION("""COMPUTED_VALUE"""),"")</f>
        <v/>
      </c>
      <c r="D718" s="36" t="str">
        <f>IFERROR(__xludf.DUMMYFUNCTION("""COMPUTED_VALUE"""),"")</f>
        <v/>
      </c>
      <c r="E718" s="36" t="str">
        <f>IFERROR(__xludf.DUMMYFUNCTION("""COMPUTED_VALUE"""),"04-47-13-406")</f>
        <v>04-47-13-406</v>
      </c>
      <c r="F718" s="36"/>
      <c r="G718" s="36" t="str">
        <f>IFERROR(__xludf.DUMMYFUNCTION("""COMPUTED_VALUE"""),"Blvd. Sarmiento y del Carril -S")</f>
        <v>Blvd. Sarmiento y del Carril -S</v>
      </c>
      <c r="H718" s="36" t="str">
        <f>IFERROR(__xludf.DUMMYFUNCTION("""COMPUTED_VALUE"""),"")</f>
        <v/>
      </c>
    </row>
    <row r="719">
      <c r="A719" s="36" t="str">
        <f>IFERROR(__xludf.DUMMYFUNCTION("""COMPUTED_VALUE"""),"02-37-06-13")</f>
        <v>02-37-06-13</v>
      </c>
      <c r="B719" s="36" t="str">
        <f>IFERROR(__xludf.DUMMYFUNCTION("""COMPUTED_VALUE"""),"")</f>
        <v/>
      </c>
      <c r="C719" s="36" t="str">
        <f>IFERROR(__xludf.DUMMYFUNCTION("""COMPUTED_VALUE"""),"")</f>
        <v/>
      </c>
      <c r="D719" s="36" t="str">
        <f>IFERROR(__xludf.DUMMYFUNCTION("""COMPUTED_VALUE"""),"")</f>
        <v/>
      </c>
      <c r="E719" s="36" t="str">
        <f>IFERROR(__xludf.DUMMYFUNCTION("""COMPUTED_VALUE"""),"04-47-13-187")</f>
        <v>04-47-13-187</v>
      </c>
      <c r="F719" s="36"/>
      <c r="G719" s="36" t="str">
        <f>IFERROR(__xludf.DUMMYFUNCTION("""COMPUTED_VALUE"""),"Blvd. Sarmiento y Juan Jufré")</f>
        <v>Blvd. Sarmiento y Juan Jufré</v>
      </c>
      <c r="H719" s="36" t="str">
        <f>IFERROR(__xludf.DUMMYFUNCTION("""COMPUTED_VALUE"""),"")</f>
        <v/>
      </c>
    </row>
    <row r="720">
      <c r="A720" s="36" t="str">
        <f>IFERROR(__xludf.DUMMYFUNCTION("""COMPUTED_VALUE"""),"02-37-06-13A")</f>
        <v>02-37-06-13A</v>
      </c>
      <c r="B720" s="36" t="str">
        <f>IFERROR(__xludf.DUMMYFUNCTION("""COMPUTED_VALUE"""),"")</f>
        <v/>
      </c>
      <c r="C720" s="36" t="str">
        <f>IFERROR(__xludf.DUMMYFUNCTION("""COMPUTED_VALUE"""),"")</f>
        <v/>
      </c>
      <c r="D720" s="36" t="str">
        <f>IFERROR(__xludf.DUMMYFUNCTION("""COMPUTED_VALUE"""),"")</f>
        <v/>
      </c>
      <c r="E720" s="36" t="str">
        <f>IFERROR(__xludf.DUMMYFUNCTION("""COMPUTED_VALUE"""),"04-47-13-403")</f>
        <v>04-47-13-403</v>
      </c>
      <c r="F720" s="36"/>
      <c r="G720" s="36" t="str">
        <f>IFERROR(__xludf.DUMMYFUNCTION("""COMPUTED_VALUE"""),"Blvd. Sarmiento y Pedro Cobos -N")</f>
        <v>Blvd. Sarmiento y Pedro Cobos -N</v>
      </c>
      <c r="H720" s="36" t="str">
        <f>IFERROR(__xludf.DUMMYFUNCTION("""COMPUTED_VALUE"""),"")</f>
        <v/>
      </c>
    </row>
    <row r="721">
      <c r="A721" s="36" t="str">
        <f>IFERROR(__xludf.DUMMYFUNCTION("""COMPUTED_VALUE"""),"02-37-06-14")</f>
        <v>02-37-06-14</v>
      </c>
      <c r="B721" s="36" t="str">
        <f>IFERROR(__xludf.DUMMYFUNCTION("""COMPUTED_VALUE"""),"")</f>
        <v/>
      </c>
      <c r="C721" s="36" t="str">
        <f>IFERROR(__xludf.DUMMYFUNCTION("""COMPUTED_VALUE"""),"")</f>
        <v/>
      </c>
      <c r="D721" s="36" t="str">
        <f>IFERROR(__xludf.DUMMYFUNCTION("""COMPUTED_VALUE"""),"")</f>
        <v/>
      </c>
      <c r="E721" s="36" t="str">
        <f>IFERROR(__xludf.DUMMYFUNCTION("""COMPUTED_VALUE"""),"04-47-13-402")</f>
        <v>04-47-13-402</v>
      </c>
      <c r="F721" s="36"/>
      <c r="G721" s="36" t="str">
        <f>IFERROR(__xludf.DUMMYFUNCTION("""COMPUTED_VALUE"""),"Blvd. Sarmiento y Pedro Cobos -S")</f>
        <v>Blvd. Sarmiento y Pedro Cobos -S</v>
      </c>
      <c r="H721" s="36" t="str">
        <f>IFERROR(__xludf.DUMMYFUNCTION("""COMPUTED_VALUE"""),"")</f>
        <v/>
      </c>
    </row>
    <row r="722">
      <c r="A722" s="36" t="str">
        <f>IFERROR(__xludf.DUMMYFUNCTION("""COMPUTED_VALUE"""),"02-37-06-14A")</f>
        <v>02-37-06-14A</v>
      </c>
      <c r="B722" s="36" t="str">
        <f>IFERROR(__xludf.DUMMYFUNCTION("""COMPUTED_VALUE"""),"")</f>
        <v/>
      </c>
      <c r="C722" s="36" t="str">
        <f>IFERROR(__xludf.DUMMYFUNCTION("""COMPUTED_VALUE"""),"")</f>
        <v/>
      </c>
      <c r="D722" s="36" t="str">
        <f>IFERROR(__xludf.DUMMYFUNCTION("""COMPUTED_VALUE"""),"")</f>
        <v/>
      </c>
      <c r="E722" s="36" t="str">
        <f>IFERROR(__xludf.DUMMYFUNCTION("""COMPUTED_VALUE"""),"04-47-13-405")</f>
        <v>04-47-13-405</v>
      </c>
      <c r="F722" s="36"/>
      <c r="G722" s="36" t="str">
        <f>IFERROR(__xludf.DUMMYFUNCTION("""COMPUTED_VALUE"""),"Blvd. Sarmiento y Trieste -N")</f>
        <v>Blvd. Sarmiento y Trieste -N</v>
      </c>
      <c r="H722" s="36" t="str">
        <f>IFERROR(__xludf.DUMMYFUNCTION("""COMPUTED_VALUE"""),"")</f>
        <v/>
      </c>
    </row>
    <row r="723">
      <c r="A723" s="36" t="str">
        <f>IFERROR(__xludf.DUMMYFUNCTION("""COMPUTED_VALUE"""),"02-37-06-15A")</f>
        <v>02-37-06-15A</v>
      </c>
      <c r="B723" s="36" t="str">
        <f>IFERROR(__xludf.DUMMYFUNCTION("""COMPUTED_VALUE"""),"")</f>
        <v/>
      </c>
      <c r="C723" s="36" t="str">
        <f>IFERROR(__xludf.DUMMYFUNCTION("""COMPUTED_VALUE"""),"")</f>
        <v/>
      </c>
      <c r="D723" s="36" t="str">
        <f>IFERROR(__xludf.DUMMYFUNCTION("""COMPUTED_VALUE"""),"")</f>
        <v/>
      </c>
      <c r="E723" s="36" t="str">
        <f>IFERROR(__xludf.DUMMYFUNCTION("""COMPUTED_VALUE"""),"04-47-13-404")</f>
        <v>04-47-13-404</v>
      </c>
      <c r="F723" s="36"/>
      <c r="G723" s="36" t="str">
        <f>IFERROR(__xludf.DUMMYFUNCTION("""COMPUTED_VALUE"""),"Blvd. Sarmiento y Trieste -S")</f>
        <v>Blvd. Sarmiento y Trieste -S</v>
      </c>
      <c r="H723" s="36" t="str">
        <f>IFERROR(__xludf.DUMMYFUNCTION("""COMPUTED_VALUE"""),"")</f>
        <v/>
      </c>
    </row>
    <row r="724">
      <c r="A724" s="36" t="str">
        <f>IFERROR(__xludf.DUMMYFUNCTION("""COMPUTED_VALUE"""),"02-37-06-15B")</f>
        <v>02-37-06-15B</v>
      </c>
      <c r="B724" s="36" t="str">
        <f>IFERROR(__xludf.DUMMYFUNCTION("""COMPUTED_VALUE"""),"")</f>
        <v/>
      </c>
      <c r="C724" s="36" t="str">
        <f>IFERROR(__xludf.DUMMYFUNCTION("""COMPUTED_VALUE"""),"")</f>
        <v/>
      </c>
      <c r="D724" s="36" t="str">
        <f>IFERROR(__xludf.DUMMYFUNCTION("""COMPUTED_VALUE"""),"")</f>
        <v/>
      </c>
      <c r="E724" s="36" t="str">
        <f>IFERROR(__xludf.DUMMYFUNCTION("""COMPUTED_VALUE"""),"04-47-13-401")</f>
        <v>04-47-13-401</v>
      </c>
      <c r="F724" s="36"/>
      <c r="G724" s="36" t="str">
        <f>IFERROR(__xludf.DUMMYFUNCTION("""COMPUTED_VALUE"""),"Blvd. Sarmiento y Valle Fértil -N")</f>
        <v>Blvd. Sarmiento y Valle Fértil -N</v>
      </c>
      <c r="H724" s="36" t="str">
        <f>IFERROR(__xludf.DUMMYFUNCTION("""COMPUTED_VALUE"""),"")</f>
        <v/>
      </c>
    </row>
    <row r="725">
      <c r="A725" s="36" t="str">
        <f>IFERROR(__xludf.DUMMYFUNCTION("""COMPUTED_VALUE"""),"02-37-06-16")</f>
        <v>02-37-06-16</v>
      </c>
      <c r="B725" s="36" t="str">
        <f>IFERROR(__xludf.DUMMYFUNCTION("""COMPUTED_VALUE"""),"")</f>
        <v/>
      </c>
      <c r="C725" s="36" t="str">
        <f>IFERROR(__xludf.DUMMYFUNCTION("""COMPUTED_VALUE"""),"")</f>
        <v/>
      </c>
      <c r="D725" s="36" t="str">
        <f>IFERROR(__xludf.DUMMYFUNCTION("""COMPUTED_VALUE"""),"")</f>
        <v/>
      </c>
      <c r="E725" s="36" t="str">
        <f>IFERROR(__xludf.DUMMYFUNCTION("""COMPUTED_VALUE"""),"04-47-13-400")</f>
        <v>04-47-13-400</v>
      </c>
      <c r="F725" s="36"/>
      <c r="G725" s="36" t="str">
        <f>IFERROR(__xludf.DUMMYFUNCTION("""COMPUTED_VALUE"""),"Blvd. Sarmiento y Valle Fértil -S")</f>
        <v>Blvd. Sarmiento y Valle Fértil -S</v>
      </c>
      <c r="H725" s="36" t="str">
        <f>IFERROR(__xludf.DUMMYFUNCTION("""COMPUTED_VALUE"""),"")</f>
        <v/>
      </c>
    </row>
    <row r="726">
      <c r="A726" s="36" t="str">
        <f>IFERROR(__xludf.DUMMYFUNCTION("""COMPUTED_VALUE"""),"02-37-06-17A")</f>
        <v>02-37-06-17A</v>
      </c>
      <c r="B726" s="36" t="str">
        <f>IFERROR(__xludf.DUMMYFUNCTION("""COMPUTED_VALUE"""),"")</f>
        <v/>
      </c>
      <c r="C726" s="36" t="str">
        <f>IFERROR(__xludf.DUMMYFUNCTION("""COMPUTED_VALUE"""),"")</f>
        <v/>
      </c>
      <c r="D726" s="36" t="str">
        <f>IFERROR(__xludf.DUMMYFUNCTION("""COMPUTED_VALUE"""),"")</f>
        <v/>
      </c>
      <c r="E726" s="36" t="str">
        <f>IFERROR(__xludf.DUMMYFUNCTION("""COMPUTED_VALUE"""),"04-30-14-132")</f>
        <v>04-30-14-132</v>
      </c>
      <c r="F726" s="36"/>
      <c r="G726" s="36" t="str">
        <f>IFERROR(__xludf.DUMMYFUNCTION("""COMPUTED_VALUE"""),"Bº Amecom III")</f>
        <v>Bº Amecom III</v>
      </c>
      <c r="H726" s="36" t="str">
        <f>IFERROR(__xludf.DUMMYFUNCTION("""COMPUTED_VALUE"""),"")</f>
        <v/>
      </c>
    </row>
    <row r="727">
      <c r="A727" s="36" t="str">
        <f>IFERROR(__xludf.DUMMYFUNCTION("""COMPUTED_VALUE"""),"02-37-06-19")</f>
        <v>02-37-06-19</v>
      </c>
      <c r="B727" s="36" t="str">
        <f>IFERROR(__xludf.DUMMYFUNCTION("""COMPUTED_VALUE"""),"")</f>
        <v/>
      </c>
      <c r="C727" s="36" t="str">
        <f>IFERROR(__xludf.DUMMYFUNCTION("""COMPUTED_VALUE"""),"")</f>
        <v/>
      </c>
      <c r="D727" s="36" t="str">
        <f>IFERROR(__xludf.DUMMYFUNCTION("""COMPUTED_VALUE"""),"")</f>
        <v/>
      </c>
      <c r="E727" s="36" t="str">
        <f>IFERROR(__xludf.DUMMYFUNCTION("""COMPUTED_VALUE"""),"01-22-08-101")</f>
        <v>01-22-08-101</v>
      </c>
      <c r="F727" s="36"/>
      <c r="G727" s="36" t="str">
        <f>IFERROR(__xludf.DUMMYFUNCTION("""COMPUTED_VALUE"""),"Bº COSTA CANAL III  ")</f>
        <v>Bº COSTA CANAL III  </v>
      </c>
      <c r="H727" s="36" t="str">
        <f>IFERROR(__xludf.DUMMYFUNCTION("""COMPUTED_VALUE"""),"")</f>
        <v/>
      </c>
    </row>
    <row r="728">
      <c r="A728" s="36" t="str">
        <f>IFERROR(__xludf.DUMMYFUNCTION("""COMPUTED_VALUE"""),"02-37-06-20")</f>
        <v>02-37-06-20</v>
      </c>
      <c r="B728" s="36" t="str">
        <f>IFERROR(__xludf.DUMMYFUNCTION("""COMPUTED_VALUE"""),"")</f>
        <v/>
      </c>
      <c r="C728" s="36" t="str">
        <f>IFERROR(__xludf.DUMMYFUNCTION("""COMPUTED_VALUE"""),"")</f>
        <v/>
      </c>
      <c r="D728" s="36" t="str">
        <f>IFERROR(__xludf.DUMMYFUNCTION("""COMPUTED_VALUE"""),"")</f>
        <v/>
      </c>
      <c r="E728" s="36" t="str">
        <f>IFERROR(__xludf.DUMMYFUNCTION("""COMPUTED_VALUE"""),"08-34-01-21")</f>
        <v>08-34-01-21</v>
      </c>
      <c r="F728" s="36"/>
      <c r="G728" s="36" t="str">
        <f>IFERROR(__xludf.DUMMYFUNCTION("""COMPUTED_VALUE"""),"Bº Fragata Sarmiento")</f>
        <v>Bº Fragata Sarmiento</v>
      </c>
      <c r="H728" s="36" t="str">
        <f>IFERROR(__xludf.DUMMYFUNCTION("""COMPUTED_VALUE"""),"")</f>
        <v/>
      </c>
    </row>
    <row r="729">
      <c r="A729" s="36" t="str">
        <f>IFERROR(__xludf.DUMMYFUNCTION("""COMPUTED_VALUE"""),"02-37-06-20A")</f>
        <v>02-37-06-20A</v>
      </c>
      <c r="B729" s="36" t="str">
        <f>IFERROR(__xludf.DUMMYFUNCTION("""COMPUTED_VALUE"""),"")</f>
        <v/>
      </c>
      <c r="C729" s="36" t="str">
        <f>IFERROR(__xludf.DUMMYFUNCTION("""COMPUTED_VALUE"""),"")</f>
        <v/>
      </c>
      <c r="D729" s="36" t="str">
        <f>IFERROR(__xludf.DUMMYFUNCTION("""COMPUTED_VALUE"""),"")</f>
        <v/>
      </c>
      <c r="E729" s="36" t="str">
        <f>IFERROR(__xludf.DUMMYFUNCTION("""COMPUTED_VALUE"""),"01-25-09-116J")</f>
        <v>01-25-09-116J</v>
      </c>
      <c r="F729" s="36"/>
      <c r="G729" s="36" t="str">
        <f>IFERROR(__xludf.DUMMYFUNCTION("""COMPUTED_VALUE"""),"Bodega Hagmann")</f>
        <v>Bodega Hagmann</v>
      </c>
      <c r="H729" s="36" t="str">
        <f>IFERROR(__xludf.DUMMYFUNCTION("""COMPUTED_VALUE"""),"")</f>
        <v/>
      </c>
    </row>
    <row r="730">
      <c r="A730" s="36" t="str">
        <f>IFERROR(__xludf.DUMMYFUNCTION("""COMPUTED_VALUE"""),"02-37-06-21")</f>
        <v>02-37-06-21</v>
      </c>
      <c r="B730" s="36" t="str">
        <f>IFERROR(__xludf.DUMMYFUNCTION("""COMPUTED_VALUE"""),"")</f>
        <v/>
      </c>
      <c r="C730" s="36" t="str">
        <f>IFERROR(__xludf.DUMMYFUNCTION("""COMPUTED_VALUE"""),"")</f>
        <v/>
      </c>
      <c r="D730" s="36" t="str">
        <f>IFERROR(__xludf.DUMMYFUNCTION("""COMPUTED_VALUE"""),"")</f>
        <v/>
      </c>
      <c r="E730" s="36" t="str">
        <f>IFERROR(__xludf.DUMMYFUNCTION("""COMPUTED_VALUE"""),"02-31-06-49")</f>
        <v>02-31-06-49</v>
      </c>
      <c r="F730" s="36"/>
      <c r="G730" s="36" t="str">
        <f>IFERROR(__xludf.DUMMYFUNCTION("""COMPUTED_VALUE"""),"Boggian y Espejo N")</f>
        <v>Boggian y Espejo N</v>
      </c>
      <c r="H730" s="36" t="str">
        <f>IFERROR(__xludf.DUMMYFUNCTION("""COMPUTED_VALUE"""),"")</f>
        <v/>
      </c>
    </row>
    <row r="731">
      <c r="A731" s="36" t="str">
        <f>IFERROR(__xludf.DUMMYFUNCTION("""COMPUTED_VALUE"""),"02-37-06-21A")</f>
        <v>02-37-06-21A</v>
      </c>
      <c r="B731" s="36" t="str">
        <f>IFERROR(__xludf.DUMMYFUNCTION("""COMPUTED_VALUE"""),"")</f>
        <v/>
      </c>
      <c r="C731" s="36" t="str">
        <f>IFERROR(__xludf.DUMMYFUNCTION("""COMPUTED_VALUE"""),"")</f>
        <v/>
      </c>
      <c r="D731" s="36" t="str">
        <f>IFERROR(__xludf.DUMMYFUNCTION("""COMPUTED_VALUE"""),"")</f>
        <v/>
      </c>
      <c r="E731" s="36" t="str">
        <f>IFERROR(__xludf.DUMMYFUNCTION("""COMPUTED_VALUE"""),"02-31-06-49A")</f>
        <v>02-31-06-49A</v>
      </c>
      <c r="F731" s="36"/>
      <c r="G731" s="36" t="str">
        <f>IFERROR(__xludf.DUMMYFUNCTION("""COMPUTED_VALUE"""),"Boggian y Espejo S")</f>
        <v>Boggian y Espejo S</v>
      </c>
      <c r="H731" s="36" t="str">
        <f>IFERROR(__xludf.DUMMYFUNCTION("""COMPUTED_VALUE"""),"")</f>
        <v/>
      </c>
    </row>
    <row r="732">
      <c r="A732" s="36" t="str">
        <f>IFERROR(__xludf.DUMMYFUNCTION("""COMPUTED_VALUE"""),"02-37-06-22")</f>
        <v>02-37-06-22</v>
      </c>
      <c r="B732" s="36" t="str">
        <f>IFERROR(__xludf.DUMMYFUNCTION("""COMPUTED_VALUE"""),"")</f>
        <v/>
      </c>
      <c r="C732" s="36" t="str">
        <f>IFERROR(__xludf.DUMMYFUNCTION("""COMPUTED_VALUE"""),"")</f>
        <v/>
      </c>
      <c r="D732" s="36" t="str">
        <f>IFERROR(__xludf.DUMMYFUNCTION("""COMPUTED_VALUE"""),"")</f>
        <v/>
      </c>
      <c r="E732" s="36" t="str">
        <f>IFERROR(__xludf.DUMMYFUNCTION("""COMPUTED_VALUE"""),"02-31-06-48")</f>
        <v>02-31-06-48</v>
      </c>
      <c r="F732" s="36"/>
      <c r="G732" s="36" t="str">
        <f>IFERROR(__xludf.DUMMYFUNCTION("""COMPUTED_VALUE"""),"Boggian y Las Palmas")</f>
        <v>Boggian y Las Palmas</v>
      </c>
      <c r="H732" s="36" t="str">
        <f>IFERROR(__xludf.DUMMYFUNCTION("""COMPUTED_VALUE"""),"")</f>
        <v/>
      </c>
    </row>
    <row r="733">
      <c r="A733" s="36" t="str">
        <f>IFERROR(__xludf.DUMMYFUNCTION("""COMPUTED_VALUE"""),"02-37-06-22A")</f>
        <v>02-37-06-22A</v>
      </c>
      <c r="B733" s="36" t="str">
        <f>IFERROR(__xludf.DUMMYFUNCTION("""COMPUTED_VALUE"""),"")</f>
        <v/>
      </c>
      <c r="C733" s="36" t="str">
        <f>IFERROR(__xludf.DUMMYFUNCTION("""COMPUTED_VALUE"""),"")</f>
        <v/>
      </c>
      <c r="D733" s="36" t="str">
        <f>IFERROR(__xludf.DUMMYFUNCTION("""COMPUTED_VALUE"""),"")</f>
        <v/>
      </c>
      <c r="E733" s="36" t="str">
        <f>IFERROR(__xludf.DUMMYFUNCTION("""COMPUTED_VALUE"""),"02-31-06-50")</f>
        <v>02-31-06-50</v>
      </c>
      <c r="F733" s="36"/>
      <c r="G733" s="36" t="str">
        <f>IFERROR(__xludf.DUMMYFUNCTION("""COMPUTED_VALUE"""),"Boggian y Sanidad Argentina")</f>
        <v>Boggian y Sanidad Argentina</v>
      </c>
      <c r="H733" s="36" t="str">
        <f>IFERROR(__xludf.DUMMYFUNCTION("""COMPUTED_VALUE"""),"")</f>
        <v/>
      </c>
    </row>
    <row r="734">
      <c r="A734" s="36" t="str">
        <f>IFERROR(__xludf.DUMMYFUNCTION("""COMPUTED_VALUE"""),"02-37-06-23")</f>
        <v>02-37-06-23</v>
      </c>
      <c r="B734" s="36" t="str">
        <f>IFERROR(__xludf.DUMMYFUNCTION("""COMPUTED_VALUE"""),"")</f>
        <v/>
      </c>
      <c r="C734" s="36" t="str">
        <f>IFERROR(__xludf.DUMMYFUNCTION("""COMPUTED_VALUE"""),"")</f>
        <v/>
      </c>
      <c r="D734" s="36" t="str">
        <f>IFERROR(__xludf.DUMMYFUNCTION("""COMPUTED_VALUE"""),"")</f>
        <v/>
      </c>
      <c r="E734" s="36" t="str">
        <f>IFERROR(__xludf.DUMMYFUNCTION("""COMPUTED_VALUE"""),"02-29-07-104")</f>
        <v>02-29-07-104</v>
      </c>
      <c r="F734" s="36"/>
      <c r="G734" s="36" t="str">
        <f>IFERROR(__xludf.DUMMYFUNCTION("""COMPUTED_VALUE"""),"Bolívar y Músicos RIM 22")</f>
        <v>Bolívar y Músicos RIM 22</v>
      </c>
      <c r="H734" s="36" t="str">
        <f>IFERROR(__xludf.DUMMYFUNCTION("""COMPUTED_VALUE"""),"")</f>
        <v/>
      </c>
    </row>
    <row r="735">
      <c r="A735" s="36" t="str">
        <f>IFERROR(__xludf.DUMMYFUNCTION("""COMPUTED_VALUE"""),"02-37-06-24")</f>
        <v>02-37-06-24</v>
      </c>
      <c r="B735" s="36" t="str">
        <f>IFERROR(__xludf.DUMMYFUNCTION("""COMPUTED_VALUE"""),"")</f>
        <v/>
      </c>
      <c r="C735" s="36" t="str">
        <f>IFERROR(__xludf.DUMMYFUNCTION("""COMPUTED_VALUE"""),"")</f>
        <v/>
      </c>
      <c r="D735" s="36" t="str">
        <f>IFERROR(__xludf.DUMMYFUNCTION("""COMPUTED_VALUE"""),"")</f>
        <v/>
      </c>
      <c r="E735" s="36" t="str">
        <f>IFERROR(__xludf.DUMMYFUNCTION("""COMPUTED_VALUE"""),"02-29-07-103")</f>
        <v>02-29-07-103</v>
      </c>
      <c r="F735" s="36"/>
      <c r="G735" s="36" t="str">
        <f>IFERROR(__xludf.DUMMYFUNCTION("""COMPUTED_VALUE"""),"Bolívar y Proyectada")</f>
        <v>Bolívar y Proyectada</v>
      </c>
      <c r="H735" s="36" t="str">
        <f>IFERROR(__xludf.DUMMYFUNCTION("""COMPUTED_VALUE"""),"")</f>
        <v/>
      </c>
    </row>
    <row r="736">
      <c r="A736" s="36" t="str">
        <f>IFERROR(__xludf.DUMMYFUNCTION("""COMPUTED_VALUE"""),"02-37-06-24A")</f>
        <v>02-37-06-24A</v>
      </c>
      <c r="B736" s="36" t="str">
        <f>IFERROR(__xludf.DUMMYFUNCTION("""COMPUTED_VALUE"""),"")</f>
        <v/>
      </c>
      <c r="C736" s="36" t="str">
        <f>IFERROR(__xludf.DUMMYFUNCTION("""COMPUTED_VALUE"""),"")</f>
        <v/>
      </c>
      <c r="D736" s="36" t="str">
        <f>IFERROR(__xludf.DUMMYFUNCTION("""COMPUTED_VALUE"""),"")</f>
        <v/>
      </c>
      <c r="E736" s="36" t="str">
        <f>IFERROR(__xludf.DUMMYFUNCTION("""COMPUTED_VALUE"""),"02-29-07-102A")</f>
        <v>02-29-07-102A</v>
      </c>
      <c r="F736" s="36"/>
      <c r="G736" s="36" t="str">
        <f>IFERROR(__xludf.DUMMYFUNCTION("""COMPUTED_VALUE"""),"Bolívar y Zuluaga")</f>
        <v>Bolívar y Zuluaga</v>
      </c>
      <c r="H736" s="36" t="str">
        <f>IFERROR(__xludf.DUMMYFUNCTION("""COMPUTED_VALUE"""),"")</f>
        <v/>
      </c>
    </row>
    <row r="737">
      <c r="A737" s="36" t="str">
        <f>IFERROR(__xludf.DUMMYFUNCTION("""COMPUTED_VALUE"""),"02-37-06-25B")</f>
        <v>02-37-06-25B</v>
      </c>
      <c r="B737" s="36" t="str">
        <f>IFERROR(__xludf.DUMMYFUNCTION("""COMPUTED_VALUE"""),"")</f>
        <v/>
      </c>
      <c r="C737" s="36" t="str">
        <f>IFERROR(__xludf.DUMMYFUNCTION("""COMPUTED_VALUE"""),"")</f>
        <v/>
      </c>
      <c r="D737" s="36" t="str">
        <f>IFERROR(__xludf.DUMMYFUNCTION("""COMPUTED_VALUE"""),"")</f>
        <v/>
      </c>
      <c r="E737" s="36" t="str">
        <f>IFERROR(__xludf.DUMMYFUNCTION("""COMPUTED_VALUE"""),"08-34-01-45")</f>
        <v>08-34-01-45</v>
      </c>
      <c r="F737" s="36"/>
      <c r="G737" s="36" t="str">
        <f>IFERROR(__xludf.DUMMYFUNCTION("""COMPUTED_VALUE"""),"Bonduel y Av. N. Benavídez")</f>
        <v>Bonduel y Av. N. Benavídez</v>
      </c>
      <c r="H737" s="36" t="str">
        <f>IFERROR(__xludf.DUMMYFUNCTION("""COMPUTED_VALUE"""),"")</f>
        <v/>
      </c>
    </row>
    <row r="738">
      <c r="A738" s="36" t="str">
        <f>IFERROR(__xludf.DUMMYFUNCTION("""COMPUTED_VALUE"""),"02-37-06-31C")</f>
        <v>02-37-06-31C</v>
      </c>
      <c r="B738" s="36" t="str">
        <f>IFERROR(__xludf.DUMMYFUNCTION("""COMPUTED_VALUE"""),"")</f>
        <v/>
      </c>
      <c r="C738" s="36" t="str">
        <f>IFERROR(__xludf.DUMMYFUNCTION("""COMPUTED_VALUE"""),"")</f>
        <v/>
      </c>
      <c r="D738" s="36" t="str">
        <f>IFERROR(__xludf.DUMMYFUNCTION("""COMPUTED_VALUE"""),"")</f>
        <v/>
      </c>
      <c r="E738" s="36" t="str">
        <f>IFERROR(__xludf.DUMMYFUNCTION("""COMPUTED_VALUE"""),"01-54-14-14")</f>
        <v>01-54-14-14</v>
      </c>
      <c r="F738" s="36"/>
      <c r="G738" s="36" t="str">
        <f>IFERROR(__xludf.DUMMYFUNCTION("""COMPUTED_VALUE"""),"Brasil y Estados Unidos")</f>
        <v>Brasil y Estados Unidos</v>
      </c>
      <c r="H738" s="36" t="str">
        <f>IFERROR(__xludf.DUMMYFUNCTION("""COMPUTED_VALUE"""),"")</f>
        <v/>
      </c>
    </row>
    <row r="739">
      <c r="A739" s="36" t="str">
        <f>IFERROR(__xludf.DUMMYFUNCTION("""COMPUTED_VALUE"""),"02-37-06-32A")</f>
        <v>02-37-06-32A</v>
      </c>
      <c r="B739" s="36" t="str">
        <f>IFERROR(__xludf.DUMMYFUNCTION("""COMPUTED_VALUE"""),"")</f>
        <v/>
      </c>
      <c r="C739" s="36" t="str">
        <f>IFERROR(__xludf.DUMMYFUNCTION("""COMPUTED_VALUE"""),"")</f>
        <v/>
      </c>
      <c r="D739" s="36" t="str">
        <f>IFERROR(__xludf.DUMMYFUNCTION("""COMPUTED_VALUE"""),"")</f>
        <v/>
      </c>
      <c r="E739" s="36" t="str">
        <f>IFERROR(__xludf.DUMMYFUNCTION("""COMPUTED_VALUE"""),"01-55-13-259")</f>
        <v>01-55-13-259</v>
      </c>
      <c r="F739" s="36"/>
      <c r="G739" s="36" t="str">
        <f>IFERROR(__xludf.DUMMYFUNCTION("""COMPUTED_VALUE"""),"Brasil y Güemes")</f>
        <v>Brasil y Güemes</v>
      </c>
      <c r="H739" s="36" t="str">
        <f>IFERROR(__xludf.DUMMYFUNCTION("""COMPUTED_VALUE"""),"")</f>
        <v/>
      </c>
    </row>
    <row r="740">
      <c r="A740" s="36" t="str">
        <f>IFERROR(__xludf.DUMMYFUNCTION("""COMPUTED_VALUE"""),"02-37-06-33A")</f>
        <v>02-37-06-33A</v>
      </c>
      <c r="B740" s="36" t="str">
        <f>IFERROR(__xludf.DUMMYFUNCTION("""COMPUTED_VALUE"""),"")</f>
        <v/>
      </c>
      <c r="C740" s="36" t="str">
        <f>IFERROR(__xludf.DUMMYFUNCTION("""COMPUTED_VALUE"""),"")</f>
        <v/>
      </c>
      <c r="D740" s="36" t="str">
        <f>IFERROR(__xludf.DUMMYFUNCTION("""COMPUTED_VALUE"""),"")</f>
        <v/>
      </c>
      <c r="E740" s="36" t="str">
        <f>IFERROR(__xludf.DUMMYFUNCTION("""COMPUTED_VALUE"""),"01-54-14-15")</f>
        <v>01-54-14-15</v>
      </c>
      <c r="F740" s="36"/>
      <c r="G740" s="36" t="str">
        <f>IFERROR(__xludf.DUMMYFUNCTION("""COMPUTED_VALUE"""),"Brasil y Patricias Sanjuaninas")</f>
        <v>Brasil y Patricias Sanjuaninas</v>
      </c>
      <c r="H740" s="36" t="str">
        <f>IFERROR(__xludf.DUMMYFUNCTION("""COMPUTED_VALUE"""),"")</f>
        <v/>
      </c>
    </row>
    <row r="741">
      <c r="A741" s="36" t="str">
        <f>IFERROR(__xludf.DUMMYFUNCTION("""COMPUTED_VALUE"""),"02-37-06-34A")</f>
        <v>02-37-06-34A</v>
      </c>
      <c r="B741" s="36" t="str">
        <f>IFERROR(__xludf.DUMMYFUNCTION("""COMPUTED_VALUE"""),"")</f>
        <v/>
      </c>
      <c r="C741" s="36" t="str">
        <f>IFERROR(__xludf.DUMMYFUNCTION("""COMPUTED_VALUE"""),"")</f>
        <v/>
      </c>
      <c r="D741" s="36" t="str">
        <f>IFERROR(__xludf.DUMMYFUNCTION("""COMPUTED_VALUE"""),"")</f>
        <v/>
      </c>
      <c r="E741" s="36" t="str">
        <f>IFERROR(__xludf.DUMMYFUNCTION("""COMPUTED_VALUE"""),"01-25-09-248")</f>
        <v>01-25-09-248</v>
      </c>
      <c r="F741" s="36"/>
      <c r="G741" s="36" t="str">
        <f>IFERROR(__xludf.DUMMYFUNCTION("""COMPUTED_VALUE"""),"Buenaventura Luna y Jorge Bence")</f>
        <v>Buenaventura Luna y Jorge Bence</v>
      </c>
      <c r="H741" s="36" t="str">
        <f>IFERROR(__xludf.DUMMYFUNCTION("""COMPUTED_VALUE"""),"")</f>
        <v/>
      </c>
    </row>
    <row r="742">
      <c r="A742" s="36" t="str">
        <f>IFERROR(__xludf.DUMMYFUNCTION("""COMPUTED_VALUE"""),"02-37-06-6A")</f>
        <v>02-37-06-6A</v>
      </c>
      <c r="B742" s="36" t="str">
        <f>IFERROR(__xludf.DUMMYFUNCTION("""COMPUTED_VALUE"""),"")</f>
        <v/>
      </c>
      <c r="C742" s="36" t="str">
        <f>IFERROR(__xludf.DUMMYFUNCTION("""COMPUTED_VALUE"""),"")</f>
        <v/>
      </c>
      <c r="D742" s="36" t="str">
        <f>IFERROR(__xludf.DUMMYFUNCTION("""COMPUTED_VALUE"""),"")</f>
        <v/>
      </c>
      <c r="E742" s="36" t="str">
        <f>IFERROR(__xludf.DUMMYFUNCTION("""COMPUTED_VALUE"""),"01-25-09-250")</f>
        <v>01-25-09-250</v>
      </c>
      <c r="F742" s="36"/>
      <c r="G742" s="36" t="str">
        <f>IFERROR(__xludf.DUMMYFUNCTION("""COMPUTED_VALUE"""),"Buenaventura Luna y Rodolfo Páez Oro")</f>
        <v>Buenaventura Luna y Rodolfo Páez Oro</v>
      </c>
      <c r="H742" s="36" t="str">
        <f>IFERROR(__xludf.DUMMYFUNCTION("""COMPUTED_VALUE"""),"")</f>
        <v/>
      </c>
    </row>
    <row r="743">
      <c r="A743" s="36" t="str">
        <f>IFERROR(__xludf.DUMMYFUNCTION("""COMPUTED_VALUE"""),"02-37-06-7A")</f>
        <v>02-37-06-7A</v>
      </c>
      <c r="B743" s="36" t="str">
        <f>IFERROR(__xludf.DUMMYFUNCTION("""COMPUTED_VALUE"""),"")</f>
        <v/>
      </c>
      <c r="C743" s="36" t="str">
        <f>IFERROR(__xludf.DUMMYFUNCTION("""COMPUTED_VALUE"""),"")</f>
        <v/>
      </c>
      <c r="D743" s="36" t="str">
        <f>IFERROR(__xludf.DUMMYFUNCTION("""COMPUTED_VALUE"""),"")</f>
        <v/>
      </c>
      <c r="E743" s="36" t="str">
        <f>IFERROR(__xludf.DUMMYFUNCTION("""COMPUTED_VALUE"""),"08-23-04-26")</f>
        <v>08-23-04-26</v>
      </c>
      <c r="F743" s="36"/>
      <c r="G743" s="36" t="str">
        <f>IFERROR(__xludf.DUMMYFUNCTION("""COMPUTED_VALUE"""),"Buenaventura Luna y Rodríguez")</f>
        <v>Buenaventura Luna y Rodríguez</v>
      </c>
      <c r="H743" s="36" t="str">
        <f>IFERROR(__xludf.DUMMYFUNCTION("""COMPUTED_VALUE"""),"")</f>
        <v/>
      </c>
    </row>
    <row r="744">
      <c r="A744" s="36" t="str">
        <f>IFERROR(__xludf.DUMMYFUNCTION("""COMPUTED_VALUE"""),"02-37-06-8A")</f>
        <v>02-37-06-8A</v>
      </c>
      <c r="B744" s="36" t="str">
        <f>IFERROR(__xludf.DUMMYFUNCTION("""COMPUTED_VALUE"""),"")</f>
        <v/>
      </c>
      <c r="C744" s="36" t="str">
        <f>IFERROR(__xludf.DUMMYFUNCTION("""COMPUTED_VALUE"""),"")</f>
        <v/>
      </c>
      <c r="D744" s="36" t="str">
        <f>IFERROR(__xludf.DUMMYFUNCTION("""COMPUTED_VALUE"""),"")</f>
        <v/>
      </c>
      <c r="E744" s="36" t="str">
        <f>IFERROR(__xludf.DUMMYFUNCTION("""COMPUTED_VALUE"""),"01-25-09-249")</f>
        <v>01-25-09-249</v>
      </c>
      <c r="F744" s="36"/>
      <c r="G744" s="36" t="str">
        <f>IFERROR(__xludf.DUMMYFUNCTION("""COMPUTED_VALUE"""),"Buenaventura Luna y Villavicencio")</f>
        <v>Buenaventura Luna y Villavicencio</v>
      </c>
      <c r="H744" s="36" t="str">
        <f>IFERROR(__xludf.DUMMYFUNCTION("""COMPUTED_VALUE"""),"")</f>
        <v/>
      </c>
    </row>
    <row r="745">
      <c r="A745" s="36" t="str">
        <f>IFERROR(__xludf.DUMMYFUNCTION("""COMPUTED_VALUE"""),"02-37-06-9A")</f>
        <v>02-37-06-9A</v>
      </c>
      <c r="B745" s="36" t="str">
        <f>IFERROR(__xludf.DUMMYFUNCTION("""COMPUTED_VALUE"""),"")</f>
        <v/>
      </c>
      <c r="C745" s="36" t="str">
        <f>IFERROR(__xludf.DUMMYFUNCTION("""COMPUTED_VALUE"""),"")</f>
        <v/>
      </c>
      <c r="D745" s="36" t="str">
        <f>IFERROR(__xludf.DUMMYFUNCTION("""COMPUTED_VALUE"""),"")</f>
        <v/>
      </c>
      <c r="E745" s="36" t="str">
        <f>IFERROR(__xludf.DUMMYFUNCTION("""COMPUTED_VALUE"""),"08-26-04-48")</f>
        <v>08-26-04-48</v>
      </c>
      <c r="F745" s="36"/>
      <c r="G745" s="36" t="str">
        <f>IFERROR(__xludf.DUMMYFUNCTION("""COMPUTED_VALUE"""),"Bulevar B° Santa María y Calle Plazoleta E")</f>
        <v>Bulevar B° Santa María y Calle Plazoleta E</v>
      </c>
      <c r="H745" s="36" t="str">
        <f>IFERROR(__xludf.DUMMYFUNCTION("""COMPUTED_VALUE"""),"")</f>
        <v/>
      </c>
    </row>
    <row r="746">
      <c r="A746" s="36" t="str">
        <f>IFERROR(__xludf.DUMMYFUNCTION("""COMPUTED_VALUE"""),"01-20-07-185")</f>
        <v>01-20-07-185</v>
      </c>
      <c r="B746" s="36" t="str">
        <f>IFERROR(__xludf.DUMMYFUNCTION("""COMPUTED_VALUE"""),"")</f>
        <v/>
      </c>
      <c r="C746" s="36" t="str">
        <f>IFERROR(__xludf.DUMMYFUNCTION("""COMPUTED_VALUE"""),"")</f>
        <v/>
      </c>
      <c r="D746" s="36" t="str">
        <f>IFERROR(__xludf.DUMMYFUNCTION("""COMPUTED_VALUE"""),"")</f>
        <v/>
      </c>
      <c r="E746" s="36" t="str">
        <f>IFERROR(__xludf.DUMMYFUNCTION("""COMPUTED_VALUE"""),"08-26-04-47")</f>
        <v>08-26-04-47</v>
      </c>
      <c r="F746" s="36"/>
      <c r="G746" s="36" t="str">
        <f>IFERROR(__xludf.DUMMYFUNCTION("""COMPUTED_VALUE"""),"Bulevar B° Santa María y Calle Plazoleta O")</f>
        <v>Bulevar B° Santa María y Calle Plazoleta O</v>
      </c>
      <c r="H746" s="36" t="str">
        <f>IFERROR(__xludf.DUMMYFUNCTION("""COMPUTED_VALUE"""),"")</f>
        <v/>
      </c>
    </row>
    <row r="747">
      <c r="A747" s="36" t="str">
        <f>IFERROR(__xludf.DUMMYFUNCTION("""COMPUTED_VALUE"""),"01-20-07-187")</f>
        <v>01-20-07-187</v>
      </c>
      <c r="B747" s="36" t="str">
        <f>IFERROR(__xludf.DUMMYFUNCTION("""COMPUTED_VALUE"""),"")</f>
        <v/>
      </c>
      <c r="C747" s="36" t="str">
        <f>IFERROR(__xludf.DUMMYFUNCTION("""COMPUTED_VALUE"""),"")</f>
        <v/>
      </c>
      <c r="D747" s="36" t="str">
        <f>IFERROR(__xludf.DUMMYFUNCTION("""COMPUTED_VALUE"""),"")</f>
        <v/>
      </c>
      <c r="E747" s="36" t="str">
        <f>IFERROR(__xludf.DUMMYFUNCTION("""COMPUTED_VALUE"""),"08-26-04-46")</f>
        <v>08-26-04-46</v>
      </c>
      <c r="F747" s="36"/>
      <c r="G747" s="36" t="str">
        <f>IFERROR(__xludf.DUMMYFUNCTION("""COMPUTED_VALUE"""),"Bulevar B° Santa María y Proyectada")</f>
        <v>Bulevar B° Santa María y Proyectada</v>
      </c>
      <c r="H747" s="36" t="str">
        <f>IFERROR(__xludf.DUMMYFUNCTION("""COMPUTED_VALUE"""),"")</f>
        <v/>
      </c>
    </row>
    <row r="748">
      <c r="A748" s="36" t="str">
        <f>IFERROR(__xludf.DUMMYFUNCTION("""COMPUTED_VALUE"""),"01-20-07-188")</f>
        <v>01-20-07-188</v>
      </c>
      <c r="B748" s="36" t="str">
        <f>IFERROR(__xludf.DUMMYFUNCTION("""COMPUTED_VALUE"""),"")</f>
        <v/>
      </c>
      <c r="C748" s="36" t="str">
        <f>IFERROR(__xludf.DUMMYFUNCTION("""COMPUTED_VALUE"""),"")</f>
        <v/>
      </c>
      <c r="D748" s="36" t="str">
        <f>IFERROR(__xludf.DUMMYFUNCTION("""COMPUTED_VALUE"""),"")</f>
        <v/>
      </c>
      <c r="E748" s="36" t="str">
        <f>IFERROR(__xludf.DUMMYFUNCTION("""COMPUTED_VALUE"""),"08-34-01-24")</f>
        <v>08-34-01-24</v>
      </c>
      <c r="F748" s="36"/>
      <c r="G748" s="36" t="str">
        <f>IFERROR(__xludf.DUMMYFUNCTION("""COMPUTED_VALUE"""),"Bulevar El Sembrador")</f>
        <v>Bulevar El Sembrador</v>
      </c>
      <c r="H748" s="36" t="str">
        <f>IFERROR(__xludf.DUMMYFUNCTION("""COMPUTED_VALUE"""),"")</f>
        <v/>
      </c>
    </row>
    <row r="749">
      <c r="A749" s="36" t="str">
        <f>IFERROR(__xludf.DUMMYFUNCTION("""COMPUTED_VALUE"""),"01-20-07-189")</f>
        <v>01-20-07-189</v>
      </c>
      <c r="B749" s="36" t="str">
        <f>IFERROR(__xludf.DUMMYFUNCTION("""COMPUTED_VALUE"""),"")</f>
        <v/>
      </c>
      <c r="C749" s="36" t="str">
        <f>IFERROR(__xludf.DUMMYFUNCTION("""COMPUTED_VALUE"""),"")</f>
        <v/>
      </c>
      <c r="D749" s="36" t="str">
        <f>IFERROR(__xludf.DUMMYFUNCTION("""COMPUTED_VALUE"""),"")</f>
        <v/>
      </c>
      <c r="E749" s="36" t="str">
        <f>IFERROR(__xludf.DUMMYFUNCTION("""COMPUTED_VALUE"""),"02-29-06-101A")</f>
        <v>02-29-06-101A</v>
      </c>
      <c r="F749" s="36"/>
      <c r="G749" s="36" t="str">
        <f>IFERROR(__xludf.DUMMYFUNCTION("""COMPUTED_VALUE"""),"Bulevar Virgen de Lourdes y Cipolletti")</f>
        <v>Bulevar Virgen de Lourdes y Cipolletti</v>
      </c>
      <c r="H749" s="36" t="str">
        <f>IFERROR(__xludf.DUMMYFUNCTION("""COMPUTED_VALUE"""),"")</f>
        <v/>
      </c>
    </row>
    <row r="750">
      <c r="A750" s="36" t="str">
        <f>IFERROR(__xludf.DUMMYFUNCTION("""COMPUTED_VALUE"""),"01-20-07-190")</f>
        <v>01-20-07-190</v>
      </c>
      <c r="B750" s="36" t="str">
        <f>IFERROR(__xludf.DUMMYFUNCTION("""COMPUTED_VALUE"""),"")</f>
        <v/>
      </c>
      <c r="C750" s="36" t="str">
        <f>IFERROR(__xludf.DUMMYFUNCTION("""COMPUTED_VALUE"""),"")</f>
        <v/>
      </c>
      <c r="D750" s="36" t="str">
        <f>IFERROR(__xludf.DUMMYFUNCTION("""COMPUTED_VALUE"""),"")</f>
        <v/>
      </c>
      <c r="E750" s="36" t="str">
        <f>IFERROR(__xludf.DUMMYFUNCTION("""COMPUTED_VALUE"""),"04-45-12-79A")</f>
        <v>04-45-12-79A</v>
      </c>
      <c r="F750" s="36"/>
      <c r="G750" s="36" t="str">
        <f>IFERROR(__xludf.DUMMYFUNCTION("""COMPUTED_VALUE"""),"Bv. Sarmiento y Magallanes")</f>
        <v>Bv. Sarmiento y Magallanes</v>
      </c>
      <c r="H750" s="36" t="str">
        <f>IFERROR(__xludf.DUMMYFUNCTION("""COMPUTED_VALUE"""),"")</f>
        <v/>
      </c>
    </row>
    <row r="751">
      <c r="A751" s="36" t="str">
        <f>IFERROR(__xludf.DUMMYFUNCTION("""COMPUTED_VALUE"""),"01-20-07-191")</f>
        <v>01-20-07-191</v>
      </c>
      <c r="B751" s="36" t="str">
        <f>IFERROR(__xludf.DUMMYFUNCTION("""COMPUTED_VALUE"""),"")</f>
        <v/>
      </c>
      <c r="C751" s="36" t="str">
        <f>IFERROR(__xludf.DUMMYFUNCTION("""COMPUTED_VALUE"""),"")</f>
        <v/>
      </c>
      <c r="D751" s="36" t="str">
        <f>IFERROR(__xludf.DUMMYFUNCTION("""COMPUTED_VALUE"""),"")</f>
        <v/>
      </c>
      <c r="E751" s="36" t="str">
        <f>IFERROR(__xludf.DUMMYFUNCTION("""COMPUTED_VALUE"""),"04-45-12-13")</f>
        <v>04-45-12-13</v>
      </c>
      <c r="F751" s="36"/>
      <c r="G751" s="36" t="str">
        <f>IFERROR(__xludf.DUMMYFUNCTION("""COMPUTED_VALUE"""),"Bv. Sarmiento y Manuel Frías Norte")</f>
        <v>Bv. Sarmiento y Manuel Frías Norte</v>
      </c>
      <c r="H751" s="36" t="str">
        <f>IFERROR(__xludf.DUMMYFUNCTION("""COMPUTED_VALUE"""),"")</f>
        <v/>
      </c>
    </row>
    <row r="752">
      <c r="A752" s="36" t="str">
        <f>IFERROR(__xludf.DUMMYFUNCTION("""COMPUTED_VALUE"""),"01-20-07-192")</f>
        <v>01-20-07-192</v>
      </c>
      <c r="B752" s="36" t="str">
        <f>IFERROR(__xludf.DUMMYFUNCTION("""COMPUTED_VALUE"""),"")</f>
        <v/>
      </c>
      <c r="C752" s="36" t="str">
        <f>IFERROR(__xludf.DUMMYFUNCTION("""COMPUTED_VALUE"""),"")</f>
        <v/>
      </c>
      <c r="D752" s="36" t="str">
        <f>IFERROR(__xludf.DUMMYFUNCTION("""COMPUTED_VALUE"""),"")</f>
        <v/>
      </c>
      <c r="E752" s="36" t="str">
        <f>IFERROR(__xludf.DUMMYFUNCTION("""COMPUTED_VALUE"""),"04-45-12-14")</f>
        <v>04-45-12-14</v>
      </c>
      <c r="F752" s="36"/>
      <c r="G752" s="36" t="str">
        <f>IFERROR(__xludf.DUMMYFUNCTION("""COMPUTED_VALUE"""),"Bv. Sarmiento y Manuel Frías Sur")</f>
        <v>Bv. Sarmiento y Manuel Frías Sur</v>
      </c>
      <c r="H752" s="36" t="str">
        <f>IFERROR(__xludf.DUMMYFUNCTION("""COMPUTED_VALUE"""),"")</f>
        <v/>
      </c>
    </row>
    <row r="753">
      <c r="A753" s="36" t="str">
        <f>IFERROR(__xludf.DUMMYFUNCTION("""COMPUTED_VALUE"""),"01-20-07-193")</f>
        <v>01-20-07-193</v>
      </c>
      <c r="B753" s="36" t="str">
        <f>IFERROR(__xludf.DUMMYFUNCTION("""COMPUTED_VALUE"""),"")</f>
        <v/>
      </c>
      <c r="C753" s="36" t="str">
        <f>IFERROR(__xludf.DUMMYFUNCTION("""COMPUTED_VALUE"""),"")</f>
        <v/>
      </c>
      <c r="D753" s="36" t="str">
        <f>IFERROR(__xludf.DUMMYFUNCTION("""COMPUTED_VALUE"""),"")</f>
        <v/>
      </c>
      <c r="E753" s="36" t="str">
        <f>IFERROR(__xludf.DUMMYFUNCTION("""COMPUTED_VALUE"""),"04-46-12-8")</f>
        <v>04-46-12-8</v>
      </c>
      <c r="F753" s="36"/>
      <c r="G753" s="36" t="str">
        <f>IFERROR(__xludf.DUMMYFUNCTION("""COMPUTED_VALUE"""),"Bv. Sarmiento y Manuel Lemos Norte")</f>
        <v>Bv. Sarmiento y Manuel Lemos Norte</v>
      </c>
      <c r="H753" s="36" t="str">
        <f>IFERROR(__xludf.DUMMYFUNCTION("""COMPUTED_VALUE"""),"")</f>
        <v/>
      </c>
    </row>
    <row r="754">
      <c r="A754" s="36" t="str">
        <f>IFERROR(__xludf.DUMMYFUNCTION("""COMPUTED_VALUE"""),"01-20-07-193A")</f>
        <v>01-20-07-193A</v>
      </c>
      <c r="B754" s="36" t="str">
        <f>IFERROR(__xludf.DUMMYFUNCTION("""COMPUTED_VALUE"""),"")</f>
        <v/>
      </c>
      <c r="C754" s="36" t="str">
        <f>IFERROR(__xludf.DUMMYFUNCTION("""COMPUTED_VALUE"""),"")</f>
        <v/>
      </c>
      <c r="D754" s="36" t="str">
        <f>IFERROR(__xludf.DUMMYFUNCTION("""COMPUTED_VALUE"""),"")</f>
        <v/>
      </c>
      <c r="E754" s="36" t="str">
        <f>IFERROR(__xludf.DUMMYFUNCTION("""COMPUTED_VALUE"""),"04-46-12-6")</f>
        <v>04-46-12-6</v>
      </c>
      <c r="F754" s="36"/>
      <c r="G754" s="36" t="str">
        <f>IFERROR(__xludf.DUMMYFUNCTION("""COMPUTED_VALUE"""),"Bv. Sarmiento y Manuel Lemos Sur")</f>
        <v>Bv. Sarmiento y Manuel Lemos Sur</v>
      </c>
      <c r="H754" s="36" t="str">
        <f>IFERROR(__xludf.DUMMYFUNCTION("""COMPUTED_VALUE"""),"")</f>
        <v/>
      </c>
    </row>
    <row r="755">
      <c r="A755" s="36" t="str">
        <f>IFERROR(__xludf.DUMMYFUNCTION("""COMPUTED_VALUE"""),"01-20-07-194")</f>
        <v>01-20-07-194</v>
      </c>
      <c r="B755" s="36" t="str">
        <f>IFERROR(__xludf.DUMMYFUNCTION("""COMPUTED_VALUE"""),"")</f>
        <v/>
      </c>
      <c r="C755" s="36" t="str">
        <f>IFERROR(__xludf.DUMMYFUNCTION("""COMPUTED_VALUE"""),"")</f>
        <v/>
      </c>
      <c r="D755" s="36" t="str">
        <f>IFERROR(__xludf.DUMMYFUNCTION("""COMPUTED_VALUE"""),"")</f>
        <v/>
      </c>
      <c r="E755" s="36" t="str">
        <f>IFERROR(__xludf.DUMMYFUNCTION("""COMPUTED_VALUE"""),"04-45-12-26A")</f>
        <v>04-45-12-26A</v>
      </c>
      <c r="F755" s="36"/>
      <c r="G755" s="36" t="str">
        <f>IFERROR(__xludf.DUMMYFUNCTION("""COMPUTED_VALUE"""),"Bv. Sarmiento y Rivadavia")</f>
        <v>Bv. Sarmiento y Rivadavia</v>
      </c>
      <c r="H755" s="36" t="str">
        <f>IFERROR(__xludf.DUMMYFUNCTION("""COMPUTED_VALUE"""),"")</f>
        <v/>
      </c>
    </row>
    <row r="756">
      <c r="A756" s="36" t="str">
        <f>IFERROR(__xludf.DUMMYFUNCTION("""COMPUTED_VALUE"""),"01-20-07-195")</f>
        <v>01-20-07-195</v>
      </c>
      <c r="B756" s="36" t="str">
        <f>IFERROR(__xludf.DUMMYFUNCTION("""COMPUTED_VALUE"""),"")</f>
        <v/>
      </c>
      <c r="C756" s="36" t="str">
        <f>IFERROR(__xludf.DUMMYFUNCTION("""COMPUTED_VALUE"""),"")</f>
        <v/>
      </c>
      <c r="D756" s="36" t="str">
        <f>IFERROR(__xludf.DUMMYFUNCTION("""COMPUTED_VALUE"""),"")</f>
        <v/>
      </c>
      <c r="E756" s="36" t="str">
        <f>IFERROR(__xludf.DUMMYFUNCTION("""COMPUTED_VALUE"""),"04-45-12-12")</f>
        <v>04-45-12-12</v>
      </c>
      <c r="F756" s="36"/>
      <c r="G756" s="36" t="str">
        <f>IFERROR(__xludf.DUMMYFUNCTION("""COMPUTED_VALUE"""),"Bv.Sarmiento y Juan Larrea")</f>
        <v>Bv.Sarmiento y Juan Larrea</v>
      </c>
      <c r="H756" s="36" t="str">
        <f>IFERROR(__xludf.DUMMYFUNCTION("""COMPUTED_VALUE"""),"")</f>
        <v/>
      </c>
    </row>
    <row r="757">
      <c r="A757" s="36" t="str">
        <f>IFERROR(__xludf.DUMMYFUNCTION("""COMPUTED_VALUE"""),"01-20-07-198")</f>
        <v>01-20-07-198</v>
      </c>
      <c r="B757" s="36" t="str">
        <f>IFERROR(__xludf.DUMMYFUNCTION("""COMPUTED_VALUE"""),"")</f>
        <v/>
      </c>
      <c r="C757" s="36" t="str">
        <f>IFERROR(__xludf.DUMMYFUNCTION("""COMPUTED_VALUE"""),"")</f>
        <v/>
      </c>
      <c r="D757" s="36" t="str">
        <f>IFERROR(__xludf.DUMMYFUNCTION("""COMPUTED_VALUE"""),"")</f>
        <v/>
      </c>
      <c r="E757" s="36" t="str">
        <f>IFERROR(__xludf.DUMMYFUNCTION("""COMPUTED_VALUE"""),"02-38-12-33")</f>
        <v>02-38-12-33</v>
      </c>
      <c r="F757" s="36"/>
      <c r="G757" s="36" t="str">
        <f>IFERROR(__xludf.DUMMYFUNCTION("""COMPUTED_VALUE"""),"C.A.P.S. Centro De Salud Elio Cantoni")</f>
        <v>C.A.P.S. Centro De Salud Elio Cantoni</v>
      </c>
      <c r="H757" s="36" t="str">
        <f>IFERROR(__xludf.DUMMYFUNCTION("""COMPUTED_VALUE"""),"")</f>
        <v/>
      </c>
    </row>
    <row r="758">
      <c r="A758" s="36" t="str">
        <f>IFERROR(__xludf.DUMMYFUNCTION("""COMPUTED_VALUE"""),"01-20-07-199")</f>
        <v>01-20-07-199</v>
      </c>
      <c r="B758" s="36" t="str">
        <f>IFERROR(__xludf.DUMMYFUNCTION("""COMPUTED_VALUE"""),"")</f>
        <v/>
      </c>
      <c r="C758" s="36" t="str">
        <f>IFERROR(__xludf.DUMMYFUNCTION("""COMPUTED_VALUE"""),"")</f>
        <v/>
      </c>
      <c r="D758" s="36" t="str">
        <f>IFERROR(__xludf.DUMMYFUNCTION("""COMPUTED_VALUE"""),"")</f>
        <v/>
      </c>
      <c r="E758" s="36" t="str">
        <f>IFERROR(__xludf.DUMMYFUNCTION("""COMPUTED_VALUE"""),"03-31-09-102")</f>
        <v>03-31-09-102</v>
      </c>
      <c r="F758" s="36"/>
      <c r="G758" s="36" t="str">
        <f>IFERROR(__xludf.DUMMYFUNCTION("""COMPUTED_VALUE"""),"Cabildo -E y San Lorenzo")</f>
        <v>Cabildo -E y San Lorenzo</v>
      </c>
      <c r="H758" s="36" t="str">
        <f>IFERROR(__xludf.DUMMYFUNCTION("""COMPUTED_VALUE"""),"")</f>
        <v/>
      </c>
    </row>
    <row r="759">
      <c r="A759" s="36" t="str">
        <f>IFERROR(__xludf.DUMMYFUNCTION("""COMPUTED_VALUE"""),"01-20-07-200")</f>
        <v>01-20-07-200</v>
      </c>
      <c r="B759" s="36" t="str">
        <f>IFERROR(__xludf.DUMMYFUNCTION("""COMPUTED_VALUE"""),"")</f>
        <v/>
      </c>
      <c r="C759" s="36" t="str">
        <f>IFERROR(__xludf.DUMMYFUNCTION("""COMPUTED_VALUE"""),"")</f>
        <v/>
      </c>
      <c r="D759" s="36" t="str">
        <f>IFERROR(__xludf.DUMMYFUNCTION("""COMPUTED_VALUE"""),"")</f>
        <v/>
      </c>
      <c r="E759" s="36" t="str">
        <f>IFERROR(__xludf.DUMMYFUNCTION("""COMPUTED_VALUE"""),"03-31-09-101")</f>
        <v>03-31-09-101</v>
      </c>
      <c r="F759" s="36"/>
      <c r="G759" s="36" t="str">
        <f>IFERROR(__xludf.DUMMYFUNCTION("""COMPUTED_VALUE"""),"Cabildo y Díaz Costa")</f>
        <v>Cabildo y Díaz Costa</v>
      </c>
      <c r="H759" s="36" t="str">
        <f>IFERROR(__xludf.DUMMYFUNCTION("""COMPUTED_VALUE"""),"")</f>
        <v/>
      </c>
    </row>
    <row r="760">
      <c r="A760" s="36" t="str">
        <f>IFERROR(__xludf.DUMMYFUNCTION("""COMPUTED_VALUE"""),"01-20-07-201")</f>
        <v>01-20-07-201</v>
      </c>
      <c r="B760" s="36" t="str">
        <f>IFERROR(__xludf.DUMMYFUNCTION("""COMPUTED_VALUE"""),"")</f>
        <v/>
      </c>
      <c r="C760" s="36" t="str">
        <f>IFERROR(__xludf.DUMMYFUNCTION("""COMPUTED_VALUE"""),"")</f>
        <v/>
      </c>
      <c r="D760" s="36" t="str">
        <f>IFERROR(__xludf.DUMMYFUNCTION("""COMPUTED_VALUE"""),"")</f>
        <v/>
      </c>
      <c r="E760" s="36" t="str">
        <f>IFERROR(__xludf.DUMMYFUNCTION("""COMPUTED_VALUE"""),"03-31-09-103")</f>
        <v>03-31-09-103</v>
      </c>
      <c r="F760" s="36"/>
      <c r="G760" s="36" t="str">
        <f>IFERROR(__xludf.DUMMYFUNCTION("""COMPUTED_VALUE"""),"Cabildo y San Lorenzo")</f>
        <v>Cabildo y San Lorenzo</v>
      </c>
      <c r="H760" s="36" t="str">
        <f>IFERROR(__xludf.DUMMYFUNCTION("""COMPUTED_VALUE"""),"")</f>
        <v/>
      </c>
    </row>
    <row r="761">
      <c r="A761" s="36" t="str">
        <f>IFERROR(__xludf.DUMMYFUNCTION("""COMPUTED_VALUE"""),"01-20-07-206")</f>
        <v>01-20-07-206</v>
      </c>
      <c r="B761" s="36" t="str">
        <f>IFERROR(__xludf.DUMMYFUNCTION("""COMPUTED_VALUE"""),"")</f>
        <v/>
      </c>
      <c r="C761" s="36" t="str">
        <f>IFERROR(__xludf.DUMMYFUNCTION("""COMPUTED_VALUE"""),"")</f>
        <v/>
      </c>
      <c r="D761" s="36" t="str">
        <f>IFERROR(__xludf.DUMMYFUNCTION("""COMPUTED_VALUE"""),"")</f>
        <v/>
      </c>
      <c r="E761" s="36" t="str">
        <f>IFERROR(__xludf.DUMMYFUNCTION("""COMPUTED_VALUE"""),"02-40-11-90")</f>
        <v>02-40-11-90</v>
      </c>
      <c r="F761" s="36"/>
      <c r="G761" s="36" t="str">
        <f>IFERROR(__xludf.DUMMYFUNCTION("""COMPUTED_VALUE"""),"Calívar e I. de la Roza")</f>
        <v>Calívar e I. de la Roza</v>
      </c>
      <c r="H761" s="36" t="str">
        <f>IFERROR(__xludf.DUMMYFUNCTION("""COMPUTED_VALUE"""),"")</f>
        <v/>
      </c>
    </row>
    <row r="762">
      <c r="A762" s="36" t="str">
        <f>IFERROR(__xludf.DUMMYFUNCTION("""COMPUTED_VALUE"""),"01-20-07-207")</f>
        <v>01-20-07-207</v>
      </c>
      <c r="B762" s="36" t="str">
        <f>IFERROR(__xludf.DUMMYFUNCTION("""COMPUTED_VALUE"""),"")</f>
        <v/>
      </c>
      <c r="C762" s="36" t="str">
        <f>IFERROR(__xludf.DUMMYFUNCTION("""COMPUTED_VALUE"""),"")</f>
        <v/>
      </c>
      <c r="D762" s="36" t="str">
        <f>IFERROR(__xludf.DUMMYFUNCTION("""COMPUTED_VALUE"""),"")</f>
        <v/>
      </c>
      <c r="E762" s="36" t="str">
        <f>IFERROR(__xludf.DUMMYFUNCTION("""COMPUTED_VALUE"""),"02-36-11-95A")</f>
        <v>02-36-11-95A</v>
      </c>
      <c r="F762" s="36"/>
      <c r="G762" s="36" t="str">
        <f>IFERROR(__xludf.DUMMYFUNCTION("""COMPUTED_VALUE"""),"Calívar Este y Lavalle Norte")</f>
        <v>Calívar Este y Lavalle Norte</v>
      </c>
      <c r="H762" s="36" t="str">
        <f>IFERROR(__xludf.DUMMYFUNCTION("""COMPUTED_VALUE"""),"")</f>
        <v/>
      </c>
    </row>
    <row r="763">
      <c r="A763" s="36" t="str">
        <f>IFERROR(__xludf.DUMMYFUNCTION("""COMPUTED_VALUE"""),"01-20-07-212")</f>
        <v>01-20-07-212</v>
      </c>
      <c r="B763" s="36" t="str">
        <f>IFERROR(__xludf.DUMMYFUNCTION("""COMPUTED_VALUE"""),"")</f>
        <v/>
      </c>
      <c r="C763" s="36" t="str">
        <f>IFERROR(__xludf.DUMMYFUNCTION("""COMPUTED_VALUE"""),"")</f>
        <v/>
      </c>
      <c r="D763" s="36" t="str">
        <f>IFERROR(__xludf.DUMMYFUNCTION("""COMPUTED_VALUE"""),"")</f>
        <v/>
      </c>
      <c r="E763" s="36" t="str">
        <f>IFERROR(__xludf.DUMMYFUNCTION("""COMPUTED_VALUE"""),"02-36-11-92")</f>
        <v>02-36-11-92</v>
      </c>
      <c r="F763" s="36"/>
      <c r="G763" s="36" t="str">
        <f>IFERROR(__xludf.DUMMYFUNCTION("""COMPUTED_VALUE"""),"Calívar Este y Lavalle Sur")</f>
        <v>Calívar Este y Lavalle Sur</v>
      </c>
      <c r="H763" s="36" t="str">
        <f>IFERROR(__xludf.DUMMYFUNCTION("""COMPUTED_VALUE"""),"")</f>
        <v/>
      </c>
    </row>
    <row r="764">
      <c r="A764" s="36" t="str">
        <f>IFERROR(__xludf.DUMMYFUNCTION("""COMPUTED_VALUE"""),"01-20-07-214")</f>
        <v>01-20-07-214</v>
      </c>
      <c r="B764" s="36" t="str">
        <f>IFERROR(__xludf.DUMMYFUNCTION("""COMPUTED_VALUE"""),"")</f>
        <v/>
      </c>
      <c r="C764" s="36" t="str">
        <f>IFERROR(__xludf.DUMMYFUNCTION("""COMPUTED_VALUE"""),"")</f>
        <v/>
      </c>
      <c r="D764" s="36" t="str">
        <f>IFERROR(__xludf.DUMMYFUNCTION("""COMPUTED_VALUE"""),"")</f>
        <v/>
      </c>
      <c r="E764" s="36" t="str">
        <f>IFERROR(__xludf.DUMMYFUNCTION("""COMPUTED_VALUE"""),"02-32-11-95")</f>
        <v>02-32-11-95</v>
      </c>
      <c r="F764" s="36"/>
      <c r="G764" s="36" t="str">
        <f>IFERROR(__xludf.DUMMYFUNCTION("""COMPUTED_VALUE"""),"Calívar Oeste y Lavalle Norte")</f>
        <v>Calívar Oeste y Lavalle Norte</v>
      </c>
      <c r="H764" s="36" t="str">
        <f>IFERROR(__xludf.DUMMYFUNCTION("""COMPUTED_VALUE"""),"")</f>
        <v/>
      </c>
    </row>
    <row r="765">
      <c r="A765" s="36" t="str">
        <f>IFERROR(__xludf.DUMMYFUNCTION("""COMPUTED_VALUE"""),"01-20-07-215")</f>
        <v>01-20-07-215</v>
      </c>
      <c r="B765" s="36" t="str">
        <f>IFERROR(__xludf.DUMMYFUNCTION("""COMPUTED_VALUE"""),"")</f>
        <v/>
      </c>
      <c r="C765" s="36" t="str">
        <f>IFERROR(__xludf.DUMMYFUNCTION("""COMPUTED_VALUE"""),"")</f>
        <v/>
      </c>
      <c r="D765" s="36" t="str">
        <f>IFERROR(__xludf.DUMMYFUNCTION("""COMPUTED_VALUE"""),"")</f>
        <v/>
      </c>
      <c r="E765" s="36" t="str">
        <f>IFERROR(__xludf.DUMMYFUNCTION("""COMPUTED_VALUE"""),"02-36-11-110A")</f>
        <v>02-36-11-110A</v>
      </c>
      <c r="F765" s="36"/>
      <c r="G765" s="36" t="str">
        <f>IFERROR(__xludf.DUMMYFUNCTION("""COMPUTED_VALUE"""),"Calívar y Colón")</f>
        <v>Calívar y Colón</v>
      </c>
      <c r="H765" s="36" t="str">
        <f>IFERROR(__xludf.DUMMYFUNCTION("""COMPUTED_VALUE"""),"")</f>
        <v/>
      </c>
    </row>
    <row r="766">
      <c r="A766" s="36" t="str">
        <f>IFERROR(__xludf.DUMMYFUNCTION("""COMPUTED_VALUE"""),"01-20-07-216")</f>
        <v>01-20-07-216</v>
      </c>
      <c r="B766" s="36" t="str">
        <f>IFERROR(__xludf.DUMMYFUNCTION("""COMPUTED_VALUE"""),"")</f>
        <v/>
      </c>
      <c r="C766" s="36" t="str">
        <f>IFERROR(__xludf.DUMMYFUNCTION("""COMPUTED_VALUE"""),"")</f>
        <v/>
      </c>
      <c r="D766" s="36" t="str">
        <f>IFERROR(__xludf.DUMMYFUNCTION("""COMPUTED_VALUE"""),"")</f>
        <v/>
      </c>
      <c r="E766" s="36" t="str">
        <f>IFERROR(__xludf.DUMMYFUNCTION("""COMPUTED_VALUE"""),"02-40-11-111")</f>
        <v>02-40-11-111</v>
      </c>
      <c r="F766" s="36"/>
      <c r="G766" s="36" t="str">
        <f>IFERROR(__xludf.DUMMYFUNCTION("""COMPUTED_VALUE"""),"Calívar y Proyectada")</f>
        <v>Calívar y Proyectada</v>
      </c>
      <c r="H766" s="36" t="str">
        <f>IFERROR(__xludf.DUMMYFUNCTION("""COMPUTED_VALUE"""),"")</f>
        <v/>
      </c>
    </row>
    <row r="767">
      <c r="A767" s="36" t="str">
        <f>IFERROR(__xludf.DUMMYFUNCTION("""COMPUTED_VALUE"""),"01-20-07-217")</f>
        <v>01-20-07-217</v>
      </c>
      <c r="B767" s="36" t="str">
        <f>IFERROR(__xludf.DUMMYFUNCTION("""COMPUTED_VALUE"""),"")</f>
        <v/>
      </c>
      <c r="C767" s="36" t="str">
        <f>IFERROR(__xludf.DUMMYFUNCTION("""COMPUTED_VALUE"""),"")</f>
        <v/>
      </c>
      <c r="D767" s="36" t="str">
        <f>IFERROR(__xludf.DUMMYFUNCTION("""COMPUTED_VALUE"""),"")</f>
        <v/>
      </c>
      <c r="E767" s="36" t="str">
        <f>IFERROR(__xludf.DUMMYFUNCTION("""COMPUTED_VALUE"""),"02-46-11-34A")</f>
        <v>02-46-11-34A</v>
      </c>
      <c r="F767" s="36"/>
      <c r="G767" s="36" t="str">
        <f>IFERROR(__xludf.DUMMYFUNCTION("""COMPUTED_VALUE"""),"Calle Nueva Oeste")</f>
        <v>Calle Nueva Oeste</v>
      </c>
      <c r="H767" s="36" t="str">
        <f>IFERROR(__xludf.DUMMYFUNCTION("""COMPUTED_VALUE"""),"")</f>
        <v/>
      </c>
    </row>
    <row r="768">
      <c r="A768" s="36" t="str">
        <f>IFERROR(__xludf.DUMMYFUNCTION("""COMPUTED_VALUE"""),"01-20-07-218")</f>
        <v>01-20-07-218</v>
      </c>
      <c r="B768" s="36" t="str">
        <f>IFERROR(__xludf.DUMMYFUNCTION("""COMPUTED_VALUE"""),"")</f>
        <v/>
      </c>
      <c r="C768" s="36" t="str">
        <f>IFERROR(__xludf.DUMMYFUNCTION("""COMPUTED_VALUE"""),"")</f>
        <v/>
      </c>
      <c r="D768" s="36" t="str">
        <f>IFERROR(__xludf.DUMMYFUNCTION("""COMPUTED_VALUE"""),"")</f>
        <v/>
      </c>
      <c r="E768" s="36" t="str">
        <f>IFERROR(__xludf.DUMMYFUNCTION("""COMPUTED_VALUE"""),"02-46-11-35A")</f>
        <v>02-46-11-35A</v>
      </c>
      <c r="F768" s="36"/>
      <c r="G768" s="36" t="str">
        <f>IFERROR(__xludf.DUMMYFUNCTION("""COMPUTED_VALUE"""),"Calle Nueva y Comercio")</f>
        <v>Calle Nueva y Comercio</v>
      </c>
      <c r="H768" s="36" t="str">
        <f>IFERROR(__xludf.DUMMYFUNCTION("""COMPUTED_VALUE"""),"")</f>
        <v/>
      </c>
    </row>
    <row r="769">
      <c r="A769" s="36" t="str">
        <f>IFERROR(__xludf.DUMMYFUNCTION("""COMPUTED_VALUE"""),"01-20-07-219")</f>
        <v>01-20-07-219</v>
      </c>
      <c r="B769" s="36" t="str">
        <f>IFERROR(__xludf.DUMMYFUNCTION("""COMPUTED_VALUE"""),"")</f>
        <v/>
      </c>
      <c r="C769" s="36" t="str">
        <f>IFERROR(__xludf.DUMMYFUNCTION("""COMPUTED_VALUE"""),"")</f>
        <v/>
      </c>
      <c r="D769" s="36" t="str">
        <f>IFERROR(__xludf.DUMMYFUNCTION("""COMPUTED_VALUE"""),"")</f>
        <v/>
      </c>
      <c r="E769" s="36" t="str">
        <f>IFERROR(__xludf.DUMMYFUNCTION("""COMPUTED_VALUE"""),"02-42-11-34")</f>
        <v>02-42-11-34</v>
      </c>
      <c r="F769" s="36"/>
      <c r="G769" s="36" t="str">
        <f>IFERROR(__xludf.DUMMYFUNCTION("""COMPUTED_VALUE"""),"Calle Nueva y Proyectada")</f>
        <v>Calle Nueva y Proyectada</v>
      </c>
      <c r="H769" s="36" t="str">
        <f>IFERROR(__xludf.DUMMYFUNCTION("""COMPUTED_VALUE"""),"")</f>
        <v/>
      </c>
    </row>
    <row r="770">
      <c r="A770" s="36" t="str">
        <f>IFERROR(__xludf.DUMMYFUNCTION("""COMPUTED_VALUE"""),"01-20-07-220")</f>
        <v>01-20-07-220</v>
      </c>
      <c r="B770" s="36" t="str">
        <f>IFERROR(__xludf.DUMMYFUNCTION("""COMPUTED_VALUE"""),"")</f>
        <v/>
      </c>
      <c r="C770" s="36" t="str">
        <f>IFERROR(__xludf.DUMMYFUNCTION("""COMPUTED_VALUE"""),"")</f>
        <v/>
      </c>
      <c r="D770" s="36" t="str">
        <f>IFERROR(__xludf.DUMMYFUNCTION("""COMPUTED_VALUE"""),"")</f>
        <v/>
      </c>
      <c r="E770" s="36" t="str">
        <f>IFERROR(__xludf.DUMMYFUNCTION("""COMPUTED_VALUE"""),"04-28-14-159")</f>
        <v>04-28-14-159</v>
      </c>
      <c r="F770" s="36"/>
      <c r="G770" s="36" t="str">
        <f>IFERROR(__xludf.DUMMYFUNCTION("""COMPUTED_VALUE"""),"Calle Vieja y Agustín Gómez")</f>
        <v>Calle Vieja y Agustín Gómez</v>
      </c>
      <c r="H770" s="36" t="str">
        <f>IFERROR(__xludf.DUMMYFUNCTION("""COMPUTED_VALUE"""),"")</f>
        <v/>
      </c>
    </row>
    <row r="771">
      <c r="A771" s="36" t="str">
        <f>IFERROR(__xludf.DUMMYFUNCTION("""COMPUTED_VALUE"""),"01-20-07-222")</f>
        <v>01-20-07-222</v>
      </c>
      <c r="B771" s="36" t="str">
        <f>IFERROR(__xludf.DUMMYFUNCTION("""COMPUTED_VALUE"""),"")</f>
        <v/>
      </c>
      <c r="C771" s="36" t="str">
        <f>IFERROR(__xludf.DUMMYFUNCTION("""COMPUTED_VALUE"""),"")</f>
        <v/>
      </c>
      <c r="D771" s="36" t="str">
        <f>IFERROR(__xludf.DUMMYFUNCTION("""COMPUTED_VALUE"""),"")</f>
        <v/>
      </c>
      <c r="E771" s="36" t="str">
        <f>IFERROR(__xludf.DUMMYFUNCTION("""COMPUTED_VALUE"""),"04-26-14-158")</f>
        <v>04-26-14-158</v>
      </c>
      <c r="F771" s="36"/>
      <c r="G771" s="36" t="str">
        <f>IFERROR(__xludf.DUMMYFUNCTION("""COMPUTED_VALUE"""),"Calle Vieja y Callejón Bernal E")</f>
        <v>Calle Vieja y Callejón Bernal E</v>
      </c>
      <c r="H771" s="36" t="str">
        <f>IFERROR(__xludf.DUMMYFUNCTION("""COMPUTED_VALUE"""),"")</f>
        <v/>
      </c>
    </row>
    <row r="772">
      <c r="A772" s="36" t="str">
        <f>IFERROR(__xludf.DUMMYFUNCTION("""COMPUTED_VALUE"""),"01-21-07-20")</f>
        <v>01-21-07-20</v>
      </c>
      <c r="B772" s="36" t="str">
        <f>IFERROR(__xludf.DUMMYFUNCTION("""COMPUTED_VALUE"""),"")</f>
        <v/>
      </c>
      <c r="C772" s="36" t="str">
        <f>IFERROR(__xludf.DUMMYFUNCTION("""COMPUTED_VALUE"""),"")</f>
        <v/>
      </c>
      <c r="D772" s="36" t="str">
        <f>IFERROR(__xludf.DUMMYFUNCTION("""COMPUTED_VALUE"""),"")</f>
        <v/>
      </c>
      <c r="E772" s="36" t="str">
        <f>IFERROR(__xludf.DUMMYFUNCTION("""COMPUTED_VALUE"""),"04-28-14-157")</f>
        <v>04-28-14-157</v>
      </c>
      <c r="F772" s="36"/>
      <c r="G772" s="36" t="str">
        <f>IFERROR(__xludf.DUMMYFUNCTION("""COMPUTED_VALUE"""),"Calle Vieja y Callejón Bernal O")</f>
        <v>Calle Vieja y Callejón Bernal O</v>
      </c>
      <c r="H772" s="36" t="str">
        <f>IFERROR(__xludf.DUMMYFUNCTION("""COMPUTED_VALUE"""),"")</f>
        <v/>
      </c>
    </row>
    <row r="773">
      <c r="A773" s="36" t="str">
        <f>IFERROR(__xludf.DUMMYFUNCTION("""COMPUTED_VALUE"""),"01-21-07-20B")</f>
        <v>01-21-07-20B</v>
      </c>
      <c r="B773" s="36" t="str">
        <f>IFERROR(__xludf.DUMMYFUNCTION("""COMPUTED_VALUE"""),"")</f>
        <v/>
      </c>
      <c r="C773" s="36" t="str">
        <f>IFERROR(__xludf.DUMMYFUNCTION("""COMPUTED_VALUE"""),"")</f>
        <v/>
      </c>
      <c r="D773" s="36" t="str">
        <f>IFERROR(__xludf.DUMMYFUNCTION("""COMPUTED_VALUE"""),"")</f>
        <v/>
      </c>
      <c r="E773" s="36" t="str">
        <f>IFERROR(__xludf.DUMMYFUNCTION("""COMPUTED_VALUE"""),"08-36-02-79")</f>
        <v>08-36-02-79</v>
      </c>
      <c r="F773" s="36"/>
      <c r="G773" s="36" t="str">
        <f>IFERROR(__xludf.DUMMYFUNCTION("""COMPUTED_VALUE"""),"Callejón B° La Amistad")</f>
        <v>Callejón B° La Amistad</v>
      </c>
      <c r="H773" s="36" t="str">
        <f>IFERROR(__xludf.DUMMYFUNCTION("""COMPUTED_VALUE"""),"")</f>
        <v/>
      </c>
    </row>
    <row r="774">
      <c r="A774" s="36" t="str">
        <f>IFERROR(__xludf.DUMMYFUNCTION("""COMPUTED_VALUE"""),"01-21-07-20C")</f>
        <v>01-21-07-20C</v>
      </c>
      <c r="B774" s="36" t="str">
        <f>IFERROR(__xludf.DUMMYFUNCTION("""COMPUTED_VALUE"""),"")</f>
        <v/>
      </c>
      <c r="C774" s="36" t="str">
        <f>IFERROR(__xludf.DUMMYFUNCTION("""COMPUTED_VALUE"""),"")</f>
        <v/>
      </c>
      <c r="D774" s="36" t="str">
        <f>IFERROR(__xludf.DUMMYFUNCTION("""COMPUTED_VALUE"""),"")</f>
        <v/>
      </c>
      <c r="E774" s="36" t="str">
        <f>IFERROR(__xludf.DUMMYFUNCTION("""COMPUTED_VALUE"""),"08-22-04-38A")</f>
        <v>08-22-04-38A</v>
      </c>
      <c r="F774" s="36"/>
      <c r="G774" s="36" t="str">
        <f>IFERROR(__xludf.DUMMYFUNCTION("""COMPUTED_VALUE"""),"Callejón Blanco y 3 de Febrero N")</f>
        <v>Callejón Blanco y 3 de Febrero N</v>
      </c>
      <c r="H774" s="36" t="str">
        <f>IFERROR(__xludf.DUMMYFUNCTION("""COMPUTED_VALUE"""),"")</f>
        <v/>
      </c>
    </row>
    <row r="775">
      <c r="A775" s="36" t="str">
        <f>IFERROR(__xludf.DUMMYFUNCTION("""COMPUTED_VALUE"""),"01-21-07-210")</f>
        <v>01-21-07-210</v>
      </c>
      <c r="B775" s="36" t="str">
        <f>IFERROR(__xludf.DUMMYFUNCTION("""COMPUTED_VALUE"""),"")</f>
        <v/>
      </c>
      <c r="C775" s="36" t="str">
        <f>IFERROR(__xludf.DUMMYFUNCTION("""COMPUTED_VALUE"""),"")</f>
        <v/>
      </c>
      <c r="D775" s="36" t="str">
        <f>IFERROR(__xludf.DUMMYFUNCTION("""COMPUTED_VALUE"""),"")</f>
        <v/>
      </c>
      <c r="E775" s="36" t="str">
        <f>IFERROR(__xludf.DUMMYFUNCTION("""COMPUTED_VALUE"""),"08-22-04-39")</f>
        <v>08-22-04-39</v>
      </c>
      <c r="F775" s="36"/>
      <c r="G775" s="36" t="str">
        <f>IFERROR(__xludf.DUMMYFUNCTION("""COMPUTED_VALUE"""),"Callejón Blanco y 3 de Febrero S")</f>
        <v>Callejón Blanco y 3 de Febrero S</v>
      </c>
      <c r="H775" s="36" t="str">
        <f>IFERROR(__xludf.DUMMYFUNCTION("""COMPUTED_VALUE"""),"")</f>
        <v/>
      </c>
    </row>
    <row r="776">
      <c r="A776" s="36" t="str">
        <f>IFERROR(__xludf.DUMMYFUNCTION("""COMPUTED_VALUE"""),"01-21-07-211")</f>
        <v>01-21-07-211</v>
      </c>
      <c r="B776" s="36" t="str">
        <f>IFERROR(__xludf.DUMMYFUNCTION("""COMPUTED_VALUE"""),"")</f>
        <v/>
      </c>
      <c r="C776" s="36" t="str">
        <f>IFERROR(__xludf.DUMMYFUNCTION("""COMPUTED_VALUE"""),"")</f>
        <v/>
      </c>
      <c r="D776" s="36" t="str">
        <f>IFERROR(__xludf.DUMMYFUNCTION("""COMPUTED_VALUE"""),"")</f>
        <v/>
      </c>
      <c r="E776" s="36" t="str">
        <f>IFERROR(__xludf.DUMMYFUNCTION("""COMPUTED_VALUE"""),"03-52-10-16A")</f>
        <v>03-52-10-16A</v>
      </c>
      <c r="F776" s="36"/>
      <c r="G776" s="36" t="str">
        <f>IFERROR(__xludf.DUMMYFUNCTION("""COMPUTED_VALUE"""),"Callejón Herrera y Belgrano")</f>
        <v>Callejón Herrera y Belgrano</v>
      </c>
      <c r="H776" s="36" t="str">
        <f>IFERROR(__xludf.DUMMYFUNCTION("""COMPUTED_VALUE"""),"")</f>
        <v/>
      </c>
    </row>
    <row r="777">
      <c r="A777" s="36" t="str">
        <f>IFERROR(__xludf.DUMMYFUNCTION("""COMPUTED_VALUE"""),"01-21-07-213")</f>
        <v>01-21-07-213</v>
      </c>
      <c r="B777" s="36" t="str">
        <f>IFERROR(__xludf.DUMMYFUNCTION("""COMPUTED_VALUE"""),"")</f>
        <v/>
      </c>
      <c r="C777" s="36" t="str">
        <f>IFERROR(__xludf.DUMMYFUNCTION("""COMPUTED_VALUE"""),"")</f>
        <v/>
      </c>
      <c r="D777" s="36" t="str">
        <f>IFERROR(__xludf.DUMMYFUNCTION("""COMPUTED_VALUE"""),"")</f>
        <v/>
      </c>
      <c r="E777" s="36" t="str">
        <f>IFERROR(__xludf.DUMMYFUNCTION("""COMPUTED_VALUE"""),"04-30-14-148")</f>
        <v>04-30-14-148</v>
      </c>
      <c r="F777" s="36"/>
      <c r="G777" s="36" t="str">
        <f>IFERROR(__xludf.DUMMYFUNCTION("""COMPUTED_VALUE"""),"Callejón Muñoz y Mir")</f>
        <v>Callejón Muñoz y Mir</v>
      </c>
      <c r="H777" s="36" t="str">
        <f>IFERROR(__xludf.DUMMYFUNCTION("""COMPUTED_VALUE"""),"")</f>
        <v/>
      </c>
    </row>
    <row r="778">
      <c r="A778" s="36" t="str">
        <f>IFERROR(__xludf.DUMMYFUNCTION("""COMPUTED_VALUE"""),"01-21-07-23")</f>
        <v>01-21-07-23</v>
      </c>
      <c r="B778" s="36" t="str">
        <f>IFERROR(__xludf.DUMMYFUNCTION("""COMPUTED_VALUE"""),"")</f>
        <v/>
      </c>
      <c r="C778" s="36" t="str">
        <f>IFERROR(__xludf.DUMMYFUNCTION("""COMPUTED_VALUE"""),"")</f>
        <v/>
      </c>
      <c r="D778" s="36" t="str">
        <f>IFERROR(__xludf.DUMMYFUNCTION("""COMPUTED_VALUE"""),"")</f>
        <v/>
      </c>
      <c r="E778" s="36" t="str">
        <f>IFERROR(__xludf.DUMMYFUNCTION("""COMPUTED_VALUE"""),"04-22-14-146")</f>
        <v>04-22-14-146</v>
      </c>
      <c r="F778" s="36"/>
      <c r="G778" s="36" t="str">
        <f>IFERROR(__xludf.DUMMYFUNCTION("""COMPUTED_VALUE"""),"Callejón Muñoz y Palma")</f>
        <v>Callejón Muñoz y Palma</v>
      </c>
      <c r="H778" s="36" t="str">
        <f>IFERROR(__xludf.DUMMYFUNCTION("""COMPUTED_VALUE"""),"")</f>
        <v/>
      </c>
    </row>
    <row r="779">
      <c r="A779" s="36" t="str">
        <f>IFERROR(__xludf.DUMMYFUNCTION("""COMPUTED_VALUE"""),"01-21-07-23A")</f>
        <v>01-21-07-23A</v>
      </c>
      <c r="B779" s="36" t="str">
        <f>IFERROR(__xludf.DUMMYFUNCTION("""COMPUTED_VALUE"""),"")</f>
        <v/>
      </c>
      <c r="C779" s="36" t="str">
        <f>IFERROR(__xludf.DUMMYFUNCTION("""COMPUTED_VALUE"""),"")</f>
        <v/>
      </c>
      <c r="D779" s="36" t="str">
        <f>IFERROR(__xludf.DUMMYFUNCTION("""COMPUTED_VALUE"""),"")</f>
        <v/>
      </c>
      <c r="E779" s="36" t="str">
        <f>IFERROR(__xludf.DUMMYFUNCTION("""COMPUTED_VALUE"""),"08-36-02-81")</f>
        <v>08-36-02-81</v>
      </c>
      <c r="F779" s="36"/>
      <c r="G779" s="36" t="str">
        <f>IFERROR(__xludf.DUMMYFUNCTION("""COMPUTED_VALUE"""),"Callejon y Cipolletti N")</f>
        <v>Callejon y Cipolletti N</v>
      </c>
      <c r="H779" s="36" t="str">
        <f>IFERROR(__xludf.DUMMYFUNCTION("""COMPUTED_VALUE"""),"")</f>
        <v/>
      </c>
    </row>
    <row r="780">
      <c r="A780" s="36" t="str">
        <f>IFERROR(__xludf.DUMMYFUNCTION("""COMPUTED_VALUE"""),"01-21-07-23D")</f>
        <v>01-21-07-23D</v>
      </c>
      <c r="B780" s="36" t="str">
        <f>IFERROR(__xludf.DUMMYFUNCTION("""COMPUTED_VALUE"""),"")</f>
        <v/>
      </c>
      <c r="C780" s="36" t="str">
        <f>IFERROR(__xludf.DUMMYFUNCTION("""COMPUTED_VALUE"""),"")</f>
        <v/>
      </c>
      <c r="D780" s="36" t="str">
        <f>IFERROR(__xludf.DUMMYFUNCTION("""COMPUTED_VALUE"""),"")</f>
        <v/>
      </c>
      <c r="E780" s="36" t="str">
        <f>IFERROR(__xludf.DUMMYFUNCTION("""COMPUTED_VALUE"""),"08-36-02-82")</f>
        <v>08-36-02-82</v>
      </c>
      <c r="F780" s="36"/>
      <c r="G780" s="36" t="str">
        <f>IFERROR(__xludf.DUMMYFUNCTION("""COMPUTED_VALUE"""),"Callejón y Cipolletti S")</f>
        <v>Callejón y Cipolletti S</v>
      </c>
      <c r="H780" s="36" t="str">
        <f>IFERROR(__xludf.DUMMYFUNCTION("""COMPUTED_VALUE"""),"")</f>
        <v/>
      </c>
    </row>
    <row r="781">
      <c r="A781" s="36" t="str">
        <f>IFERROR(__xludf.DUMMYFUNCTION("""COMPUTED_VALUE"""),"01-21-07-242")</f>
        <v>01-21-07-242</v>
      </c>
      <c r="B781" s="36" t="str">
        <f>IFERROR(__xludf.DUMMYFUNCTION("""COMPUTED_VALUE"""),"")</f>
        <v/>
      </c>
      <c r="C781" s="36" t="str">
        <f>IFERROR(__xludf.DUMMYFUNCTION("""COMPUTED_VALUE"""),"")</f>
        <v/>
      </c>
      <c r="D781" s="36" t="str">
        <f>IFERROR(__xludf.DUMMYFUNCTION("""COMPUTED_VALUE"""),"")</f>
        <v/>
      </c>
      <c r="E781" s="36" t="str">
        <f>IFERROR(__xludf.DUMMYFUNCTION("""COMPUTED_VALUE"""),"04-45-12-29B")</f>
        <v>04-45-12-29B</v>
      </c>
      <c r="F781" s="36"/>
      <c r="G781" s="36" t="str">
        <f>IFERROR(__xludf.DUMMYFUNCTION("""COMPUTED_VALUE"""),"Camping CESAP")</f>
        <v>Camping CESAP</v>
      </c>
      <c r="H781" s="36" t="str">
        <f>IFERROR(__xludf.DUMMYFUNCTION("""COMPUTED_VALUE"""),"")</f>
        <v/>
      </c>
    </row>
    <row r="782">
      <c r="A782" s="36" t="str">
        <f>IFERROR(__xludf.DUMMYFUNCTION("""COMPUTED_VALUE"""),"01-21-07-248")</f>
        <v>01-21-07-248</v>
      </c>
      <c r="B782" s="36" t="str">
        <f>IFERROR(__xludf.DUMMYFUNCTION("""COMPUTED_VALUE"""),"")</f>
        <v/>
      </c>
      <c r="C782" s="36" t="str">
        <f>IFERROR(__xludf.DUMMYFUNCTION("""COMPUTED_VALUE"""),"")</f>
        <v/>
      </c>
      <c r="D782" s="36" t="str">
        <f>IFERROR(__xludf.DUMMYFUNCTION("""COMPUTED_VALUE"""),"")</f>
        <v/>
      </c>
      <c r="E782" s="36" t="str">
        <f>IFERROR(__xludf.DUMMYFUNCTION("""COMPUTED_VALUE"""),"04-45-12-14E")</f>
        <v>04-45-12-14E</v>
      </c>
      <c r="F782" s="36"/>
      <c r="G782" s="36" t="str">
        <f>IFERROR(__xludf.DUMMYFUNCTION("""COMPUTED_VALUE"""),"Camping de la UOM")</f>
        <v>Camping de la UOM</v>
      </c>
      <c r="H782" s="36" t="str">
        <f>IFERROR(__xludf.DUMMYFUNCTION("""COMPUTED_VALUE"""),"")</f>
        <v/>
      </c>
    </row>
    <row r="783">
      <c r="A783" s="36" t="str">
        <f>IFERROR(__xludf.DUMMYFUNCTION("""COMPUTED_VALUE"""),"01-21-07-249")</f>
        <v>01-21-07-249</v>
      </c>
      <c r="B783" s="36" t="str">
        <f>IFERROR(__xludf.DUMMYFUNCTION("""COMPUTED_VALUE"""),"")</f>
        <v/>
      </c>
      <c r="C783" s="36" t="str">
        <f>IFERROR(__xludf.DUMMYFUNCTION("""COMPUTED_VALUE"""),"")</f>
        <v/>
      </c>
      <c r="D783" s="36" t="str">
        <f>IFERROR(__xludf.DUMMYFUNCTION("""COMPUTED_VALUE"""),"")</f>
        <v/>
      </c>
      <c r="E783" s="36" t="str">
        <f>IFERROR(__xludf.DUMMYFUNCTION("""COMPUTED_VALUE"""),"03-22-10-76A")</f>
        <v>03-22-10-76A</v>
      </c>
      <c r="F783" s="36"/>
      <c r="G783" s="36" t="str">
        <f>IFERROR(__xludf.DUMMYFUNCTION("""COMPUTED_VALUE"""),"Camping de los Plásticos Norte")</f>
        <v>Camping de los Plásticos Norte</v>
      </c>
      <c r="H783" s="36" t="str">
        <f>IFERROR(__xludf.DUMMYFUNCTION("""COMPUTED_VALUE"""),"")</f>
        <v/>
      </c>
    </row>
    <row r="784">
      <c r="A784" s="36" t="str">
        <f>IFERROR(__xludf.DUMMYFUNCTION("""COMPUTED_VALUE"""),"01-21-07-250")</f>
        <v>01-21-07-250</v>
      </c>
      <c r="B784" s="36" t="str">
        <f>IFERROR(__xludf.DUMMYFUNCTION("""COMPUTED_VALUE"""),"")</f>
        <v/>
      </c>
      <c r="C784" s="36" t="str">
        <f>IFERROR(__xludf.DUMMYFUNCTION("""COMPUTED_VALUE"""),"")</f>
        <v/>
      </c>
      <c r="D784" s="36" t="str">
        <f>IFERROR(__xludf.DUMMYFUNCTION("""COMPUTED_VALUE"""),"")</f>
        <v/>
      </c>
      <c r="E784" s="36" t="str">
        <f>IFERROR(__xludf.DUMMYFUNCTION("""COMPUTED_VALUE"""),"03-22-10-76B")</f>
        <v>03-22-10-76B</v>
      </c>
      <c r="F784" s="36"/>
      <c r="G784" s="36" t="str">
        <f>IFERROR(__xludf.DUMMYFUNCTION("""COMPUTED_VALUE"""),"Camping de los Plásticos Sur")</f>
        <v>Camping de los Plásticos Sur</v>
      </c>
      <c r="H784" s="36" t="str">
        <f>IFERROR(__xludf.DUMMYFUNCTION("""COMPUTED_VALUE"""),"")</f>
        <v/>
      </c>
    </row>
    <row r="785">
      <c r="A785" s="36" t="str">
        <f>IFERROR(__xludf.DUMMYFUNCTION("""COMPUTED_VALUE"""),"01-21-07-251")</f>
        <v>01-21-07-251</v>
      </c>
      <c r="B785" s="36" t="str">
        <f>IFERROR(__xludf.DUMMYFUNCTION("""COMPUTED_VALUE"""),"")</f>
        <v/>
      </c>
      <c r="C785" s="36" t="str">
        <f>IFERROR(__xludf.DUMMYFUNCTION("""COMPUTED_VALUE"""),"")</f>
        <v/>
      </c>
      <c r="D785" s="36" t="str">
        <f>IFERROR(__xludf.DUMMYFUNCTION("""COMPUTED_VALUE"""),"")</f>
        <v/>
      </c>
      <c r="E785" s="36" t="str">
        <f>IFERROR(__xludf.DUMMYFUNCTION("""COMPUTED_VALUE"""),"01-24-08-144")</f>
        <v>01-24-08-144</v>
      </c>
      <c r="F785" s="36"/>
      <c r="G785" s="36" t="str">
        <f>IFERROR(__xludf.DUMMYFUNCTION("""COMPUTED_VALUE"""),"Camping de Luz y Fuerza")</f>
        <v>Camping de Luz y Fuerza</v>
      </c>
      <c r="H785" s="36" t="str">
        <f>IFERROR(__xludf.DUMMYFUNCTION("""COMPUTED_VALUE"""),"")</f>
        <v/>
      </c>
    </row>
    <row r="786">
      <c r="A786" s="36" t="str">
        <f>IFERROR(__xludf.DUMMYFUNCTION("""COMPUTED_VALUE"""),"01-22-07-20A")</f>
        <v>01-22-07-20A</v>
      </c>
      <c r="B786" s="36" t="str">
        <f>IFERROR(__xludf.DUMMYFUNCTION("""COMPUTED_VALUE"""),"")</f>
        <v/>
      </c>
      <c r="C786" s="36" t="str">
        <f>IFERROR(__xludf.DUMMYFUNCTION("""COMPUTED_VALUE"""),"")</f>
        <v/>
      </c>
      <c r="D786" s="36" t="str">
        <f>IFERROR(__xludf.DUMMYFUNCTION("""COMPUTED_VALUE"""),"")</f>
        <v/>
      </c>
      <c r="E786" s="36" t="str">
        <f>IFERROR(__xludf.DUMMYFUNCTION("""COMPUTED_VALUE"""),"04-36-12-82")</f>
        <v>04-36-12-82</v>
      </c>
      <c r="F786" s="36"/>
      <c r="G786" s="36" t="str">
        <f>IFERROR(__xludf.DUMMYFUNCTION("""COMPUTED_VALUE"""),"Camping Foecyt")</f>
        <v>Camping Foecyt</v>
      </c>
      <c r="H786" s="36" t="str">
        <f>IFERROR(__xludf.DUMMYFUNCTION("""COMPUTED_VALUE"""),"")</f>
        <v/>
      </c>
    </row>
    <row r="787">
      <c r="A787" s="36" t="str">
        <f>IFERROR(__xludf.DUMMYFUNCTION("""COMPUTED_VALUE"""),"01-22-07-20D")</f>
        <v>01-22-07-20D</v>
      </c>
      <c r="B787" s="36" t="str">
        <f>IFERROR(__xludf.DUMMYFUNCTION("""COMPUTED_VALUE"""),"")</f>
        <v/>
      </c>
      <c r="C787" s="36" t="str">
        <f>IFERROR(__xludf.DUMMYFUNCTION("""COMPUTED_VALUE"""),"")</f>
        <v/>
      </c>
      <c r="D787" s="36" t="str">
        <f>IFERROR(__xludf.DUMMYFUNCTION("""COMPUTED_VALUE"""),"")</f>
        <v/>
      </c>
      <c r="E787" s="36" t="str">
        <f>IFERROR(__xludf.DUMMYFUNCTION("""COMPUTED_VALUE"""),"03-30-10-133A")</f>
        <v>03-30-10-133A</v>
      </c>
      <c r="F787" s="36"/>
      <c r="G787" s="36" t="str">
        <f>IFERROR(__xludf.DUMMYFUNCTION("""COMPUTED_VALUE"""),"Camping la Granja Norte")</f>
        <v>Camping la Granja Norte</v>
      </c>
      <c r="H787" s="36" t="str">
        <f>IFERROR(__xludf.DUMMYFUNCTION("""COMPUTED_VALUE"""),"")</f>
        <v/>
      </c>
    </row>
    <row r="788">
      <c r="A788" s="36" t="str">
        <f>IFERROR(__xludf.DUMMYFUNCTION("""COMPUTED_VALUE"""),"01-28-07-13B")</f>
        <v>01-28-07-13B</v>
      </c>
      <c r="B788" s="36" t="str">
        <f>IFERROR(__xludf.DUMMYFUNCTION("""COMPUTED_VALUE"""),"")</f>
        <v/>
      </c>
      <c r="C788" s="36" t="str">
        <f>IFERROR(__xludf.DUMMYFUNCTION("""COMPUTED_VALUE"""),"")</f>
        <v/>
      </c>
      <c r="D788" s="36" t="str">
        <f>IFERROR(__xludf.DUMMYFUNCTION("""COMPUTED_VALUE"""),"")</f>
        <v/>
      </c>
      <c r="E788" s="36" t="str">
        <f>IFERROR(__xludf.DUMMYFUNCTION("""COMPUTED_VALUE"""),"03-33-10-133B")</f>
        <v>03-33-10-133B</v>
      </c>
      <c r="F788" s="36"/>
      <c r="G788" s="36" t="str">
        <f>IFERROR(__xludf.DUMMYFUNCTION("""COMPUTED_VALUE"""),"Camping la Granja Sur")</f>
        <v>Camping la Granja Sur</v>
      </c>
      <c r="H788" s="36" t="str">
        <f>IFERROR(__xludf.DUMMYFUNCTION("""COMPUTED_VALUE"""),"")</f>
        <v/>
      </c>
    </row>
    <row r="789">
      <c r="A789" s="36" t="str">
        <f>IFERROR(__xludf.DUMMYFUNCTION("""COMPUTED_VALUE"""),"01-28-07-17")</f>
        <v>01-28-07-17</v>
      </c>
      <c r="B789" s="36" t="str">
        <f>IFERROR(__xludf.DUMMYFUNCTION("""COMPUTED_VALUE"""),"")</f>
        <v/>
      </c>
      <c r="C789" s="36" t="str">
        <f>IFERROR(__xludf.DUMMYFUNCTION("""COMPUTED_VALUE"""),"")</f>
        <v/>
      </c>
      <c r="D789" s="36" t="str">
        <f>IFERROR(__xludf.DUMMYFUNCTION("""COMPUTED_VALUE"""),"")</f>
        <v/>
      </c>
      <c r="E789" s="36" t="str">
        <f>IFERROR(__xludf.DUMMYFUNCTION("""COMPUTED_VALUE"""),"02-32-05-30A")</f>
        <v>02-32-05-30A</v>
      </c>
      <c r="F789" s="36"/>
      <c r="G789" s="36" t="str">
        <f>IFERROR(__xludf.DUMMYFUNCTION("""COMPUTED_VALUE"""),"Camping Las Palmeras")</f>
        <v>Camping Las Palmeras</v>
      </c>
      <c r="H789" s="36" t="str">
        <f>IFERROR(__xludf.DUMMYFUNCTION("""COMPUTED_VALUE"""),"")</f>
        <v/>
      </c>
    </row>
    <row r="790">
      <c r="A790" s="36" t="str">
        <f>IFERROR(__xludf.DUMMYFUNCTION("""COMPUTED_VALUE"""),"01-28-07-19")</f>
        <v>01-28-07-19</v>
      </c>
      <c r="B790" s="36" t="str">
        <f>IFERROR(__xludf.DUMMYFUNCTION("""COMPUTED_VALUE"""),"")</f>
        <v/>
      </c>
      <c r="C790" s="36" t="str">
        <f>IFERROR(__xludf.DUMMYFUNCTION("""COMPUTED_VALUE"""),"")</f>
        <v/>
      </c>
      <c r="D790" s="36" t="str">
        <f>IFERROR(__xludf.DUMMYFUNCTION("""COMPUTED_VALUE"""),"")</f>
        <v/>
      </c>
      <c r="E790" s="36" t="str">
        <f>IFERROR(__xludf.DUMMYFUNCTION("""COMPUTED_VALUE"""),"08-36-01-50")</f>
        <v>08-36-01-50</v>
      </c>
      <c r="F790" s="36"/>
      <c r="G790" s="36" t="str">
        <f>IFERROR(__xludf.DUMMYFUNCTION("""COMPUTED_VALUE"""),"Camping M. P. Poder Judicial E")</f>
        <v>Camping M. P. Poder Judicial E</v>
      </c>
      <c r="H790" s="36" t="str">
        <f>IFERROR(__xludf.DUMMYFUNCTION("""COMPUTED_VALUE"""),"")</f>
        <v/>
      </c>
    </row>
    <row r="791">
      <c r="A791" s="36" t="str">
        <f>IFERROR(__xludf.DUMMYFUNCTION("""COMPUTED_VALUE"""),"01-28-07-20E")</f>
        <v>01-28-07-20E</v>
      </c>
      <c r="B791" s="36" t="str">
        <f>IFERROR(__xludf.DUMMYFUNCTION("""COMPUTED_VALUE"""),"")</f>
        <v/>
      </c>
      <c r="C791" s="36" t="str">
        <f>IFERROR(__xludf.DUMMYFUNCTION("""COMPUTED_VALUE"""),"")</f>
        <v/>
      </c>
      <c r="D791" s="36" t="str">
        <f>IFERROR(__xludf.DUMMYFUNCTION("""COMPUTED_VALUE"""),"")</f>
        <v/>
      </c>
      <c r="E791" s="36" t="str">
        <f>IFERROR(__xludf.DUMMYFUNCTION("""COMPUTED_VALUE"""),"08-34-01-49")</f>
        <v>08-34-01-49</v>
      </c>
      <c r="F791" s="36"/>
      <c r="G791" s="36" t="str">
        <f>IFERROR(__xludf.DUMMYFUNCTION("""COMPUTED_VALUE"""),"Camping M. P. Poder Judicial O")</f>
        <v>Camping M. P. Poder Judicial O</v>
      </c>
      <c r="H791" s="36" t="str">
        <f>IFERROR(__xludf.DUMMYFUNCTION("""COMPUTED_VALUE"""),"")</f>
        <v/>
      </c>
    </row>
    <row r="792">
      <c r="A792" s="36" t="str">
        <f>IFERROR(__xludf.DUMMYFUNCTION("""COMPUTED_VALUE"""),"01-28-07-8A")</f>
        <v>01-28-07-8A</v>
      </c>
      <c r="B792" s="36" t="str">
        <f>IFERROR(__xludf.DUMMYFUNCTION("""COMPUTED_VALUE"""),"")</f>
        <v/>
      </c>
      <c r="C792" s="36" t="str">
        <f>IFERROR(__xludf.DUMMYFUNCTION("""COMPUTED_VALUE"""),"")</f>
        <v/>
      </c>
      <c r="D792" s="36" t="str">
        <f>IFERROR(__xludf.DUMMYFUNCTION("""COMPUTED_VALUE"""),"")</f>
        <v/>
      </c>
      <c r="E792" s="36" t="str">
        <f>IFERROR(__xludf.DUMMYFUNCTION("""COMPUTED_VALUE"""),"08-31-01-7A")</f>
        <v>08-31-01-7A</v>
      </c>
      <c r="F792" s="36"/>
      <c r="G792" s="36" t="str">
        <f>IFERROR(__xludf.DUMMYFUNCTION("""COMPUTED_VALUE"""),"Camping Municipal Villa Observatorio N")</f>
        <v>Camping Municipal Villa Observatorio N</v>
      </c>
      <c r="H792" s="36" t="str">
        <f>IFERROR(__xludf.DUMMYFUNCTION("""COMPUTED_VALUE"""),"")</f>
        <v/>
      </c>
    </row>
    <row r="793">
      <c r="A793" s="36" t="str">
        <f>IFERROR(__xludf.DUMMYFUNCTION("""COMPUTED_VALUE"""),"01-29-07-13A")</f>
        <v>01-29-07-13A</v>
      </c>
      <c r="B793" s="36" t="str">
        <f>IFERROR(__xludf.DUMMYFUNCTION("""COMPUTED_VALUE"""),"")</f>
        <v/>
      </c>
      <c r="C793" s="36" t="str">
        <f>IFERROR(__xludf.DUMMYFUNCTION("""COMPUTED_VALUE"""),"")</f>
        <v/>
      </c>
      <c r="D793" s="36" t="str">
        <f>IFERROR(__xludf.DUMMYFUNCTION("""COMPUTED_VALUE"""),"")</f>
        <v/>
      </c>
      <c r="E793" s="36" t="str">
        <f>IFERROR(__xludf.DUMMYFUNCTION("""COMPUTED_VALUE"""),"08-31-01-7B")</f>
        <v>08-31-01-7B</v>
      </c>
      <c r="F793" s="36"/>
      <c r="G793" s="36" t="str">
        <f>IFERROR(__xludf.DUMMYFUNCTION("""COMPUTED_VALUE"""),"Camping Municipal Villa Observatorio S")</f>
        <v>Camping Municipal Villa Observatorio S</v>
      </c>
      <c r="H793" s="36" t="str">
        <f>IFERROR(__xludf.DUMMYFUNCTION("""COMPUTED_VALUE"""),"")</f>
        <v/>
      </c>
    </row>
    <row r="794">
      <c r="A794" s="36" t="str">
        <f>IFERROR(__xludf.DUMMYFUNCTION("""COMPUTED_VALUE"""),"01-29-07-14")</f>
        <v>01-29-07-14</v>
      </c>
      <c r="B794" s="36" t="str">
        <f>IFERROR(__xludf.DUMMYFUNCTION("""COMPUTED_VALUE"""),"")</f>
        <v/>
      </c>
      <c r="C794" s="36" t="str">
        <f>IFERROR(__xludf.DUMMYFUNCTION("""COMPUTED_VALUE"""),"")</f>
        <v/>
      </c>
      <c r="D794" s="36" t="str">
        <f>IFERROR(__xludf.DUMMYFUNCTION("""COMPUTED_VALUE"""),"")</f>
        <v/>
      </c>
      <c r="E794" s="36" t="str">
        <f>IFERROR(__xludf.DUMMYFUNCTION("""COMPUTED_VALUE"""),"08-26-03-54")</f>
        <v>08-26-03-54</v>
      </c>
      <c r="F794" s="36"/>
      <c r="G794" s="36" t="str">
        <f>IFERROR(__xludf.DUMMYFUNCTION("""COMPUTED_VALUE"""),"Camping SAT SAID E")</f>
        <v>Camping SAT SAID E</v>
      </c>
      <c r="H794" s="36" t="str">
        <f>IFERROR(__xludf.DUMMYFUNCTION("""COMPUTED_VALUE"""),"")</f>
        <v/>
      </c>
    </row>
    <row r="795">
      <c r="A795" s="36" t="str">
        <f>IFERROR(__xludf.DUMMYFUNCTION("""COMPUTED_VALUE"""),"01-29-07-15")</f>
        <v>01-29-07-15</v>
      </c>
      <c r="B795" s="36" t="str">
        <f>IFERROR(__xludf.DUMMYFUNCTION("""COMPUTED_VALUE"""),"")</f>
        <v/>
      </c>
      <c r="C795" s="36" t="str">
        <f>IFERROR(__xludf.DUMMYFUNCTION("""COMPUTED_VALUE"""),"")</f>
        <v/>
      </c>
      <c r="D795" s="36" t="str">
        <f>IFERROR(__xludf.DUMMYFUNCTION("""COMPUTED_VALUE"""),"")</f>
        <v/>
      </c>
      <c r="E795" s="36" t="str">
        <f>IFERROR(__xludf.DUMMYFUNCTION("""COMPUTED_VALUE"""),"08-26-03-53")</f>
        <v>08-26-03-53</v>
      </c>
      <c r="F795" s="36"/>
      <c r="G795" s="36" t="str">
        <f>IFERROR(__xludf.DUMMYFUNCTION("""COMPUTED_VALUE"""),"Camping SAT SAID O")</f>
        <v>Camping SAT SAID O</v>
      </c>
      <c r="H795" s="36" t="str">
        <f>IFERROR(__xludf.DUMMYFUNCTION("""COMPUTED_VALUE"""),"")</f>
        <v/>
      </c>
    </row>
    <row r="796">
      <c r="A796" s="36" t="str">
        <f>IFERROR(__xludf.DUMMYFUNCTION("""COMPUTED_VALUE"""),"01-29-07-16")</f>
        <v>01-29-07-16</v>
      </c>
      <c r="B796" s="36" t="str">
        <f>IFERROR(__xludf.DUMMYFUNCTION("""COMPUTED_VALUE"""),"")</f>
        <v/>
      </c>
      <c r="C796" s="36" t="str">
        <f>IFERROR(__xludf.DUMMYFUNCTION("""COMPUTED_VALUE"""),"")</f>
        <v/>
      </c>
      <c r="D796" s="36" t="str">
        <f>IFERROR(__xludf.DUMMYFUNCTION("""COMPUTED_VALUE"""),"")</f>
        <v/>
      </c>
      <c r="E796" s="36" t="str">
        <f>IFERROR(__xludf.DUMMYFUNCTION("""COMPUTED_VALUE"""),"03-46-10-114B")</f>
        <v>03-46-10-114B</v>
      </c>
      <c r="F796" s="36"/>
      <c r="G796" s="36" t="str">
        <f>IFERROR(__xludf.DUMMYFUNCTION("""COMPUTED_VALUE"""),"Camping SOIV Norte")</f>
        <v>Camping SOIV Norte</v>
      </c>
      <c r="H796" s="36" t="str">
        <f>IFERROR(__xludf.DUMMYFUNCTION("""COMPUTED_VALUE"""),"")</f>
        <v/>
      </c>
    </row>
    <row r="797">
      <c r="A797" s="36" t="str">
        <f>IFERROR(__xludf.DUMMYFUNCTION("""COMPUTED_VALUE"""),"01-29-07-18")</f>
        <v>01-29-07-18</v>
      </c>
      <c r="B797" s="36" t="str">
        <f>IFERROR(__xludf.DUMMYFUNCTION("""COMPUTED_VALUE"""),"")</f>
        <v/>
      </c>
      <c r="C797" s="36" t="str">
        <f>IFERROR(__xludf.DUMMYFUNCTION("""COMPUTED_VALUE"""),"")</f>
        <v/>
      </c>
      <c r="D797" s="36" t="str">
        <f>IFERROR(__xludf.DUMMYFUNCTION("""COMPUTED_VALUE"""),"")</f>
        <v/>
      </c>
      <c r="E797" s="36" t="str">
        <f>IFERROR(__xludf.DUMMYFUNCTION("""COMPUTED_VALUE"""),"03-46-10-114A")</f>
        <v>03-46-10-114A</v>
      </c>
      <c r="F797" s="36"/>
      <c r="G797" s="36" t="str">
        <f>IFERROR(__xludf.DUMMYFUNCTION("""COMPUTED_VALUE"""),"Camping SOIV Sur")</f>
        <v>Camping SOIV Sur</v>
      </c>
      <c r="H797" s="36" t="str">
        <f>IFERROR(__xludf.DUMMYFUNCTION("""COMPUTED_VALUE"""),"")</f>
        <v/>
      </c>
    </row>
    <row r="798">
      <c r="A798" s="36" t="str">
        <f>IFERROR(__xludf.DUMMYFUNCTION("""COMPUTED_VALUE"""),"01-29-07-209")</f>
        <v>01-29-07-209</v>
      </c>
      <c r="B798" s="36" t="str">
        <f>IFERROR(__xludf.DUMMYFUNCTION("""COMPUTED_VALUE"""),"")</f>
        <v/>
      </c>
      <c r="C798" s="36" t="str">
        <f>IFERROR(__xludf.DUMMYFUNCTION("""COMPUTED_VALUE"""),"")</f>
        <v/>
      </c>
      <c r="D798" s="36" t="str">
        <f>IFERROR(__xludf.DUMMYFUNCTION("""COMPUTED_VALUE"""),"")</f>
        <v/>
      </c>
      <c r="E798" s="36" t="str">
        <f>IFERROR(__xludf.DUMMYFUNCTION("""COMPUTED_VALUE"""),"04-35-12-15J")</f>
        <v>04-35-12-15J</v>
      </c>
      <c r="F798" s="36"/>
      <c r="G798" s="36" t="str">
        <f>IFERROR(__xludf.DUMMYFUNCTION("""COMPUTED_VALUE"""),"Capdevila y Aguilar")</f>
        <v>Capdevila y Aguilar</v>
      </c>
      <c r="H798" s="36" t="str">
        <f>IFERROR(__xludf.DUMMYFUNCTION("""COMPUTED_VALUE"""),"")</f>
        <v/>
      </c>
    </row>
    <row r="799">
      <c r="A799" s="36" t="str">
        <f>IFERROR(__xludf.DUMMYFUNCTION("""COMPUTED_VALUE"""),"01-29-07-21")</f>
        <v>01-29-07-21</v>
      </c>
      <c r="B799" s="36" t="str">
        <f>IFERROR(__xludf.DUMMYFUNCTION("""COMPUTED_VALUE"""),"")</f>
        <v/>
      </c>
      <c r="C799" s="36" t="str">
        <f>IFERROR(__xludf.DUMMYFUNCTION("""COMPUTED_VALUE"""),"")</f>
        <v/>
      </c>
      <c r="D799" s="36" t="str">
        <f>IFERROR(__xludf.DUMMYFUNCTION("""COMPUTED_VALUE"""),"")</f>
        <v/>
      </c>
      <c r="E799" s="36" t="str">
        <f>IFERROR(__xludf.DUMMYFUNCTION("""COMPUTED_VALUE"""),"04-44-12-5")</f>
        <v>04-44-12-5</v>
      </c>
      <c r="F799" s="36"/>
      <c r="G799" s="36" t="str">
        <f>IFERROR(__xludf.DUMMYFUNCTION("""COMPUTED_VALUE"""),"Capdevila y Dr. Ortega")</f>
        <v>Capdevila y Dr. Ortega</v>
      </c>
      <c r="H799" s="36" t="str">
        <f>IFERROR(__xludf.DUMMYFUNCTION("""COMPUTED_VALUE"""),"")</f>
        <v/>
      </c>
    </row>
    <row r="800">
      <c r="A800" s="36" t="str">
        <f>IFERROR(__xludf.DUMMYFUNCTION("""COMPUTED_VALUE"""),"01-29-07-22")</f>
        <v>01-29-07-22</v>
      </c>
      <c r="B800" s="36" t="str">
        <f>IFERROR(__xludf.DUMMYFUNCTION("""COMPUTED_VALUE"""),"")</f>
        <v/>
      </c>
      <c r="C800" s="36" t="str">
        <f>IFERROR(__xludf.DUMMYFUNCTION("""COMPUTED_VALUE"""),"")</f>
        <v/>
      </c>
      <c r="D800" s="36" t="str">
        <f>IFERROR(__xludf.DUMMYFUNCTION("""COMPUTED_VALUE"""),"")</f>
        <v/>
      </c>
      <c r="E800" s="36" t="str">
        <f>IFERROR(__xludf.DUMMYFUNCTION("""COMPUTED_VALUE"""),"04-44-12-1")</f>
        <v>04-44-12-1</v>
      </c>
      <c r="F800" s="36"/>
      <c r="G800" s="36" t="str">
        <f>IFERROR(__xludf.DUMMYFUNCTION("""COMPUTED_VALUE"""),"Capdevila y Fray Luis Beltrán Este")</f>
        <v>Capdevila y Fray Luis Beltrán Este</v>
      </c>
      <c r="H800" s="36" t="str">
        <f>IFERROR(__xludf.DUMMYFUNCTION("""COMPUTED_VALUE"""),"")</f>
        <v/>
      </c>
    </row>
    <row r="801">
      <c r="A801" s="36" t="str">
        <f>IFERROR(__xludf.DUMMYFUNCTION("""COMPUTED_VALUE"""),"01-29-07-23B")</f>
        <v>01-29-07-23B</v>
      </c>
      <c r="B801" s="36" t="str">
        <f>IFERROR(__xludf.DUMMYFUNCTION("""COMPUTED_VALUE"""),"")</f>
        <v/>
      </c>
      <c r="C801" s="36" t="str">
        <f>IFERROR(__xludf.DUMMYFUNCTION("""COMPUTED_VALUE"""),"")</f>
        <v/>
      </c>
      <c r="D801" s="36" t="str">
        <f>IFERROR(__xludf.DUMMYFUNCTION("""COMPUTED_VALUE"""),"")</f>
        <v/>
      </c>
      <c r="E801" s="36" t="str">
        <f>IFERROR(__xludf.DUMMYFUNCTION("""COMPUTED_VALUE"""),"04-44-12-2")</f>
        <v>04-44-12-2</v>
      </c>
      <c r="F801" s="36"/>
      <c r="G801" s="36" t="str">
        <f>IFERROR(__xludf.DUMMYFUNCTION("""COMPUTED_VALUE"""),"Capdevila y Fray Luis Beltrán Oeste")</f>
        <v>Capdevila y Fray Luis Beltrán Oeste</v>
      </c>
      <c r="H801" s="36" t="str">
        <f>IFERROR(__xludf.DUMMYFUNCTION("""COMPUTED_VALUE"""),"")</f>
        <v/>
      </c>
    </row>
    <row r="802">
      <c r="A802" s="36" t="str">
        <f>IFERROR(__xludf.DUMMYFUNCTION("""COMPUTED_VALUE"""),"01-29-07-23C")</f>
        <v>01-29-07-23C</v>
      </c>
      <c r="B802" s="36" t="str">
        <f>IFERROR(__xludf.DUMMYFUNCTION("""COMPUTED_VALUE"""),"")</f>
        <v/>
      </c>
      <c r="C802" s="36" t="str">
        <f>IFERROR(__xludf.DUMMYFUNCTION("""COMPUTED_VALUE"""),"")</f>
        <v/>
      </c>
      <c r="D802" s="36" t="str">
        <f>IFERROR(__xludf.DUMMYFUNCTION("""COMPUTED_VALUE"""),"")</f>
        <v/>
      </c>
      <c r="E802" s="36" t="str">
        <f>IFERROR(__xludf.DUMMYFUNCTION("""COMPUTED_VALUE"""),"04-35-12-15F")</f>
        <v>04-35-12-15F</v>
      </c>
      <c r="F802" s="36"/>
      <c r="G802" s="36" t="str">
        <f>IFERROR(__xludf.DUMMYFUNCTION("""COMPUTED_VALUE"""),"Capdevila y Guayaquil")</f>
        <v>Capdevila y Guayaquil</v>
      </c>
      <c r="H802" s="36" t="str">
        <f>IFERROR(__xludf.DUMMYFUNCTION("""COMPUTED_VALUE"""),"")</f>
        <v/>
      </c>
    </row>
    <row r="803">
      <c r="A803" s="36" t="str">
        <f>IFERROR(__xludf.DUMMYFUNCTION("""COMPUTED_VALUE"""),"01-29-07-243")</f>
        <v>01-29-07-243</v>
      </c>
      <c r="B803" s="36" t="str">
        <f>IFERROR(__xludf.DUMMYFUNCTION("""COMPUTED_VALUE"""),"")</f>
        <v/>
      </c>
      <c r="C803" s="36" t="str">
        <f>IFERROR(__xludf.DUMMYFUNCTION("""COMPUTED_VALUE"""),"")</f>
        <v/>
      </c>
      <c r="D803" s="36" t="str">
        <f>IFERROR(__xludf.DUMMYFUNCTION("""COMPUTED_VALUE"""),"")</f>
        <v/>
      </c>
      <c r="E803" s="36" t="str">
        <f>IFERROR(__xludf.DUMMYFUNCTION("""COMPUTED_VALUE"""),"04-44-12-4")</f>
        <v>04-44-12-4</v>
      </c>
      <c r="F803" s="36"/>
      <c r="G803" s="36" t="str">
        <f>IFERROR(__xludf.DUMMYFUNCTION("""COMPUTED_VALUE"""),"Capdevila y Juan José Paso Oeste")</f>
        <v>Capdevila y Juan José Paso Oeste</v>
      </c>
      <c r="H803" s="36" t="str">
        <f>IFERROR(__xludf.DUMMYFUNCTION("""COMPUTED_VALUE"""),"")</f>
        <v/>
      </c>
    </row>
    <row r="804">
      <c r="A804" s="36" t="str">
        <f>IFERROR(__xludf.DUMMYFUNCTION("""COMPUTED_VALUE"""),"01-29-07-243A")</f>
        <v>01-29-07-243A</v>
      </c>
      <c r="B804" s="36" t="str">
        <f>IFERROR(__xludf.DUMMYFUNCTION("""COMPUTED_VALUE"""),"")</f>
        <v/>
      </c>
      <c r="C804" s="36" t="str">
        <f>IFERROR(__xludf.DUMMYFUNCTION("""COMPUTED_VALUE"""),"")</f>
        <v/>
      </c>
      <c r="D804" s="36" t="str">
        <f>IFERROR(__xludf.DUMMYFUNCTION("""COMPUTED_VALUE"""),"")</f>
        <v/>
      </c>
      <c r="E804" s="36" t="str">
        <f>IFERROR(__xludf.DUMMYFUNCTION("""COMPUTED_VALUE"""),"04-35-12-15I")</f>
        <v>04-35-12-15I</v>
      </c>
      <c r="F804" s="36"/>
      <c r="G804" s="36" t="str">
        <f>IFERROR(__xludf.DUMMYFUNCTION("""COMPUTED_VALUE"""),"Capdevila y Maipú")</f>
        <v>Capdevila y Maipú</v>
      </c>
      <c r="H804" s="36" t="str">
        <f>IFERROR(__xludf.DUMMYFUNCTION("""COMPUTED_VALUE"""),"")</f>
        <v/>
      </c>
    </row>
    <row r="805">
      <c r="A805" s="36" t="str">
        <f>IFERROR(__xludf.DUMMYFUNCTION("""COMPUTED_VALUE"""),"01-29-07-244")</f>
        <v>01-29-07-244</v>
      </c>
      <c r="B805" s="36" t="str">
        <f>IFERROR(__xludf.DUMMYFUNCTION("""COMPUTED_VALUE"""),"")</f>
        <v/>
      </c>
      <c r="C805" s="36" t="str">
        <f>IFERROR(__xludf.DUMMYFUNCTION("""COMPUTED_VALUE"""),"")</f>
        <v/>
      </c>
      <c r="D805" s="36" t="str">
        <f>IFERROR(__xludf.DUMMYFUNCTION("""COMPUTED_VALUE"""),"")</f>
        <v/>
      </c>
      <c r="E805" s="36" t="str">
        <f>IFERROR(__xludf.DUMMYFUNCTION("""COMPUTED_VALUE"""),"04-35-12-15H")</f>
        <v>04-35-12-15H</v>
      </c>
      <c r="F805" s="36"/>
      <c r="G805" s="36" t="str">
        <f>IFERROR(__xludf.DUMMYFUNCTION("""COMPUTED_VALUE"""),"Capdevila y Nazca")</f>
        <v>Capdevila y Nazca</v>
      </c>
      <c r="H805" s="36" t="str">
        <f>IFERROR(__xludf.DUMMYFUNCTION("""COMPUTED_VALUE"""),"")</f>
        <v/>
      </c>
    </row>
    <row r="806">
      <c r="A806" s="36" t="str">
        <f>IFERROR(__xludf.DUMMYFUNCTION("""COMPUTED_VALUE"""),"01-29-07-245")</f>
        <v>01-29-07-245</v>
      </c>
      <c r="B806" s="36" t="str">
        <f>IFERROR(__xludf.DUMMYFUNCTION("""COMPUTED_VALUE"""),"")</f>
        <v/>
      </c>
      <c r="C806" s="36" t="str">
        <f>IFERROR(__xludf.DUMMYFUNCTION("""COMPUTED_VALUE"""),"")</f>
        <v/>
      </c>
      <c r="D806" s="36" t="str">
        <f>IFERROR(__xludf.DUMMYFUNCTION("""COMPUTED_VALUE"""),"")</f>
        <v/>
      </c>
      <c r="E806" s="36" t="str">
        <f>IFERROR(__xludf.DUMMYFUNCTION("""COMPUTED_VALUE"""),"02-27-06-88")</f>
        <v>02-27-06-88</v>
      </c>
      <c r="F806" s="36"/>
      <c r="G806" s="36" t="str">
        <f>IFERROR(__xludf.DUMMYFUNCTION("""COMPUTED_VALUE"""),"Capilla B° Parque Rivadavia Norte")</f>
        <v>Capilla B° Parque Rivadavia Norte</v>
      </c>
      <c r="H806" s="36" t="str">
        <f>IFERROR(__xludf.DUMMYFUNCTION("""COMPUTED_VALUE"""),"")</f>
        <v/>
      </c>
    </row>
    <row r="807">
      <c r="A807" s="36" t="str">
        <f>IFERROR(__xludf.DUMMYFUNCTION("""COMPUTED_VALUE"""),"01-29-07-246")</f>
        <v>01-29-07-246</v>
      </c>
      <c r="B807" s="36" t="str">
        <f>IFERROR(__xludf.DUMMYFUNCTION("""COMPUTED_VALUE"""),"")</f>
        <v/>
      </c>
      <c r="C807" s="36" t="str">
        <f>IFERROR(__xludf.DUMMYFUNCTION("""COMPUTED_VALUE"""),"")</f>
        <v/>
      </c>
      <c r="D807" s="36" t="str">
        <f>IFERROR(__xludf.DUMMYFUNCTION("""COMPUTED_VALUE"""),"")</f>
        <v/>
      </c>
      <c r="E807" s="36" t="str">
        <f>IFERROR(__xludf.DUMMYFUNCTION("""COMPUTED_VALUE"""),"08-40-02-127")</f>
        <v>08-40-02-127</v>
      </c>
      <c r="F807" s="36"/>
      <c r="G807" s="36" t="str">
        <f>IFERROR(__xludf.DUMMYFUNCTION("""COMPUTED_VALUE"""),"Capilla Medalla Milagrosa")</f>
        <v>Capilla Medalla Milagrosa</v>
      </c>
      <c r="H807" s="36" t="str">
        <f>IFERROR(__xludf.DUMMYFUNCTION("""COMPUTED_VALUE"""),"")</f>
        <v/>
      </c>
    </row>
    <row r="808">
      <c r="A808" s="36" t="str">
        <f>IFERROR(__xludf.DUMMYFUNCTION("""COMPUTED_VALUE"""),"01-29-07-247")</f>
        <v>01-29-07-247</v>
      </c>
      <c r="B808" s="36" t="str">
        <f>IFERROR(__xludf.DUMMYFUNCTION("""COMPUTED_VALUE"""),"")</f>
        <v/>
      </c>
      <c r="C808" s="36" t="str">
        <f>IFERROR(__xludf.DUMMYFUNCTION("""COMPUTED_VALUE"""),"")</f>
        <v/>
      </c>
      <c r="D808" s="36" t="str">
        <f>IFERROR(__xludf.DUMMYFUNCTION("""COMPUTED_VALUE"""),"")</f>
        <v/>
      </c>
      <c r="E808" s="36" t="str">
        <f>IFERROR(__xludf.DUMMYFUNCTION("""COMPUTED_VALUE"""),"04-45-12-49")</f>
        <v>04-45-12-49</v>
      </c>
      <c r="F808" s="36"/>
      <c r="G808" s="36" t="str">
        <f>IFERROR(__xludf.DUMMYFUNCTION("""COMPUTED_VALUE"""),"Capilla Stella Maris")</f>
        <v>Capilla Stella Maris</v>
      </c>
      <c r="H808" s="36" t="str">
        <f>IFERROR(__xludf.DUMMYFUNCTION("""COMPUTED_VALUE"""),"")</f>
        <v/>
      </c>
    </row>
    <row r="809">
      <c r="A809" s="36" t="str">
        <f>IFERROR(__xludf.DUMMYFUNCTION("""COMPUTED_VALUE"""),"01-30-07-122")</f>
        <v>01-30-07-122</v>
      </c>
      <c r="B809" s="36" t="str">
        <f>IFERROR(__xludf.DUMMYFUNCTION("""COMPUTED_VALUE"""),"")</f>
        <v/>
      </c>
      <c r="C809" s="36" t="str">
        <f>IFERROR(__xludf.DUMMYFUNCTION("""COMPUTED_VALUE"""),"")</f>
        <v/>
      </c>
      <c r="D809" s="36" t="str">
        <f>IFERROR(__xludf.DUMMYFUNCTION("""COMPUTED_VALUE"""),"")</f>
        <v/>
      </c>
      <c r="E809" s="36" t="str">
        <f>IFERROR(__xludf.DUMMYFUNCTION("""COMPUTED_VALUE"""),"01-30-07-229")</f>
        <v>01-30-07-229</v>
      </c>
      <c r="F809" s="36"/>
      <c r="G809" s="36" t="str">
        <f>IFERROR(__xludf.DUMMYFUNCTION("""COMPUTED_VALUE"""),"Caps Dr. Alfonso Barassi")</f>
        <v>Caps Dr. Alfonso Barassi</v>
      </c>
      <c r="H809" s="36" t="str">
        <f>IFERROR(__xludf.DUMMYFUNCTION("""COMPUTED_VALUE"""),"")</f>
        <v/>
      </c>
    </row>
    <row r="810">
      <c r="A810" s="36" t="str">
        <f>IFERROR(__xludf.DUMMYFUNCTION("""COMPUTED_VALUE"""),"01-30-07-202")</f>
        <v>01-30-07-202</v>
      </c>
      <c r="B810" s="36" t="str">
        <f>IFERROR(__xludf.DUMMYFUNCTION("""COMPUTED_VALUE"""),"")</f>
        <v/>
      </c>
      <c r="C810" s="36" t="str">
        <f>IFERROR(__xludf.DUMMYFUNCTION("""COMPUTED_VALUE"""),"")</f>
        <v/>
      </c>
      <c r="D810" s="36" t="str">
        <f>IFERROR(__xludf.DUMMYFUNCTION("""COMPUTED_VALUE"""),"")</f>
        <v/>
      </c>
      <c r="E810" s="36" t="str">
        <f>IFERROR(__xludf.DUMMYFUNCTION("""COMPUTED_VALUE"""),"08-36-02-102")</f>
        <v>08-36-02-102</v>
      </c>
      <c r="F810" s="36"/>
      <c r="G810" s="36" t="str">
        <f>IFERROR(__xludf.DUMMYFUNCTION("""COMPUTED_VALUE"""),"CAPS Dr. José Ruiz N")</f>
        <v>CAPS Dr. José Ruiz N</v>
      </c>
      <c r="H810" s="36" t="str">
        <f>IFERROR(__xludf.DUMMYFUNCTION("""COMPUTED_VALUE"""),"")</f>
        <v/>
      </c>
    </row>
    <row r="811">
      <c r="A811" s="36" t="str">
        <f>IFERROR(__xludf.DUMMYFUNCTION("""COMPUTED_VALUE"""),"01-30-07-203")</f>
        <v>01-30-07-203</v>
      </c>
      <c r="B811" s="36" t="str">
        <f>IFERROR(__xludf.DUMMYFUNCTION("""COMPUTED_VALUE"""),"")</f>
        <v/>
      </c>
      <c r="C811" s="36" t="str">
        <f>IFERROR(__xludf.DUMMYFUNCTION("""COMPUTED_VALUE"""),"")</f>
        <v/>
      </c>
      <c r="D811" s="36" t="str">
        <f>IFERROR(__xludf.DUMMYFUNCTION("""COMPUTED_VALUE"""),"")</f>
        <v/>
      </c>
      <c r="E811" s="36" t="str">
        <f>IFERROR(__xludf.DUMMYFUNCTION("""COMPUTED_VALUE"""),"08-36-02-103")</f>
        <v>08-36-02-103</v>
      </c>
      <c r="F811" s="36"/>
      <c r="G811" s="36" t="str">
        <f>IFERROR(__xludf.DUMMYFUNCTION("""COMPUTED_VALUE"""),"CAPS Dr. José Ruiz S")</f>
        <v>CAPS Dr. José Ruiz S</v>
      </c>
      <c r="H811" s="36" t="str">
        <f>IFERROR(__xludf.DUMMYFUNCTION("""COMPUTED_VALUE"""),"")</f>
        <v/>
      </c>
    </row>
    <row r="812">
      <c r="A812" s="36" t="str">
        <f>IFERROR(__xludf.DUMMYFUNCTION("""COMPUTED_VALUE"""),"01-30-07-204")</f>
        <v>01-30-07-204</v>
      </c>
      <c r="B812" s="36" t="str">
        <f>IFERROR(__xludf.DUMMYFUNCTION("""COMPUTED_VALUE"""),"")</f>
        <v/>
      </c>
      <c r="C812" s="36" t="str">
        <f>IFERROR(__xludf.DUMMYFUNCTION("""COMPUTED_VALUE"""),"")</f>
        <v/>
      </c>
      <c r="D812" s="36" t="str">
        <f>IFERROR(__xludf.DUMMYFUNCTION("""COMPUTED_VALUE"""),"")</f>
        <v/>
      </c>
      <c r="E812" s="36" t="str">
        <f>IFERROR(__xludf.DUMMYFUNCTION("""COMPUTED_VALUE"""),"03-46-10-110B")</f>
        <v>03-46-10-110B</v>
      </c>
      <c r="F812" s="36"/>
      <c r="G812" s="36" t="str">
        <f>IFERROR(__xludf.DUMMYFUNCTION("""COMPUTED_VALUE"""),"Carlos Pellegrini y Balcarce")</f>
        <v>Carlos Pellegrini y Balcarce</v>
      </c>
      <c r="H812" s="36" t="str">
        <f>IFERROR(__xludf.DUMMYFUNCTION("""COMPUTED_VALUE"""),"")</f>
        <v/>
      </c>
    </row>
    <row r="813">
      <c r="A813" s="36" t="str">
        <f>IFERROR(__xludf.DUMMYFUNCTION("""COMPUTED_VALUE"""),"01-30-07-205")</f>
        <v>01-30-07-205</v>
      </c>
      <c r="B813" s="36" t="str">
        <f>IFERROR(__xludf.DUMMYFUNCTION("""COMPUTED_VALUE"""),"")</f>
        <v/>
      </c>
      <c r="C813" s="36" t="str">
        <f>IFERROR(__xludf.DUMMYFUNCTION("""COMPUTED_VALUE"""),"")</f>
        <v/>
      </c>
      <c r="D813" s="36" t="str">
        <f>IFERROR(__xludf.DUMMYFUNCTION("""COMPUTED_VALUE"""),"")</f>
        <v/>
      </c>
      <c r="E813" s="36" t="str">
        <f>IFERROR(__xludf.DUMMYFUNCTION("""COMPUTED_VALUE"""),"03-34-10-128B")</f>
        <v>03-34-10-128B</v>
      </c>
      <c r="F813" s="36"/>
      <c r="G813" s="36" t="str">
        <f>IFERROR(__xludf.DUMMYFUNCTION("""COMPUTED_VALUE"""),"Carlos Pellegrini y Buenos Aires Norte")</f>
        <v>Carlos Pellegrini y Buenos Aires Norte</v>
      </c>
      <c r="H813" s="36" t="str">
        <f>IFERROR(__xludf.DUMMYFUNCTION("""COMPUTED_VALUE"""),"")</f>
        <v/>
      </c>
    </row>
    <row r="814">
      <c r="A814" s="36" t="str">
        <f>IFERROR(__xludf.DUMMYFUNCTION("""COMPUTED_VALUE"""),"01-30-07-208")</f>
        <v>01-30-07-208</v>
      </c>
      <c r="B814" s="36" t="str">
        <f>IFERROR(__xludf.DUMMYFUNCTION("""COMPUTED_VALUE"""),"")</f>
        <v/>
      </c>
      <c r="C814" s="36" t="str">
        <f>IFERROR(__xludf.DUMMYFUNCTION("""COMPUTED_VALUE"""),"")</f>
        <v/>
      </c>
      <c r="D814" s="36" t="str">
        <f>IFERROR(__xludf.DUMMYFUNCTION("""COMPUTED_VALUE"""),"")</f>
        <v/>
      </c>
      <c r="E814" s="36" t="str">
        <f>IFERROR(__xludf.DUMMYFUNCTION("""COMPUTED_VALUE"""),"03-46-10-128A")</f>
        <v>03-46-10-128A</v>
      </c>
      <c r="F814" s="36"/>
      <c r="G814" s="36" t="str">
        <f>IFERROR(__xludf.DUMMYFUNCTION("""COMPUTED_VALUE"""),"Carlos Pellegrini y Buenos Aires Sur")</f>
        <v>Carlos Pellegrini y Buenos Aires Sur</v>
      </c>
      <c r="H814" s="36" t="str">
        <f>IFERROR(__xludf.DUMMYFUNCTION("""COMPUTED_VALUE"""),"")</f>
        <v/>
      </c>
    </row>
    <row r="815">
      <c r="A815" s="36" t="str">
        <f>IFERROR(__xludf.DUMMYFUNCTION("""COMPUTED_VALUE"""),"01-30-07-223")</f>
        <v>01-30-07-223</v>
      </c>
      <c r="B815" s="36" t="str">
        <f>IFERROR(__xludf.DUMMYFUNCTION("""COMPUTED_VALUE"""),"")</f>
        <v/>
      </c>
      <c r="C815" s="36" t="str">
        <f>IFERROR(__xludf.DUMMYFUNCTION("""COMPUTED_VALUE"""),"")</f>
        <v/>
      </c>
      <c r="D815" s="36" t="str">
        <f>IFERROR(__xludf.DUMMYFUNCTION("""COMPUTED_VALUE"""),"")</f>
        <v/>
      </c>
      <c r="E815" s="36" t="str">
        <f>IFERROR(__xludf.DUMMYFUNCTION("""COMPUTED_VALUE"""),"02-34-05-40")</f>
        <v>02-34-05-40</v>
      </c>
      <c r="F815" s="36"/>
      <c r="G815" s="36" t="str">
        <f>IFERROR(__xludf.DUMMYFUNCTION("""COMPUTED_VALUE"""),"Casa de Betania N")</f>
        <v>Casa de Betania N</v>
      </c>
      <c r="H815" s="36" t="str">
        <f>IFERROR(__xludf.DUMMYFUNCTION("""COMPUTED_VALUE"""),"")</f>
        <v/>
      </c>
    </row>
    <row r="816">
      <c r="A816" s="36" t="str">
        <f>IFERROR(__xludf.DUMMYFUNCTION("""COMPUTED_VALUE"""),"01-30-07-224")</f>
        <v>01-30-07-224</v>
      </c>
      <c r="B816" s="36" t="str">
        <f>IFERROR(__xludf.DUMMYFUNCTION("""COMPUTED_VALUE"""),"")</f>
        <v/>
      </c>
      <c r="C816" s="36" t="str">
        <f>IFERROR(__xludf.DUMMYFUNCTION("""COMPUTED_VALUE"""),"")</f>
        <v/>
      </c>
      <c r="D816" s="36" t="str">
        <f>IFERROR(__xludf.DUMMYFUNCTION("""COMPUTED_VALUE"""),"")</f>
        <v/>
      </c>
      <c r="E816" s="36" t="str">
        <f>IFERROR(__xludf.DUMMYFUNCTION("""COMPUTED_VALUE"""),"02-34-05-39")</f>
        <v>02-34-05-39</v>
      </c>
      <c r="F816" s="36"/>
      <c r="G816" s="36" t="str">
        <f>IFERROR(__xludf.DUMMYFUNCTION("""COMPUTED_VALUE"""),"Casa de Betania S")</f>
        <v>Casa de Betania S</v>
      </c>
      <c r="H816" s="36" t="str">
        <f>IFERROR(__xludf.DUMMYFUNCTION("""COMPUTED_VALUE"""),"")</f>
        <v/>
      </c>
    </row>
    <row r="817">
      <c r="A817" s="36" t="str">
        <f>IFERROR(__xludf.DUMMYFUNCTION("""COMPUTED_VALUE"""),"01-30-07-225")</f>
        <v>01-30-07-225</v>
      </c>
      <c r="B817" s="36" t="str">
        <f>IFERROR(__xludf.DUMMYFUNCTION("""COMPUTED_VALUE"""),"")</f>
        <v/>
      </c>
      <c r="C817" s="36" t="str">
        <f>IFERROR(__xludf.DUMMYFUNCTION("""COMPUTED_VALUE"""),"")</f>
        <v/>
      </c>
      <c r="D817" s="36" t="str">
        <f>IFERROR(__xludf.DUMMYFUNCTION("""COMPUTED_VALUE"""),"")</f>
        <v/>
      </c>
      <c r="E817" s="36" t="str">
        <f>IFERROR(__xludf.DUMMYFUNCTION("""COMPUTED_VALUE"""),"01-34-07-152")</f>
        <v>01-34-07-152</v>
      </c>
      <c r="F817" s="36"/>
      <c r="G817" s="36" t="str">
        <f>IFERROR(__xludf.DUMMYFUNCTION("""COMPUTED_VALUE"""),"Casa de Gobierno E")</f>
        <v>Casa de Gobierno E</v>
      </c>
      <c r="H817" s="36" t="str">
        <f>IFERROR(__xludf.DUMMYFUNCTION("""COMPUTED_VALUE"""),"")</f>
        <v/>
      </c>
    </row>
    <row r="818">
      <c r="A818" s="36" t="str">
        <f>IFERROR(__xludf.DUMMYFUNCTION("""COMPUTED_VALUE"""),"01-30-07-226")</f>
        <v>01-30-07-226</v>
      </c>
      <c r="B818" s="36" t="str">
        <f>IFERROR(__xludf.DUMMYFUNCTION("""COMPUTED_VALUE"""),"")</f>
        <v/>
      </c>
      <c r="C818" s="36" t="str">
        <f>IFERROR(__xludf.DUMMYFUNCTION("""COMPUTED_VALUE"""),"")</f>
        <v/>
      </c>
      <c r="D818" s="36" t="str">
        <f>IFERROR(__xludf.DUMMYFUNCTION("""COMPUTED_VALUE"""),"")</f>
        <v/>
      </c>
      <c r="E818" s="36" t="str">
        <f>IFERROR(__xludf.DUMMYFUNCTION("""COMPUTED_VALUE"""),"01-31-07-154")</f>
        <v>01-31-07-154</v>
      </c>
      <c r="F818" s="36"/>
      <c r="G818" s="36" t="str">
        <f>IFERROR(__xludf.DUMMYFUNCTION("""COMPUTED_VALUE"""),"Casa de Gobierno O")</f>
        <v>Casa de Gobierno O</v>
      </c>
      <c r="H818" s="36" t="str">
        <f>IFERROR(__xludf.DUMMYFUNCTION("""COMPUTED_VALUE"""),"")</f>
        <v/>
      </c>
    </row>
    <row r="819">
      <c r="A819" s="36" t="str">
        <f>IFERROR(__xludf.DUMMYFUNCTION("""COMPUTED_VALUE"""),"01-30-07-227")</f>
        <v>01-30-07-227</v>
      </c>
      <c r="B819" s="36" t="str">
        <f>IFERROR(__xludf.DUMMYFUNCTION("""COMPUTED_VALUE"""),"")</f>
        <v/>
      </c>
      <c r="C819" s="36" t="str">
        <f>IFERROR(__xludf.DUMMYFUNCTION("""COMPUTED_VALUE"""),"")</f>
        <v/>
      </c>
      <c r="D819" s="36" t="str">
        <f>IFERROR(__xludf.DUMMYFUNCTION("""COMPUTED_VALUE"""),"")</f>
        <v/>
      </c>
      <c r="E819" s="36" t="str">
        <f>IFERROR(__xludf.DUMMYFUNCTION("""COMPUTED_VALUE"""),"03-47-10-119A")</f>
        <v>03-47-10-119A</v>
      </c>
      <c r="F819" s="36"/>
      <c r="G819" s="36" t="str">
        <f>IFERROR(__xludf.DUMMYFUNCTION("""COMPUTED_VALUE"""),"Casa de La Cultura de Santa Lucía")</f>
        <v>Casa de La Cultura de Santa Lucía</v>
      </c>
      <c r="H819" s="36" t="str">
        <f>IFERROR(__xludf.DUMMYFUNCTION("""COMPUTED_VALUE"""),"")</f>
        <v/>
      </c>
    </row>
    <row r="820">
      <c r="A820" s="36" t="str">
        <f>IFERROR(__xludf.DUMMYFUNCTION("""COMPUTED_VALUE"""),"01-30-07-228")</f>
        <v>01-30-07-228</v>
      </c>
      <c r="B820" s="36" t="str">
        <f>IFERROR(__xludf.DUMMYFUNCTION("""COMPUTED_VALUE"""),"")</f>
        <v/>
      </c>
      <c r="C820" s="36" t="str">
        <f>IFERROR(__xludf.DUMMYFUNCTION("""COMPUTED_VALUE"""),"")</f>
        <v/>
      </c>
      <c r="D820" s="36" t="str">
        <f>IFERROR(__xludf.DUMMYFUNCTION("""COMPUTED_VALUE"""),"")</f>
        <v/>
      </c>
      <c r="E820" s="36" t="str">
        <f>IFERROR(__xludf.DUMMYFUNCTION("""COMPUTED_VALUE"""),"01-40-08-127")</f>
        <v>01-40-08-127</v>
      </c>
      <c r="F820" s="36"/>
      <c r="G820" s="36" t="str">
        <f>IFERROR(__xludf.DUMMYFUNCTION("""COMPUTED_VALUE"""),"Caseros y  25 de Mayo")</f>
        <v>Caseros y  25 de Mayo</v>
      </c>
      <c r="H820" s="36" t="str">
        <f>IFERROR(__xludf.DUMMYFUNCTION("""COMPUTED_VALUE"""),"")</f>
        <v/>
      </c>
    </row>
    <row r="821">
      <c r="A821" s="36" t="str">
        <f>IFERROR(__xludf.DUMMYFUNCTION("""COMPUTED_VALUE"""),"01-30-07-229")</f>
        <v>01-30-07-229</v>
      </c>
      <c r="B821" s="36" t="str">
        <f>IFERROR(__xludf.DUMMYFUNCTION("""COMPUTED_VALUE"""),"")</f>
        <v/>
      </c>
      <c r="C821" s="36" t="str">
        <f>IFERROR(__xludf.DUMMYFUNCTION("""COMPUTED_VALUE"""),"")</f>
        <v/>
      </c>
      <c r="D821" s="36" t="str">
        <f>IFERROR(__xludf.DUMMYFUNCTION("""COMPUTED_VALUE"""),"")</f>
        <v/>
      </c>
      <c r="E821" s="36" t="str">
        <f>IFERROR(__xludf.DUMMYFUNCTION("""COMPUTED_VALUE"""),"01-53-08-26B")</f>
        <v>01-53-08-26B</v>
      </c>
      <c r="F821" s="36"/>
      <c r="G821" s="36" t="str">
        <f>IFERROR(__xludf.DUMMYFUNCTION("""COMPUTED_VALUE"""),"Caseros y Av. Córdoba ")</f>
        <v>Caseros y Av. Córdoba </v>
      </c>
      <c r="H821" s="36" t="str">
        <f>IFERROR(__xludf.DUMMYFUNCTION("""COMPUTED_VALUE"""),"")</f>
        <v/>
      </c>
    </row>
    <row r="822">
      <c r="A822" s="36" t="str">
        <f>IFERROR(__xludf.DUMMYFUNCTION("""COMPUTED_VALUE"""),"01-31-07-114")</f>
        <v>01-31-07-114</v>
      </c>
      <c r="B822" s="36" t="str">
        <f>IFERROR(__xludf.DUMMYFUNCTION("""COMPUTED_VALUE"""),"")</f>
        <v/>
      </c>
      <c r="C822" s="36" t="str">
        <f>IFERROR(__xludf.DUMMYFUNCTION("""COMPUTED_VALUE"""),"")</f>
        <v/>
      </c>
      <c r="D822" s="36" t="str">
        <f>IFERROR(__xludf.DUMMYFUNCTION("""COMPUTED_VALUE"""),"")</f>
        <v/>
      </c>
      <c r="E822" s="36" t="str">
        <f>IFERROR(__xludf.DUMMYFUNCTION("""COMPUTED_VALUE"""),"01-40-08-39")</f>
        <v>01-40-08-39</v>
      </c>
      <c r="F822" s="36"/>
      <c r="G822" s="36" t="str">
        <f>IFERROR(__xludf.DUMMYFUNCTION("""COMPUTED_VALUE"""),"Caseros y Av. Libertador")</f>
        <v>Caseros y Av. Libertador</v>
      </c>
      <c r="H822" s="36" t="str">
        <f>IFERROR(__xludf.DUMMYFUNCTION("""COMPUTED_VALUE"""),"")</f>
        <v/>
      </c>
    </row>
    <row r="823">
      <c r="A823" s="36" t="str">
        <f>IFERROR(__xludf.DUMMYFUNCTION("""COMPUTED_VALUE"""),"01-31-07-116")</f>
        <v>01-31-07-116</v>
      </c>
      <c r="B823" s="36" t="str">
        <f>IFERROR(__xludf.DUMMYFUNCTION("""COMPUTED_VALUE"""),"")</f>
        <v/>
      </c>
      <c r="C823" s="36" t="str">
        <f>IFERROR(__xludf.DUMMYFUNCTION("""COMPUTED_VALUE"""),"")</f>
        <v/>
      </c>
      <c r="D823" s="36" t="str">
        <f>IFERROR(__xludf.DUMMYFUNCTION("""COMPUTED_VALUE"""),"")</f>
        <v/>
      </c>
      <c r="E823" s="36" t="str">
        <f>IFERROR(__xludf.DUMMYFUNCTION("""COMPUTED_VALUE"""),"01-53-08-30A")</f>
        <v>01-53-08-30A</v>
      </c>
      <c r="F823" s="36"/>
      <c r="G823" s="36" t="str">
        <f>IFERROR(__xludf.DUMMYFUNCTION("""COMPUTED_VALUE"""),"Caseros y Bartolomé Mitre")</f>
        <v>Caseros y Bartolomé Mitre</v>
      </c>
      <c r="H823" s="36" t="str">
        <f>IFERROR(__xludf.DUMMYFUNCTION("""COMPUTED_VALUE"""),"")</f>
        <v/>
      </c>
    </row>
    <row r="824">
      <c r="A824" s="36" t="str">
        <f>IFERROR(__xludf.DUMMYFUNCTION("""COMPUTED_VALUE"""),"01-31-07-120")</f>
        <v>01-31-07-120</v>
      </c>
      <c r="B824" s="36" t="str">
        <f>IFERROR(__xludf.DUMMYFUNCTION("""COMPUTED_VALUE"""),"")</f>
        <v/>
      </c>
      <c r="C824" s="36" t="str">
        <f>IFERROR(__xludf.DUMMYFUNCTION("""COMPUTED_VALUE"""),"")</f>
        <v/>
      </c>
      <c r="D824" s="36" t="str">
        <f>IFERROR(__xludf.DUMMYFUNCTION("""COMPUTED_VALUE"""),"")</f>
        <v/>
      </c>
      <c r="E824" s="36" t="str">
        <f>IFERROR(__xludf.DUMMYFUNCTION("""COMPUTED_VALUE"""),"01-39-08-52I")</f>
        <v>01-39-08-52I</v>
      </c>
      <c r="F824" s="36"/>
      <c r="G824" s="36" t="str">
        <f>IFERROR(__xludf.DUMMYFUNCTION("""COMPUTED_VALUE"""),"Caseros y Colombia")</f>
        <v>Caseros y Colombia</v>
      </c>
      <c r="H824" s="36" t="str">
        <f>IFERROR(__xludf.DUMMYFUNCTION("""COMPUTED_VALUE"""),"")</f>
        <v/>
      </c>
    </row>
    <row r="825">
      <c r="A825" s="36" t="str">
        <f>IFERROR(__xludf.DUMMYFUNCTION("""COMPUTED_VALUE"""),"01-31-07-121")</f>
        <v>01-31-07-121</v>
      </c>
      <c r="B825" s="36" t="str">
        <f>IFERROR(__xludf.DUMMYFUNCTION("""COMPUTED_VALUE"""),"")</f>
        <v/>
      </c>
      <c r="C825" s="36" t="str">
        <f>IFERROR(__xludf.DUMMYFUNCTION("""COMPUTED_VALUE"""),"")</f>
        <v/>
      </c>
      <c r="D825" s="36" t="str">
        <f>IFERROR(__xludf.DUMMYFUNCTION("""COMPUTED_VALUE"""),"")</f>
        <v/>
      </c>
      <c r="E825" s="36" t="str">
        <f>IFERROR(__xludf.DUMMYFUNCTION("""COMPUTED_VALUE"""),"01-39-08-127D")</f>
        <v>01-39-08-127D</v>
      </c>
      <c r="F825" s="36"/>
      <c r="G825" s="36" t="str">
        <f>IFERROR(__xludf.DUMMYFUNCTION("""COMPUTED_VALUE"""),"Caseros y Juan Jufré")</f>
        <v>Caseros y Juan Jufré</v>
      </c>
      <c r="H825" s="36" t="str">
        <f>IFERROR(__xludf.DUMMYFUNCTION("""COMPUTED_VALUE"""),"")</f>
        <v/>
      </c>
    </row>
    <row r="826">
      <c r="A826" s="36" t="str">
        <f>IFERROR(__xludf.DUMMYFUNCTION("""COMPUTED_VALUE"""),"01-31-07-123")</f>
        <v>01-31-07-123</v>
      </c>
      <c r="B826" s="36" t="str">
        <f>IFERROR(__xludf.DUMMYFUNCTION("""COMPUTED_VALUE"""),"")</f>
        <v/>
      </c>
      <c r="C826" s="36" t="str">
        <f>IFERROR(__xludf.DUMMYFUNCTION("""COMPUTED_VALUE"""),"")</f>
        <v/>
      </c>
      <c r="D826" s="36" t="str">
        <f>IFERROR(__xludf.DUMMYFUNCTION("""COMPUTED_VALUE"""),"")</f>
        <v/>
      </c>
      <c r="E826" s="36" t="str">
        <f>IFERROR(__xludf.DUMMYFUNCTION("""COMPUTED_VALUE"""),"01-40-08-33C")</f>
        <v>01-40-08-33C</v>
      </c>
      <c r="F826" s="36"/>
      <c r="G826" s="36" t="str">
        <f>IFERROR(__xludf.DUMMYFUNCTION("""COMPUTED_VALUE"""),"Caseros y Laprida")</f>
        <v>Caseros y Laprida</v>
      </c>
      <c r="H826" s="36" t="str">
        <f>IFERROR(__xludf.DUMMYFUNCTION("""COMPUTED_VALUE"""),"")</f>
        <v/>
      </c>
    </row>
    <row r="827">
      <c r="A827" s="36" t="str">
        <f>IFERROR(__xludf.DUMMYFUNCTION("""COMPUTED_VALUE"""),"01-31-07-126")</f>
        <v>01-31-07-126</v>
      </c>
      <c r="B827" s="36" t="str">
        <f>IFERROR(__xludf.DUMMYFUNCTION("""COMPUTED_VALUE"""),"")</f>
        <v/>
      </c>
      <c r="C827" s="36" t="str">
        <f>IFERROR(__xludf.DUMMYFUNCTION("""COMPUTED_VALUE"""),"")</f>
        <v/>
      </c>
      <c r="D827" s="36" t="str">
        <f>IFERROR(__xludf.DUMMYFUNCTION("""COMPUTED_VALUE"""),"")</f>
        <v/>
      </c>
      <c r="E827" s="36" t="str">
        <f>IFERROR(__xludf.DUMMYFUNCTION("""COMPUTED_VALUE"""),"01-40-08-127A")</f>
        <v>01-40-08-127A</v>
      </c>
      <c r="F827" s="36"/>
      <c r="G827" s="36" t="str">
        <f>IFERROR(__xludf.DUMMYFUNCTION("""COMPUTED_VALUE"""),"Caseros y Maipú ")</f>
        <v>Caseros y Maipú </v>
      </c>
      <c r="H827" s="36" t="str">
        <f>IFERROR(__xludf.DUMMYFUNCTION("""COMPUTED_VALUE"""),"")</f>
        <v/>
      </c>
    </row>
    <row r="828">
      <c r="A828" s="36" t="str">
        <f>IFERROR(__xludf.DUMMYFUNCTION("""COMPUTED_VALUE"""),"01-31-07-126A")</f>
        <v>01-31-07-126A</v>
      </c>
      <c r="B828" s="36" t="str">
        <f>IFERROR(__xludf.DUMMYFUNCTION("""COMPUTED_VALUE"""),"")</f>
        <v/>
      </c>
      <c r="C828" s="36" t="str">
        <f>IFERROR(__xludf.DUMMYFUNCTION("""COMPUTED_VALUE"""),"")</f>
        <v/>
      </c>
      <c r="D828" s="36" t="str">
        <f>IFERROR(__xludf.DUMMYFUNCTION("""COMPUTED_VALUE"""),"")</f>
        <v/>
      </c>
      <c r="E828" s="36" t="str">
        <f>IFERROR(__xludf.DUMMYFUNCTION("""COMPUTED_VALUE"""),"01-39-08-127C")</f>
        <v>01-39-08-127C</v>
      </c>
      <c r="F828" s="36"/>
      <c r="G828" s="36" t="str">
        <f>IFERROR(__xludf.DUMMYFUNCTION("""COMPUTED_VALUE"""),"Caseros y Paraguay")</f>
        <v>Caseros y Paraguay</v>
      </c>
      <c r="H828" s="36" t="str">
        <f>IFERROR(__xludf.DUMMYFUNCTION("""COMPUTED_VALUE"""),"")</f>
        <v/>
      </c>
    </row>
    <row r="829">
      <c r="A829" s="36" t="str">
        <f>IFERROR(__xludf.DUMMYFUNCTION("""COMPUTED_VALUE"""),"01-31-07-151A")</f>
        <v>01-31-07-151A</v>
      </c>
      <c r="B829" s="36" t="str">
        <f>IFERROR(__xludf.DUMMYFUNCTION("""COMPUTED_VALUE"""),"")</f>
        <v/>
      </c>
      <c r="C829" s="36" t="str">
        <f>IFERROR(__xludf.DUMMYFUNCTION("""COMPUTED_VALUE"""),"")</f>
        <v/>
      </c>
      <c r="D829" s="36" t="str">
        <f>IFERROR(__xludf.DUMMYFUNCTION("""COMPUTED_VALUE"""),"")</f>
        <v/>
      </c>
      <c r="E829" s="36" t="str">
        <f>IFERROR(__xludf.DUMMYFUNCTION("""COMPUTED_VALUE"""),"01-26-08-52J")</f>
        <v>01-26-08-52J</v>
      </c>
      <c r="F829" s="36"/>
      <c r="G829" s="36" t="str">
        <f>IFERROR(__xludf.DUMMYFUNCTION("""COMPUTED_VALUE"""),"Caseros y San Lorenzo")</f>
        <v>Caseros y San Lorenzo</v>
      </c>
      <c r="H829" s="36" t="str">
        <f>IFERROR(__xludf.DUMMYFUNCTION("""COMPUTED_VALUE"""),"")</f>
        <v/>
      </c>
    </row>
    <row r="830">
      <c r="A830" s="36" t="str">
        <f>IFERROR(__xludf.DUMMYFUNCTION("""COMPUTED_VALUE"""),"01-31-07-154")</f>
        <v>01-31-07-154</v>
      </c>
      <c r="B830" s="36" t="str">
        <f>IFERROR(__xludf.DUMMYFUNCTION("""COMPUTED_VALUE"""),"")</f>
        <v/>
      </c>
      <c r="C830" s="36" t="str">
        <f>IFERROR(__xludf.DUMMYFUNCTION("""COMPUTED_VALUE"""),"")</f>
        <v/>
      </c>
      <c r="D830" s="36" t="str">
        <f>IFERROR(__xludf.DUMMYFUNCTION("""COMPUTED_VALUE"""),"")</f>
        <v/>
      </c>
      <c r="E830" s="36" t="str">
        <f>IFERROR(__xludf.DUMMYFUNCTION("""COMPUTED_VALUE"""),"01-53-08-30B")</f>
        <v>01-53-08-30B</v>
      </c>
      <c r="F830" s="36"/>
      <c r="G830" s="36" t="str">
        <f>IFERROR(__xludf.DUMMYFUNCTION("""COMPUTED_VALUE"""),"Caseros y Santa Fe")</f>
        <v>Caseros y Santa Fe</v>
      </c>
      <c r="H830" s="36" t="str">
        <f>IFERROR(__xludf.DUMMYFUNCTION("""COMPUTED_VALUE"""),"")</f>
        <v/>
      </c>
    </row>
    <row r="831">
      <c r="A831" s="36" t="str">
        <f>IFERROR(__xludf.DUMMYFUNCTION("""COMPUTED_VALUE"""),"01-31-07-155")</f>
        <v>01-31-07-155</v>
      </c>
      <c r="B831" s="36" t="str">
        <f>IFERROR(__xludf.DUMMYFUNCTION("""COMPUTED_VALUE"""),"")</f>
        <v/>
      </c>
      <c r="C831" s="36" t="str">
        <f>IFERROR(__xludf.DUMMYFUNCTION("""COMPUTED_VALUE"""),"")</f>
        <v/>
      </c>
      <c r="D831" s="36" t="str">
        <f>IFERROR(__xludf.DUMMYFUNCTION("""COMPUTED_VALUE"""),"")</f>
        <v/>
      </c>
      <c r="E831" s="36" t="str">
        <f>IFERROR(__xludf.DUMMYFUNCTION("""COMPUTED_VALUE"""),"01-39-08-127B")</f>
        <v>01-39-08-127B</v>
      </c>
      <c r="F831" s="36"/>
      <c r="G831" s="36" t="str">
        <f>IFERROR(__xludf.DUMMYFUNCTION("""COMPUTED_VALUE"""),"Caseros y Santo Domingo")</f>
        <v>Caseros y Santo Domingo</v>
      </c>
      <c r="H831" s="36" t="str">
        <f>IFERROR(__xludf.DUMMYFUNCTION("""COMPUTED_VALUE"""),"")</f>
        <v/>
      </c>
    </row>
    <row r="832">
      <c r="A832" s="36" t="str">
        <f>IFERROR(__xludf.DUMMYFUNCTION("""COMPUTED_VALUE"""),"01-31-07-176")</f>
        <v>01-31-07-176</v>
      </c>
      <c r="B832" s="36" t="str">
        <f>IFERROR(__xludf.DUMMYFUNCTION("""COMPUTED_VALUE"""),"")</f>
        <v/>
      </c>
      <c r="C832" s="36" t="str">
        <f>IFERROR(__xludf.DUMMYFUNCTION("""COMPUTED_VALUE"""),"")</f>
        <v/>
      </c>
      <c r="D832" s="36" t="str">
        <f>IFERROR(__xludf.DUMMYFUNCTION("""COMPUTED_VALUE"""),"")</f>
        <v/>
      </c>
      <c r="E832" s="36" t="str">
        <f>IFERROR(__xludf.DUMMYFUNCTION("""COMPUTED_VALUE"""),"04-20-13-32C")</f>
        <v>04-20-13-32C</v>
      </c>
      <c r="F832" s="36"/>
      <c r="G832" s="36" t="str">
        <f>IFERROR(__xludf.DUMMYFUNCTION("""COMPUTED_VALUE"""),"Castaño y Av. España")</f>
        <v>Castaño y Av. España</v>
      </c>
      <c r="H832" s="36" t="str">
        <f>IFERROR(__xludf.DUMMYFUNCTION("""COMPUTED_VALUE"""),"")</f>
        <v/>
      </c>
    </row>
    <row r="833">
      <c r="A833" s="36" t="str">
        <f>IFERROR(__xludf.DUMMYFUNCTION("""COMPUTED_VALUE"""),"01-31-07-177")</f>
        <v>01-31-07-177</v>
      </c>
      <c r="B833" s="36" t="str">
        <f>IFERROR(__xludf.DUMMYFUNCTION("""COMPUTED_VALUE"""),"")</f>
        <v/>
      </c>
      <c r="C833" s="36" t="str">
        <f>IFERROR(__xludf.DUMMYFUNCTION("""COMPUTED_VALUE"""),"")</f>
        <v/>
      </c>
      <c r="D833" s="36" t="str">
        <f>IFERROR(__xludf.DUMMYFUNCTION("""COMPUTED_VALUE"""),"")</f>
        <v/>
      </c>
      <c r="E833" s="36" t="str">
        <f>IFERROR(__xludf.DUMMYFUNCTION("""COMPUTED_VALUE"""),"04-20-13-33")</f>
        <v>04-20-13-33</v>
      </c>
      <c r="F833" s="36"/>
      <c r="G833" s="36" t="str">
        <f>IFERROR(__xludf.DUMMYFUNCTION("""COMPUTED_VALUE"""),"Castaño y Juramento -N")</f>
        <v>Castaño y Juramento -N</v>
      </c>
      <c r="H833" s="36" t="str">
        <f>IFERROR(__xludf.DUMMYFUNCTION("""COMPUTED_VALUE"""),"")</f>
        <v/>
      </c>
    </row>
    <row r="834">
      <c r="A834" s="36" t="str">
        <f>IFERROR(__xludf.DUMMYFUNCTION("""COMPUTED_VALUE"""),"01-31-07-179")</f>
        <v>01-31-07-179</v>
      </c>
      <c r="B834" s="36" t="str">
        <f>IFERROR(__xludf.DUMMYFUNCTION("""COMPUTED_VALUE"""),"")</f>
        <v/>
      </c>
      <c r="C834" s="36" t="str">
        <f>IFERROR(__xludf.DUMMYFUNCTION("""COMPUTED_VALUE"""),"")</f>
        <v/>
      </c>
      <c r="D834" s="36" t="str">
        <f>IFERROR(__xludf.DUMMYFUNCTION("""COMPUTED_VALUE"""),"")</f>
        <v/>
      </c>
      <c r="E834" s="36" t="str">
        <f>IFERROR(__xludf.DUMMYFUNCTION("""COMPUTED_VALUE"""),"04-20-13-32")</f>
        <v>04-20-13-32</v>
      </c>
      <c r="F834" s="36"/>
      <c r="G834" s="36" t="str">
        <f>IFERROR(__xludf.DUMMYFUNCTION("""COMPUTED_VALUE"""),"Castaño y Juramento -S")</f>
        <v>Castaño y Juramento -S</v>
      </c>
      <c r="H834" s="36" t="str">
        <f>IFERROR(__xludf.DUMMYFUNCTION("""COMPUTED_VALUE"""),"")</f>
        <v/>
      </c>
    </row>
    <row r="835">
      <c r="A835" s="36" t="str">
        <f>IFERROR(__xludf.DUMMYFUNCTION("""COMPUTED_VALUE"""),"01-31-07-180")</f>
        <v>01-31-07-180</v>
      </c>
      <c r="B835" s="36" t="str">
        <f>IFERROR(__xludf.DUMMYFUNCTION("""COMPUTED_VALUE"""),"")</f>
        <v/>
      </c>
      <c r="C835" s="36" t="str">
        <f>IFERROR(__xludf.DUMMYFUNCTION("""COMPUTED_VALUE"""),"")</f>
        <v/>
      </c>
      <c r="D835" s="36" t="str">
        <f>IFERROR(__xludf.DUMMYFUNCTION("""COMPUTED_VALUE"""),"")</f>
        <v/>
      </c>
      <c r="E835" s="36" t="str">
        <f>IFERROR(__xludf.DUMMYFUNCTION("""COMPUTED_VALUE"""),"04-20-13-32B")</f>
        <v>04-20-13-32B</v>
      </c>
      <c r="F835" s="36"/>
      <c r="G835" s="36" t="str">
        <f>IFERROR(__xludf.DUMMYFUNCTION("""COMPUTED_VALUE"""),"Castaño y Misiones -N")</f>
        <v>Castaño y Misiones -N</v>
      </c>
      <c r="H835" s="36" t="str">
        <f>IFERROR(__xludf.DUMMYFUNCTION("""COMPUTED_VALUE"""),"")</f>
        <v/>
      </c>
    </row>
    <row r="836">
      <c r="A836" s="36" t="str">
        <f>IFERROR(__xludf.DUMMYFUNCTION("""COMPUTED_VALUE"""),"01-32-07-113")</f>
        <v>01-32-07-113</v>
      </c>
      <c r="B836" s="36" t="str">
        <f>IFERROR(__xludf.DUMMYFUNCTION("""COMPUTED_VALUE"""),"")</f>
        <v/>
      </c>
      <c r="C836" s="36" t="str">
        <f>IFERROR(__xludf.DUMMYFUNCTION("""COMPUTED_VALUE"""),"")</f>
        <v/>
      </c>
      <c r="D836" s="36" t="str">
        <f>IFERROR(__xludf.DUMMYFUNCTION("""COMPUTED_VALUE"""),"")</f>
        <v/>
      </c>
      <c r="E836" s="36" t="str">
        <f>IFERROR(__xludf.DUMMYFUNCTION("""COMPUTED_VALUE"""),"04-20-13-32A")</f>
        <v>04-20-13-32A</v>
      </c>
      <c r="F836" s="36"/>
      <c r="G836" s="36" t="str">
        <f>IFERROR(__xludf.DUMMYFUNCTION("""COMPUTED_VALUE"""),"Castaño y Misiones -S")</f>
        <v>Castaño y Misiones -S</v>
      </c>
      <c r="H836" s="36" t="str">
        <f>IFERROR(__xludf.DUMMYFUNCTION("""COMPUTED_VALUE"""),"")</f>
        <v/>
      </c>
    </row>
    <row r="837">
      <c r="A837" s="36" t="str">
        <f>IFERROR(__xludf.DUMMYFUNCTION("""COMPUTED_VALUE"""),"01-32-07-168")</f>
        <v>01-32-07-168</v>
      </c>
      <c r="B837" s="36" t="str">
        <f>IFERROR(__xludf.DUMMYFUNCTION("""COMPUTED_VALUE"""),"")</f>
        <v/>
      </c>
      <c r="C837" s="36" t="str">
        <f>IFERROR(__xludf.DUMMYFUNCTION("""COMPUTED_VALUE"""),"")</f>
        <v/>
      </c>
      <c r="D837" s="36" t="str">
        <f>IFERROR(__xludf.DUMMYFUNCTION("""COMPUTED_VALUE"""),"")</f>
        <v/>
      </c>
      <c r="E837" s="36" t="str">
        <f>IFERROR(__xludf.DUMMYFUNCTION("""COMPUTED_VALUE"""),"01-22-08-100")</f>
        <v>01-22-08-100</v>
      </c>
      <c r="F837" s="36"/>
      <c r="G837" s="36" t="str">
        <f>IFERROR(__xludf.DUMMYFUNCTION("""COMPUTED_VALUE"""),"Catamarca y Av.N.Benavídez S")</f>
        <v>Catamarca y Av.N.Benavídez S</v>
      </c>
      <c r="H837" s="36" t="str">
        <f>IFERROR(__xludf.DUMMYFUNCTION("""COMPUTED_VALUE"""),"")</f>
        <v/>
      </c>
    </row>
    <row r="838">
      <c r="A838" s="36" t="str">
        <f>IFERROR(__xludf.DUMMYFUNCTION("""COMPUTED_VALUE"""),"01-32-07-174")</f>
        <v>01-32-07-174</v>
      </c>
      <c r="B838" s="36" t="str">
        <f>IFERROR(__xludf.DUMMYFUNCTION("""COMPUTED_VALUE"""),"")</f>
        <v/>
      </c>
      <c r="C838" s="36" t="str">
        <f>IFERROR(__xludf.DUMMYFUNCTION("""COMPUTED_VALUE"""),"")</f>
        <v/>
      </c>
      <c r="D838" s="36" t="str">
        <f>IFERROR(__xludf.DUMMYFUNCTION("""COMPUTED_VALUE"""),"")</f>
        <v/>
      </c>
      <c r="E838" s="36" t="str">
        <f>IFERROR(__xludf.DUMMYFUNCTION("""COMPUTED_VALUE"""),"01-22-08-98")</f>
        <v>01-22-08-98</v>
      </c>
      <c r="F838" s="36"/>
      <c r="G838" s="36" t="str">
        <f>IFERROR(__xludf.DUMMYFUNCTION("""COMPUTED_VALUE"""),"Catamarca y Callejón Luga O.")</f>
        <v>Catamarca y Callejón Luga O.</v>
      </c>
      <c r="H838" s="36" t="str">
        <f>IFERROR(__xludf.DUMMYFUNCTION("""COMPUTED_VALUE"""),"")</f>
        <v/>
      </c>
    </row>
    <row r="839">
      <c r="A839" s="36" t="str">
        <f>IFERROR(__xludf.DUMMYFUNCTION("""COMPUTED_VALUE"""),"01-32-07-175")</f>
        <v>01-32-07-175</v>
      </c>
      <c r="B839" s="36" t="str">
        <f>IFERROR(__xludf.DUMMYFUNCTION("""COMPUTED_VALUE"""),"")</f>
        <v/>
      </c>
      <c r="C839" s="36" t="str">
        <f>IFERROR(__xludf.DUMMYFUNCTION("""COMPUTED_VALUE"""),"")</f>
        <v/>
      </c>
      <c r="D839" s="36" t="str">
        <f>IFERROR(__xludf.DUMMYFUNCTION("""COMPUTED_VALUE"""),"")</f>
        <v/>
      </c>
      <c r="E839" s="36" t="str">
        <f>IFERROR(__xludf.DUMMYFUNCTION("""COMPUTED_VALUE"""),"01-28-08-91")</f>
        <v>01-28-08-91</v>
      </c>
      <c r="F839" s="36"/>
      <c r="G839" s="36" t="str">
        <f>IFERROR(__xludf.DUMMYFUNCTION("""COMPUTED_VALUE"""),"Catamarca y Circunvalación -N")</f>
        <v>Catamarca y Circunvalación -N</v>
      </c>
      <c r="H839" s="36" t="str">
        <f>IFERROR(__xludf.DUMMYFUNCTION("""COMPUTED_VALUE"""),"")</f>
        <v/>
      </c>
    </row>
    <row r="840">
      <c r="A840" s="36" t="str">
        <f>IFERROR(__xludf.DUMMYFUNCTION("""COMPUTED_VALUE"""),"01-32-07-178")</f>
        <v>01-32-07-178</v>
      </c>
      <c r="B840" s="36" t="str">
        <f>IFERROR(__xludf.DUMMYFUNCTION("""COMPUTED_VALUE"""),"")</f>
        <v/>
      </c>
      <c r="C840" s="36" t="str">
        <f>IFERROR(__xludf.DUMMYFUNCTION("""COMPUTED_VALUE"""),"")</f>
        <v/>
      </c>
      <c r="D840" s="36" t="str">
        <f>IFERROR(__xludf.DUMMYFUNCTION("""COMPUTED_VALUE"""),"")</f>
        <v/>
      </c>
      <c r="E840" s="36" t="str">
        <f>IFERROR(__xludf.DUMMYFUNCTION("""COMPUTED_VALUE"""),"01-28-08-88")</f>
        <v>01-28-08-88</v>
      </c>
      <c r="F840" s="36"/>
      <c r="G840" s="36" t="str">
        <f>IFERROR(__xludf.DUMMYFUNCTION("""COMPUTED_VALUE"""),"Catamarca y Colombia")</f>
        <v>Catamarca y Colombia</v>
      </c>
      <c r="H840" s="36" t="str">
        <f>IFERROR(__xludf.DUMMYFUNCTION("""COMPUTED_VALUE"""),"")</f>
        <v/>
      </c>
    </row>
    <row r="841">
      <c r="A841" s="36" t="str">
        <f>IFERROR(__xludf.DUMMYFUNCTION("""COMPUTED_VALUE"""),"01-32-07-180")</f>
        <v>01-32-07-180</v>
      </c>
      <c r="B841" s="36" t="str">
        <f>IFERROR(__xludf.DUMMYFUNCTION("""COMPUTED_VALUE"""),"")</f>
        <v/>
      </c>
      <c r="C841" s="36" t="str">
        <f>IFERROR(__xludf.DUMMYFUNCTION("""COMPUTED_VALUE"""),"")</f>
        <v/>
      </c>
      <c r="D841" s="36" t="str">
        <f>IFERROR(__xludf.DUMMYFUNCTION("""COMPUTED_VALUE"""),"")</f>
        <v/>
      </c>
      <c r="E841" s="36" t="str">
        <f>IFERROR(__xludf.DUMMYFUNCTION("""COMPUTED_VALUE"""),"01-22-08-97")</f>
        <v>01-22-08-97</v>
      </c>
      <c r="F841" s="36"/>
      <c r="G841" s="36" t="str">
        <f>IFERROR(__xludf.DUMMYFUNCTION("""COMPUTED_VALUE"""),"Catamarca y Correa  O")</f>
        <v>Catamarca y Correa  O</v>
      </c>
      <c r="H841" s="36" t="str">
        <f>IFERROR(__xludf.DUMMYFUNCTION("""COMPUTED_VALUE"""),"")</f>
        <v/>
      </c>
    </row>
    <row r="842">
      <c r="A842" s="36" t="str">
        <f>IFERROR(__xludf.DUMMYFUNCTION("""COMPUTED_VALUE"""),"01-32-07-181")</f>
        <v>01-32-07-181</v>
      </c>
      <c r="B842" s="36" t="str">
        <f>IFERROR(__xludf.DUMMYFUNCTION("""COMPUTED_VALUE"""),"")</f>
        <v/>
      </c>
      <c r="C842" s="36" t="str">
        <f>IFERROR(__xludf.DUMMYFUNCTION("""COMPUTED_VALUE"""),"")</f>
        <v/>
      </c>
      <c r="D842" s="36" t="str">
        <f>IFERROR(__xludf.DUMMYFUNCTION("""COMPUTED_VALUE"""),"")</f>
        <v/>
      </c>
      <c r="E842" s="36" t="str">
        <f>IFERROR(__xludf.DUMMYFUNCTION("""COMPUTED_VALUE"""),"01-22-08-96")</f>
        <v>01-22-08-96</v>
      </c>
      <c r="F842" s="36"/>
      <c r="G842" s="36" t="str">
        <f>IFERROR(__xludf.DUMMYFUNCTION("""COMPUTED_VALUE"""),"Catamarca y Correa E")</f>
        <v>Catamarca y Correa E</v>
      </c>
      <c r="H842" s="36" t="str">
        <f>IFERROR(__xludf.DUMMYFUNCTION("""COMPUTED_VALUE"""),"")</f>
        <v/>
      </c>
    </row>
    <row r="843">
      <c r="A843" s="36" t="str">
        <f>IFERROR(__xludf.DUMMYFUNCTION("""COMPUTED_VALUE"""),"01-32-07-182")</f>
        <v>01-32-07-182</v>
      </c>
      <c r="B843" s="36" t="str">
        <f>IFERROR(__xludf.DUMMYFUNCTION("""COMPUTED_VALUE"""),"")</f>
        <v/>
      </c>
      <c r="C843" s="36" t="str">
        <f>IFERROR(__xludf.DUMMYFUNCTION("""COMPUTED_VALUE"""),"")</f>
        <v/>
      </c>
      <c r="D843" s="36" t="str">
        <f>IFERROR(__xludf.DUMMYFUNCTION("""COMPUTED_VALUE"""),"")</f>
        <v/>
      </c>
      <c r="E843" s="36" t="str">
        <f>IFERROR(__xludf.DUMMYFUNCTION("""COMPUTED_VALUE"""),"01-22-08-95")</f>
        <v>01-22-08-95</v>
      </c>
      <c r="F843" s="36"/>
      <c r="G843" s="36" t="str">
        <f>IFERROR(__xludf.DUMMYFUNCTION("""COMPUTED_VALUE"""),"Catamarca y Corrientes E")</f>
        <v>Catamarca y Corrientes E</v>
      </c>
      <c r="H843" s="36" t="str">
        <f>IFERROR(__xludf.DUMMYFUNCTION("""COMPUTED_VALUE"""),"")</f>
        <v/>
      </c>
    </row>
    <row r="844">
      <c r="A844" s="36" t="str">
        <f>IFERROR(__xludf.DUMMYFUNCTION("""COMPUTED_VALUE"""),"01-32-07-183")</f>
        <v>01-32-07-183</v>
      </c>
      <c r="B844" s="36" t="str">
        <f>IFERROR(__xludf.DUMMYFUNCTION("""COMPUTED_VALUE"""),"")</f>
        <v/>
      </c>
      <c r="C844" s="36" t="str">
        <f>IFERROR(__xludf.DUMMYFUNCTION("""COMPUTED_VALUE"""),"")</f>
        <v/>
      </c>
      <c r="D844" s="36" t="str">
        <f>IFERROR(__xludf.DUMMYFUNCTION("""COMPUTED_VALUE"""),"")</f>
        <v/>
      </c>
      <c r="E844" s="36" t="str">
        <f>IFERROR(__xludf.DUMMYFUNCTION("""COMPUTED_VALUE"""),"01-22-08-94")</f>
        <v>01-22-08-94</v>
      </c>
      <c r="F844" s="36"/>
      <c r="G844" s="36" t="str">
        <f>IFERROR(__xludf.DUMMYFUNCTION("""COMPUTED_VALUE"""),"Catamarca y Corrientes O")</f>
        <v>Catamarca y Corrientes O</v>
      </c>
      <c r="H844" s="36" t="str">
        <f>IFERROR(__xludf.DUMMYFUNCTION("""COMPUTED_VALUE"""),"")</f>
        <v/>
      </c>
    </row>
    <row r="845">
      <c r="A845" s="36" t="str">
        <f>IFERROR(__xludf.DUMMYFUNCTION("""COMPUTED_VALUE"""),"01-32-07-184")</f>
        <v>01-32-07-184</v>
      </c>
      <c r="B845" s="36" t="str">
        <f>IFERROR(__xludf.DUMMYFUNCTION("""COMPUTED_VALUE"""),"")</f>
        <v/>
      </c>
      <c r="C845" s="36" t="str">
        <f>IFERROR(__xludf.DUMMYFUNCTION("""COMPUTED_VALUE"""),"")</f>
        <v/>
      </c>
      <c r="D845" s="36" t="str">
        <f>IFERROR(__xludf.DUMMYFUNCTION("""COMPUTED_VALUE"""),"")</f>
        <v/>
      </c>
      <c r="E845" s="36" t="str">
        <f>IFERROR(__xludf.DUMMYFUNCTION("""COMPUTED_VALUE"""),"04-32-13-443")</f>
        <v>04-32-13-443</v>
      </c>
      <c r="F845" s="36"/>
      <c r="G845" s="36" t="str">
        <f>IFERROR(__xludf.DUMMYFUNCTION("""COMPUTED_VALUE"""),"Catamarca y El Baqueano -N")</f>
        <v>Catamarca y El Baqueano -N</v>
      </c>
      <c r="H845" s="36" t="str">
        <f>IFERROR(__xludf.DUMMYFUNCTION("""COMPUTED_VALUE"""),"")</f>
        <v/>
      </c>
    </row>
    <row r="846">
      <c r="A846" s="36" t="str">
        <f>IFERROR(__xludf.DUMMYFUNCTION("""COMPUTED_VALUE"""),"01-32-07-81")</f>
        <v>01-32-07-81</v>
      </c>
      <c r="B846" s="36" t="str">
        <f>IFERROR(__xludf.DUMMYFUNCTION("""COMPUTED_VALUE"""),"")</f>
        <v/>
      </c>
      <c r="C846" s="36" t="str">
        <f>IFERROR(__xludf.DUMMYFUNCTION("""COMPUTED_VALUE"""),"")</f>
        <v/>
      </c>
      <c r="D846" s="36" t="str">
        <f>IFERROR(__xludf.DUMMYFUNCTION("""COMPUTED_VALUE"""),"")</f>
        <v/>
      </c>
      <c r="E846" s="36" t="str">
        <f>IFERROR(__xludf.DUMMYFUNCTION("""COMPUTED_VALUE"""),"04-32-13-442")</f>
        <v>04-32-13-442</v>
      </c>
      <c r="F846" s="36"/>
      <c r="G846" s="36" t="str">
        <f>IFERROR(__xludf.DUMMYFUNCTION("""COMPUTED_VALUE"""),"Catamarca y El Baqueano -S")</f>
        <v>Catamarca y El Baqueano -S</v>
      </c>
      <c r="H846" s="36" t="str">
        <f>IFERROR(__xludf.DUMMYFUNCTION("""COMPUTED_VALUE"""),"")</f>
        <v/>
      </c>
    </row>
    <row r="847">
      <c r="A847" s="36" t="str">
        <f>IFERROR(__xludf.DUMMYFUNCTION("""COMPUTED_VALUE"""),"01-32-07-82")</f>
        <v>01-32-07-82</v>
      </c>
      <c r="B847" s="36" t="str">
        <f>IFERROR(__xludf.DUMMYFUNCTION("""COMPUTED_VALUE"""),"")</f>
        <v/>
      </c>
      <c r="C847" s="36" t="str">
        <f>IFERROR(__xludf.DUMMYFUNCTION("""COMPUTED_VALUE"""),"")</f>
        <v/>
      </c>
      <c r="D847" s="36" t="str">
        <f>IFERROR(__xludf.DUMMYFUNCTION("""COMPUTED_VALUE"""),"")</f>
        <v/>
      </c>
      <c r="E847" s="36" t="str">
        <f>IFERROR(__xludf.DUMMYFUNCTION("""COMPUTED_VALUE"""),"04-21-13-453")</f>
        <v>04-21-13-453</v>
      </c>
      <c r="F847" s="36"/>
      <c r="G847" s="36" t="str">
        <f>IFERROR(__xludf.DUMMYFUNCTION("""COMPUTED_VALUE"""),"Catamarca y El Cano -N")</f>
        <v>Catamarca y El Cano -N</v>
      </c>
      <c r="H847" s="36" t="str">
        <f>IFERROR(__xludf.DUMMYFUNCTION("""COMPUTED_VALUE"""),"")</f>
        <v/>
      </c>
    </row>
    <row r="848">
      <c r="A848" s="36" t="str">
        <f>IFERROR(__xludf.DUMMYFUNCTION("""COMPUTED_VALUE"""),"01-32-07-83")</f>
        <v>01-32-07-83</v>
      </c>
      <c r="B848" s="36" t="str">
        <f>IFERROR(__xludf.DUMMYFUNCTION("""COMPUTED_VALUE"""),"")</f>
        <v/>
      </c>
      <c r="C848" s="36" t="str">
        <f>IFERROR(__xludf.DUMMYFUNCTION("""COMPUTED_VALUE"""),"")</f>
        <v/>
      </c>
      <c r="D848" s="36" t="str">
        <f>IFERROR(__xludf.DUMMYFUNCTION("""COMPUTED_VALUE"""),"")</f>
        <v/>
      </c>
      <c r="E848" s="36" t="str">
        <f>IFERROR(__xludf.DUMMYFUNCTION("""COMPUTED_VALUE"""),"04-21-13-451")</f>
        <v>04-21-13-451</v>
      </c>
      <c r="F848" s="36"/>
      <c r="G848" s="36" t="str">
        <f>IFERROR(__xludf.DUMMYFUNCTION("""COMPUTED_VALUE"""),"Catamarca y El Cano -S")</f>
        <v>Catamarca y El Cano -S</v>
      </c>
      <c r="H848" s="36" t="str">
        <f>IFERROR(__xludf.DUMMYFUNCTION("""COMPUTED_VALUE"""),"")</f>
        <v/>
      </c>
    </row>
    <row r="849">
      <c r="A849" s="36" t="str">
        <f>IFERROR(__xludf.DUMMYFUNCTION("""COMPUTED_VALUE"""),"01-32-07-84")</f>
        <v>01-32-07-84</v>
      </c>
      <c r="B849" s="36" t="str">
        <f>IFERROR(__xludf.DUMMYFUNCTION("""COMPUTED_VALUE"""),"")</f>
        <v/>
      </c>
      <c r="C849" s="36" t="str">
        <f>IFERROR(__xludf.DUMMYFUNCTION("""COMPUTED_VALUE"""),"")</f>
        <v/>
      </c>
      <c r="D849" s="36" t="str">
        <f>IFERROR(__xludf.DUMMYFUNCTION("""COMPUTED_VALUE"""),"")</f>
        <v/>
      </c>
      <c r="E849" s="36" t="str">
        <f>IFERROR(__xludf.DUMMYFUNCTION("""COMPUTED_VALUE"""),"01-28-08-86")</f>
        <v>01-28-08-86</v>
      </c>
      <c r="F849" s="36"/>
      <c r="G849" s="36" t="str">
        <f>IFERROR(__xludf.DUMMYFUNCTION("""COMPUTED_VALUE"""),"Catamarca y Falucho E")</f>
        <v>Catamarca y Falucho E</v>
      </c>
      <c r="H849" s="36" t="str">
        <f>IFERROR(__xludf.DUMMYFUNCTION("""COMPUTED_VALUE"""),"")</f>
        <v/>
      </c>
    </row>
    <row r="850">
      <c r="A850" s="36" t="str">
        <f>IFERROR(__xludf.DUMMYFUNCTION("""COMPUTED_VALUE"""),"01-32-07-85")</f>
        <v>01-32-07-85</v>
      </c>
      <c r="B850" s="36" t="str">
        <f>IFERROR(__xludf.DUMMYFUNCTION("""COMPUTED_VALUE"""),"")</f>
        <v/>
      </c>
      <c r="C850" s="36" t="str">
        <f>IFERROR(__xludf.DUMMYFUNCTION("""COMPUTED_VALUE"""),"")</f>
        <v/>
      </c>
      <c r="D850" s="36" t="str">
        <f>IFERROR(__xludf.DUMMYFUNCTION("""COMPUTED_VALUE"""),"")</f>
        <v/>
      </c>
      <c r="E850" s="36" t="str">
        <f>IFERROR(__xludf.DUMMYFUNCTION("""COMPUTED_VALUE"""),"01-28-08-87")</f>
        <v>01-28-08-87</v>
      </c>
      <c r="F850" s="36"/>
      <c r="G850" s="36" t="str">
        <f>IFERROR(__xludf.DUMMYFUNCTION("""COMPUTED_VALUE"""),"Catamarca y Falucho O")</f>
        <v>Catamarca y Falucho O</v>
      </c>
      <c r="H850" s="36" t="str">
        <f>IFERROR(__xludf.DUMMYFUNCTION("""COMPUTED_VALUE"""),"")</f>
        <v/>
      </c>
    </row>
    <row r="851">
      <c r="A851" s="36" t="str">
        <f>IFERROR(__xludf.DUMMYFUNCTION("""COMPUTED_VALUE"""),"01-32-07-86")</f>
        <v>01-32-07-86</v>
      </c>
      <c r="B851" s="36" t="str">
        <f>IFERROR(__xludf.DUMMYFUNCTION("""COMPUTED_VALUE"""),"")</f>
        <v/>
      </c>
      <c r="C851" s="36" t="str">
        <f>IFERROR(__xludf.DUMMYFUNCTION("""COMPUTED_VALUE"""),"")</f>
        <v/>
      </c>
      <c r="D851" s="36" t="str">
        <f>IFERROR(__xludf.DUMMYFUNCTION("""COMPUTED_VALUE"""),"")</f>
        <v/>
      </c>
      <c r="E851" s="36" t="str">
        <f>IFERROR(__xludf.DUMMYFUNCTION("""COMPUTED_VALUE"""),"04-21-13-448")</f>
        <v>04-21-13-448</v>
      </c>
      <c r="F851" s="36"/>
      <c r="G851" s="36" t="str">
        <f>IFERROR(__xludf.DUMMYFUNCTION("""COMPUTED_VALUE"""),"Catamarca y Gral. Roca -N")</f>
        <v>Catamarca y Gral. Roca -N</v>
      </c>
      <c r="H851" s="36" t="str">
        <f>IFERROR(__xludf.DUMMYFUNCTION("""COMPUTED_VALUE"""),"")</f>
        <v/>
      </c>
    </row>
    <row r="852">
      <c r="A852" s="36" t="str">
        <f>IFERROR(__xludf.DUMMYFUNCTION("""COMPUTED_VALUE"""),"01-32-07-87")</f>
        <v>01-32-07-87</v>
      </c>
      <c r="B852" s="36" t="str">
        <f>IFERROR(__xludf.DUMMYFUNCTION("""COMPUTED_VALUE"""),"")</f>
        <v/>
      </c>
      <c r="C852" s="36" t="str">
        <f>IFERROR(__xludf.DUMMYFUNCTION("""COMPUTED_VALUE"""),"")</f>
        <v/>
      </c>
      <c r="D852" s="36" t="str">
        <f>IFERROR(__xludf.DUMMYFUNCTION("""COMPUTED_VALUE"""),"")</f>
        <v/>
      </c>
      <c r="E852" s="36" t="str">
        <f>IFERROR(__xludf.DUMMYFUNCTION("""COMPUTED_VALUE"""),"04-21-13-447")</f>
        <v>04-21-13-447</v>
      </c>
      <c r="F852" s="36"/>
      <c r="G852" s="36" t="str">
        <f>IFERROR(__xludf.DUMMYFUNCTION("""COMPUTED_VALUE"""),"Catamarca y Gral. Roca -S")</f>
        <v>Catamarca y Gral. Roca -S</v>
      </c>
      <c r="H852" s="36" t="str">
        <f>IFERROR(__xludf.DUMMYFUNCTION("""COMPUTED_VALUE"""),"")</f>
        <v/>
      </c>
    </row>
    <row r="853">
      <c r="A853" s="36" t="str">
        <f>IFERROR(__xludf.DUMMYFUNCTION("""COMPUTED_VALUE"""),"01-32-07-88")</f>
        <v>01-32-07-88</v>
      </c>
      <c r="B853" s="36" t="str">
        <f>IFERROR(__xludf.DUMMYFUNCTION("""COMPUTED_VALUE"""),"")</f>
        <v/>
      </c>
      <c r="C853" s="36" t="str">
        <f>IFERROR(__xludf.DUMMYFUNCTION("""COMPUTED_VALUE"""),"")</f>
        <v/>
      </c>
      <c r="D853" s="36" t="str">
        <f>IFERROR(__xludf.DUMMYFUNCTION("""COMPUTED_VALUE"""),"")</f>
        <v/>
      </c>
      <c r="E853" s="36" t="str">
        <f>IFERROR(__xludf.DUMMYFUNCTION("""COMPUTED_VALUE"""),"04-21-13-450")</f>
        <v>04-21-13-450</v>
      </c>
      <c r="F853" s="36"/>
      <c r="G853" s="36" t="str">
        <f>IFERROR(__xludf.DUMMYFUNCTION("""COMPUTED_VALUE"""),"Catamarca y Lavalle -N")</f>
        <v>Catamarca y Lavalle -N</v>
      </c>
      <c r="H853" s="36" t="str">
        <f>IFERROR(__xludf.DUMMYFUNCTION("""COMPUTED_VALUE"""),"")</f>
        <v/>
      </c>
    </row>
    <row r="854">
      <c r="A854" s="36" t="str">
        <f>IFERROR(__xludf.DUMMYFUNCTION("""COMPUTED_VALUE"""),"01-32-07-89")</f>
        <v>01-32-07-89</v>
      </c>
      <c r="B854" s="36" t="str">
        <f>IFERROR(__xludf.DUMMYFUNCTION("""COMPUTED_VALUE"""),"")</f>
        <v/>
      </c>
      <c r="C854" s="36" t="str">
        <f>IFERROR(__xludf.DUMMYFUNCTION("""COMPUTED_VALUE"""),"")</f>
        <v/>
      </c>
      <c r="D854" s="36" t="str">
        <f>IFERROR(__xludf.DUMMYFUNCTION("""COMPUTED_VALUE"""),"")</f>
        <v/>
      </c>
      <c r="E854" s="36" t="str">
        <f>IFERROR(__xludf.DUMMYFUNCTION("""COMPUTED_VALUE"""),"04-21-13-449")</f>
        <v>04-21-13-449</v>
      </c>
      <c r="F854" s="36"/>
      <c r="G854" s="36" t="str">
        <f>IFERROR(__xludf.DUMMYFUNCTION("""COMPUTED_VALUE"""),"Catamarca y Lavalle -S")</f>
        <v>Catamarca y Lavalle -S</v>
      </c>
      <c r="H854" s="36" t="str">
        <f>IFERROR(__xludf.DUMMYFUNCTION("""COMPUTED_VALUE"""),"")</f>
        <v/>
      </c>
    </row>
    <row r="855">
      <c r="A855" s="36" t="str">
        <f>IFERROR(__xludf.DUMMYFUNCTION("""COMPUTED_VALUE"""),"01-32-07-90")</f>
        <v>01-32-07-90</v>
      </c>
      <c r="B855" s="36" t="str">
        <f>IFERROR(__xludf.DUMMYFUNCTION("""COMPUTED_VALUE"""),"")</f>
        <v/>
      </c>
      <c r="C855" s="36" t="str">
        <f>IFERROR(__xludf.DUMMYFUNCTION("""COMPUTED_VALUE"""),"")</f>
        <v/>
      </c>
      <c r="D855" s="36" t="str">
        <f>IFERROR(__xludf.DUMMYFUNCTION("""COMPUTED_VALUE"""),"")</f>
        <v/>
      </c>
      <c r="E855" s="36" t="str">
        <f>IFERROR(__xludf.DUMMYFUNCTION("""COMPUTED_VALUE"""),"01-22-08-99")</f>
        <v>01-22-08-99</v>
      </c>
      <c r="F855" s="36"/>
      <c r="G855" s="36" t="str">
        <f>IFERROR(__xludf.DUMMYFUNCTION("""COMPUTED_VALUE"""),"Catamarca y Mary O. Graham")</f>
        <v>Catamarca y Mary O. Graham</v>
      </c>
      <c r="H855" s="36" t="str">
        <f>IFERROR(__xludf.DUMMYFUNCTION("""COMPUTED_VALUE"""),"")</f>
        <v/>
      </c>
    </row>
    <row r="856">
      <c r="A856" s="36" t="str">
        <f>IFERROR(__xludf.DUMMYFUNCTION("""COMPUTED_VALUE"""),"01-32-07-92")</f>
        <v>01-32-07-92</v>
      </c>
      <c r="B856" s="36" t="str">
        <f>IFERROR(__xludf.DUMMYFUNCTION("""COMPUTED_VALUE"""),"")</f>
        <v/>
      </c>
      <c r="C856" s="36" t="str">
        <f>IFERROR(__xludf.DUMMYFUNCTION("""COMPUTED_VALUE"""),"")</f>
        <v/>
      </c>
      <c r="D856" s="36" t="str">
        <f>IFERROR(__xludf.DUMMYFUNCTION("""COMPUTED_VALUE"""),"")</f>
        <v/>
      </c>
      <c r="E856" s="36" t="str">
        <f>IFERROR(__xludf.DUMMYFUNCTION("""COMPUTED_VALUE"""),"04-21-13-446")</f>
        <v>04-21-13-446</v>
      </c>
      <c r="F856" s="36"/>
      <c r="G856" s="36" t="str">
        <f>IFERROR(__xludf.DUMMYFUNCTION("""COMPUTED_VALUE"""),"Catamarca y República del Líbano -N")</f>
        <v>Catamarca y República del Líbano -N</v>
      </c>
      <c r="H856" s="36" t="str">
        <f>IFERROR(__xludf.DUMMYFUNCTION("""COMPUTED_VALUE"""),"")</f>
        <v/>
      </c>
    </row>
    <row r="857">
      <c r="A857" s="36" t="str">
        <f>IFERROR(__xludf.DUMMYFUNCTION("""COMPUTED_VALUE"""),"01-32-07-93")</f>
        <v>01-32-07-93</v>
      </c>
      <c r="B857" s="36" t="str">
        <f>IFERROR(__xludf.DUMMYFUNCTION("""COMPUTED_VALUE"""),"")</f>
        <v/>
      </c>
      <c r="C857" s="36" t="str">
        <f>IFERROR(__xludf.DUMMYFUNCTION("""COMPUTED_VALUE"""),"")</f>
        <v/>
      </c>
      <c r="D857" s="36" t="str">
        <f>IFERROR(__xludf.DUMMYFUNCTION("""COMPUTED_VALUE"""),"")</f>
        <v/>
      </c>
      <c r="E857" s="36" t="str">
        <f>IFERROR(__xludf.DUMMYFUNCTION("""COMPUTED_VALUE"""),"04-32-13-444")</f>
        <v>04-32-13-444</v>
      </c>
      <c r="F857" s="36"/>
      <c r="G857" s="36" t="str">
        <f>IFERROR(__xludf.DUMMYFUNCTION("""COMPUTED_VALUE"""),"Catamarca y República del Líbano -S")</f>
        <v>Catamarca y República del Líbano -S</v>
      </c>
      <c r="H857" s="36" t="str">
        <f>IFERROR(__xludf.DUMMYFUNCTION("""COMPUTED_VALUE"""),"")</f>
        <v/>
      </c>
    </row>
    <row r="858">
      <c r="A858" s="36" t="str">
        <f>IFERROR(__xludf.DUMMYFUNCTION("""COMPUTED_VALUE"""),"01-33-07-163")</f>
        <v>01-33-07-163</v>
      </c>
      <c r="B858" s="36" t="str">
        <f>IFERROR(__xludf.DUMMYFUNCTION("""COMPUTED_VALUE"""),"")</f>
        <v/>
      </c>
      <c r="C858" s="36" t="str">
        <f>IFERROR(__xludf.DUMMYFUNCTION("""COMPUTED_VALUE"""),"")</f>
        <v/>
      </c>
      <c r="D858" s="36" t="str">
        <f>IFERROR(__xludf.DUMMYFUNCTION("""COMPUTED_VALUE"""),"")</f>
        <v/>
      </c>
      <c r="E858" s="36" t="str">
        <f>IFERROR(__xludf.DUMMYFUNCTION("""COMPUTED_VALUE"""),"08-26-03-79")</f>
        <v>08-26-03-79</v>
      </c>
      <c r="F858" s="36"/>
      <c r="G858" s="36" t="str">
        <f>IFERROR(__xludf.DUMMYFUNCTION("""COMPUTED_VALUE"""),"Catriel y 5 de Octubre")</f>
        <v>Catriel y 5 de Octubre</v>
      </c>
      <c r="H858" s="36" t="str">
        <f>IFERROR(__xludf.DUMMYFUNCTION("""COMPUTED_VALUE"""),"")</f>
        <v/>
      </c>
    </row>
    <row r="859">
      <c r="A859" s="36" t="str">
        <f>IFERROR(__xludf.DUMMYFUNCTION("""COMPUTED_VALUE"""),"01-33-07-164")</f>
        <v>01-33-07-164</v>
      </c>
      <c r="B859" s="36" t="str">
        <f>IFERROR(__xludf.DUMMYFUNCTION("""COMPUTED_VALUE"""),"")</f>
        <v/>
      </c>
      <c r="C859" s="36" t="str">
        <f>IFERROR(__xludf.DUMMYFUNCTION("""COMPUTED_VALUE"""),"")</f>
        <v/>
      </c>
      <c r="D859" s="36" t="str">
        <f>IFERROR(__xludf.DUMMYFUNCTION("""COMPUTED_VALUE"""),"")</f>
        <v/>
      </c>
      <c r="E859" s="36" t="str">
        <f>IFERROR(__xludf.DUMMYFUNCTION("""COMPUTED_VALUE"""),"08-26-03-75")</f>
        <v>08-26-03-75</v>
      </c>
      <c r="F859" s="36"/>
      <c r="G859" s="36" t="str">
        <f>IFERROR(__xludf.DUMMYFUNCTION("""COMPUTED_VALUE"""),"Catriel y M. Di Stéfano")</f>
        <v>Catriel y M. Di Stéfano</v>
      </c>
      <c r="H859" s="36" t="str">
        <f>IFERROR(__xludf.DUMMYFUNCTION("""COMPUTED_VALUE"""),"")</f>
        <v/>
      </c>
    </row>
    <row r="860">
      <c r="A860" s="36" t="str">
        <f>IFERROR(__xludf.DUMMYFUNCTION("""COMPUTED_VALUE"""),"01-33-07-165")</f>
        <v>01-33-07-165</v>
      </c>
      <c r="B860" s="36" t="str">
        <f>IFERROR(__xludf.DUMMYFUNCTION("""COMPUTED_VALUE"""),"")</f>
        <v/>
      </c>
      <c r="C860" s="36" t="str">
        <f>IFERROR(__xludf.DUMMYFUNCTION("""COMPUTED_VALUE"""),"")</f>
        <v/>
      </c>
      <c r="D860" s="36" t="str">
        <f>IFERROR(__xludf.DUMMYFUNCTION("""COMPUTED_VALUE"""),"")</f>
        <v/>
      </c>
      <c r="E860" s="36" t="str">
        <f>IFERROR(__xludf.DUMMYFUNCTION("""COMPUTED_VALUE"""),"08-26-03-76")</f>
        <v>08-26-03-76</v>
      </c>
      <c r="F860" s="36"/>
      <c r="G860" s="36" t="str">
        <f>IFERROR(__xludf.DUMMYFUNCTION("""COMPUTED_VALUE"""),"Catriel y Proyectada 1")</f>
        <v>Catriel y Proyectada 1</v>
      </c>
      <c r="H860" s="36" t="str">
        <f>IFERROR(__xludf.DUMMYFUNCTION("""COMPUTED_VALUE"""),"")</f>
        <v/>
      </c>
    </row>
    <row r="861">
      <c r="A861" s="36" t="str">
        <f>IFERROR(__xludf.DUMMYFUNCTION("""COMPUTED_VALUE"""),"01-33-07-166")</f>
        <v>01-33-07-166</v>
      </c>
      <c r="B861" s="36" t="str">
        <f>IFERROR(__xludf.DUMMYFUNCTION("""COMPUTED_VALUE"""),"")</f>
        <v/>
      </c>
      <c r="C861" s="36" t="str">
        <f>IFERROR(__xludf.DUMMYFUNCTION("""COMPUTED_VALUE"""),"")</f>
        <v/>
      </c>
      <c r="D861" s="36" t="str">
        <f>IFERROR(__xludf.DUMMYFUNCTION("""COMPUTED_VALUE"""),"")</f>
        <v/>
      </c>
      <c r="E861" s="36" t="str">
        <f>IFERROR(__xludf.DUMMYFUNCTION("""COMPUTED_VALUE"""),"08-26-03-77")</f>
        <v>08-26-03-77</v>
      </c>
      <c r="F861" s="36"/>
      <c r="G861" s="36" t="str">
        <f>IFERROR(__xludf.DUMMYFUNCTION("""COMPUTED_VALUE"""),"Catriel y Proyectada 2")</f>
        <v>Catriel y Proyectada 2</v>
      </c>
      <c r="H861" s="36" t="str">
        <f>IFERROR(__xludf.DUMMYFUNCTION("""COMPUTED_VALUE"""),"")</f>
        <v/>
      </c>
    </row>
    <row r="862">
      <c r="A862" s="36" t="str">
        <f>IFERROR(__xludf.DUMMYFUNCTION("""COMPUTED_VALUE"""),"01-33-07-166A")</f>
        <v>01-33-07-166A</v>
      </c>
      <c r="B862" s="36" t="str">
        <f>IFERROR(__xludf.DUMMYFUNCTION("""COMPUTED_VALUE"""),"")</f>
        <v/>
      </c>
      <c r="C862" s="36" t="str">
        <f>IFERROR(__xludf.DUMMYFUNCTION("""COMPUTED_VALUE"""),"")</f>
        <v/>
      </c>
      <c r="D862" s="36" t="str">
        <f>IFERROR(__xludf.DUMMYFUNCTION("""COMPUTED_VALUE"""),"")</f>
        <v/>
      </c>
      <c r="E862" s="36" t="str">
        <f>IFERROR(__xludf.DUMMYFUNCTION("""COMPUTED_VALUE"""),"08-26-03-78")</f>
        <v>08-26-03-78</v>
      </c>
      <c r="F862" s="36"/>
      <c r="G862" s="36" t="str">
        <f>IFERROR(__xludf.DUMMYFUNCTION("""COMPUTED_VALUE"""),"Catriel y Proyectada 3")</f>
        <v>Catriel y Proyectada 3</v>
      </c>
      <c r="H862" s="36" t="str">
        <f>IFERROR(__xludf.DUMMYFUNCTION("""COMPUTED_VALUE"""),"")</f>
        <v/>
      </c>
    </row>
    <row r="863">
      <c r="A863" s="36" t="str">
        <f>IFERROR(__xludf.DUMMYFUNCTION("""COMPUTED_VALUE"""),"01-33-07-166B")</f>
        <v>01-33-07-166B</v>
      </c>
      <c r="B863" s="36" t="str">
        <f>IFERROR(__xludf.DUMMYFUNCTION("""COMPUTED_VALUE"""),"")</f>
        <v/>
      </c>
      <c r="C863" s="36" t="str">
        <f>IFERROR(__xludf.DUMMYFUNCTION("""COMPUTED_VALUE"""),"")</f>
        <v/>
      </c>
      <c r="D863" s="36" t="str">
        <f>IFERROR(__xludf.DUMMYFUNCTION("""COMPUTED_VALUE"""),"")</f>
        <v/>
      </c>
      <c r="E863" s="36" t="str">
        <f>IFERROR(__xludf.DUMMYFUNCTION("""COMPUTED_VALUE"""),"03-46-10-111B")</f>
        <v>03-46-10-111B</v>
      </c>
      <c r="F863" s="36"/>
      <c r="G863" s="36" t="str">
        <f>IFERROR(__xludf.DUMMYFUNCTION("""COMPUTED_VALUE"""),"Cementerio de Santa Lucía Este")</f>
        <v>Cementerio de Santa Lucía Este</v>
      </c>
      <c r="H863" s="36" t="str">
        <f>IFERROR(__xludf.DUMMYFUNCTION("""COMPUTED_VALUE"""),"")</f>
        <v/>
      </c>
    </row>
    <row r="864">
      <c r="A864" s="36" t="str">
        <f>IFERROR(__xludf.DUMMYFUNCTION("""COMPUTED_VALUE"""),"01-33-07-166C")</f>
        <v>01-33-07-166C</v>
      </c>
      <c r="B864" s="36" t="str">
        <f>IFERROR(__xludf.DUMMYFUNCTION("""COMPUTED_VALUE"""),"")</f>
        <v/>
      </c>
      <c r="C864" s="36" t="str">
        <f>IFERROR(__xludf.DUMMYFUNCTION("""COMPUTED_VALUE"""),"")</f>
        <v/>
      </c>
      <c r="D864" s="36" t="str">
        <f>IFERROR(__xludf.DUMMYFUNCTION("""COMPUTED_VALUE"""),"")</f>
        <v/>
      </c>
      <c r="E864" s="36" t="str">
        <f>IFERROR(__xludf.DUMMYFUNCTION("""COMPUTED_VALUE"""),"03-46-10-111A")</f>
        <v>03-46-10-111A</v>
      </c>
      <c r="F864" s="36"/>
      <c r="G864" s="36" t="str">
        <f>IFERROR(__xludf.DUMMYFUNCTION("""COMPUTED_VALUE"""),"Cementerio de Santa Lucía Oeste")</f>
        <v>Cementerio de Santa Lucía Oeste</v>
      </c>
      <c r="H864" s="36" t="str">
        <f>IFERROR(__xludf.DUMMYFUNCTION("""COMPUTED_VALUE"""),"")</f>
        <v/>
      </c>
    </row>
    <row r="865">
      <c r="A865" s="36" t="str">
        <f>IFERROR(__xludf.DUMMYFUNCTION("""COMPUTED_VALUE"""),"01-33-07-166D")</f>
        <v>01-33-07-166D</v>
      </c>
      <c r="B865" s="36" t="str">
        <f>IFERROR(__xludf.DUMMYFUNCTION("""COMPUTED_VALUE"""),"")</f>
        <v/>
      </c>
      <c r="C865" s="36" t="str">
        <f>IFERROR(__xludf.DUMMYFUNCTION("""COMPUTED_VALUE"""),"")</f>
        <v/>
      </c>
      <c r="D865" s="36" t="str">
        <f>IFERROR(__xludf.DUMMYFUNCTION("""COMPUTED_VALUE"""),"")</f>
        <v/>
      </c>
      <c r="E865" s="36" t="str">
        <f>IFERROR(__xludf.DUMMYFUNCTION("""COMPUTED_VALUE"""),"04-43-11-73A")</f>
        <v>04-43-11-73A</v>
      </c>
      <c r="F865" s="36"/>
      <c r="G865" s="36" t="str">
        <f>IFERROR(__xludf.DUMMYFUNCTION("""COMPUTED_VALUE"""),"Cementerio San Miguel Este al Norte")</f>
        <v>Cementerio San Miguel Este al Norte</v>
      </c>
      <c r="H865" s="36" t="str">
        <f>IFERROR(__xludf.DUMMYFUNCTION("""COMPUTED_VALUE"""),"")</f>
        <v/>
      </c>
    </row>
    <row r="866">
      <c r="A866" s="36" t="str">
        <f>IFERROR(__xludf.DUMMYFUNCTION("""COMPUTED_VALUE"""),"01-33-07-166E")</f>
        <v>01-33-07-166E</v>
      </c>
      <c r="B866" s="36" t="str">
        <f>IFERROR(__xludf.DUMMYFUNCTION("""COMPUTED_VALUE"""),"")</f>
        <v/>
      </c>
      <c r="C866" s="36" t="str">
        <f>IFERROR(__xludf.DUMMYFUNCTION("""COMPUTED_VALUE"""),"")</f>
        <v/>
      </c>
      <c r="D866" s="36" t="str">
        <f>IFERROR(__xludf.DUMMYFUNCTION("""COMPUTED_VALUE"""),"")</f>
        <v/>
      </c>
      <c r="E866" s="36" t="str">
        <f>IFERROR(__xludf.DUMMYFUNCTION("""COMPUTED_VALUE"""),"04-43-11-72A")</f>
        <v>04-43-11-72A</v>
      </c>
      <c r="F866" s="36"/>
      <c r="G866" s="36" t="str">
        <f>IFERROR(__xludf.DUMMYFUNCTION("""COMPUTED_VALUE"""),"Cementerio San Miguel Este al Sur")</f>
        <v>Cementerio San Miguel Este al Sur</v>
      </c>
      <c r="H866" s="36" t="str">
        <f>IFERROR(__xludf.DUMMYFUNCTION("""COMPUTED_VALUE"""),"")</f>
        <v/>
      </c>
    </row>
    <row r="867">
      <c r="A867" s="36" t="str">
        <f>IFERROR(__xludf.DUMMYFUNCTION("""COMPUTED_VALUE"""),"01-33-07-167")</f>
        <v>01-33-07-167</v>
      </c>
      <c r="B867" s="36" t="str">
        <f>IFERROR(__xludf.DUMMYFUNCTION("""COMPUTED_VALUE"""),"")</f>
        <v/>
      </c>
      <c r="C867" s="36" t="str">
        <f>IFERROR(__xludf.DUMMYFUNCTION("""COMPUTED_VALUE"""),"")</f>
        <v/>
      </c>
      <c r="D867" s="36" t="str">
        <f>IFERROR(__xludf.DUMMYFUNCTION("""COMPUTED_VALUE"""),"")</f>
        <v/>
      </c>
      <c r="E867" s="36" t="str">
        <f>IFERROR(__xludf.DUMMYFUNCTION("""COMPUTED_VALUE"""),"04-42-11-73")</f>
        <v>04-42-11-73</v>
      </c>
      <c r="F867" s="36"/>
      <c r="G867" s="36" t="str">
        <f>IFERROR(__xludf.DUMMYFUNCTION("""COMPUTED_VALUE"""),"Cementerio San Miguel Oeste al Norte")</f>
        <v>Cementerio San Miguel Oeste al Norte</v>
      </c>
      <c r="H867" s="36" t="str">
        <f>IFERROR(__xludf.DUMMYFUNCTION("""COMPUTED_VALUE"""),"")</f>
        <v/>
      </c>
    </row>
    <row r="868">
      <c r="A868" s="36" t="str">
        <f>IFERROR(__xludf.DUMMYFUNCTION("""COMPUTED_VALUE"""),"01-33-07-170")</f>
        <v>01-33-07-170</v>
      </c>
      <c r="B868" s="36" t="str">
        <f>IFERROR(__xludf.DUMMYFUNCTION("""COMPUTED_VALUE"""),"")</f>
        <v/>
      </c>
      <c r="C868" s="36" t="str">
        <f>IFERROR(__xludf.DUMMYFUNCTION("""COMPUTED_VALUE"""),"")</f>
        <v/>
      </c>
      <c r="D868" s="36" t="str">
        <f>IFERROR(__xludf.DUMMYFUNCTION("""COMPUTED_VALUE"""),"")</f>
        <v/>
      </c>
      <c r="E868" s="36" t="str">
        <f>IFERROR(__xludf.DUMMYFUNCTION("""COMPUTED_VALUE"""),"04-42-11-72")</f>
        <v>04-42-11-72</v>
      </c>
      <c r="F868" s="36"/>
      <c r="G868" s="36" t="str">
        <f>IFERROR(__xludf.DUMMYFUNCTION("""COMPUTED_VALUE"""),"Cementerio San Miguel Oeste al Sur")</f>
        <v>Cementerio San Miguel Oeste al Sur</v>
      </c>
      <c r="H868" s="36" t="str">
        <f>IFERROR(__xludf.DUMMYFUNCTION("""COMPUTED_VALUE"""),"")</f>
        <v/>
      </c>
    </row>
    <row r="869">
      <c r="A869" s="36" t="str">
        <f>IFERROR(__xludf.DUMMYFUNCTION("""COMPUTED_VALUE"""),"01-33-07-171")</f>
        <v>01-33-07-171</v>
      </c>
      <c r="B869" s="36" t="str">
        <f>IFERROR(__xludf.DUMMYFUNCTION("""COMPUTED_VALUE"""),"")</f>
        <v/>
      </c>
      <c r="C869" s="36" t="str">
        <f>IFERROR(__xludf.DUMMYFUNCTION("""COMPUTED_VALUE"""),"")</f>
        <v/>
      </c>
      <c r="D869" s="36" t="str">
        <f>IFERROR(__xludf.DUMMYFUNCTION("""COMPUTED_VALUE"""),"")</f>
        <v/>
      </c>
      <c r="E869" s="36" t="str">
        <f>IFERROR(__xludf.DUMMYFUNCTION("""COMPUTED_VALUE"""),"04-34-12-46A")</f>
        <v>04-34-12-46A</v>
      </c>
      <c r="F869" s="36"/>
      <c r="G869" s="36" t="str">
        <f>IFERROR(__xludf.DUMMYFUNCTION("""COMPUTED_VALUE"""),"Cenobia Bustos y Jachal")</f>
        <v>Cenobia Bustos y Jachal</v>
      </c>
      <c r="H869" s="36" t="str">
        <f>IFERROR(__xludf.DUMMYFUNCTION("""COMPUTED_VALUE"""),"")</f>
        <v/>
      </c>
    </row>
    <row r="870">
      <c r="A870" s="36" t="str">
        <f>IFERROR(__xludf.DUMMYFUNCTION("""COMPUTED_VALUE"""),"01-33-07-172")</f>
        <v>01-33-07-172</v>
      </c>
      <c r="B870" s="36" t="str">
        <f>IFERROR(__xludf.DUMMYFUNCTION("""COMPUTED_VALUE"""),"")</f>
        <v/>
      </c>
      <c r="C870" s="36" t="str">
        <f>IFERROR(__xludf.DUMMYFUNCTION("""COMPUTED_VALUE"""),"")</f>
        <v/>
      </c>
      <c r="D870" s="36" t="str">
        <f>IFERROR(__xludf.DUMMYFUNCTION("""COMPUTED_VALUE"""),"")</f>
        <v/>
      </c>
      <c r="E870" s="36" t="str">
        <f>IFERROR(__xludf.DUMMYFUNCTION("""COMPUTED_VALUE"""),"08-22-03-28")</f>
        <v>08-22-03-28</v>
      </c>
      <c r="F870" s="36"/>
      <c r="G870" s="36" t="str">
        <f>IFERROR(__xludf.DUMMYFUNCTION("""COMPUTED_VALUE"""),"Centenario antes de Urquiza")</f>
        <v>Centenario antes de Urquiza</v>
      </c>
      <c r="H870" s="36" t="str">
        <f>IFERROR(__xludf.DUMMYFUNCTION("""COMPUTED_VALUE"""),"")</f>
        <v/>
      </c>
    </row>
    <row r="871">
      <c r="A871" s="36" t="str">
        <f>IFERROR(__xludf.DUMMYFUNCTION("""COMPUTED_VALUE"""),"01-33-07-80")</f>
        <v>01-33-07-80</v>
      </c>
      <c r="B871" s="36" t="str">
        <f>IFERROR(__xludf.DUMMYFUNCTION("""COMPUTED_VALUE"""),"")</f>
        <v/>
      </c>
      <c r="C871" s="36" t="str">
        <f>IFERROR(__xludf.DUMMYFUNCTION("""COMPUTED_VALUE"""),"")</f>
        <v/>
      </c>
      <c r="D871" s="36" t="str">
        <f>IFERROR(__xludf.DUMMYFUNCTION("""COMPUTED_VALUE"""),"")</f>
        <v/>
      </c>
      <c r="E871" s="36" t="str">
        <f>IFERROR(__xludf.DUMMYFUNCTION("""COMPUTED_VALUE"""),"08-22-03-81H")</f>
        <v>08-22-03-81H</v>
      </c>
      <c r="F871" s="36"/>
      <c r="G871" s="36" t="str">
        <f>IFERROR(__xludf.DUMMYFUNCTION("""COMPUTED_VALUE"""),"Centenario Gdor. Izasa")</f>
        <v>Centenario Gdor. Izasa</v>
      </c>
      <c r="H871" s="36" t="str">
        <f>IFERROR(__xludf.DUMMYFUNCTION("""COMPUTED_VALUE"""),"")</f>
        <v/>
      </c>
    </row>
    <row r="872">
      <c r="A872" s="36" t="str">
        <f>IFERROR(__xludf.DUMMYFUNCTION("""COMPUTED_VALUE"""),"01-34-07-124")</f>
        <v>01-34-07-124</v>
      </c>
      <c r="B872" s="36" t="str">
        <f>IFERROR(__xludf.DUMMYFUNCTION("""COMPUTED_VALUE"""),"")</f>
        <v/>
      </c>
      <c r="C872" s="36" t="str">
        <f>IFERROR(__xludf.DUMMYFUNCTION("""COMPUTED_VALUE"""),"")</f>
        <v/>
      </c>
      <c r="D872" s="36" t="str">
        <f>IFERROR(__xludf.DUMMYFUNCTION("""COMPUTED_VALUE"""),"")</f>
        <v/>
      </c>
      <c r="E872" s="36" t="str">
        <f>IFERROR(__xludf.DUMMYFUNCTION("""COMPUTED_VALUE"""),"08-20-02-75")</f>
        <v>08-20-02-75</v>
      </c>
      <c r="F872" s="36"/>
      <c r="G872" s="36" t="str">
        <f>IFERROR(__xludf.DUMMYFUNCTION("""COMPUTED_VALUE"""),"Centenario N y Bonduel")</f>
        <v>Centenario N y Bonduel</v>
      </c>
      <c r="H872" s="36" t="str">
        <f>IFERROR(__xludf.DUMMYFUNCTION("""COMPUTED_VALUE"""),"")</f>
        <v/>
      </c>
    </row>
    <row r="873">
      <c r="A873" s="36" t="str">
        <f>IFERROR(__xludf.DUMMYFUNCTION("""COMPUTED_VALUE"""),"01-34-07-125")</f>
        <v>01-34-07-125</v>
      </c>
      <c r="B873" s="36" t="str">
        <f>IFERROR(__xludf.DUMMYFUNCTION("""COMPUTED_VALUE"""),"")</f>
        <v/>
      </c>
      <c r="C873" s="36" t="str">
        <f>IFERROR(__xludf.DUMMYFUNCTION("""COMPUTED_VALUE"""),"")</f>
        <v/>
      </c>
      <c r="D873" s="36" t="str">
        <f>IFERROR(__xludf.DUMMYFUNCTION("""COMPUTED_VALUE"""),"")</f>
        <v/>
      </c>
      <c r="E873" s="36" t="str">
        <f>IFERROR(__xludf.DUMMYFUNCTION("""COMPUTED_VALUE"""),"08-20-02-53")</f>
        <v>08-20-02-53</v>
      </c>
      <c r="F873" s="36"/>
      <c r="G873" s="36" t="str">
        <f>IFERROR(__xludf.DUMMYFUNCTION("""COMPUTED_VALUE"""),"Centenario N y Proyectada 1 ")</f>
        <v>Centenario N y Proyectada 1 </v>
      </c>
      <c r="H873" s="36" t="str">
        <f>IFERROR(__xludf.DUMMYFUNCTION("""COMPUTED_VALUE"""),"")</f>
        <v/>
      </c>
    </row>
    <row r="874">
      <c r="A874" s="36" t="str">
        <f>IFERROR(__xludf.DUMMYFUNCTION("""COMPUTED_VALUE"""),"01-34-07-127")</f>
        <v>01-34-07-127</v>
      </c>
      <c r="B874" s="36" t="str">
        <f>IFERROR(__xludf.DUMMYFUNCTION("""COMPUTED_VALUE"""),"")</f>
        <v/>
      </c>
      <c r="C874" s="36" t="str">
        <f>IFERROR(__xludf.DUMMYFUNCTION("""COMPUTED_VALUE"""),"")</f>
        <v/>
      </c>
      <c r="D874" s="36" t="str">
        <f>IFERROR(__xludf.DUMMYFUNCTION("""COMPUTED_VALUE"""),"")</f>
        <v/>
      </c>
      <c r="E874" s="36" t="str">
        <f>IFERROR(__xludf.DUMMYFUNCTION("""COMPUTED_VALUE"""),"08-20-02-55")</f>
        <v>08-20-02-55</v>
      </c>
      <c r="F874" s="36"/>
      <c r="G874" s="36" t="str">
        <f>IFERROR(__xludf.DUMMYFUNCTION("""COMPUTED_VALUE"""),"Centenario N y Proyectada 2 ")</f>
        <v>Centenario N y Proyectada 2 </v>
      </c>
      <c r="H874" s="36" t="str">
        <f>IFERROR(__xludf.DUMMYFUNCTION("""COMPUTED_VALUE"""),"")</f>
        <v/>
      </c>
    </row>
    <row r="875">
      <c r="A875" s="36" t="str">
        <f>IFERROR(__xludf.DUMMYFUNCTION("""COMPUTED_VALUE"""),"01-34-07-128")</f>
        <v>01-34-07-128</v>
      </c>
      <c r="B875" s="36" t="str">
        <f>IFERROR(__xludf.DUMMYFUNCTION("""COMPUTED_VALUE"""),"")</f>
        <v/>
      </c>
      <c r="C875" s="36" t="str">
        <f>IFERROR(__xludf.DUMMYFUNCTION("""COMPUTED_VALUE"""),"")</f>
        <v/>
      </c>
      <c r="D875" s="36" t="str">
        <f>IFERROR(__xludf.DUMMYFUNCTION("""COMPUTED_VALUE"""),"")</f>
        <v/>
      </c>
      <c r="E875" s="36" t="str">
        <f>IFERROR(__xludf.DUMMYFUNCTION("""COMPUTED_VALUE"""),"08-20-02-57")</f>
        <v>08-20-02-57</v>
      </c>
      <c r="F875" s="36"/>
      <c r="G875" s="36" t="str">
        <f>IFERROR(__xludf.DUMMYFUNCTION("""COMPUTED_VALUE"""),"Centenario N y Proyectada 3 ")</f>
        <v>Centenario N y Proyectada 3 </v>
      </c>
      <c r="H875" s="36" t="str">
        <f>IFERROR(__xludf.DUMMYFUNCTION("""COMPUTED_VALUE"""),"")</f>
        <v/>
      </c>
    </row>
    <row r="876">
      <c r="A876" s="36" t="str">
        <f>IFERROR(__xludf.DUMMYFUNCTION("""COMPUTED_VALUE"""),"01-34-07-129")</f>
        <v>01-34-07-129</v>
      </c>
      <c r="B876" s="36" t="str">
        <f>IFERROR(__xludf.DUMMYFUNCTION("""COMPUTED_VALUE"""),"")</f>
        <v/>
      </c>
      <c r="C876" s="36" t="str">
        <f>IFERROR(__xludf.DUMMYFUNCTION("""COMPUTED_VALUE"""),"")</f>
        <v/>
      </c>
      <c r="D876" s="36" t="str">
        <f>IFERROR(__xludf.DUMMYFUNCTION("""COMPUTED_VALUE"""),"")</f>
        <v/>
      </c>
      <c r="E876" s="36" t="str">
        <f>IFERROR(__xludf.DUMMYFUNCTION("""COMPUTED_VALUE"""),"08-20-02-65")</f>
        <v>08-20-02-65</v>
      </c>
      <c r="F876" s="36"/>
      <c r="G876" s="36" t="str">
        <f>IFERROR(__xludf.DUMMYFUNCTION("""COMPUTED_VALUE"""),"Centenario N y Proyectada 4")</f>
        <v>Centenario N y Proyectada 4</v>
      </c>
      <c r="H876" s="36" t="str">
        <f>IFERROR(__xludf.DUMMYFUNCTION("""COMPUTED_VALUE"""),"")</f>
        <v/>
      </c>
    </row>
    <row r="877">
      <c r="A877" s="36" t="str">
        <f>IFERROR(__xludf.DUMMYFUNCTION("""COMPUTED_VALUE"""),"01-34-07-130")</f>
        <v>01-34-07-130</v>
      </c>
      <c r="B877" s="36" t="str">
        <f>IFERROR(__xludf.DUMMYFUNCTION("""COMPUTED_VALUE"""),"")</f>
        <v/>
      </c>
      <c r="C877" s="36" t="str">
        <f>IFERROR(__xludf.DUMMYFUNCTION("""COMPUTED_VALUE"""),"")</f>
        <v/>
      </c>
      <c r="D877" s="36" t="str">
        <f>IFERROR(__xludf.DUMMYFUNCTION("""COMPUTED_VALUE"""),"")</f>
        <v/>
      </c>
      <c r="E877" s="36" t="str">
        <f>IFERROR(__xludf.DUMMYFUNCTION("""COMPUTED_VALUE"""),"08-20-02-67")</f>
        <v>08-20-02-67</v>
      </c>
      <c r="F877" s="36"/>
      <c r="G877" s="36" t="str">
        <f>IFERROR(__xludf.DUMMYFUNCTION("""COMPUTED_VALUE"""),"Centenario N y Proyectada 5")</f>
        <v>Centenario N y Proyectada 5</v>
      </c>
      <c r="H877" s="36" t="str">
        <f>IFERROR(__xludf.DUMMYFUNCTION("""COMPUTED_VALUE"""),"")</f>
        <v/>
      </c>
    </row>
    <row r="878">
      <c r="A878" s="36" t="str">
        <f>IFERROR(__xludf.DUMMYFUNCTION("""COMPUTED_VALUE"""),"01-34-07-131")</f>
        <v>01-34-07-131</v>
      </c>
      <c r="B878" s="36" t="str">
        <f>IFERROR(__xludf.DUMMYFUNCTION("""COMPUTED_VALUE"""),"")</f>
        <v/>
      </c>
      <c r="C878" s="36" t="str">
        <f>IFERROR(__xludf.DUMMYFUNCTION("""COMPUTED_VALUE"""),"")</f>
        <v/>
      </c>
      <c r="D878" s="36" t="str">
        <f>IFERROR(__xludf.DUMMYFUNCTION("""COMPUTED_VALUE"""),"")</f>
        <v/>
      </c>
      <c r="E878" s="36" t="str">
        <f>IFERROR(__xludf.DUMMYFUNCTION("""COMPUTED_VALUE"""),"08-20-02-68")</f>
        <v>08-20-02-68</v>
      </c>
      <c r="F878" s="36"/>
      <c r="G878" s="36" t="str">
        <f>IFERROR(__xludf.DUMMYFUNCTION("""COMPUTED_VALUE"""),"Centenario N y Proyectada 6")</f>
        <v>Centenario N y Proyectada 6</v>
      </c>
      <c r="H878" s="36" t="str">
        <f>IFERROR(__xludf.DUMMYFUNCTION("""COMPUTED_VALUE"""),"")</f>
        <v/>
      </c>
    </row>
    <row r="879">
      <c r="A879" s="36" t="str">
        <f>IFERROR(__xludf.DUMMYFUNCTION("""COMPUTED_VALUE"""),"01-34-07-149")</f>
        <v>01-34-07-149</v>
      </c>
      <c r="B879" s="36" t="str">
        <f>IFERROR(__xludf.DUMMYFUNCTION("""COMPUTED_VALUE"""),"")</f>
        <v/>
      </c>
      <c r="C879" s="36" t="str">
        <f>IFERROR(__xludf.DUMMYFUNCTION("""COMPUTED_VALUE"""),"")</f>
        <v/>
      </c>
      <c r="D879" s="36" t="str">
        <f>IFERROR(__xludf.DUMMYFUNCTION("""COMPUTED_VALUE"""),"")</f>
        <v/>
      </c>
      <c r="E879" s="36" t="str">
        <f>IFERROR(__xludf.DUMMYFUNCTION("""COMPUTED_VALUE"""),"08-20-02-70")</f>
        <v>08-20-02-70</v>
      </c>
      <c r="F879" s="36"/>
      <c r="G879" s="36" t="str">
        <f>IFERROR(__xludf.DUMMYFUNCTION("""COMPUTED_VALUE"""),"Centenario N y Proyectada 7")</f>
        <v>Centenario N y Proyectada 7</v>
      </c>
      <c r="H879" s="36" t="str">
        <f>IFERROR(__xludf.DUMMYFUNCTION("""COMPUTED_VALUE"""),"")</f>
        <v/>
      </c>
    </row>
    <row r="880">
      <c r="A880" s="36" t="str">
        <f>IFERROR(__xludf.DUMMYFUNCTION("""COMPUTED_VALUE"""),"01-34-07-152")</f>
        <v>01-34-07-152</v>
      </c>
      <c r="B880" s="36" t="str">
        <f>IFERROR(__xludf.DUMMYFUNCTION("""COMPUTED_VALUE"""),"")</f>
        <v/>
      </c>
      <c r="C880" s="36" t="str">
        <f>IFERROR(__xludf.DUMMYFUNCTION("""COMPUTED_VALUE"""),"")</f>
        <v/>
      </c>
      <c r="D880" s="36" t="str">
        <f>IFERROR(__xludf.DUMMYFUNCTION("""COMPUTED_VALUE"""),"")</f>
        <v/>
      </c>
      <c r="E880" s="36" t="str">
        <f>IFERROR(__xludf.DUMMYFUNCTION("""COMPUTED_VALUE"""),"08-20-02-71")</f>
        <v>08-20-02-71</v>
      </c>
      <c r="F880" s="36"/>
      <c r="G880" s="36" t="str">
        <f>IFERROR(__xludf.DUMMYFUNCTION("""COMPUTED_VALUE"""),"Centenario N y Proyectada 8")</f>
        <v>Centenario N y Proyectada 8</v>
      </c>
      <c r="H880" s="36" t="str">
        <f>IFERROR(__xludf.DUMMYFUNCTION("""COMPUTED_VALUE"""),"")</f>
        <v/>
      </c>
    </row>
    <row r="881">
      <c r="A881" s="36" t="str">
        <f>IFERROR(__xludf.DUMMYFUNCTION("""COMPUTED_VALUE"""),"01-34-07-230")</f>
        <v>01-34-07-230</v>
      </c>
      <c r="B881" s="36" t="str">
        <f>IFERROR(__xludf.DUMMYFUNCTION("""COMPUTED_VALUE"""),"")</f>
        <v/>
      </c>
      <c r="C881" s="36" t="str">
        <f>IFERROR(__xludf.DUMMYFUNCTION("""COMPUTED_VALUE"""),"")</f>
        <v/>
      </c>
      <c r="D881" s="36" t="str">
        <f>IFERROR(__xludf.DUMMYFUNCTION("""COMPUTED_VALUE"""),"")</f>
        <v/>
      </c>
      <c r="E881" s="36" t="str">
        <f>IFERROR(__xludf.DUMMYFUNCTION("""COMPUTED_VALUE"""),"08-20-02-73")</f>
        <v>08-20-02-73</v>
      </c>
      <c r="F881" s="36"/>
      <c r="G881" s="36" t="str">
        <f>IFERROR(__xludf.DUMMYFUNCTION("""COMPUTED_VALUE"""),"Centenario N y Proyectada 9")</f>
        <v>Centenario N y Proyectada 9</v>
      </c>
      <c r="H881" s="36" t="str">
        <f>IFERROR(__xludf.DUMMYFUNCTION("""COMPUTED_VALUE"""),"")</f>
        <v/>
      </c>
    </row>
    <row r="882">
      <c r="A882" s="36" t="str">
        <f>IFERROR(__xludf.DUMMYFUNCTION("""COMPUTED_VALUE"""),"01-34-07-232")</f>
        <v>01-34-07-232</v>
      </c>
      <c r="B882" s="36" t="str">
        <f>IFERROR(__xludf.DUMMYFUNCTION("""COMPUTED_VALUE"""),"")</f>
        <v/>
      </c>
      <c r="C882" s="36" t="str">
        <f>IFERROR(__xludf.DUMMYFUNCTION("""COMPUTED_VALUE"""),"")</f>
        <v/>
      </c>
      <c r="D882" s="36" t="str">
        <f>IFERROR(__xludf.DUMMYFUNCTION("""COMPUTED_VALUE"""),"")</f>
        <v/>
      </c>
      <c r="E882" s="36" t="str">
        <f>IFERROR(__xludf.DUMMYFUNCTION("""COMPUTED_VALUE"""),"08-20-02-64")</f>
        <v>08-20-02-64</v>
      </c>
      <c r="F882" s="36"/>
      <c r="G882" s="36" t="str">
        <f>IFERROR(__xludf.DUMMYFUNCTION("""COMPUTED_VALUE"""),"Centenario S  y Proyectada 4")</f>
        <v>Centenario S  y Proyectada 4</v>
      </c>
      <c r="H882" s="36" t="str">
        <f>IFERROR(__xludf.DUMMYFUNCTION("""COMPUTED_VALUE"""),"")</f>
        <v/>
      </c>
    </row>
    <row r="883">
      <c r="A883" s="36" t="str">
        <f>IFERROR(__xludf.DUMMYFUNCTION("""COMPUTED_VALUE"""),"01-35-07-132")</f>
        <v>01-35-07-132</v>
      </c>
      <c r="B883" s="36" t="str">
        <f>IFERROR(__xludf.DUMMYFUNCTION("""COMPUTED_VALUE"""),"")</f>
        <v/>
      </c>
      <c r="C883" s="36" t="str">
        <f>IFERROR(__xludf.DUMMYFUNCTION("""COMPUTED_VALUE"""),"")</f>
        <v/>
      </c>
      <c r="D883" s="36" t="str">
        <f>IFERROR(__xludf.DUMMYFUNCTION("""COMPUTED_VALUE"""),"")</f>
        <v/>
      </c>
      <c r="E883" s="36" t="str">
        <f>IFERROR(__xludf.DUMMYFUNCTION("""COMPUTED_VALUE"""),"08-20-02-74")</f>
        <v>08-20-02-74</v>
      </c>
      <c r="F883" s="36"/>
      <c r="G883" s="36" t="str">
        <f>IFERROR(__xludf.DUMMYFUNCTION("""COMPUTED_VALUE"""),"Centenario S  y Proyectada 9")</f>
        <v>Centenario S  y Proyectada 9</v>
      </c>
      <c r="H883" s="36" t="str">
        <f>IFERROR(__xludf.DUMMYFUNCTION("""COMPUTED_VALUE"""),"")</f>
        <v/>
      </c>
    </row>
    <row r="884">
      <c r="A884" s="36" t="str">
        <f>IFERROR(__xludf.DUMMYFUNCTION("""COMPUTED_VALUE"""),"01-35-07-133")</f>
        <v>01-35-07-133</v>
      </c>
      <c r="B884" s="36" t="str">
        <f>IFERROR(__xludf.DUMMYFUNCTION("""COMPUTED_VALUE"""),"")</f>
        <v/>
      </c>
      <c r="C884" s="36" t="str">
        <f>IFERROR(__xludf.DUMMYFUNCTION("""COMPUTED_VALUE"""),"")</f>
        <v/>
      </c>
      <c r="D884" s="36" t="str">
        <f>IFERROR(__xludf.DUMMYFUNCTION("""COMPUTED_VALUE"""),"")</f>
        <v/>
      </c>
      <c r="E884" s="36" t="str">
        <f>IFERROR(__xludf.DUMMYFUNCTION("""COMPUTED_VALUE"""),"08-20-02-76")</f>
        <v>08-20-02-76</v>
      </c>
      <c r="F884" s="36"/>
      <c r="G884" s="36" t="str">
        <f>IFERROR(__xludf.DUMMYFUNCTION("""COMPUTED_VALUE"""),"Centenario S y Bonduel")</f>
        <v>Centenario S y Bonduel</v>
      </c>
      <c r="H884" s="36" t="str">
        <f>IFERROR(__xludf.DUMMYFUNCTION("""COMPUTED_VALUE"""),"")</f>
        <v/>
      </c>
    </row>
    <row r="885">
      <c r="A885" s="36" t="str">
        <f>IFERROR(__xludf.DUMMYFUNCTION("""COMPUTED_VALUE"""),"01-35-07-134")</f>
        <v>01-35-07-134</v>
      </c>
      <c r="B885" s="36" t="str">
        <f>IFERROR(__xludf.DUMMYFUNCTION("""COMPUTED_VALUE"""),"")</f>
        <v/>
      </c>
      <c r="C885" s="36" t="str">
        <f>IFERROR(__xludf.DUMMYFUNCTION("""COMPUTED_VALUE"""),"")</f>
        <v/>
      </c>
      <c r="D885" s="36" t="str">
        <f>IFERROR(__xludf.DUMMYFUNCTION("""COMPUTED_VALUE"""),"")</f>
        <v/>
      </c>
      <c r="E885" s="36" t="str">
        <f>IFERROR(__xludf.DUMMYFUNCTION("""COMPUTED_VALUE"""),"08-20-02-52")</f>
        <v>08-20-02-52</v>
      </c>
      <c r="F885" s="36"/>
      <c r="G885" s="36" t="str">
        <f>IFERROR(__xludf.DUMMYFUNCTION("""COMPUTED_VALUE"""),"Centenario S y Proyectada 1 ")</f>
        <v>Centenario S y Proyectada 1 </v>
      </c>
      <c r="H885" s="36" t="str">
        <f>IFERROR(__xludf.DUMMYFUNCTION("""COMPUTED_VALUE"""),"")</f>
        <v/>
      </c>
    </row>
    <row r="886">
      <c r="A886" s="36" t="str">
        <f>IFERROR(__xludf.DUMMYFUNCTION("""COMPUTED_VALUE"""),"01-35-07-135")</f>
        <v>01-35-07-135</v>
      </c>
      <c r="B886" s="36" t="str">
        <f>IFERROR(__xludf.DUMMYFUNCTION("""COMPUTED_VALUE"""),"")</f>
        <v/>
      </c>
      <c r="C886" s="36" t="str">
        <f>IFERROR(__xludf.DUMMYFUNCTION("""COMPUTED_VALUE"""),"")</f>
        <v/>
      </c>
      <c r="D886" s="36" t="str">
        <f>IFERROR(__xludf.DUMMYFUNCTION("""COMPUTED_VALUE"""),"")</f>
        <v/>
      </c>
      <c r="E886" s="36" t="str">
        <f>IFERROR(__xludf.DUMMYFUNCTION("""COMPUTED_VALUE"""),"08-20-02-54")</f>
        <v>08-20-02-54</v>
      </c>
      <c r="F886" s="36"/>
      <c r="G886" s="36" t="str">
        <f>IFERROR(__xludf.DUMMYFUNCTION("""COMPUTED_VALUE"""),"Centenario S y Proyectada 2 ")</f>
        <v>Centenario S y Proyectada 2 </v>
      </c>
      <c r="H886" s="36" t="str">
        <f>IFERROR(__xludf.DUMMYFUNCTION("""COMPUTED_VALUE"""),"")</f>
        <v/>
      </c>
    </row>
    <row r="887">
      <c r="A887" s="36" t="str">
        <f>IFERROR(__xludf.DUMMYFUNCTION("""COMPUTED_VALUE"""),"01-35-07-136")</f>
        <v>01-35-07-136</v>
      </c>
      <c r="B887" s="36" t="str">
        <f>IFERROR(__xludf.DUMMYFUNCTION("""COMPUTED_VALUE"""),"")</f>
        <v/>
      </c>
      <c r="C887" s="36" t="str">
        <f>IFERROR(__xludf.DUMMYFUNCTION("""COMPUTED_VALUE"""),"")</f>
        <v/>
      </c>
      <c r="D887" s="36" t="str">
        <f>IFERROR(__xludf.DUMMYFUNCTION("""COMPUTED_VALUE"""),"")</f>
        <v/>
      </c>
      <c r="E887" s="36" t="str">
        <f>IFERROR(__xludf.DUMMYFUNCTION("""COMPUTED_VALUE"""),"08-20-02-56")</f>
        <v>08-20-02-56</v>
      </c>
      <c r="F887" s="36"/>
      <c r="G887" s="36" t="str">
        <f>IFERROR(__xludf.DUMMYFUNCTION("""COMPUTED_VALUE"""),"Centenario S y Proyectada 3")</f>
        <v>Centenario S y Proyectada 3</v>
      </c>
      <c r="H887" s="36" t="str">
        <f>IFERROR(__xludf.DUMMYFUNCTION("""COMPUTED_VALUE"""),"")</f>
        <v/>
      </c>
    </row>
    <row r="888">
      <c r="A888" s="36" t="str">
        <f>IFERROR(__xludf.DUMMYFUNCTION("""COMPUTED_VALUE"""),"01-35-07-231")</f>
        <v>01-35-07-231</v>
      </c>
      <c r="B888" s="36" t="str">
        <f>IFERROR(__xludf.DUMMYFUNCTION("""COMPUTED_VALUE"""),"")</f>
        <v/>
      </c>
      <c r="C888" s="36" t="str">
        <f>IFERROR(__xludf.DUMMYFUNCTION("""COMPUTED_VALUE"""),"")</f>
        <v/>
      </c>
      <c r="D888" s="36" t="str">
        <f>IFERROR(__xludf.DUMMYFUNCTION("""COMPUTED_VALUE"""),"")</f>
        <v/>
      </c>
      <c r="E888" s="36" t="str">
        <f>IFERROR(__xludf.DUMMYFUNCTION("""COMPUTED_VALUE"""),"08-20-02-66")</f>
        <v>08-20-02-66</v>
      </c>
      <c r="F888" s="36"/>
      <c r="G888" s="36" t="str">
        <f>IFERROR(__xludf.DUMMYFUNCTION("""COMPUTED_VALUE"""),"Centenario S y Proyectada 5")</f>
        <v>Centenario S y Proyectada 5</v>
      </c>
      <c r="H888" s="36" t="str">
        <f>IFERROR(__xludf.DUMMYFUNCTION("""COMPUTED_VALUE"""),"")</f>
        <v/>
      </c>
    </row>
    <row r="889">
      <c r="A889" s="36" t="str">
        <f>IFERROR(__xludf.DUMMYFUNCTION("""COMPUTED_VALUE"""),"01-35-07-233")</f>
        <v>01-35-07-233</v>
      </c>
      <c r="B889" s="36" t="str">
        <f>IFERROR(__xludf.DUMMYFUNCTION("""COMPUTED_VALUE"""),"")</f>
        <v/>
      </c>
      <c r="C889" s="36" t="str">
        <f>IFERROR(__xludf.DUMMYFUNCTION("""COMPUTED_VALUE"""),"")</f>
        <v/>
      </c>
      <c r="D889" s="36" t="str">
        <f>IFERROR(__xludf.DUMMYFUNCTION("""COMPUTED_VALUE"""),"")</f>
        <v/>
      </c>
      <c r="E889" s="36" t="str">
        <f>IFERROR(__xludf.DUMMYFUNCTION("""COMPUTED_VALUE"""),"08-20-02-69")</f>
        <v>08-20-02-69</v>
      </c>
      <c r="F889" s="36"/>
      <c r="G889" s="36" t="str">
        <f>IFERROR(__xludf.DUMMYFUNCTION("""COMPUTED_VALUE"""),"Centenario S y Proyectada 6")</f>
        <v>Centenario S y Proyectada 6</v>
      </c>
      <c r="H889" s="36" t="str">
        <f>IFERROR(__xludf.DUMMYFUNCTION("""COMPUTED_VALUE"""),"")</f>
        <v/>
      </c>
    </row>
    <row r="890">
      <c r="A890" s="36" t="str">
        <f>IFERROR(__xludf.DUMMYFUNCTION("""COMPUTED_VALUE"""),"01-35-07-234")</f>
        <v>01-35-07-234</v>
      </c>
      <c r="B890" s="36" t="str">
        <f>IFERROR(__xludf.DUMMYFUNCTION("""COMPUTED_VALUE"""),"")</f>
        <v/>
      </c>
      <c r="C890" s="36" t="str">
        <f>IFERROR(__xludf.DUMMYFUNCTION("""COMPUTED_VALUE"""),"")</f>
        <v/>
      </c>
      <c r="D890" s="36" t="str">
        <f>IFERROR(__xludf.DUMMYFUNCTION("""COMPUTED_VALUE"""),"")</f>
        <v/>
      </c>
      <c r="E890" s="36" t="str">
        <f>IFERROR(__xludf.DUMMYFUNCTION("""COMPUTED_VALUE"""),"08-20-02-72")</f>
        <v>08-20-02-72</v>
      </c>
      <c r="F890" s="36"/>
      <c r="G890" s="36" t="str">
        <f>IFERROR(__xludf.DUMMYFUNCTION("""COMPUTED_VALUE"""),"Centenario S y Proyectada 8")</f>
        <v>Centenario S y Proyectada 8</v>
      </c>
      <c r="H890" s="36" t="str">
        <f>IFERROR(__xludf.DUMMYFUNCTION("""COMPUTED_VALUE"""),"")</f>
        <v/>
      </c>
    </row>
    <row r="891">
      <c r="A891" s="36" t="str">
        <f>IFERROR(__xludf.DUMMYFUNCTION("""COMPUTED_VALUE"""),"01-35-07-235")</f>
        <v>01-35-07-235</v>
      </c>
      <c r="B891" s="36" t="str">
        <f>IFERROR(__xludf.DUMMYFUNCTION("""COMPUTED_VALUE"""),"")</f>
        <v/>
      </c>
      <c r="C891" s="36" t="str">
        <f>IFERROR(__xludf.DUMMYFUNCTION("""COMPUTED_VALUE"""),"")</f>
        <v/>
      </c>
      <c r="D891" s="36" t="str">
        <f>IFERROR(__xludf.DUMMYFUNCTION("""COMPUTED_VALUE"""),"")</f>
        <v/>
      </c>
      <c r="E891" s="36" t="str">
        <f>IFERROR(__xludf.DUMMYFUNCTION("""COMPUTED_VALUE"""),"08-26-04-43")</f>
        <v>08-26-04-43</v>
      </c>
      <c r="F891" s="36"/>
      <c r="G891" s="36" t="str">
        <f>IFERROR(__xludf.DUMMYFUNCTION("""COMPUTED_VALUE"""),"Centenario y 2 de Abril")</f>
        <v>Centenario y 2 de Abril</v>
      </c>
      <c r="H891" s="36" t="str">
        <f>IFERROR(__xludf.DUMMYFUNCTION("""COMPUTED_VALUE"""),"")</f>
        <v/>
      </c>
    </row>
    <row r="892">
      <c r="A892" s="36" t="str">
        <f>IFERROR(__xludf.DUMMYFUNCTION("""COMPUTED_VALUE"""),"01-35-07-236")</f>
        <v>01-35-07-236</v>
      </c>
      <c r="B892" s="36" t="str">
        <f>IFERROR(__xludf.DUMMYFUNCTION("""COMPUTED_VALUE"""),"")</f>
        <v/>
      </c>
      <c r="C892" s="36" t="str">
        <f>IFERROR(__xludf.DUMMYFUNCTION("""COMPUTED_VALUE"""),"")</f>
        <v/>
      </c>
      <c r="D892" s="36" t="str">
        <f>IFERROR(__xludf.DUMMYFUNCTION("""COMPUTED_VALUE"""),"")</f>
        <v/>
      </c>
      <c r="E892" s="36" t="str">
        <f>IFERROR(__xludf.DUMMYFUNCTION("""COMPUTED_VALUE"""),"08-22-03-30")</f>
        <v>08-22-03-30</v>
      </c>
      <c r="F892" s="36"/>
      <c r="G892" s="36" t="str">
        <f>IFERROR(__xludf.DUMMYFUNCTION("""COMPUTED_VALUE"""),"Centenario y 9 de Julio")</f>
        <v>Centenario y 9 de Julio</v>
      </c>
      <c r="H892" s="36" t="str">
        <f>IFERROR(__xludf.DUMMYFUNCTION("""COMPUTED_VALUE"""),"")</f>
        <v/>
      </c>
    </row>
    <row r="893">
      <c r="A893" s="36" t="str">
        <f>IFERROR(__xludf.DUMMYFUNCTION("""COMPUTED_VALUE"""),"01-35-07-237")</f>
        <v>01-35-07-237</v>
      </c>
      <c r="B893" s="36" t="str">
        <f>IFERROR(__xludf.DUMMYFUNCTION("""COMPUTED_VALUE"""),"")</f>
        <v/>
      </c>
      <c r="C893" s="36" t="str">
        <f>IFERROR(__xludf.DUMMYFUNCTION("""COMPUTED_VALUE"""),"")</f>
        <v/>
      </c>
      <c r="D893" s="36" t="str">
        <f>IFERROR(__xludf.DUMMYFUNCTION("""COMPUTED_VALUE"""),"")</f>
        <v/>
      </c>
      <c r="E893" s="36" t="str">
        <f>IFERROR(__xludf.DUMMYFUNCTION("""COMPUTED_VALUE"""),"08-26-04-45")</f>
        <v>08-26-04-45</v>
      </c>
      <c r="F893" s="36"/>
      <c r="G893" s="36" t="str">
        <f>IFERROR(__xludf.DUMMYFUNCTION("""COMPUTED_VALUE"""),"Centenario y Bulevar B° Santa María E")</f>
        <v>Centenario y Bulevar B° Santa María E</v>
      </c>
      <c r="H893" s="36" t="str">
        <f>IFERROR(__xludf.DUMMYFUNCTION("""COMPUTED_VALUE"""),"")</f>
        <v/>
      </c>
    </row>
    <row r="894">
      <c r="A894" s="36" t="str">
        <f>IFERROR(__xludf.DUMMYFUNCTION("""COMPUTED_VALUE"""),"01-35-07-238")</f>
        <v>01-35-07-238</v>
      </c>
      <c r="B894" s="36" t="str">
        <f>IFERROR(__xludf.DUMMYFUNCTION("""COMPUTED_VALUE"""),"")</f>
        <v/>
      </c>
      <c r="C894" s="36" t="str">
        <f>IFERROR(__xludf.DUMMYFUNCTION("""COMPUTED_VALUE"""),"")</f>
        <v/>
      </c>
      <c r="D894" s="36" t="str">
        <f>IFERROR(__xludf.DUMMYFUNCTION("""COMPUTED_VALUE"""),"")</f>
        <v/>
      </c>
      <c r="E894" s="36" t="str">
        <f>IFERROR(__xludf.DUMMYFUNCTION("""COMPUTED_VALUE"""),"08-26-04-44")</f>
        <v>08-26-04-44</v>
      </c>
      <c r="F894" s="36"/>
      <c r="G894" s="36" t="str">
        <f>IFERROR(__xludf.DUMMYFUNCTION("""COMPUTED_VALUE"""),"Centenario y Bulevar B° Santa María O")</f>
        <v>Centenario y Bulevar B° Santa María O</v>
      </c>
      <c r="H894" s="36" t="str">
        <f>IFERROR(__xludf.DUMMYFUNCTION("""COMPUTED_VALUE"""),"")</f>
        <v/>
      </c>
    </row>
    <row r="895">
      <c r="A895" s="36" t="str">
        <f>IFERROR(__xludf.DUMMYFUNCTION("""COMPUTED_VALUE"""),"01-35-07-239")</f>
        <v>01-35-07-239</v>
      </c>
      <c r="B895" s="36" t="str">
        <f>IFERROR(__xludf.DUMMYFUNCTION("""COMPUTED_VALUE"""),"")</f>
        <v/>
      </c>
      <c r="C895" s="36" t="str">
        <f>IFERROR(__xludf.DUMMYFUNCTION("""COMPUTED_VALUE"""),"")</f>
        <v/>
      </c>
      <c r="D895" s="36" t="str">
        <f>IFERROR(__xludf.DUMMYFUNCTION("""COMPUTED_VALUE"""),"")</f>
        <v/>
      </c>
      <c r="E895" s="36" t="str">
        <f>IFERROR(__xludf.DUMMYFUNCTION("""COMPUTED_VALUE"""),"08-20-02-51")</f>
        <v>08-20-02-51</v>
      </c>
      <c r="F895" s="36"/>
      <c r="G895" s="36" t="str">
        <f>IFERROR(__xludf.DUMMYFUNCTION("""COMPUTED_VALUE"""),"Centenario y Colón")</f>
        <v>Centenario y Colón</v>
      </c>
      <c r="H895" s="36" t="str">
        <f>IFERROR(__xludf.DUMMYFUNCTION("""COMPUTED_VALUE"""),"")</f>
        <v/>
      </c>
    </row>
    <row r="896">
      <c r="A896" s="36" t="str">
        <f>IFERROR(__xludf.DUMMYFUNCTION("""COMPUTED_VALUE"""),"01-35-07-240")</f>
        <v>01-35-07-240</v>
      </c>
      <c r="B896" s="36" t="str">
        <f>IFERROR(__xludf.DUMMYFUNCTION("""COMPUTED_VALUE"""),"")</f>
        <v/>
      </c>
      <c r="C896" s="36" t="str">
        <f>IFERROR(__xludf.DUMMYFUNCTION("""COMPUTED_VALUE"""),"")</f>
        <v/>
      </c>
      <c r="D896" s="36" t="str">
        <f>IFERROR(__xludf.DUMMYFUNCTION("""COMPUTED_VALUE"""),"")</f>
        <v/>
      </c>
      <c r="E896" s="36" t="str">
        <f>IFERROR(__xludf.DUMMYFUNCTION("""COMPUTED_VALUE"""),"08-22-03-81")</f>
        <v>08-22-03-81</v>
      </c>
      <c r="F896" s="36"/>
      <c r="G896" s="36" t="str">
        <f>IFERROR(__xludf.DUMMYFUNCTION("""COMPUTED_VALUE"""),"Centenario y Concordia")</f>
        <v>Centenario y Concordia</v>
      </c>
      <c r="H896" s="36" t="str">
        <f>IFERROR(__xludf.DUMMYFUNCTION("""COMPUTED_VALUE"""),"")</f>
        <v/>
      </c>
    </row>
    <row r="897">
      <c r="A897" s="36" t="str">
        <f>IFERROR(__xludf.DUMMYFUNCTION("""COMPUTED_VALUE"""),"01-35-07-24G")</f>
        <v>01-35-07-24G</v>
      </c>
      <c r="B897" s="36" t="str">
        <f>IFERROR(__xludf.DUMMYFUNCTION("""COMPUTED_VALUE"""),"")</f>
        <v/>
      </c>
      <c r="C897" s="36" t="str">
        <f>IFERROR(__xludf.DUMMYFUNCTION("""COMPUTED_VALUE"""),"")</f>
        <v/>
      </c>
      <c r="D897" s="36" t="str">
        <f>IFERROR(__xludf.DUMMYFUNCTION("""COMPUTED_VALUE"""),"")</f>
        <v/>
      </c>
      <c r="E897" s="36" t="str">
        <f>IFERROR(__xludf.DUMMYFUNCTION("""COMPUTED_VALUE"""),"08-28-03-27")</f>
        <v>08-28-03-27</v>
      </c>
      <c r="F897" s="36"/>
      <c r="G897" s="36" t="str">
        <f>IFERROR(__xludf.DUMMYFUNCTION("""COMPUTED_VALUE"""),"Centenario y Mendoza")</f>
        <v>Centenario y Mendoza</v>
      </c>
      <c r="H897" s="36" t="str">
        <f>IFERROR(__xludf.DUMMYFUNCTION("""COMPUTED_VALUE"""),"")</f>
        <v/>
      </c>
    </row>
    <row r="898">
      <c r="A898" s="36" t="str">
        <f>IFERROR(__xludf.DUMMYFUNCTION("""COMPUTED_VALUE"""),"01-35-07-24I")</f>
        <v>01-35-07-24I</v>
      </c>
      <c r="B898" s="36" t="str">
        <f>IFERROR(__xludf.DUMMYFUNCTION("""COMPUTED_VALUE"""),"")</f>
        <v/>
      </c>
      <c r="C898" s="36" t="str">
        <f>IFERROR(__xludf.DUMMYFUNCTION("""COMPUTED_VALUE"""),"")</f>
        <v/>
      </c>
      <c r="D898" s="36" t="str">
        <f>IFERROR(__xludf.DUMMYFUNCTION("""COMPUTED_VALUE"""),"")</f>
        <v/>
      </c>
      <c r="E898" s="36" t="str">
        <f>IFERROR(__xludf.DUMMYFUNCTION("""COMPUTED_VALUE"""),"08-22-03-81G")</f>
        <v>08-22-03-81G</v>
      </c>
      <c r="F898" s="36"/>
      <c r="G898" s="36" t="str">
        <f>IFERROR(__xludf.DUMMYFUNCTION("""COMPUTED_VALUE"""),"Centenario y RN40")</f>
        <v>Centenario y RN40</v>
      </c>
      <c r="H898" s="36" t="str">
        <f>IFERROR(__xludf.DUMMYFUNCTION("""COMPUTED_VALUE"""),"")</f>
        <v/>
      </c>
    </row>
    <row r="899">
      <c r="A899" s="36" t="str">
        <f>IFERROR(__xludf.DUMMYFUNCTION("""COMPUTED_VALUE"""),"01-36-07-11")</f>
        <v>01-36-07-11</v>
      </c>
      <c r="B899" s="36" t="str">
        <f>IFERROR(__xludf.DUMMYFUNCTION("""COMPUTED_VALUE"""),"")</f>
        <v/>
      </c>
      <c r="C899" s="36" t="str">
        <f>IFERROR(__xludf.DUMMYFUNCTION("""COMPUTED_VALUE"""),"")</f>
        <v/>
      </c>
      <c r="D899" s="36" t="str">
        <f>IFERROR(__xludf.DUMMYFUNCTION("""COMPUTED_VALUE"""),"")</f>
        <v/>
      </c>
      <c r="E899" s="36" t="str">
        <f>IFERROR(__xludf.DUMMYFUNCTION("""COMPUTED_VALUE"""),"08-20-02-59")</f>
        <v>08-20-02-59</v>
      </c>
      <c r="F899" s="36"/>
      <c r="G899" s="36" t="str">
        <f>IFERROR(__xludf.DUMMYFUNCTION("""COMPUTED_VALUE"""),"Centenario y Tacuarí")</f>
        <v>Centenario y Tacuarí</v>
      </c>
      <c r="H899" s="36" t="str">
        <f>IFERROR(__xludf.DUMMYFUNCTION("""COMPUTED_VALUE"""),"")</f>
        <v/>
      </c>
    </row>
    <row r="900">
      <c r="A900" s="36" t="str">
        <f>IFERROR(__xludf.DUMMYFUNCTION("""COMPUTED_VALUE"""),"01-36-07-12")</f>
        <v>01-36-07-12</v>
      </c>
      <c r="B900" s="36" t="str">
        <f>IFERROR(__xludf.DUMMYFUNCTION("""COMPUTED_VALUE"""),"")</f>
        <v/>
      </c>
      <c r="C900" s="36" t="str">
        <f>IFERROR(__xludf.DUMMYFUNCTION("""COMPUTED_VALUE"""),"")</f>
        <v/>
      </c>
      <c r="D900" s="36" t="str">
        <f>IFERROR(__xludf.DUMMYFUNCTION("""COMPUTED_VALUE"""),"")</f>
        <v/>
      </c>
      <c r="E900" s="36" t="str">
        <f>IFERROR(__xludf.DUMMYFUNCTION("""COMPUTED_VALUE"""),"01-43-07-35")</f>
        <v>01-43-07-35</v>
      </c>
      <c r="F900" s="36"/>
      <c r="G900" s="36" t="str">
        <f>IFERROR(__xludf.DUMMYFUNCTION("""COMPUTED_VALUE"""),"Centro Cultural Amadeo Contegrand")</f>
        <v>Centro Cultural Amadeo Contegrand</v>
      </c>
      <c r="H900" s="36" t="str">
        <f>IFERROR(__xludf.DUMMYFUNCTION("""COMPUTED_VALUE"""),"")</f>
        <v/>
      </c>
    </row>
    <row r="901">
      <c r="A901" s="36" t="str">
        <f>IFERROR(__xludf.DUMMYFUNCTION("""COMPUTED_VALUE"""),"01-36-07-13")</f>
        <v>01-36-07-13</v>
      </c>
      <c r="B901" s="36" t="str">
        <f>IFERROR(__xludf.DUMMYFUNCTION("""COMPUTED_VALUE"""),"")</f>
        <v/>
      </c>
      <c r="C901" s="36" t="str">
        <f>IFERROR(__xludf.DUMMYFUNCTION("""COMPUTED_VALUE"""),"")</f>
        <v/>
      </c>
      <c r="D901" s="36" t="str">
        <f>IFERROR(__xludf.DUMMYFUNCTION("""COMPUTED_VALUE"""),"")</f>
        <v/>
      </c>
      <c r="E901" s="36" t="str">
        <f>IFERROR(__xludf.DUMMYFUNCTION("""COMPUTED_VALUE"""),"01-43-07-32")</f>
        <v>01-43-07-32</v>
      </c>
      <c r="F901" s="36"/>
      <c r="G901" s="36" t="str">
        <f>IFERROR(__xludf.DUMMYFUNCTION("""COMPUTED_VALUE"""),"Centro de Convenciones")</f>
        <v>Centro de Convenciones</v>
      </c>
      <c r="H901" s="36" t="str">
        <f>IFERROR(__xludf.DUMMYFUNCTION("""COMPUTED_VALUE"""),"")</f>
        <v/>
      </c>
    </row>
    <row r="902">
      <c r="A902" s="36" t="str">
        <f>IFERROR(__xludf.DUMMYFUNCTION("""COMPUTED_VALUE"""),"01-36-07-137")</f>
        <v>01-36-07-137</v>
      </c>
      <c r="B902" s="36" t="str">
        <f>IFERROR(__xludf.DUMMYFUNCTION("""COMPUTED_VALUE"""),"")</f>
        <v/>
      </c>
      <c r="C902" s="36" t="str">
        <f>IFERROR(__xludf.DUMMYFUNCTION("""COMPUTED_VALUE"""),"")</f>
        <v/>
      </c>
      <c r="D902" s="36" t="str">
        <f>IFERROR(__xludf.DUMMYFUNCTION("""COMPUTED_VALUE"""),"")</f>
        <v/>
      </c>
      <c r="E902" s="36" t="str">
        <f>IFERROR(__xludf.DUMMYFUNCTION("""COMPUTED_VALUE"""),"04-42-11-63")</f>
        <v>04-42-11-63</v>
      </c>
      <c r="F902" s="36"/>
      <c r="G902" s="36" t="str">
        <f>IFERROR(__xludf.DUMMYFUNCTION("""COMPUTED_VALUE"""),"Centro de Salud Valle Grande")</f>
        <v>Centro de Salud Valle Grande</v>
      </c>
      <c r="H902" s="36" t="str">
        <f>IFERROR(__xludf.DUMMYFUNCTION("""COMPUTED_VALUE"""),"")</f>
        <v/>
      </c>
    </row>
    <row r="903">
      <c r="A903" s="36" t="str">
        <f>IFERROR(__xludf.DUMMYFUNCTION("""COMPUTED_VALUE"""),"01-36-07-137A")</f>
        <v>01-36-07-137A</v>
      </c>
      <c r="B903" s="36" t="str">
        <f>IFERROR(__xludf.DUMMYFUNCTION("""COMPUTED_VALUE"""),"")</f>
        <v/>
      </c>
      <c r="C903" s="36" t="str">
        <f>IFERROR(__xludf.DUMMYFUNCTION("""COMPUTED_VALUE"""),"")</f>
        <v/>
      </c>
      <c r="D903" s="36" t="str">
        <f>IFERROR(__xludf.DUMMYFUNCTION("""COMPUTED_VALUE"""),"")</f>
        <v/>
      </c>
      <c r="E903" s="36" t="str">
        <f>IFERROR(__xludf.DUMMYFUNCTION("""COMPUTED_VALUE"""),"04-35-12-15G")</f>
        <v>04-35-12-15G</v>
      </c>
      <c r="F903" s="36"/>
      <c r="G903" s="36" t="str">
        <f>IFERROR(__xludf.DUMMYFUNCTION("""COMPUTED_VALUE"""),"Centro Médico Hualilan
")</f>
        <v>Centro Médico Hualilan
</v>
      </c>
      <c r="H903" s="36" t="str">
        <f>IFERROR(__xludf.DUMMYFUNCTION("""COMPUTED_VALUE"""),"")</f>
        <v/>
      </c>
    </row>
    <row r="904">
      <c r="A904" s="36" t="str">
        <f>IFERROR(__xludf.DUMMYFUNCTION("""COMPUTED_VALUE"""),"01-36-07-138")</f>
        <v>01-36-07-138</v>
      </c>
      <c r="B904" s="36" t="str">
        <f>IFERROR(__xludf.DUMMYFUNCTION("""COMPUTED_VALUE"""),"")</f>
        <v/>
      </c>
      <c r="C904" s="36" t="str">
        <f>IFERROR(__xludf.DUMMYFUNCTION("""COMPUTED_VALUE"""),"")</f>
        <v/>
      </c>
      <c r="D904" s="36" t="str">
        <f>IFERROR(__xludf.DUMMYFUNCTION("""COMPUTED_VALUE"""),"")</f>
        <v/>
      </c>
      <c r="E904" s="36" t="str">
        <f>IFERROR(__xludf.DUMMYFUNCTION("""COMPUTED_VALUE"""),"01-65-13-198")</f>
        <v>01-65-13-198</v>
      </c>
      <c r="F904" s="36"/>
      <c r="G904" s="36" t="str">
        <f>IFERROR(__xludf.DUMMYFUNCTION("""COMPUTED_VALUE"""),"Centro Polivalente de Arte")</f>
        <v>Centro Polivalente de Arte</v>
      </c>
      <c r="H904" s="36" t="str">
        <f>IFERROR(__xludf.DUMMYFUNCTION("""COMPUTED_VALUE"""),"")</f>
        <v/>
      </c>
    </row>
    <row r="905">
      <c r="A905" s="36" t="str">
        <f>IFERROR(__xludf.DUMMYFUNCTION("""COMPUTED_VALUE"""),"01-36-07-141")</f>
        <v>01-36-07-141</v>
      </c>
      <c r="B905" s="36" t="str">
        <f>IFERROR(__xludf.DUMMYFUNCTION("""COMPUTED_VALUE"""),"")</f>
        <v/>
      </c>
      <c r="C905" s="36" t="str">
        <f>IFERROR(__xludf.DUMMYFUNCTION("""COMPUTED_VALUE"""),"")</f>
        <v/>
      </c>
      <c r="D905" s="36" t="str">
        <f>IFERROR(__xludf.DUMMYFUNCTION("""COMPUTED_VALUE"""),"")</f>
        <v/>
      </c>
      <c r="E905" s="36" t="str">
        <f>IFERROR(__xludf.DUMMYFUNCTION("""COMPUTED_VALUE"""),"02-31-05-4")</f>
        <v>02-31-05-4</v>
      </c>
      <c r="F905" s="36"/>
      <c r="G905" s="36" t="str">
        <f>IFERROR(__xludf.DUMMYFUNCTION("""COMPUTED_VALUE"""),"Cepas Sanjuaninas E")</f>
        <v>Cepas Sanjuaninas E</v>
      </c>
      <c r="H905" s="36" t="str">
        <f>IFERROR(__xludf.DUMMYFUNCTION("""COMPUTED_VALUE"""),"")</f>
        <v/>
      </c>
    </row>
    <row r="906">
      <c r="A906" s="36" t="str">
        <f>IFERROR(__xludf.DUMMYFUNCTION("""COMPUTED_VALUE"""),"01-36-07-141A")</f>
        <v>01-36-07-141A</v>
      </c>
      <c r="B906" s="36" t="str">
        <f>IFERROR(__xludf.DUMMYFUNCTION("""COMPUTED_VALUE"""),"")</f>
        <v/>
      </c>
      <c r="C906" s="36" t="str">
        <f>IFERROR(__xludf.DUMMYFUNCTION("""COMPUTED_VALUE"""),"")</f>
        <v/>
      </c>
      <c r="D906" s="36" t="str">
        <f>IFERROR(__xludf.DUMMYFUNCTION("""COMPUTED_VALUE"""),"")</f>
        <v/>
      </c>
      <c r="E906" s="36" t="str">
        <f>IFERROR(__xludf.DUMMYFUNCTION("""COMPUTED_VALUE"""),"02-32-05-5")</f>
        <v>02-32-05-5</v>
      </c>
      <c r="F906" s="36"/>
      <c r="G906" s="36" t="str">
        <f>IFERROR(__xludf.DUMMYFUNCTION("""COMPUTED_VALUE"""),"Cepas Sanjuaninas O")</f>
        <v>Cepas Sanjuaninas O</v>
      </c>
      <c r="H906" s="36" t="str">
        <f>IFERROR(__xludf.DUMMYFUNCTION("""COMPUTED_VALUE"""),"")</f>
        <v/>
      </c>
    </row>
    <row r="907">
      <c r="A907" s="36" t="str">
        <f>IFERROR(__xludf.DUMMYFUNCTION("""COMPUTED_VALUE"""),"01-36-07-24")</f>
        <v>01-36-07-24</v>
      </c>
      <c r="B907" s="36" t="str">
        <f>IFERROR(__xludf.DUMMYFUNCTION("""COMPUTED_VALUE"""),"")</f>
        <v/>
      </c>
      <c r="C907" s="36" t="str">
        <f>IFERROR(__xludf.DUMMYFUNCTION("""COMPUTED_VALUE"""),"")</f>
        <v/>
      </c>
      <c r="D907" s="36" t="str">
        <f>IFERROR(__xludf.DUMMYFUNCTION("""COMPUTED_VALUE"""),"")</f>
        <v/>
      </c>
      <c r="E907" s="36" t="str">
        <f>IFERROR(__xludf.DUMMYFUNCTION("""COMPUTED_VALUE"""),"01-39-08-64")</f>
        <v>01-39-08-64</v>
      </c>
      <c r="F907" s="36"/>
      <c r="G907" s="36" t="str">
        <f>IFERROR(__xludf.DUMMYFUNCTION("""COMPUTED_VALUE"""),"Cereceto y Av. Rawson")</f>
        <v>Cereceto y Av. Rawson</v>
      </c>
      <c r="H907" s="36" t="str">
        <f>IFERROR(__xludf.DUMMYFUNCTION("""COMPUTED_VALUE"""),"")</f>
        <v/>
      </c>
    </row>
    <row r="908">
      <c r="A908" s="36" t="str">
        <f>IFERROR(__xludf.DUMMYFUNCTION("""COMPUTED_VALUE"""),"01-36-07-241")</f>
        <v>01-36-07-241</v>
      </c>
      <c r="B908" s="36" t="str">
        <f>IFERROR(__xludf.DUMMYFUNCTION("""COMPUTED_VALUE"""),"")</f>
        <v/>
      </c>
      <c r="C908" s="36" t="str">
        <f>IFERROR(__xludf.DUMMYFUNCTION("""COMPUTED_VALUE"""),"")</f>
        <v/>
      </c>
      <c r="D908" s="36" t="str">
        <f>IFERROR(__xludf.DUMMYFUNCTION("""COMPUTED_VALUE"""),"")</f>
        <v/>
      </c>
      <c r="E908" s="36" t="str">
        <f>IFERROR(__xludf.DUMMYFUNCTION("""COMPUTED_VALUE"""),"01-38-08-66A")</f>
        <v>01-38-08-66A</v>
      </c>
      <c r="F908" s="36"/>
      <c r="G908" s="36" t="str">
        <f>IFERROR(__xludf.DUMMYFUNCTION("""COMPUTED_VALUE"""),"Cereceto y Caseros")</f>
        <v>Cereceto y Caseros</v>
      </c>
      <c r="H908" s="36" t="str">
        <f>IFERROR(__xludf.DUMMYFUNCTION("""COMPUTED_VALUE"""),"")</f>
        <v/>
      </c>
    </row>
    <row r="909">
      <c r="A909" s="36" t="str">
        <f>IFERROR(__xludf.DUMMYFUNCTION("""COMPUTED_VALUE"""),"01-36-07-24A")</f>
        <v>01-36-07-24A</v>
      </c>
      <c r="B909" s="36" t="str">
        <f>IFERROR(__xludf.DUMMYFUNCTION("""COMPUTED_VALUE"""),"")</f>
        <v/>
      </c>
      <c r="C909" s="36" t="str">
        <f>IFERROR(__xludf.DUMMYFUNCTION("""COMPUTED_VALUE"""),"")</f>
        <v/>
      </c>
      <c r="D909" s="36" t="str">
        <f>IFERROR(__xludf.DUMMYFUNCTION("""COMPUTED_VALUE"""),"")</f>
        <v/>
      </c>
      <c r="E909" s="36" t="str">
        <f>IFERROR(__xludf.DUMMYFUNCTION("""COMPUTED_VALUE"""),"01-36-07-24H")</f>
        <v>01-36-07-24H</v>
      </c>
      <c r="F909" s="36"/>
      <c r="G909" s="36" t="str">
        <f>IFERROR(__xludf.DUMMYFUNCTION("""COMPUTED_VALUE"""),"Cereceto y Scalabrini Ortíz")</f>
        <v>Cereceto y Scalabrini Ortíz</v>
      </c>
      <c r="H909" s="36" t="str">
        <f>IFERROR(__xludf.DUMMYFUNCTION("""COMPUTED_VALUE"""),"")</f>
        <v/>
      </c>
    </row>
    <row r="910">
      <c r="A910" s="36" t="str">
        <f>IFERROR(__xludf.DUMMYFUNCTION("""COMPUTED_VALUE"""),"01-36-07-24B")</f>
        <v>01-36-07-24B</v>
      </c>
      <c r="B910" s="36" t="str">
        <f>IFERROR(__xludf.DUMMYFUNCTION("""COMPUTED_VALUE"""),"")</f>
        <v/>
      </c>
      <c r="C910" s="36" t="str">
        <f>IFERROR(__xludf.DUMMYFUNCTION("""COMPUTED_VALUE"""),"")</f>
        <v/>
      </c>
      <c r="D910" s="36" t="str">
        <f>IFERROR(__xludf.DUMMYFUNCTION("""COMPUTED_VALUE"""),"")</f>
        <v/>
      </c>
      <c r="E910" s="36" t="str">
        <f>IFERROR(__xludf.DUMMYFUNCTION("""COMPUTED_VALUE"""),"01-38-08-67")</f>
        <v>01-38-08-67</v>
      </c>
      <c r="F910" s="36"/>
      <c r="G910" s="36" t="str">
        <f>IFERROR(__xludf.DUMMYFUNCTION("""COMPUTED_VALUE"""),"Cereceto y Tucuman")</f>
        <v>Cereceto y Tucuman</v>
      </c>
      <c r="H910" s="36" t="str">
        <f>IFERROR(__xludf.DUMMYFUNCTION("""COMPUTED_VALUE"""),"")</f>
        <v/>
      </c>
    </row>
    <row r="911">
      <c r="A911" s="36" t="str">
        <f>IFERROR(__xludf.DUMMYFUNCTION("""COMPUTED_VALUE"""),"01-36-07-24C")</f>
        <v>01-36-07-24C</v>
      </c>
      <c r="B911" s="36" t="str">
        <f>IFERROR(__xludf.DUMMYFUNCTION("""COMPUTED_VALUE"""),"")</f>
        <v/>
      </c>
      <c r="C911" s="36" t="str">
        <f>IFERROR(__xludf.DUMMYFUNCTION("""COMPUTED_VALUE"""),"")</f>
        <v/>
      </c>
      <c r="D911" s="36" t="str">
        <f>IFERROR(__xludf.DUMMYFUNCTION("""COMPUTED_VALUE"""),"")</f>
        <v/>
      </c>
      <c r="E911" s="36" t="str">
        <f>IFERROR(__xludf.DUMMYFUNCTION("""COMPUTED_VALUE"""),"01-20-07-193")</f>
        <v>01-20-07-193</v>
      </c>
      <c r="F911" s="36"/>
      <c r="G911" s="36" t="str">
        <f>IFERROR(__xludf.DUMMYFUNCTION("""COMPUTED_VALUE"""),"Cervantes y Diagonal Viamonte")</f>
        <v>Cervantes y Diagonal Viamonte</v>
      </c>
      <c r="H911" s="36" t="str">
        <f>IFERROR(__xludf.DUMMYFUNCTION("""COMPUTED_VALUE"""),"")</f>
        <v/>
      </c>
    </row>
    <row r="912">
      <c r="A912" s="36" t="str">
        <f>IFERROR(__xludf.DUMMYFUNCTION("""COMPUTED_VALUE"""),"01-36-07-24D")</f>
        <v>01-36-07-24D</v>
      </c>
      <c r="B912" s="36" t="str">
        <f>IFERROR(__xludf.DUMMYFUNCTION("""COMPUTED_VALUE"""),"")</f>
        <v/>
      </c>
      <c r="C912" s="36" t="str">
        <f>IFERROR(__xludf.DUMMYFUNCTION("""COMPUTED_VALUE"""),"")</f>
        <v/>
      </c>
      <c r="D912" s="36" t="str">
        <f>IFERROR(__xludf.DUMMYFUNCTION("""COMPUTED_VALUE"""),"")</f>
        <v/>
      </c>
      <c r="E912" s="36" t="str">
        <f>IFERROR(__xludf.DUMMYFUNCTION("""COMPUTED_VALUE"""),"01-20-07-193A")</f>
        <v>01-20-07-193A</v>
      </c>
      <c r="F912" s="36"/>
      <c r="G912" s="36" t="str">
        <f>IFERROR(__xludf.DUMMYFUNCTION("""COMPUTED_VALUE"""),"Cervantes y Pasaje Cervantes E")</f>
        <v>Cervantes y Pasaje Cervantes E</v>
      </c>
      <c r="H912" s="36" t="str">
        <f>IFERROR(__xludf.DUMMYFUNCTION("""COMPUTED_VALUE"""),"")</f>
        <v/>
      </c>
    </row>
    <row r="913">
      <c r="A913" s="36" t="str">
        <f>IFERROR(__xludf.DUMMYFUNCTION("""COMPUTED_VALUE"""),"01-36-07-24E")</f>
        <v>01-36-07-24E</v>
      </c>
      <c r="B913" s="36" t="str">
        <f>IFERROR(__xludf.DUMMYFUNCTION("""COMPUTED_VALUE"""),"")</f>
        <v/>
      </c>
      <c r="C913" s="36" t="str">
        <f>IFERROR(__xludf.DUMMYFUNCTION("""COMPUTED_VALUE"""),"")</f>
        <v/>
      </c>
      <c r="D913" s="36" t="str">
        <f>IFERROR(__xludf.DUMMYFUNCTION("""COMPUTED_VALUE"""),"")</f>
        <v/>
      </c>
      <c r="E913" s="36" t="str">
        <f>IFERROR(__xludf.DUMMYFUNCTION("""COMPUTED_VALUE"""),"01-20-07-195")</f>
        <v>01-20-07-195</v>
      </c>
      <c r="F913" s="36"/>
      <c r="G913" s="36" t="str">
        <f>IFERROR(__xludf.DUMMYFUNCTION("""COMPUTED_VALUE"""),"Cervantes y Perito Moreno")</f>
        <v>Cervantes y Perito Moreno</v>
      </c>
      <c r="H913" s="36" t="str">
        <f>IFERROR(__xludf.DUMMYFUNCTION("""COMPUTED_VALUE"""),"")</f>
        <v/>
      </c>
    </row>
    <row r="914">
      <c r="A914" s="36" t="str">
        <f>IFERROR(__xludf.DUMMYFUNCTION("""COMPUTED_VALUE"""),"01-36-07-24F")</f>
        <v>01-36-07-24F</v>
      </c>
      <c r="B914" s="36" t="str">
        <f>IFERROR(__xludf.DUMMYFUNCTION("""COMPUTED_VALUE"""),"")</f>
        <v/>
      </c>
      <c r="C914" s="36" t="str">
        <f>IFERROR(__xludf.DUMMYFUNCTION("""COMPUTED_VALUE"""),"")</f>
        <v/>
      </c>
      <c r="D914" s="36" t="str">
        <f>IFERROR(__xludf.DUMMYFUNCTION("""COMPUTED_VALUE"""),"")</f>
        <v/>
      </c>
      <c r="E914" s="36" t="str">
        <f>IFERROR(__xludf.DUMMYFUNCTION("""COMPUTED_VALUE"""),"03-20-09-221")</f>
        <v>03-20-09-221</v>
      </c>
      <c r="F914" s="36"/>
      <c r="G914" s="36" t="str">
        <f>IFERROR(__xludf.DUMMYFUNCTION("""COMPUTED_VALUE"""),"Chacabuco - B° Ex Las Tierritas")</f>
        <v>Chacabuco - B° Ex Las Tierritas</v>
      </c>
      <c r="H914" s="36" t="str">
        <f>IFERROR(__xludf.DUMMYFUNCTION("""COMPUTED_VALUE"""),"")</f>
        <v/>
      </c>
    </row>
    <row r="915">
      <c r="A915" s="36" t="str">
        <f>IFERROR(__xludf.DUMMYFUNCTION("""COMPUTED_VALUE"""),"01-36-07-24H")</f>
        <v>01-36-07-24H</v>
      </c>
      <c r="B915" s="36" t="str">
        <f>IFERROR(__xludf.DUMMYFUNCTION("""COMPUTED_VALUE"""),"")</f>
        <v/>
      </c>
      <c r="C915" s="36" t="str">
        <f>IFERROR(__xludf.DUMMYFUNCTION("""COMPUTED_VALUE"""),"")</f>
        <v/>
      </c>
      <c r="D915" s="36" t="str">
        <f>IFERROR(__xludf.DUMMYFUNCTION("""COMPUTED_VALUE"""),"")</f>
        <v/>
      </c>
      <c r="E915" s="36" t="str">
        <f>IFERROR(__xludf.DUMMYFUNCTION("""COMPUTED_VALUE"""),"03-20-09-228")</f>
        <v>03-20-09-228</v>
      </c>
      <c r="F915" s="36"/>
      <c r="G915" s="36" t="str">
        <f>IFERROR(__xludf.DUMMYFUNCTION("""COMPUTED_VALUE"""),"Chacabuco - B° Noroeste 3")</f>
        <v>Chacabuco - B° Noroeste 3</v>
      </c>
      <c r="H915" s="36" t="str">
        <f>IFERROR(__xludf.DUMMYFUNCTION("""COMPUTED_VALUE"""),"")</f>
        <v/>
      </c>
    </row>
    <row r="916">
      <c r="A916" s="36" t="str">
        <f>IFERROR(__xludf.DUMMYFUNCTION("""COMPUTED_VALUE"""),"01-36-07-24J")</f>
        <v>01-36-07-24J</v>
      </c>
      <c r="B916" s="36" t="str">
        <f>IFERROR(__xludf.DUMMYFUNCTION("""COMPUTED_VALUE"""),"")</f>
        <v/>
      </c>
      <c r="C916" s="36" t="str">
        <f>IFERROR(__xludf.DUMMYFUNCTION("""COMPUTED_VALUE"""),"")</f>
        <v/>
      </c>
      <c r="D916" s="36" t="str">
        <f>IFERROR(__xludf.DUMMYFUNCTION("""COMPUTED_VALUE"""),"")</f>
        <v/>
      </c>
      <c r="E916" s="36" t="str">
        <f>IFERROR(__xludf.DUMMYFUNCTION("""COMPUTED_VALUE"""),"03-20-09-222")</f>
        <v>03-20-09-222</v>
      </c>
      <c r="F916" s="36"/>
      <c r="G916" s="36" t="str">
        <f>IFERROR(__xludf.DUMMYFUNCTION("""COMPUTED_VALUE"""),"Chacabuco - B° Villa Urquiza")</f>
        <v>Chacabuco - B° Villa Urquiza</v>
      </c>
      <c r="H916" s="36" t="str">
        <f>IFERROR(__xludf.DUMMYFUNCTION("""COMPUTED_VALUE"""),"")</f>
        <v/>
      </c>
    </row>
    <row r="917">
      <c r="A917" s="36" t="str">
        <f>IFERROR(__xludf.DUMMYFUNCTION("""COMPUTED_VALUE"""),"01-36-07-24K")</f>
        <v>01-36-07-24K</v>
      </c>
      <c r="B917" s="36" t="str">
        <f>IFERROR(__xludf.DUMMYFUNCTION("""COMPUTED_VALUE"""),"")</f>
        <v/>
      </c>
      <c r="C917" s="36" t="str">
        <f>IFERROR(__xludf.DUMMYFUNCTION("""COMPUTED_VALUE"""),"")</f>
        <v/>
      </c>
      <c r="D917" s="36" t="str">
        <f>IFERROR(__xludf.DUMMYFUNCTION("""COMPUTED_VALUE"""),"")</f>
        <v/>
      </c>
      <c r="E917" s="36" t="str">
        <f>IFERROR(__xludf.DUMMYFUNCTION("""COMPUTED_VALUE"""),"03-20-09-109J")</f>
        <v>03-20-09-109J</v>
      </c>
      <c r="F917" s="36"/>
      <c r="G917" s="36" t="str">
        <f>IFERROR(__xludf.DUMMYFUNCTION("""COMPUTED_VALUE"""),"Chacabuco -E y Lima")</f>
        <v>Chacabuco -E y Lima</v>
      </c>
      <c r="H917" s="36" t="str">
        <f>IFERROR(__xludf.DUMMYFUNCTION("""COMPUTED_VALUE"""),"")</f>
        <v/>
      </c>
    </row>
    <row r="918">
      <c r="A918" s="36" t="str">
        <f>IFERROR(__xludf.DUMMYFUNCTION("""COMPUTED_VALUE"""),"01-36-07-25")</f>
        <v>01-36-07-25</v>
      </c>
      <c r="B918" s="36" t="str">
        <f>IFERROR(__xludf.DUMMYFUNCTION("""COMPUTED_VALUE"""),"")</f>
        <v/>
      </c>
      <c r="C918" s="36" t="str">
        <f>IFERROR(__xludf.DUMMYFUNCTION("""COMPUTED_VALUE"""),"")</f>
        <v/>
      </c>
      <c r="D918" s="36" t="str">
        <f>IFERROR(__xludf.DUMMYFUNCTION("""COMPUTED_VALUE"""),"")</f>
        <v/>
      </c>
      <c r="E918" s="36" t="str">
        <f>IFERROR(__xludf.DUMMYFUNCTION("""COMPUTED_VALUE"""),"03-20-09-229")</f>
        <v>03-20-09-229</v>
      </c>
      <c r="F918" s="36"/>
      <c r="G918" s="36" t="str">
        <f>IFERROR(__xludf.DUMMYFUNCTION("""COMPUTED_VALUE"""),"Chacabuco -E y Sargento Méndez")</f>
        <v>Chacabuco -E y Sargento Méndez</v>
      </c>
      <c r="H918" s="36" t="str">
        <f>IFERROR(__xludf.DUMMYFUNCTION("""COMPUTED_VALUE"""),"")</f>
        <v/>
      </c>
    </row>
    <row r="919">
      <c r="A919" s="36" t="str">
        <f>IFERROR(__xludf.DUMMYFUNCTION("""COMPUTED_VALUE"""),"01-36-07-26")</f>
        <v>01-36-07-26</v>
      </c>
      <c r="B919" s="36" t="str">
        <f>IFERROR(__xludf.DUMMYFUNCTION("""COMPUTED_VALUE"""),"")</f>
        <v/>
      </c>
      <c r="C919" s="36" t="str">
        <f>IFERROR(__xludf.DUMMYFUNCTION("""COMPUTED_VALUE"""),"")</f>
        <v/>
      </c>
      <c r="D919" s="36" t="str">
        <f>IFERROR(__xludf.DUMMYFUNCTION("""COMPUTED_VALUE"""),"")</f>
        <v/>
      </c>
      <c r="E919" s="36" t="str">
        <f>IFERROR(__xludf.DUMMYFUNCTION("""COMPUTED_VALUE"""),"03-20-09-116Q")</f>
        <v>03-20-09-116Q</v>
      </c>
      <c r="F919" s="36"/>
      <c r="G919" s="36" t="str">
        <f>IFERROR(__xludf.DUMMYFUNCTION("""COMPUTED_VALUE"""),"Chacabuco -O y Gral. José Valle")</f>
        <v>Chacabuco -O y Gral. José Valle</v>
      </c>
      <c r="H919" s="36" t="str">
        <f>IFERROR(__xludf.DUMMYFUNCTION("""COMPUTED_VALUE"""),"")</f>
        <v/>
      </c>
    </row>
    <row r="920">
      <c r="A920" s="36" t="str">
        <f>IFERROR(__xludf.DUMMYFUNCTION("""COMPUTED_VALUE"""),"01-36-07-27")</f>
        <v>01-36-07-27</v>
      </c>
      <c r="B920" s="36" t="str">
        <f>IFERROR(__xludf.DUMMYFUNCTION("""COMPUTED_VALUE"""),"")</f>
        <v/>
      </c>
      <c r="C920" s="36" t="str">
        <f>IFERROR(__xludf.DUMMYFUNCTION("""COMPUTED_VALUE"""),"")</f>
        <v/>
      </c>
      <c r="D920" s="36" t="str">
        <f>IFERROR(__xludf.DUMMYFUNCTION("""COMPUTED_VALUE"""),"")</f>
        <v/>
      </c>
      <c r="E920" s="36" t="str">
        <f>IFERROR(__xludf.DUMMYFUNCTION("""COMPUTED_VALUE"""),"03-20-09-109K")</f>
        <v>03-20-09-109K</v>
      </c>
      <c r="F920" s="36"/>
      <c r="G920" s="36" t="str">
        <f>IFERROR(__xludf.DUMMYFUNCTION("""COMPUTED_VALUE"""),"Chacabuco -O y Lima")</f>
        <v>Chacabuco -O y Lima</v>
      </c>
      <c r="H920" s="36" t="str">
        <f>IFERROR(__xludf.DUMMYFUNCTION("""COMPUTED_VALUE"""),"")</f>
        <v/>
      </c>
    </row>
    <row r="921">
      <c r="A921" s="36" t="str">
        <f>IFERROR(__xludf.DUMMYFUNCTION("""COMPUTED_VALUE"""),"01-36-07-28")</f>
        <v>01-36-07-28</v>
      </c>
      <c r="B921" s="36" t="str">
        <f>IFERROR(__xludf.DUMMYFUNCTION("""COMPUTED_VALUE"""),"")</f>
        <v/>
      </c>
      <c r="C921" s="36" t="str">
        <f>IFERROR(__xludf.DUMMYFUNCTION("""COMPUTED_VALUE"""),"")</f>
        <v/>
      </c>
      <c r="D921" s="36" t="str">
        <f>IFERROR(__xludf.DUMMYFUNCTION("""COMPUTED_VALUE"""),"")</f>
        <v/>
      </c>
      <c r="E921" s="36" t="str">
        <f>IFERROR(__xludf.DUMMYFUNCTION("""COMPUTED_VALUE"""),"03-20-09-227")</f>
        <v>03-20-09-227</v>
      </c>
      <c r="F921" s="36"/>
      <c r="G921" s="36" t="str">
        <f>IFERROR(__xludf.DUMMYFUNCTION("""COMPUTED_VALUE"""),"Chacabuco Este")</f>
        <v>Chacabuco Este</v>
      </c>
      <c r="H921" s="36" t="str">
        <f>IFERROR(__xludf.DUMMYFUNCTION("""COMPUTED_VALUE"""),"")</f>
        <v/>
      </c>
    </row>
    <row r="922">
      <c r="A922" s="36" t="str">
        <f>IFERROR(__xludf.DUMMYFUNCTION("""COMPUTED_VALUE"""),"01-36-07-29")</f>
        <v>01-36-07-29</v>
      </c>
      <c r="B922" s="36" t="str">
        <f>IFERROR(__xludf.DUMMYFUNCTION("""COMPUTED_VALUE"""),"")</f>
        <v/>
      </c>
      <c r="C922" s="36" t="str">
        <f>IFERROR(__xludf.DUMMYFUNCTION("""COMPUTED_VALUE"""),"")</f>
        <v/>
      </c>
      <c r="D922" s="36" t="str">
        <f>IFERROR(__xludf.DUMMYFUNCTION("""COMPUTED_VALUE"""),"")</f>
        <v/>
      </c>
      <c r="E922" s="36" t="str">
        <f>IFERROR(__xludf.DUMMYFUNCTION("""COMPUTED_VALUE"""),"04-42-11-56")</f>
        <v>04-42-11-56</v>
      </c>
      <c r="F922" s="36"/>
      <c r="G922" s="36" t="str">
        <f>IFERROR(__xludf.DUMMYFUNCTION("""COMPUTED_VALUE"""),"Chacabuco Este y Agustín Gómez")</f>
        <v>Chacabuco Este y Agustín Gómez</v>
      </c>
      <c r="H922" s="36" t="str">
        <f>IFERROR(__xludf.DUMMYFUNCTION("""COMPUTED_VALUE"""),"")</f>
        <v/>
      </c>
    </row>
    <row r="923">
      <c r="A923" s="36" t="str">
        <f>IFERROR(__xludf.DUMMYFUNCTION("""COMPUTED_VALUE"""),"01-36-07-30")</f>
        <v>01-36-07-30</v>
      </c>
      <c r="B923" s="36" t="str">
        <f>IFERROR(__xludf.DUMMYFUNCTION("""COMPUTED_VALUE"""),"")</f>
        <v/>
      </c>
      <c r="C923" s="36" t="str">
        <f>IFERROR(__xludf.DUMMYFUNCTION("""COMPUTED_VALUE"""),"")</f>
        <v/>
      </c>
      <c r="D923" s="36" t="str">
        <f>IFERROR(__xludf.DUMMYFUNCTION("""COMPUTED_VALUE"""),"")</f>
        <v/>
      </c>
      <c r="E923" s="36" t="str">
        <f>IFERROR(__xludf.DUMMYFUNCTION("""COMPUTED_VALUE"""),"04-42-11-55A")</f>
        <v>04-42-11-55A</v>
      </c>
      <c r="F923" s="36"/>
      <c r="G923" s="36" t="str">
        <f>IFERROR(__xludf.DUMMYFUNCTION("""COMPUTED_VALUE"""),"Chacabuco Este y Calle Proyectada XIX")</f>
        <v>Chacabuco Este y Calle Proyectada XIX</v>
      </c>
      <c r="H923" s="36" t="str">
        <f>IFERROR(__xludf.DUMMYFUNCTION("""COMPUTED_VALUE"""),"")</f>
        <v/>
      </c>
    </row>
    <row r="924">
      <c r="A924" s="36" t="str">
        <f>IFERROR(__xludf.DUMMYFUNCTION("""COMPUTED_VALUE"""),"01-36-07-33")</f>
        <v>01-36-07-33</v>
      </c>
      <c r="B924" s="36" t="str">
        <f>IFERROR(__xludf.DUMMYFUNCTION("""COMPUTED_VALUE"""),"")</f>
        <v/>
      </c>
      <c r="C924" s="36" t="str">
        <f>IFERROR(__xludf.DUMMYFUNCTION("""COMPUTED_VALUE"""),"")</f>
        <v/>
      </c>
      <c r="D924" s="36" t="str">
        <f>IFERROR(__xludf.DUMMYFUNCTION("""COMPUTED_VALUE"""),"")</f>
        <v/>
      </c>
      <c r="E924" s="36" t="str">
        <f>IFERROR(__xludf.DUMMYFUNCTION("""COMPUTED_VALUE"""),"03-20-09-116R")</f>
        <v>03-20-09-116R</v>
      </c>
      <c r="F924" s="36"/>
      <c r="G924" s="36" t="str">
        <f>IFERROR(__xludf.DUMMYFUNCTION("""COMPUTED_VALUE"""),"Chacabuco Este y Gral. José Valle")</f>
        <v>Chacabuco Este y Gral. José Valle</v>
      </c>
      <c r="H924" s="36" t="str">
        <f>IFERROR(__xludf.DUMMYFUNCTION("""COMPUTED_VALUE"""),"")</f>
        <v/>
      </c>
    </row>
    <row r="925">
      <c r="A925" s="36" t="str">
        <f>IFERROR(__xludf.DUMMYFUNCTION("""COMPUTED_VALUE"""),"01-36-07-33A")</f>
        <v>01-36-07-33A</v>
      </c>
      <c r="B925" s="36" t="str">
        <f>IFERROR(__xludf.DUMMYFUNCTION("""COMPUTED_VALUE"""),"")</f>
        <v/>
      </c>
      <c r="C925" s="36" t="str">
        <f>IFERROR(__xludf.DUMMYFUNCTION("""COMPUTED_VALUE"""),"")</f>
        <v/>
      </c>
      <c r="D925" s="36" t="str">
        <f>IFERROR(__xludf.DUMMYFUNCTION("""COMPUTED_VALUE"""),"")</f>
        <v/>
      </c>
      <c r="E925" s="36" t="str">
        <f>IFERROR(__xludf.DUMMYFUNCTION("""COMPUTED_VALUE"""),"02-48-11-56A")</f>
        <v>02-48-11-56A</v>
      </c>
      <c r="F925" s="36"/>
      <c r="G925" s="36" t="str">
        <f>IFERROR(__xludf.DUMMYFUNCTION("""COMPUTED_VALUE"""),"Chacabuco Oeste y Agustín Gómez")</f>
        <v>Chacabuco Oeste y Agustín Gómez</v>
      </c>
      <c r="H925" s="36" t="str">
        <f>IFERROR(__xludf.DUMMYFUNCTION("""COMPUTED_VALUE"""),"")</f>
        <v/>
      </c>
    </row>
    <row r="926">
      <c r="A926" s="36" t="str">
        <f>IFERROR(__xludf.DUMMYFUNCTION("""COMPUTED_VALUE"""),"01-36-07-36")</f>
        <v>01-36-07-36</v>
      </c>
      <c r="B926" s="36" t="str">
        <f>IFERROR(__xludf.DUMMYFUNCTION("""COMPUTED_VALUE"""),"")</f>
        <v/>
      </c>
      <c r="C926" s="36" t="str">
        <f>IFERROR(__xludf.DUMMYFUNCTION("""COMPUTED_VALUE"""),"")</f>
        <v/>
      </c>
      <c r="D926" s="36" t="str">
        <f>IFERROR(__xludf.DUMMYFUNCTION("""COMPUTED_VALUE"""),"")</f>
        <v/>
      </c>
      <c r="E926" s="36" t="str">
        <f>IFERROR(__xludf.DUMMYFUNCTION("""COMPUTED_VALUE"""),"02-48-11-55")</f>
        <v>02-48-11-55</v>
      </c>
      <c r="F926" s="36"/>
      <c r="G926" s="36" t="str">
        <f>IFERROR(__xludf.DUMMYFUNCTION("""COMPUTED_VALUE"""),"Chacabuco Oeste y Calle Proyectada XIX")</f>
        <v>Chacabuco Oeste y Calle Proyectada XIX</v>
      </c>
      <c r="H926" s="36" t="str">
        <f>IFERROR(__xludf.DUMMYFUNCTION("""COMPUTED_VALUE"""),"")</f>
        <v/>
      </c>
    </row>
    <row r="927">
      <c r="A927" s="36" t="str">
        <f>IFERROR(__xludf.DUMMYFUNCTION("""COMPUTED_VALUE"""),"01-36-07-4")</f>
        <v>01-36-07-4</v>
      </c>
      <c r="B927" s="36" t="str">
        <f>IFERROR(__xludf.DUMMYFUNCTION("""COMPUTED_VALUE"""),"")</f>
        <v/>
      </c>
      <c r="C927" s="36" t="str">
        <f>IFERROR(__xludf.DUMMYFUNCTION("""COMPUTED_VALUE"""),"")</f>
        <v/>
      </c>
      <c r="D927" s="36" t="str">
        <f>IFERROR(__xludf.DUMMYFUNCTION("""COMPUTED_VALUE"""),"")</f>
        <v/>
      </c>
      <c r="E927" s="36" t="str">
        <f>IFERROR(__xludf.DUMMYFUNCTION("""COMPUTED_VALUE"""),"03-20-09-220")</f>
        <v>03-20-09-220</v>
      </c>
      <c r="F927" s="36"/>
      <c r="G927" s="36" t="str">
        <f>IFERROR(__xludf.DUMMYFUNCTION("""COMPUTED_VALUE"""),"Chacabuco y Burgos")</f>
        <v>Chacabuco y Burgos</v>
      </c>
      <c r="H927" s="36" t="str">
        <f>IFERROR(__xludf.DUMMYFUNCTION("""COMPUTED_VALUE"""),"")</f>
        <v/>
      </c>
    </row>
    <row r="928">
      <c r="A928" s="36" t="str">
        <f>IFERROR(__xludf.DUMMYFUNCTION("""COMPUTED_VALUE"""),"01-36-07-9")</f>
        <v>01-36-07-9</v>
      </c>
      <c r="B928" s="36" t="str">
        <f>IFERROR(__xludf.DUMMYFUNCTION("""COMPUTED_VALUE"""),"")</f>
        <v/>
      </c>
      <c r="C928" s="36" t="str">
        <f>IFERROR(__xludf.DUMMYFUNCTION("""COMPUTED_VALUE"""),"")</f>
        <v/>
      </c>
      <c r="D928" s="36" t="str">
        <f>IFERROR(__xludf.DUMMYFUNCTION("""COMPUTED_VALUE"""),"")</f>
        <v/>
      </c>
      <c r="E928" s="36" t="str">
        <f>IFERROR(__xludf.DUMMYFUNCTION("""COMPUTED_VALUE"""),"02-42-11-53B")</f>
        <v>02-42-11-53B</v>
      </c>
      <c r="F928" s="36"/>
      <c r="G928" s="36" t="str">
        <f>IFERROR(__xludf.DUMMYFUNCTION("""COMPUTED_VALUE"""),"Chacabuco y Calle Ppal. B° Valle Grande")</f>
        <v>Chacabuco y Calle Ppal. B° Valle Grande</v>
      </c>
      <c r="H928" s="36" t="str">
        <f>IFERROR(__xludf.DUMMYFUNCTION("""COMPUTED_VALUE"""),"")</f>
        <v/>
      </c>
    </row>
    <row r="929">
      <c r="A929" s="36" t="str">
        <f>IFERROR(__xludf.DUMMYFUNCTION("""COMPUTED_VALUE"""),"01-36-07-9B")</f>
        <v>01-36-07-9B</v>
      </c>
      <c r="B929" s="36" t="str">
        <f>IFERROR(__xludf.DUMMYFUNCTION("""COMPUTED_VALUE"""),"")</f>
        <v/>
      </c>
      <c r="C929" s="36" t="str">
        <f>IFERROR(__xludf.DUMMYFUNCTION("""COMPUTED_VALUE"""),"")</f>
        <v/>
      </c>
      <c r="D929" s="36" t="str">
        <f>IFERROR(__xludf.DUMMYFUNCTION("""COMPUTED_VALUE"""),"")</f>
        <v/>
      </c>
      <c r="E929" s="36" t="str">
        <f>IFERROR(__xludf.DUMMYFUNCTION("""COMPUTED_VALUE"""),"03-20-09-109L")</f>
        <v>03-20-09-109L</v>
      </c>
      <c r="F929" s="36"/>
      <c r="G929" s="36" t="str">
        <f>IFERROR(__xludf.DUMMYFUNCTION("""COMPUTED_VALUE"""),"Chacabuco y Lucía Bosque")</f>
        <v>Chacabuco y Lucía Bosque</v>
      </c>
      <c r="H929" s="36" t="str">
        <f>IFERROR(__xludf.DUMMYFUNCTION("""COMPUTED_VALUE"""),"")</f>
        <v/>
      </c>
    </row>
    <row r="930">
      <c r="A930" s="36" t="str">
        <f>IFERROR(__xludf.DUMMYFUNCTION("""COMPUTED_VALUE"""),"01-37-07-3A")</f>
        <v>01-37-07-3A</v>
      </c>
      <c r="B930" s="36" t="str">
        <f>IFERROR(__xludf.DUMMYFUNCTION("""COMPUTED_VALUE"""),"")</f>
        <v/>
      </c>
      <c r="C930" s="36" t="str">
        <f>IFERROR(__xludf.DUMMYFUNCTION("""COMPUTED_VALUE"""),"")</f>
        <v/>
      </c>
      <c r="D930" s="36" t="str">
        <f>IFERROR(__xludf.DUMMYFUNCTION("""COMPUTED_VALUE"""),"")</f>
        <v/>
      </c>
      <c r="E930" s="36" t="str">
        <f>IFERROR(__xludf.DUMMYFUNCTION("""COMPUTED_VALUE"""),"03-20-09-226")</f>
        <v>03-20-09-226</v>
      </c>
      <c r="F930" s="36"/>
      <c r="G930" s="36" t="str">
        <f>IFERROR(__xludf.DUMMYFUNCTION("""COMPUTED_VALUE"""),"Chacabuco y Proyectada")</f>
        <v>Chacabuco y Proyectada</v>
      </c>
      <c r="H930" s="36" t="str">
        <f>IFERROR(__xludf.DUMMYFUNCTION("""COMPUTED_VALUE"""),"")</f>
        <v/>
      </c>
    </row>
    <row r="931">
      <c r="A931" s="36" t="str">
        <f>IFERROR(__xludf.DUMMYFUNCTION("""COMPUTED_VALUE"""),"01-37-07-6")</f>
        <v>01-37-07-6</v>
      </c>
      <c r="B931" s="36" t="str">
        <f>IFERROR(__xludf.DUMMYFUNCTION("""COMPUTED_VALUE"""),"")</f>
        <v/>
      </c>
      <c r="C931" s="36" t="str">
        <f>IFERROR(__xludf.DUMMYFUNCTION("""COMPUTED_VALUE"""),"")</f>
        <v/>
      </c>
      <c r="D931" s="36" t="str">
        <f>IFERROR(__xludf.DUMMYFUNCTION("""COMPUTED_VALUE"""),"")</f>
        <v/>
      </c>
      <c r="E931" s="36" t="str">
        <f>IFERROR(__xludf.DUMMYFUNCTION("""COMPUTED_VALUE"""),"03-20-09-230")</f>
        <v>03-20-09-230</v>
      </c>
      <c r="F931" s="36"/>
      <c r="G931" s="36" t="str">
        <f>IFERROR(__xludf.DUMMYFUNCTION("""COMPUTED_VALUE"""),"Chacabuco y Sargento Méndez")</f>
        <v>Chacabuco y Sargento Méndez</v>
      </c>
      <c r="H931" s="36" t="str">
        <f>IFERROR(__xludf.DUMMYFUNCTION("""COMPUTED_VALUE"""),"")</f>
        <v/>
      </c>
    </row>
    <row r="932">
      <c r="A932" s="36" t="str">
        <f>IFERROR(__xludf.DUMMYFUNCTION("""COMPUTED_VALUE"""),"01-37-07-8")</f>
        <v>01-37-07-8</v>
      </c>
      <c r="B932" s="36" t="str">
        <f>IFERROR(__xludf.DUMMYFUNCTION("""COMPUTED_VALUE"""),"")</f>
        <v/>
      </c>
      <c r="C932" s="36" t="str">
        <f>IFERROR(__xludf.DUMMYFUNCTION("""COMPUTED_VALUE"""),"")</f>
        <v/>
      </c>
      <c r="D932" s="36" t="str">
        <f>IFERROR(__xludf.DUMMYFUNCTION("""COMPUTED_VALUE"""),"")</f>
        <v/>
      </c>
      <c r="E932" s="36" t="str">
        <f>IFERROR(__xludf.DUMMYFUNCTION("""COMPUTED_VALUE"""),"03-20-09-116O")</f>
        <v>03-20-09-116O</v>
      </c>
      <c r="F932" s="36"/>
      <c r="G932" s="36" t="str">
        <f>IFERROR(__xludf.DUMMYFUNCTION("""COMPUTED_VALUE"""),"Chacabuco y Thomas Edison -O")</f>
        <v>Chacabuco y Thomas Edison -O</v>
      </c>
      <c r="H932" s="36" t="str">
        <f>IFERROR(__xludf.DUMMYFUNCTION("""COMPUTED_VALUE"""),"")</f>
        <v/>
      </c>
    </row>
    <row r="933">
      <c r="A933" s="36" t="str">
        <f>IFERROR(__xludf.DUMMYFUNCTION("""COMPUTED_VALUE"""),"01-37-07-9A")</f>
        <v>01-37-07-9A</v>
      </c>
      <c r="B933" s="36" t="str">
        <f>IFERROR(__xludf.DUMMYFUNCTION("""COMPUTED_VALUE"""),"")</f>
        <v/>
      </c>
      <c r="C933" s="36" t="str">
        <f>IFERROR(__xludf.DUMMYFUNCTION("""COMPUTED_VALUE"""),"")</f>
        <v/>
      </c>
      <c r="D933" s="36" t="str">
        <f>IFERROR(__xludf.DUMMYFUNCTION("""COMPUTED_VALUE"""),"")</f>
        <v/>
      </c>
      <c r="E933" s="36" t="str">
        <f>IFERROR(__xludf.DUMMYFUNCTION("""COMPUTED_VALUE"""),"04-32-13-421")</f>
        <v>04-32-13-421</v>
      </c>
      <c r="F933" s="36"/>
      <c r="G933" s="36" t="str">
        <f>IFERROR(__xludf.DUMMYFUNCTION("""COMPUTED_VALUE"""),"Charcas y Calvento -N")</f>
        <v>Charcas y Calvento -N</v>
      </c>
      <c r="H933" s="36" t="str">
        <f>IFERROR(__xludf.DUMMYFUNCTION("""COMPUTED_VALUE"""),"")</f>
        <v/>
      </c>
    </row>
    <row r="934">
      <c r="A934" s="36" t="str">
        <f>IFERROR(__xludf.DUMMYFUNCTION("""COMPUTED_VALUE"""),"01-42-07-1")</f>
        <v>01-42-07-1</v>
      </c>
      <c r="B934" s="36" t="str">
        <f>IFERROR(__xludf.DUMMYFUNCTION("""COMPUTED_VALUE"""),"")</f>
        <v/>
      </c>
      <c r="C934" s="36" t="str">
        <f>IFERROR(__xludf.DUMMYFUNCTION("""COMPUTED_VALUE"""),"")</f>
        <v/>
      </c>
      <c r="D934" s="36" t="str">
        <f>IFERROR(__xludf.DUMMYFUNCTION("""COMPUTED_VALUE"""),"")</f>
        <v/>
      </c>
      <c r="E934" s="36" t="str">
        <f>IFERROR(__xludf.DUMMYFUNCTION("""COMPUTED_VALUE"""),"04-32-13-422")</f>
        <v>04-32-13-422</v>
      </c>
      <c r="F934" s="36"/>
      <c r="G934" s="36" t="str">
        <f>IFERROR(__xludf.DUMMYFUNCTION("""COMPUTED_VALUE"""),"Charcas y Calvento -S")</f>
        <v>Charcas y Calvento -S</v>
      </c>
      <c r="H934" s="36" t="str">
        <f>IFERROR(__xludf.DUMMYFUNCTION("""COMPUTED_VALUE"""),"")</f>
        <v/>
      </c>
    </row>
    <row r="935">
      <c r="A935" s="36" t="str">
        <f>IFERROR(__xludf.DUMMYFUNCTION("""COMPUTED_VALUE"""),"01-42-07-1A")</f>
        <v>01-42-07-1A</v>
      </c>
      <c r="B935" s="36" t="str">
        <f>IFERROR(__xludf.DUMMYFUNCTION("""COMPUTED_VALUE"""),"")</f>
        <v/>
      </c>
      <c r="C935" s="36" t="str">
        <f>IFERROR(__xludf.DUMMYFUNCTION("""COMPUTED_VALUE"""),"")</f>
        <v/>
      </c>
      <c r="D935" s="36" t="str">
        <f>IFERROR(__xludf.DUMMYFUNCTION("""COMPUTED_VALUE"""),"")</f>
        <v/>
      </c>
      <c r="E935" s="36" t="str">
        <f>IFERROR(__xludf.DUMMYFUNCTION("""COMPUTED_VALUE"""),"04-32-13-420")</f>
        <v>04-32-13-420</v>
      </c>
      <c r="F935" s="36"/>
      <c r="G935" s="36" t="str">
        <f>IFERROR(__xludf.DUMMYFUNCTION("""COMPUTED_VALUE"""),"Charcas y Costa Rica -N")</f>
        <v>Charcas y Costa Rica -N</v>
      </c>
      <c r="H935" s="36" t="str">
        <f>IFERROR(__xludf.DUMMYFUNCTION("""COMPUTED_VALUE"""),"")</f>
        <v/>
      </c>
    </row>
    <row r="936">
      <c r="A936" s="36" t="str">
        <f>IFERROR(__xludf.DUMMYFUNCTION("""COMPUTED_VALUE"""),"01-42-07-3")</f>
        <v>01-42-07-3</v>
      </c>
      <c r="B936" s="36" t="str">
        <f>IFERROR(__xludf.DUMMYFUNCTION("""COMPUTED_VALUE"""),"")</f>
        <v/>
      </c>
      <c r="C936" s="36" t="str">
        <f>IFERROR(__xludf.DUMMYFUNCTION("""COMPUTED_VALUE"""),"")</f>
        <v/>
      </c>
      <c r="D936" s="36" t="str">
        <f>IFERROR(__xludf.DUMMYFUNCTION("""COMPUTED_VALUE"""),"")</f>
        <v/>
      </c>
      <c r="E936" s="36" t="str">
        <f>IFERROR(__xludf.DUMMYFUNCTION("""COMPUTED_VALUE"""),"04-32-13-419")</f>
        <v>04-32-13-419</v>
      </c>
      <c r="F936" s="36"/>
      <c r="G936" s="36" t="str">
        <f>IFERROR(__xludf.DUMMYFUNCTION("""COMPUTED_VALUE"""),"Charcas y Costa Rica -S")</f>
        <v>Charcas y Costa Rica -S</v>
      </c>
      <c r="H936" s="36" t="str">
        <f>IFERROR(__xludf.DUMMYFUNCTION("""COMPUTED_VALUE"""),"")</f>
        <v/>
      </c>
    </row>
    <row r="937">
      <c r="A937" s="36" t="str">
        <f>IFERROR(__xludf.DUMMYFUNCTION("""COMPUTED_VALUE"""),"01-42-07-39")</f>
        <v>01-42-07-39</v>
      </c>
      <c r="B937" s="36" t="str">
        <f>IFERROR(__xludf.DUMMYFUNCTION("""COMPUTED_VALUE"""),"")</f>
        <v/>
      </c>
      <c r="C937" s="36" t="str">
        <f>IFERROR(__xludf.DUMMYFUNCTION("""COMPUTED_VALUE"""),"")</f>
        <v/>
      </c>
      <c r="D937" s="36" t="str">
        <f>IFERROR(__xludf.DUMMYFUNCTION("""COMPUTED_VALUE"""),"")</f>
        <v/>
      </c>
      <c r="E937" s="36" t="str">
        <f>IFERROR(__xludf.DUMMYFUNCTION("""COMPUTED_VALUE"""),"04-32-13-423")</f>
        <v>04-32-13-423</v>
      </c>
      <c r="F937" s="36"/>
      <c r="G937" s="36" t="str">
        <f>IFERROR(__xludf.DUMMYFUNCTION("""COMPUTED_VALUE"""),"Charcas y Gdor. Castro -E")</f>
        <v>Charcas y Gdor. Castro -E</v>
      </c>
      <c r="H937" s="36" t="str">
        <f>IFERROR(__xludf.DUMMYFUNCTION("""COMPUTED_VALUE"""),"")</f>
        <v/>
      </c>
    </row>
    <row r="938">
      <c r="A938" s="36" t="str">
        <f>IFERROR(__xludf.DUMMYFUNCTION("""COMPUTED_VALUE"""),"01-42-07-40")</f>
        <v>01-42-07-40</v>
      </c>
      <c r="B938" s="36" t="str">
        <f>IFERROR(__xludf.DUMMYFUNCTION("""COMPUTED_VALUE"""),"")</f>
        <v/>
      </c>
      <c r="C938" s="36" t="str">
        <f>IFERROR(__xludf.DUMMYFUNCTION("""COMPUTED_VALUE"""),"")</f>
        <v/>
      </c>
      <c r="D938" s="36" t="str">
        <f>IFERROR(__xludf.DUMMYFUNCTION("""COMPUTED_VALUE"""),"")</f>
        <v/>
      </c>
      <c r="E938" s="36" t="str">
        <f>IFERROR(__xludf.DUMMYFUNCTION("""COMPUTED_VALUE"""),"04-32-13-424")</f>
        <v>04-32-13-424</v>
      </c>
      <c r="F938" s="36"/>
      <c r="G938" s="36" t="str">
        <f>IFERROR(__xludf.DUMMYFUNCTION("""COMPUTED_VALUE"""),"Charcas y Gdor. Castro -O")</f>
        <v>Charcas y Gdor. Castro -O</v>
      </c>
      <c r="H938" s="36" t="str">
        <f>IFERROR(__xludf.DUMMYFUNCTION("""COMPUTED_VALUE"""),"")</f>
        <v/>
      </c>
    </row>
    <row r="939">
      <c r="A939" s="36" t="str">
        <f>IFERROR(__xludf.DUMMYFUNCTION("""COMPUTED_VALUE"""),"01-42-07-41")</f>
        <v>01-42-07-41</v>
      </c>
      <c r="B939" s="36" t="str">
        <f>IFERROR(__xludf.DUMMYFUNCTION("""COMPUTED_VALUE"""),"")</f>
        <v/>
      </c>
      <c r="C939" s="36" t="str">
        <f>IFERROR(__xludf.DUMMYFUNCTION("""COMPUTED_VALUE"""),"")</f>
        <v/>
      </c>
      <c r="D939" s="36" t="str">
        <f>IFERROR(__xludf.DUMMYFUNCTION("""COMPUTED_VALUE"""),"")</f>
        <v/>
      </c>
      <c r="E939" s="36" t="str">
        <f>IFERROR(__xludf.DUMMYFUNCTION("""COMPUTED_VALUE"""),"01-61-13-40")</f>
        <v>01-61-13-40</v>
      </c>
      <c r="F939" s="36"/>
      <c r="G939" s="36" t="str">
        <f>IFERROR(__xludf.DUMMYFUNCTION("""COMPUTED_VALUE"""),"CIC B°  Los Manantiales")</f>
        <v>CIC B°  Los Manantiales</v>
      </c>
      <c r="H939" s="36" t="str">
        <f>IFERROR(__xludf.DUMMYFUNCTION("""COMPUTED_VALUE"""),"")</f>
        <v/>
      </c>
    </row>
    <row r="940">
      <c r="A940" s="36" t="str">
        <f>IFERROR(__xludf.DUMMYFUNCTION("""COMPUTED_VALUE"""),"01-43-07-136B")</f>
        <v>01-43-07-136B</v>
      </c>
      <c r="B940" s="36" t="str">
        <f>IFERROR(__xludf.DUMMYFUNCTION("""COMPUTED_VALUE"""),"")</f>
        <v/>
      </c>
      <c r="C940" s="36" t="str">
        <f>IFERROR(__xludf.DUMMYFUNCTION("""COMPUTED_VALUE"""),"")</f>
        <v/>
      </c>
      <c r="D940" s="36" t="str">
        <f>IFERROR(__xludf.DUMMYFUNCTION("""COMPUTED_VALUE"""),"")</f>
        <v/>
      </c>
      <c r="E940" s="36" t="str">
        <f>IFERROR(__xludf.DUMMYFUNCTION("""COMPUTED_VALUE"""),"04-45-12-7")</f>
        <v>04-45-12-7</v>
      </c>
      <c r="F940" s="36"/>
      <c r="G940" s="36" t="str">
        <f>IFERROR(__xludf.DUMMYFUNCTION("""COMPUTED_VALUE"""),"CIC Villa Krause")</f>
        <v>CIC Villa Krause</v>
      </c>
      <c r="H940" s="36" t="str">
        <f>IFERROR(__xludf.DUMMYFUNCTION("""COMPUTED_VALUE"""),"")</f>
        <v/>
      </c>
    </row>
    <row r="941">
      <c r="A941" s="36" t="str">
        <f>IFERROR(__xludf.DUMMYFUNCTION("""COMPUTED_VALUE"""),"01-43-07-140")</f>
        <v>01-43-07-140</v>
      </c>
      <c r="B941" s="36" t="str">
        <f>IFERROR(__xludf.DUMMYFUNCTION("""COMPUTED_VALUE"""),"")</f>
        <v/>
      </c>
      <c r="C941" s="36" t="str">
        <f>IFERROR(__xludf.DUMMYFUNCTION("""COMPUTED_VALUE"""),"")</f>
        <v/>
      </c>
      <c r="D941" s="36" t="str">
        <f>IFERROR(__xludf.DUMMYFUNCTION("""COMPUTED_VALUE"""),"")</f>
        <v/>
      </c>
      <c r="E941" s="36" t="str">
        <f>IFERROR(__xludf.DUMMYFUNCTION("""COMPUTED_VALUE"""),"02-29-06-103C")</f>
        <v>02-29-06-103C</v>
      </c>
      <c r="F941" s="36"/>
      <c r="G941" s="36" t="str">
        <f>IFERROR(__xludf.DUMMYFUNCTION("""COMPUTED_VALUE"""),"Cipolletti y Bazán Agrás E")</f>
        <v>Cipolletti y Bazán Agrás E</v>
      </c>
      <c r="H941" s="36" t="str">
        <f>IFERROR(__xludf.DUMMYFUNCTION("""COMPUTED_VALUE"""),"")</f>
        <v/>
      </c>
    </row>
    <row r="942">
      <c r="A942" s="36" t="str">
        <f>IFERROR(__xludf.DUMMYFUNCTION("""COMPUTED_VALUE"""),"01-43-07-142")</f>
        <v>01-43-07-142</v>
      </c>
      <c r="B942" s="36" t="str">
        <f>IFERROR(__xludf.DUMMYFUNCTION("""COMPUTED_VALUE"""),"")</f>
        <v/>
      </c>
      <c r="C942" s="36" t="str">
        <f>IFERROR(__xludf.DUMMYFUNCTION("""COMPUTED_VALUE"""),"")</f>
        <v/>
      </c>
      <c r="D942" s="36" t="str">
        <f>IFERROR(__xludf.DUMMYFUNCTION("""COMPUTED_VALUE"""),"")</f>
        <v/>
      </c>
      <c r="E942" s="36" t="str">
        <f>IFERROR(__xludf.DUMMYFUNCTION("""COMPUTED_VALUE"""),"02-28-06-103A")</f>
        <v>02-28-06-103A</v>
      </c>
      <c r="F942" s="36"/>
      <c r="G942" s="36" t="str">
        <f>IFERROR(__xludf.DUMMYFUNCTION("""COMPUTED_VALUE"""),"Cipolletti y Bazán Agrás O")</f>
        <v>Cipolletti y Bazán Agrás O</v>
      </c>
      <c r="H942" s="36" t="str">
        <f>IFERROR(__xludf.DUMMYFUNCTION("""COMPUTED_VALUE"""),"")</f>
        <v/>
      </c>
    </row>
    <row r="943">
      <c r="A943" s="36" t="str">
        <f>IFERROR(__xludf.DUMMYFUNCTION("""COMPUTED_VALUE"""),"01-43-07-143")</f>
        <v>01-43-07-143</v>
      </c>
      <c r="B943" s="36" t="str">
        <f>IFERROR(__xludf.DUMMYFUNCTION("""COMPUTED_VALUE"""),"")</f>
        <v/>
      </c>
      <c r="C943" s="36" t="str">
        <f>IFERROR(__xludf.DUMMYFUNCTION("""COMPUTED_VALUE"""),"")</f>
        <v/>
      </c>
      <c r="D943" s="36" t="str">
        <f>IFERROR(__xludf.DUMMYFUNCTION("""COMPUTED_VALUE"""),"")</f>
        <v/>
      </c>
      <c r="E943" s="36" t="str">
        <f>IFERROR(__xludf.DUMMYFUNCTION("""COMPUTED_VALUE"""),"02-29-06-104")</f>
        <v>02-29-06-104</v>
      </c>
      <c r="F943" s="36"/>
      <c r="G943" s="36" t="str">
        <f>IFERROR(__xludf.DUMMYFUNCTION("""COMPUTED_VALUE"""),"Cipolletti y Cabildo")</f>
        <v>Cipolletti y Cabildo</v>
      </c>
      <c r="H943" s="36" t="str">
        <f>IFERROR(__xludf.DUMMYFUNCTION("""COMPUTED_VALUE"""),"")</f>
        <v/>
      </c>
    </row>
    <row r="944">
      <c r="A944" s="36" t="str">
        <f>IFERROR(__xludf.DUMMYFUNCTION("""COMPUTED_VALUE"""),"01-43-07-2")</f>
        <v>01-43-07-2</v>
      </c>
      <c r="B944" s="36" t="str">
        <f>IFERROR(__xludf.DUMMYFUNCTION("""COMPUTED_VALUE"""),"")</f>
        <v/>
      </c>
      <c r="C944" s="36" t="str">
        <f>IFERROR(__xludf.DUMMYFUNCTION("""COMPUTED_VALUE"""),"")</f>
        <v/>
      </c>
      <c r="D944" s="36" t="str">
        <f>IFERROR(__xludf.DUMMYFUNCTION("""COMPUTED_VALUE"""),"")</f>
        <v/>
      </c>
      <c r="E944" s="36" t="str">
        <f>IFERROR(__xludf.DUMMYFUNCTION("""COMPUTED_VALUE"""),"08-36-02-98")</f>
        <v>08-36-02-98</v>
      </c>
      <c r="F944" s="36"/>
      <c r="G944" s="36" t="str">
        <f>IFERROR(__xludf.DUMMYFUNCTION("""COMPUTED_VALUE"""),"Cipolletti y Chatard")</f>
        <v>Cipolletti y Chatard</v>
      </c>
      <c r="H944" s="36" t="str">
        <f>IFERROR(__xludf.DUMMYFUNCTION("""COMPUTED_VALUE"""),"")</f>
        <v/>
      </c>
    </row>
    <row r="945">
      <c r="A945" s="36" t="str">
        <f>IFERROR(__xludf.DUMMYFUNCTION("""COMPUTED_VALUE"""),"01-43-07-32")</f>
        <v>01-43-07-32</v>
      </c>
      <c r="B945" s="36" t="str">
        <f>IFERROR(__xludf.DUMMYFUNCTION("""COMPUTED_VALUE"""),"")</f>
        <v/>
      </c>
      <c r="C945" s="36" t="str">
        <f>IFERROR(__xludf.DUMMYFUNCTION("""COMPUTED_VALUE"""),"")</f>
        <v/>
      </c>
      <c r="D945" s="36" t="str">
        <f>IFERROR(__xludf.DUMMYFUNCTION("""COMPUTED_VALUE"""),"")</f>
        <v/>
      </c>
      <c r="E945" s="36" t="str">
        <f>IFERROR(__xludf.DUMMYFUNCTION("""COMPUTED_VALUE"""),"08-36-02-97")</f>
        <v>08-36-02-97</v>
      </c>
      <c r="F945" s="36"/>
      <c r="G945" s="36" t="str">
        <f>IFERROR(__xludf.DUMMYFUNCTION("""COMPUTED_VALUE"""),"Cipolletti y Favaloro E")</f>
        <v>Cipolletti y Favaloro E</v>
      </c>
      <c r="H945" s="36" t="str">
        <f>IFERROR(__xludf.DUMMYFUNCTION("""COMPUTED_VALUE"""),"")</f>
        <v/>
      </c>
    </row>
    <row r="946">
      <c r="A946" s="36" t="str">
        <f>IFERROR(__xludf.DUMMYFUNCTION("""COMPUTED_VALUE"""),"01-43-07-35")</f>
        <v>01-43-07-35</v>
      </c>
      <c r="B946" s="36" t="str">
        <f>IFERROR(__xludf.DUMMYFUNCTION("""COMPUTED_VALUE"""),"")</f>
        <v/>
      </c>
      <c r="C946" s="36" t="str">
        <f>IFERROR(__xludf.DUMMYFUNCTION("""COMPUTED_VALUE"""),"")</f>
        <v/>
      </c>
      <c r="D946" s="36" t="str">
        <f>IFERROR(__xludf.DUMMYFUNCTION("""COMPUTED_VALUE"""),"")</f>
        <v/>
      </c>
      <c r="E946" s="36" t="str">
        <f>IFERROR(__xludf.DUMMYFUNCTION("""COMPUTED_VALUE"""),"08-36-02-96")</f>
        <v>08-36-02-96</v>
      </c>
      <c r="F946" s="36"/>
      <c r="G946" s="36" t="str">
        <f>IFERROR(__xludf.DUMMYFUNCTION("""COMPUTED_VALUE"""),"Cipolletti y Favaloro O")</f>
        <v>Cipolletti y Favaloro O</v>
      </c>
      <c r="H946" s="36" t="str">
        <f>IFERROR(__xludf.DUMMYFUNCTION("""COMPUTED_VALUE"""),"")</f>
        <v/>
      </c>
    </row>
    <row r="947">
      <c r="A947" s="36" t="str">
        <f>IFERROR(__xludf.DUMMYFUNCTION("""COMPUTED_VALUE"""),"01-43-07-37")</f>
        <v>01-43-07-37</v>
      </c>
      <c r="B947" s="36" t="str">
        <f>IFERROR(__xludf.DUMMYFUNCTION("""COMPUTED_VALUE"""),"")</f>
        <v/>
      </c>
      <c r="C947" s="36" t="str">
        <f>IFERROR(__xludf.DUMMYFUNCTION("""COMPUTED_VALUE"""),"")</f>
        <v/>
      </c>
      <c r="D947" s="36" t="str">
        <f>IFERROR(__xludf.DUMMYFUNCTION("""COMPUTED_VALUE"""),"")</f>
        <v/>
      </c>
      <c r="E947" s="36" t="str">
        <f>IFERROR(__xludf.DUMMYFUNCTION("""COMPUTED_VALUE"""),"02-29-06-101B")</f>
        <v>02-29-06-101B</v>
      </c>
      <c r="F947" s="36"/>
      <c r="G947" s="36" t="str">
        <f>IFERROR(__xludf.DUMMYFUNCTION("""COMPUTED_VALUE"""),"Cipolletti y Molina")</f>
        <v>Cipolletti y Molina</v>
      </c>
      <c r="H947" s="36" t="str">
        <f>IFERROR(__xludf.DUMMYFUNCTION("""COMPUTED_VALUE"""),"")</f>
        <v/>
      </c>
    </row>
    <row r="948">
      <c r="A948" s="36" t="str">
        <f>IFERROR(__xludf.DUMMYFUNCTION("""COMPUTED_VALUE"""),"01-43-07-38")</f>
        <v>01-43-07-38</v>
      </c>
      <c r="B948" s="36" t="str">
        <f>IFERROR(__xludf.DUMMYFUNCTION("""COMPUTED_VALUE"""),"")</f>
        <v/>
      </c>
      <c r="C948" s="36" t="str">
        <f>IFERROR(__xludf.DUMMYFUNCTION("""COMPUTED_VALUE"""),"")</f>
        <v/>
      </c>
      <c r="D948" s="36" t="str">
        <f>IFERROR(__xludf.DUMMYFUNCTION("""COMPUTED_VALUE"""),"")</f>
        <v/>
      </c>
      <c r="E948" s="36" t="str">
        <f>IFERROR(__xludf.DUMMYFUNCTION("""COMPUTED_VALUE"""),"02-28-06-105A")</f>
        <v>02-28-06-105A</v>
      </c>
      <c r="F948" s="36"/>
      <c r="G948" s="36" t="str">
        <f>IFERROR(__xludf.DUMMYFUNCTION("""COMPUTED_VALUE"""),"Cipolletti y Sgto. Cabral")</f>
        <v>Cipolletti y Sgto. Cabral</v>
      </c>
      <c r="H948" s="36" t="str">
        <f>IFERROR(__xludf.DUMMYFUNCTION("""COMPUTED_VALUE"""),"")</f>
        <v/>
      </c>
    </row>
    <row r="949">
      <c r="A949" s="36" t="str">
        <f>IFERROR(__xludf.DUMMYFUNCTION("""COMPUTED_VALUE"""),"01-43-07-38A")</f>
        <v>01-43-07-38A</v>
      </c>
      <c r="B949" s="36" t="str">
        <f>IFERROR(__xludf.DUMMYFUNCTION("""COMPUTED_VALUE"""),"")</f>
        <v/>
      </c>
      <c r="C949" s="36" t="str">
        <f>IFERROR(__xludf.DUMMYFUNCTION("""COMPUTED_VALUE"""),"")</f>
        <v/>
      </c>
      <c r="D949" s="36" t="str">
        <f>IFERROR(__xludf.DUMMYFUNCTION("""COMPUTED_VALUE"""),"")</f>
        <v/>
      </c>
      <c r="E949" s="36" t="str">
        <f>IFERROR(__xludf.DUMMYFUNCTION("""COMPUTED_VALUE"""),"03-42-10-36A")</f>
        <v>03-42-10-36A</v>
      </c>
      <c r="F949" s="36"/>
      <c r="G949" s="36" t="str">
        <f>IFERROR(__xludf.DUMMYFUNCTION("""COMPUTED_VALUE"""),"Club Alto de Sierra")</f>
        <v>Club Alto de Sierra</v>
      </c>
      <c r="H949" s="36" t="str">
        <f>IFERROR(__xludf.DUMMYFUNCTION("""COMPUTED_VALUE"""),"")</f>
        <v/>
      </c>
    </row>
    <row r="950">
      <c r="A950" s="36" t="str">
        <f>IFERROR(__xludf.DUMMYFUNCTION("""COMPUTED_VALUE"""),"01-44-07-144")</f>
        <v>01-44-07-144</v>
      </c>
      <c r="B950" s="36" t="str">
        <f>IFERROR(__xludf.DUMMYFUNCTION("""COMPUTED_VALUE"""),"")</f>
        <v/>
      </c>
      <c r="C950" s="36" t="str">
        <f>IFERROR(__xludf.DUMMYFUNCTION("""COMPUTED_VALUE"""),"")</f>
        <v/>
      </c>
      <c r="D950" s="36" t="str">
        <f>IFERROR(__xludf.DUMMYFUNCTION("""COMPUTED_VALUE"""),"")</f>
        <v/>
      </c>
      <c r="E950" s="36" t="str">
        <f>IFERROR(__xludf.DUMMYFUNCTION("""COMPUTED_VALUE"""),"01-28-08-113")</f>
        <v>01-28-08-113</v>
      </c>
      <c r="F950" s="36"/>
      <c r="G950" s="36" t="str">
        <f>IFERROR(__xludf.DUMMYFUNCTION("""COMPUTED_VALUE"""),"Club Atlético San Martín")</f>
        <v>Club Atlético San Martín</v>
      </c>
      <c r="H950" s="36" t="str">
        <f>IFERROR(__xludf.DUMMYFUNCTION("""COMPUTED_VALUE"""),"")</f>
        <v/>
      </c>
    </row>
    <row r="951">
      <c r="A951" s="36" t="str">
        <f>IFERROR(__xludf.DUMMYFUNCTION("""COMPUTED_VALUE"""),"01-44-07-145")</f>
        <v>01-44-07-145</v>
      </c>
      <c r="B951" s="36" t="str">
        <f>IFERROR(__xludf.DUMMYFUNCTION("""COMPUTED_VALUE"""),"")</f>
        <v/>
      </c>
      <c r="C951" s="36" t="str">
        <f>IFERROR(__xludf.DUMMYFUNCTION("""COMPUTED_VALUE"""),"")</f>
        <v/>
      </c>
      <c r="D951" s="36" t="str">
        <f>IFERROR(__xludf.DUMMYFUNCTION("""COMPUTED_VALUE"""),"")</f>
        <v/>
      </c>
      <c r="E951" s="36" t="str">
        <f>IFERROR(__xludf.DUMMYFUNCTION("""COMPUTED_VALUE"""),"01-20-07-207")</f>
        <v>01-20-07-207</v>
      </c>
      <c r="F951" s="36"/>
      <c r="G951" s="36" t="str">
        <f>IFERROR(__xludf.DUMMYFUNCTION("""COMPUTED_VALUE"""),"Club Colón")</f>
        <v>Club Colón</v>
      </c>
      <c r="H951" s="36" t="str">
        <f>IFERROR(__xludf.DUMMYFUNCTION("""COMPUTED_VALUE"""),"")</f>
        <v/>
      </c>
    </row>
    <row r="952">
      <c r="A952" s="36" t="str">
        <f>IFERROR(__xludf.DUMMYFUNCTION("""COMPUTED_VALUE"""),"01-44-07-146")</f>
        <v>01-44-07-146</v>
      </c>
      <c r="B952" s="36" t="str">
        <f>IFERROR(__xludf.DUMMYFUNCTION("""COMPUTED_VALUE"""),"")</f>
        <v/>
      </c>
      <c r="C952" s="36" t="str">
        <f>IFERROR(__xludf.DUMMYFUNCTION("""COMPUTED_VALUE"""),"")</f>
        <v/>
      </c>
      <c r="D952" s="36" t="str">
        <f>IFERROR(__xludf.DUMMYFUNCTION("""COMPUTED_VALUE"""),"")</f>
        <v/>
      </c>
      <c r="E952" s="36" t="str">
        <f>IFERROR(__xludf.DUMMYFUNCTION("""COMPUTED_VALUE"""),"04-34-12-35B")</f>
        <v>04-34-12-35B</v>
      </c>
      <c r="F952" s="36"/>
      <c r="G952" s="36" t="str">
        <f>IFERROR(__xludf.DUMMYFUNCTION("""COMPUTED_VALUE"""),"Club Cultural y Deportivo La Superiora")</f>
        <v>Club Cultural y Deportivo La Superiora</v>
      </c>
      <c r="H952" s="36" t="str">
        <f>IFERROR(__xludf.DUMMYFUNCTION("""COMPUTED_VALUE"""),"")</f>
        <v/>
      </c>
    </row>
    <row r="953">
      <c r="A953" s="36" t="str">
        <f>IFERROR(__xludf.DUMMYFUNCTION("""COMPUTED_VALUE"""),"01-44-07-147")</f>
        <v>01-44-07-147</v>
      </c>
      <c r="B953" s="36" t="str">
        <f>IFERROR(__xludf.DUMMYFUNCTION("""COMPUTED_VALUE"""),"")</f>
        <v/>
      </c>
      <c r="C953" s="36" t="str">
        <f>IFERROR(__xludf.DUMMYFUNCTION("""COMPUTED_VALUE"""),"")</f>
        <v/>
      </c>
      <c r="D953" s="36" t="str">
        <f>IFERROR(__xludf.DUMMYFUNCTION("""COMPUTED_VALUE"""),"")</f>
        <v/>
      </c>
      <c r="E953" s="36" t="str">
        <f>IFERROR(__xludf.DUMMYFUNCTION("""COMPUTED_VALUE"""),"03-46-10-19")</f>
        <v>03-46-10-19</v>
      </c>
      <c r="F953" s="36"/>
      <c r="G953" s="36" t="str">
        <f>IFERROR(__xludf.DUMMYFUNCTION("""COMPUTED_VALUE"""),"Club Macabi")</f>
        <v>Club Macabi</v>
      </c>
      <c r="H953" s="36" t="str">
        <f>IFERROR(__xludf.DUMMYFUNCTION("""COMPUTED_VALUE"""),"")</f>
        <v/>
      </c>
    </row>
    <row r="954">
      <c r="A954" s="36" t="str">
        <f>IFERROR(__xludf.DUMMYFUNCTION("""COMPUTED_VALUE"""),"01-44-07-148")</f>
        <v>01-44-07-148</v>
      </c>
      <c r="B954" s="36" t="str">
        <f>IFERROR(__xludf.DUMMYFUNCTION("""COMPUTED_VALUE"""),"")</f>
        <v/>
      </c>
      <c r="C954" s="36" t="str">
        <f>IFERROR(__xludf.DUMMYFUNCTION("""COMPUTED_VALUE"""),"")</f>
        <v/>
      </c>
      <c r="D954" s="36" t="str">
        <f>IFERROR(__xludf.DUMMYFUNCTION("""COMPUTED_VALUE"""),"")</f>
        <v/>
      </c>
      <c r="E954" s="36" t="str">
        <f>IFERROR(__xludf.DUMMYFUNCTION("""COMPUTED_VALUE"""),"01-35-07-134")</f>
        <v>01-35-07-134</v>
      </c>
      <c r="F954" s="36"/>
      <c r="G954" s="36" t="str">
        <f>IFERROR(__xludf.DUMMYFUNCTION("""COMPUTED_VALUE"""),"Club Obras Sanitarias")</f>
        <v>Club Obras Sanitarias</v>
      </c>
      <c r="H954" s="36" t="str">
        <f>IFERROR(__xludf.DUMMYFUNCTION("""COMPUTED_VALUE"""),"")</f>
        <v/>
      </c>
    </row>
    <row r="955">
      <c r="A955" s="36" t="str">
        <f>IFERROR(__xludf.DUMMYFUNCTION("""COMPUTED_VALUE"""),"01-44-07-150")</f>
        <v>01-44-07-150</v>
      </c>
      <c r="B955" s="36" t="str">
        <f>IFERROR(__xludf.DUMMYFUNCTION("""COMPUTED_VALUE"""),"")</f>
        <v/>
      </c>
      <c r="C955" s="36" t="str">
        <f>IFERROR(__xludf.DUMMYFUNCTION("""COMPUTED_VALUE"""),"")</f>
        <v/>
      </c>
      <c r="D955" s="36" t="str">
        <f>IFERROR(__xludf.DUMMYFUNCTION("""COMPUTED_VALUE"""),"")</f>
        <v/>
      </c>
      <c r="E955" s="36" t="str">
        <f>IFERROR(__xludf.DUMMYFUNCTION("""COMPUTED_VALUE"""),"08-23-04-113")</f>
        <v>08-23-04-113</v>
      </c>
      <c r="F955" s="36"/>
      <c r="G955" s="36" t="str">
        <f>IFERROR(__xludf.DUMMYFUNCTION("""COMPUTED_VALUE"""),"Club Richet Zapata N")</f>
        <v>Club Richet Zapata N</v>
      </c>
      <c r="H955" s="36" t="str">
        <f>IFERROR(__xludf.DUMMYFUNCTION("""COMPUTED_VALUE"""),"")</f>
        <v/>
      </c>
    </row>
    <row r="956">
      <c r="A956" s="36" t="str">
        <f>IFERROR(__xludf.DUMMYFUNCTION("""COMPUTED_VALUE"""),"01-44-07-253")</f>
        <v>01-44-07-253</v>
      </c>
      <c r="B956" s="36" t="str">
        <f>IFERROR(__xludf.DUMMYFUNCTION("""COMPUTED_VALUE"""),"")</f>
        <v/>
      </c>
      <c r="C956" s="36" t="str">
        <f>IFERROR(__xludf.DUMMYFUNCTION("""COMPUTED_VALUE"""),"")</f>
        <v/>
      </c>
      <c r="D956" s="36" t="str">
        <f>IFERROR(__xludf.DUMMYFUNCTION("""COMPUTED_VALUE"""),"")</f>
        <v/>
      </c>
      <c r="E956" s="36" t="str">
        <f>IFERROR(__xludf.DUMMYFUNCTION("""COMPUTED_VALUE"""),"03-22-04-112")</f>
        <v>03-22-04-112</v>
      </c>
      <c r="F956" s="36"/>
      <c r="G956" s="36" t="str">
        <f>IFERROR(__xludf.DUMMYFUNCTION("""COMPUTED_VALUE"""),"Club Richet Zapata S")</f>
        <v>Club Richet Zapata S</v>
      </c>
      <c r="H956" s="36" t="str">
        <f>IFERROR(__xludf.DUMMYFUNCTION("""COMPUTED_VALUE"""),"")</f>
        <v/>
      </c>
    </row>
    <row r="957">
      <c r="A957" s="36" t="str">
        <f>IFERROR(__xludf.DUMMYFUNCTION("""COMPUTED_VALUE"""),"01-45-07-151")</f>
        <v>01-45-07-151</v>
      </c>
      <c r="B957" s="36" t="str">
        <f>IFERROR(__xludf.DUMMYFUNCTION("""COMPUTED_VALUE"""),"")</f>
        <v/>
      </c>
      <c r="C957" s="36" t="str">
        <f>IFERROR(__xludf.DUMMYFUNCTION("""COMPUTED_VALUE"""),"")</f>
        <v/>
      </c>
      <c r="D957" s="36" t="str">
        <f>IFERROR(__xludf.DUMMYFUNCTION("""COMPUTED_VALUE"""),"")</f>
        <v/>
      </c>
      <c r="E957" s="36" t="str">
        <f>IFERROR(__xludf.DUMMYFUNCTION("""COMPUTED_VALUE"""),"04-45-12-29F")</f>
        <v>04-45-12-29F</v>
      </c>
      <c r="F957" s="36"/>
      <c r="G957" s="36" t="str">
        <f>IFERROR(__xludf.DUMMYFUNCTION("""COMPUTED_VALUE"""),"Club Unión San Damian ")</f>
        <v>Club Unión San Damian </v>
      </c>
      <c r="H957" s="36" t="str">
        <f>IFERROR(__xludf.DUMMYFUNCTION("""COMPUTED_VALUE"""),"")</f>
        <v/>
      </c>
    </row>
    <row r="958">
      <c r="A958" s="36" t="str">
        <f>IFERROR(__xludf.DUMMYFUNCTION("""COMPUTED_VALUE"""),"01-45-07-156")</f>
        <v>01-45-07-156</v>
      </c>
      <c r="B958" s="36" t="str">
        <f>IFERROR(__xludf.DUMMYFUNCTION("""COMPUTED_VALUE"""),"")</f>
        <v/>
      </c>
      <c r="C958" s="36" t="str">
        <f>IFERROR(__xludf.DUMMYFUNCTION("""COMPUTED_VALUE"""),"")</f>
        <v/>
      </c>
      <c r="D958" s="36" t="str">
        <f>IFERROR(__xludf.DUMMYFUNCTION("""COMPUTED_VALUE"""),"")</f>
        <v/>
      </c>
      <c r="E958" s="36" t="str">
        <f>IFERROR(__xludf.DUMMYFUNCTION("""COMPUTED_VALUE"""),"02-38-12-226")</f>
        <v>02-38-12-226</v>
      </c>
      <c r="F958" s="36"/>
      <c r="G958" s="36" t="str">
        <f>IFERROR(__xludf.DUMMYFUNCTION("""COMPUTED_VALUE"""),"Cmte. Cabot y Fray Justo Sta María O.")</f>
        <v>Cmte. Cabot y Fray Justo Sta María O.</v>
      </c>
      <c r="H958" s="36" t="str">
        <f>IFERROR(__xludf.DUMMYFUNCTION("""COMPUTED_VALUE"""),"")</f>
        <v/>
      </c>
    </row>
    <row r="959">
      <c r="A959" s="36" t="str">
        <f>IFERROR(__xludf.DUMMYFUNCTION("""COMPUTED_VALUE"""),"01-45-07-172A")</f>
        <v>01-45-07-172A</v>
      </c>
      <c r="B959" s="36" t="str">
        <f>IFERROR(__xludf.DUMMYFUNCTION("""COMPUTED_VALUE"""),"")</f>
        <v/>
      </c>
      <c r="C959" s="36" t="str">
        <f>IFERROR(__xludf.DUMMYFUNCTION("""COMPUTED_VALUE"""),"")</f>
        <v/>
      </c>
      <c r="D959" s="36" t="str">
        <f>IFERROR(__xludf.DUMMYFUNCTION("""COMPUTED_VALUE"""),"")</f>
        <v/>
      </c>
      <c r="E959" s="36" t="str">
        <f>IFERROR(__xludf.DUMMYFUNCTION("""COMPUTED_VALUE"""),"01-55-08-25")</f>
        <v>01-55-08-25</v>
      </c>
      <c r="F959" s="36"/>
      <c r="G959" s="36" t="str">
        <f>IFERROR(__xludf.DUMMYFUNCTION("""COMPUTED_VALUE"""),"Colegio Don Bosco")</f>
        <v>Colegio Don Bosco</v>
      </c>
      <c r="H959" s="36" t="str">
        <f>IFERROR(__xludf.DUMMYFUNCTION("""COMPUTED_VALUE"""),"")</f>
        <v/>
      </c>
    </row>
    <row r="960">
      <c r="A960" s="36" t="str">
        <f>IFERROR(__xludf.DUMMYFUNCTION("""COMPUTED_VALUE"""),"01-45-07-252")</f>
        <v>01-45-07-252</v>
      </c>
      <c r="B960" s="36" t="str">
        <f>IFERROR(__xludf.DUMMYFUNCTION("""COMPUTED_VALUE"""),"")</f>
        <v/>
      </c>
      <c r="C960" s="36" t="str">
        <f>IFERROR(__xludf.DUMMYFUNCTION("""COMPUTED_VALUE"""),"")</f>
        <v/>
      </c>
      <c r="D960" s="36" t="str">
        <f>IFERROR(__xludf.DUMMYFUNCTION("""COMPUTED_VALUE"""),"")</f>
        <v/>
      </c>
      <c r="E960" s="36" t="str">
        <f>IFERROR(__xludf.DUMMYFUNCTION("""COMPUTED_VALUE"""),"01-51-08-3A")</f>
        <v>01-51-08-3A</v>
      </c>
      <c r="F960" s="36"/>
      <c r="G960" s="36" t="str">
        <f>IFERROR(__xludf.DUMMYFUNCTION("""COMPUTED_VALUE"""),"Colegio La Inmaculada")</f>
        <v>Colegio La Inmaculada</v>
      </c>
      <c r="H960" s="36" t="str">
        <f>IFERROR(__xludf.DUMMYFUNCTION("""COMPUTED_VALUE"""),"")</f>
        <v/>
      </c>
    </row>
    <row r="961">
      <c r="A961" s="36" t="str">
        <f>IFERROR(__xludf.DUMMYFUNCTION("""COMPUTED_VALUE"""),"01-45-07-255")</f>
        <v>01-45-07-255</v>
      </c>
      <c r="B961" s="36" t="str">
        <f>IFERROR(__xludf.DUMMYFUNCTION("""COMPUTED_VALUE"""),"")</f>
        <v/>
      </c>
      <c r="C961" s="36" t="str">
        <f>IFERROR(__xludf.DUMMYFUNCTION("""COMPUTED_VALUE"""),"")</f>
        <v/>
      </c>
      <c r="D961" s="36" t="str">
        <f>IFERROR(__xludf.DUMMYFUNCTION("""COMPUTED_VALUE"""),"")</f>
        <v/>
      </c>
      <c r="E961" s="36" t="str">
        <f>IFERROR(__xludf.DUMMYFUNCTION("""COMPUTED_VALUE"""),"01-54-14-13A")</f>
        <v>01-54-14-13A</v>
      </c>
      <c r="F961" s="36"/>
      <c r="G961" s="36" t="str">
        <f>IFERROR(__xludf.DUMMYFUNCTION("""COMPUTED_VALUE"""),"Colegio María Auxiliadora
")</f>
        <v>Colegio María Auxiliadora
</v>
      </c>
      <c r="H961" s="36" t="str">
        <f>IFERROR(__xludf.DUMMYFUNCTION("""COMPUTED_VALUE"""),"")</f>
        <v/>
      </c>
    </row>
    <row r="962">
      <c r="A962" s="36" t="str">
        <f>IFERROR(__xludf.DUMMYFUNCTION("""COMPUTED_VALUE"""),"01-46-07-160")</f>
        <v>01-46-07-160</v>
      </c>
      <c r="B962" s="36" t="str">
        <f>IFERROR(__xludf.DUMMYFUNCTION("""COMPUTED_VALUE"""),"")</f>
        <v/>
      </c>
      <c r="C962" s="36" t="str">
        <f>IFERROR(__xludf.DUMMYFUNCTION("""COMPUTED_VALUE"""),"")</f>
        <v/>
      </c>
      <c r="D962" s="36" t="str">
        <f>IFERROR(__xludf.DUMMYFUNCTION("""COMPUTED_VALUE"""),"")</f>
        <v/>
      </c>
      <c r="E962" s="36" t="str">
        <f>IFERROR(__xludf.DUMMYFUNCTION("""COMPUTED_VALUE"""),"03-31-09-95")</f>
        <v>03-31-09-95</v>
      </c>
      <c r="F962" s="36"/>
      <c r="G962" s="36" t="str">
        <f>IFERROR(__xludf.DUMMYFUNCTION("""COMPUTED_VALUE"""),"Colegio Provincial de Santa Lucía")</f>
        <v>Colegio Provincial de Santa Lucía</v>
      </c>
      <c r="H962" s="36" t="str">
        <f>IFERROR(__xludf.DUMMYFUNCTION("""COMPUTED_VALUE"""),"")</f>
        <v/>
      </c>
    </row>
    <row r="963">
      <c r="A963" s="36" t="str">
        <f>IFERROR(__xludf.DUMMYFUNCTION("""COMPUTED_VALUE"""),"01-46-07-160A")</f>
        <v>01-46-07-160A</v>
      </c>
      <c r="B963" s="36" t="str">
        <f>IFERROR(__xludf.DUMMYFUNCTION("""COMPUTED_VALUE"""),"")</f>
        <v/>
      </c>
      <c r="C963" s="36" t="str">
        <f>IFERROR(__xludf.DUMMYFUNCTION("""COMPUTED_VALUE"""),"")</f>
        <v/>
      </c>
      <c r="D963" s="36" t="str">
        <f>IFERROR(__xludf.DUMMYFUNCTION("""COMPUTED_VALUE"""),"")</f>
        <v/>
      </c>
      <c r="E963" s="36" t="str">
        <f>IFERROR(__xludf.DUMMYFUNCTION("""COMPUTED_VALUE"""),"03-34-10-122B")</f>
        <v>03-34-10-122B</v>
      </c>
      <c r="F963" s="36"/>
      <c r="G963" s="36" t="str">
        <f>IFERROR(__xludf.DUMMYFUNCTION("""COMPUTED_VALUE"""),"Colegio Saint Paul Norte")</f>
        <v>Colegio Saint Paul Norte</v>
      </c>
      <c r="H963" s="36" t="str">
        <f>IFERROR(__xludf.DUMMYFUNCTION("""COMPUTED_VALUE"""),"")</f>
        <v/>
      </c>
    </row>
    <row r="964">
      <c r="A964" s="36" t="str">
        <f>IFERROR(__xludf.DUMMYFUNCTION("""COMPUTED_VALUE"""),"01-46-07-160B")</f>
        <v>01-46-07-160B</v>
      </c>
      <c r="B964" s="36" t="str">
        <f>IFERROR(__xludf.DUMMYFUNCTION("""COMPUTED_VALUE"""),"")</f>
        <v/>
      </c>
      <c r="C964" s="36" t="str">
        <f>IFERROR(__xludf.DUMMYFUNCTION("""COMPUTED_VALUE"""),"")</f>
        <v/>
      </c>
      <c r="D964" s="36" t="str">
        <f>IFERROR(__xludf.DUMMYFUNCTION("""COMPUTED_VALUE"""),"")</f>
        <v/>
      </c>
      <c r="E964" s="36" t="str">
        <f>IFERROR(__xludf.DUMMYFUNCTION("""COMPUTED_VALUE"""),"03-46-10-122A")</f>
        <v>03-46-10-122A</v>
      </c>
      <c r="F964" s="36"/>
      <c r="G964" s="36" t="str">
        <f>IFERROR(__xludf.DUMMYFUNCTION("""COMPUTED_VALUE"""),"Colegio Saint Paul Sur")</f>
        <v>Colegio Saint Paul Sur</v>
      </c>
      <c r="H964" s="36" t="str">
        <f>IFERROR(__xludf.DUMMYFUNCTION("""COMPUTED_VALUE"""),"")</f>
        <v/>
      </c>
    </row>
    <row r="965">
      <c r="A965" s="36" t="str">
        <f>IFERROR(__xludf.DUMMYFUNCTION("""COMPUTED_VALUE"""),"01-47-07-159")</f>
        <v>01-47-07-159</v>
      </c>
      <c r="B965" s="36" t="str">
        <f>IFERROR(__xludf.DUMMYFUNCTION("""COMPUTED_VALUE"""),"")</f>
        <v/>
      </c>
      <c r="C965" s="36" t="str">
        <f>IFERROR(__xludf.DUMMYFUNCTION("""COMPUTED_VALUE"""),"")</f>
        <v/>
      </c>
      <c r="D965" s="36" t="str">
        <f>IFERROR(__xludf.DUMMYFUNCTION("""COMPUTED_VALUE"""),"")</f>
        <v/>
      </c>
      <c r="E965" s="36" t="str">
        <f>IFERROR(__xludf.DUMMYFUNCTION("""COMPUTED_VALUE"""),"01-41-08-126A")</f>
        <v>01-41-08-126A</v>
      </c>
      <c r="F965" s="36"/>
      <c r="G965" s="36" t="str">
        <f>IFERROR(__xludf.DUMMYFUNCTION("""COMPUTED_VALUE"""),"Colegio San Pablo")</f>
        <v>Colegio San Pablo</v>
      </c>
      <c r="H965" s="36" t="str">
        <f>IFERROR(__xludf.DUMMYFUNCTION("""COMPUTED_VALUE"""),"")</f>
        <v/>
      </c>
    </row>
    <row r="966">
      <c r="A966" s="36" t="str">
        <f>IFERROR(__xludf.DUMMYFUNCTION("""COMPUTED_VALUE"""),"01-48-07-158")</f>
        <v>01-48-07-158</v>
      </c>
      <c r="B966" s="36" t="str">
        <f>IFERROR(__xludf.DUMMYFUNCTION("""COMPUTED_VALUE"""),"")</f>
        <v/>
      </c>
      <c r="C966" s="36" t="str">
        <f>IFERROR(__xludf.DUMMYFUNCTION("""COMPUTED_VALUE"""),"")</f>
        <v/>
      </c>
      <c r="D966" s="36" t="str">
        <f>IFERROR(__xludf.DUMMYFUNCTION("""COMPUTED_VALUE"""),"")</f>
        <v/>
      </c>
      <c r="E966" s="36" t="str">
        <f>IFERROR(__xludf.DUMMYFUNCTION("""COMPUTED_VALUE"""),"01-28-08-90")</f>
        <v>01-28-08-90</v>
      </c>
      <c r="F966" s="36"/>
      <c r="G966" s="36" t="str">
        <f>IFERROR(__xludf.DUMMYFUNCTION("""COMPUTED_VALUE"""),"Colegio Santa María")</f>
        <v>Colegio Santa María</v>
      </c>
      <c r="H966" s="36" t="str">
        <f>IFERROR(__xludf.DUMMYFUNCTION("""COMPUTED_VALUE"""),"")</f>
        <v/>
      </c>
    </row>
    <row r="967">
      <c r="A967" s="36" t="str">
        <f>IFERROR(__xludf.DUMMYFUNCTION("""COMPUTED_VALUE"""),"01-48-07-72A")</f>
        <v>01-48-07-72A</v>
      </c>
      <c r="B967" s="36" t="str">
        <f>IFERROR(__xludf.DUMMYFUNCTION("""COMPUTED_VALUE"""),"")</f>
        <v/>
      </c>
      <c r="C967" s="36" t="str">
        <f>IFERROR(__xludf.DUMMYFUNCTION("""COMPUTED_VALUE"""),"")</f>
        <v/>
      </c>
      <c r="D967" s="36" t="str">
        <f>IFERROR(__xludf.DUMMYFUNCTION("""COMPUTED_VALUE"""),"")</f>
        <v/>
      </c>
      <c r="E967" s="36" t="str">
        <f>IFERROR(__xludf.DUMMYFUNCTION("""COMPUTED_VALUE"""),"02-24-05-52")</f>
        <v>02-24-05-52</v>
      </c>
      <c r="F967" s="36"/>
      <c r="G967" s="36" t="str">
        <f>IFERROR(__xludf.DUMMYFUNCTION("""COMPUTED_VALUE"""),"Coll y Proyectada E")</f>
        <v>Coll y Proyectada E</v>
      </c>
      <c r="H967" s="36" t="str">
        <f>IFERROR(__xludf.DUMMYFUNCTION("""COMPUTED_VALUE"""),"")</f>
        <v/>
      </c>
    </row>
    <row r="968">
      <c r="A968" s="36" t="str">
        <f>IFERROR(__xludf.DUMMYFUNCTION("""COMPUTED_VALUE"""),"01-49-07-256")</f>
        <v>01-49-07-256</v>
      </c>
      <c r="B968" s="36" t="str">
        <f>IFERROR(__xludf.DUMMYFUNCTION("""COMPUTED_VALUE"""),"")</f>
        <v/>
      </c>
      <c r="C968" s="36" t="str">
        <f>IFERROR(__xludf.DUMMYFUNCTION("""COMPUTED_VALUE"""),"")</f>
        <v/>
      </c>
      <c r="D968" s="36" t="str">
        <f>IFERROR(__xludf.DUMMYFUNCTION("""COMPUTED_VALUE"""),"")</f>
        <v/>
      </c>
      <c r="E968" s="36" t="str">
        <f>IFERROR(__xludf.DUMMYFUNCTION("""COMPUTED_VALUE"""),"02-24-05-53")</f>
        <v>02-24-05-53</v>
      </c>
      <c r="F968" s="36"/>
      <c r="G968" s="36" t="str">
        <f>IFERROR(__xludf.DUMMYFUNCTION("""COMPUTED_VALUE"""),"Coll y Proyectada O")</f>
        <v>Coll y Proyectada O</v>
      </c>
      <c r="H968" s="36" t="str">
        <f>IFERROR(__xludf.DUMMYFUNCTION("""COMPUTED_VALUE"""),"")</f>
        <v/>
      </c>
    </row>
    <row r="969">
      <c r="A969" s="36" t="str">
        <f>IFERROR(__xludf.DUMMYFUNCTION("""COMPUTED_VALUE"""),"01-49-07-66")</f>
        <v>01-49-07-66</v>
      </c>
      <c r="B969" s="36" t="str">
        <f>IFERROR(__xludf.DUMMYFUNCTION("""COMPUTED_VALUE"""),"")</f>
        <v/>
      </c>
      <c r="C969" s="36" t="str">
        <f>IFERROR(__xludf.DUMMYFUNCTION("""COMPUTED_VALUE"""),"")</f>
        <v/>
      </c>
      <c r="D969" s="36" t="str">
        <f>IFERROR(__xludf.DUMMYFUNCTION("""COMPUTED_VALUE"""),"")</f>
        <v/>
      </c>
      <c r="E969" s="36" t="str">
        <f>IFERROR(__xludf.DUMMYFUNCTION("""COMPUTED_VALUE"""),"01-26-09-121")</f>
        <v>01-26-09-121</v>
      </c>
      <c r="F969" s="36"/>
      <c r="G969" s="36" t="str">
        <f>IFERROR(__xludf.DUMMYFUNCTION("""COMPUTED_VALUE"""),"Colombia y Estados Unidos")</f>
        <v>Colombia y Estados Unidos</v>
      </c>
      <c r="H969" s="36" t="str">
        <f>IFERROR(__xludf.DUMMYFUNCTION("""COMPUTED_VALUE"""),"")</f>
        <v/>
      </c>
    </row>
    <row r="970">
      <c r="A970" s="36" t="str">
        <f>IFERROR(__xludf.DUMMYFUNCTION("""COMPUTED_VALUE"""),"01-49-07-67")</f>
        <v>01-49-07-67</v>
      </c>
      <c r="B970" s="36" t="str">
        <f>IFERROR(__xludf.DUMMYFUNCTION("""COMPUTED_VALUE"""),"")</f>
        <v/>
      </c>
      <c r="C970" s="36" t="str">
        <f>IFERROR(__xludf.DUMMYFUNCTION("""COMPUTED_VALUE"""),"")</f>
        <v/>
      </c>
      <c r="D970" s="36" t="str">
        <f>IFERROR(__xludf.DUMMYFUNCTION("""COMPUTED_VALUE"""),"")</f>
        <v/>
      </c>
      <c r="E970" s="36" t="str">
        <f>IFERROR(__xludf.DUMMYFUNCTION("""COMPUTED_VALUE"""),"03-48-09-54A")</f>
        <v>03-48-09-54A</v>
      </c>
      <c r="F970" s="36"/>
      <c r="G970" s="36" t="str">
        <f>IFERROR(__xludf.DUMMYFUNCTION("""COMPUTED_VALUE"""),"Colón -E e H. Yrigoyen")</f>
        <v>Colón -E e H. Yrigoyen</v>
      </c>
      <c r="H970" s="36" t="str">
        <f>IFERROR(__xludf.DUMMYFUNCTION("""COMPUTED_VALUE"""),"")</f>
        <v/>
      </c>
    </row>
    <row r="971">
      <c r="A971" s="36" t="str">
        <f>IFERROR(__xludf.DUMMYFUNCTION("""COMPUTED_VALUE"""),"01-49-07-68")</f>
        <v>01-49-07-68</v>
      </c>
      <c r="B971" s="36" t="str">
        <f>IFERROR(__xludf.DUMMYFUNCTION("""COMPUTED_VALUE"""),"")</f>
        <v/>
      </c>
      <c r="C971" s="36" t="str">
        <f>IFERROR(__xludf.DUMMYFUNCTION("""COMPUTED_VALUE"""),"")</f>
        <v/>
      </c>
      <c r="D971" s="36" t="str">
        <f>IFERROR(__xludf.DUMMYFUNCTION("""COMPUTED_VALUE"""),"")</f>
        <v/>
      </c>
      <c r="E971" s="36" t="str">
        <f>IFERROR(__xludf.DUMMYFUNCTION("""COMPUTED_VALUE"""),"03-48-09-57")</f>
        <v>03-48-09-57</v>
      </c>
      <c r="F971" s="36"/>
      <c r="G971" s="36" t="str">
        <f>IFERROR(__xludf.DUMMYFUNCTION("""COMPUTED_VALUE"""),"Colón -O y Gral. Paz")</f>
        <v>Colón -O y Gral. Paz</v>
      </c>
      <c r="H971" s="36" t="str">
        <f>IFERROR(__xludf.DUMMYFUNCTION("""COMPUTED_VALUE"""),"")</f>
        <v/>
      </c>
    </row>
    <row r="972">
      <c r="A972" s="36" t="str">
        <f>IFERROR(__xludf.DUMMYFUNCTION("""COMPUTED_VALUE"""),"01-49-07-69")</f>
        <v>01-49-07-69</v>
      </c>
      <c r="B972" s="36" t="str">
        <f>IFERROR(__xludf.DUMMYFUNCTION("""COMPUTED_VALUE"""),"")</f>
        <v/>
      </c>
      <c r="C972" s="36" t="str">
        <f>IFERROR(__xludf.DUMMYFUNCTION("""COMPUTED_VALUE"""),"")</f>
        <v/>
      </c>
      <c r="D972" s="36" t="str">
        <f>IFERROR(__xludf.DUMMYFUNCTION("""COMPUTED_VALUE"""),"")</f>
        <v/>
      </c>
      <c r="E972" s="36" t="str">
        <f>IFERROR(__xludf.DUMMYFUNCTION("""COMPUTED_VALUE"""),"03-20-09-116W")</f>
        <v>03-20-09-116W</v>
      </c>
      <c r="F972" s="36"/>
      <c r="G972" s="36" t="str">
        <f>IFERROR(__xludf.DUMMYFUNCTION("""COMPUTED_VALUE"""),"Colón -O y San José")</f>
        <v>Colón -O y San José</v>
      </c>
      <c r="H972" s="36" t="str">
        <f>IFERROR(__xludf.DUMMYFUNCTION("""COMPUTED_VALUE"""),"")</f>
        <v/>
      </c>
    </row>
    <row r="973">
      <c r="A973" s="36" t="str">
        <f>IFERROR(__xludf.DUMMYFUNCTION("""COMPUTED_VALUE"""),"01-49-07-69A")</f>
        <v>01-49-07-69A</v>
      </c>
      <c r="B973" s="36" t="str">
        <f>IFERROR(__xludf.DUMMYFUNCTION("""COMPUTED_VALUE"""),"")</f>
        <v/>
      </c>
      <c r="C973" s="36" t="str">
        <f>IFERROR(__xludf.DUMMYFUNCTION("""COMPUTED_VALUE"""),"")</f>
        <v/>
      </c>
      <c r="D973" s="36" t="str">
        <f>IFERROR(__xludf.DUMMYFUNCTION("""COMPUTED_VALUE"""),"")</f>
        <v/>
      </c>
      <c r="E973" s="36" t="str">
        <f>IFERROR(__xludf.DUMMYFUNCTION("""COMPUTED_VALUE"""),"03-48-09-54")</f>
        <v>03-48-09-54</v>
      </c>
      <c r="F973" s="36"/>
      <c r="G973" s="36" t="str">
        <f>IFERROR(__xludf.DUMMYFUNCTION("""COMPUTED_VALUE"""),"Colón e H. Yrigoyen")</f>
        <v>Colón e H. Yrigoyen</v>
      </c>
      <c r="H973" s="36" t="str">
        <f>IFERROR(__xludf.DUMMYFUNCTION("""COMPUTED_VALUE"""),"")</f>
        <v/>
      </c>
    </row>
    <row r="974">
      <c r="A974" s="36" t="str">
        <f>IFERROR(__xludf.DUMMYFUNCTION("""COMPUTED_VALUE"""),"01-49-07-70")</f>
        <v>01-49-07-70</v>
      </c>
      <c r="B974" s="36" t="str">
        <f>IFERROR(__xludf.DUMMYFUNCTION("""COMPUTED_VALUE"""),"")</f>
        <v/>
      </c>
      <c r="C974" s="36" t="str">
        <f>IFERROR(__xludf.DUMMYFUNCTION("""COMPUTED_VALUE"""),"")</f>
        <v/>
      </c>
      <c r="D974" s="36" t="str">
        <f>IFERROR(__xludf.DUMMYFUNCTION("""COMPUTED_VALUE"""),"")</f>
        <v/>
      </c>
      <c r="E974" s="36" t="str">
        <f>IFERROR(__xludf.DUMMYFUNCTION("""COMPUTED_VALUE"""),"08-20-02-48")</f>
        <v>08-20-02-48</v>
      </c>
      <c r="F974" s="36"/>
      <c r="G974" s="36" t="str">
        <f>IFERROR(__xludf.DUMMYFUNCTION("""COMPUTED_VALUE"""),"Colón e Hipólito Yrigoyen E")</f>
        <v>Colón e Hipólito Yrigoyen E</v>
      </c>
      <c r="H974" s="36" t="str">
        <f>IFERROR(__xludf.DUMMYFUNCTION("""COMPUTED_VALUE"""),"")</f>
        <v/>
      </c>
    </row>
    <row r="975">
      <c r="A975" s="36" t="str">
        <f>IFERROR(__xludf.DUMMYFUNCTION("""COMPUTED_VALUE"""),"01-49-07-71")</f>
        <v>01-49-07-71</v>
      </c>
      <c r="B975" s="36" t="str">
        <f>IFERROR(__xludf.DUMMYFUNCTION("""COMPUTED_VALUE"""),"")</f>
        <v/>
      </c>
      <c r="C975" s="36" t="str">
        <f>IFERROR(__xludf.DUMMYFUNCTION("""COMPUTED_VALUE"""),"")</f>
        <v/>
      </c>
      <c r="D975" s="36" t="str">
        <f>IFERROR(__xludf.DUMMYFUNCTION("""COMPUTED_VALUE"""),"")</f>
        <v/>
      </c>
      <c r="E975" s="36" t="str">
        <f>IFERROR(__xludf.DUMMYFUNCTION("""COMPUTED_VALUE"""),"08-20-02-49")</f>
        <v>08-20-02-49</v>
      </c>
      <c r="F975" s="36"/>
      <c r="G975" s="36" t="str">
        <f>IFERROR(__xludf.DUMMYFUNCTION("""COMPUTED_VALUE"""),"Colón e Hipólito Yrigoyen O")</f>
        <v>Colón e Hipólito Yrigoyen O</v>
      </c>
      <c r="H975" s="36" t="str">
        <f>IFERROR(__xludf.DUMMYFUNCTION("""COMPUTED_VALUE"""),"")</f>
        <v/>
      </c>
    </row>
    <row r="976">
      <c r="A976" s="36" t="str">
        <f>IFERROR(__xludf.DUMMYFUNCTION("""COMPUTED_VALUE"""),"01-49-07-72")</f>
        <v>01-49-07-72</v>
      </c>
      <c r="B976" s="36" t="str">
        <f>IFERROR(__xludf.DUMMYFUNCTION("""COMPUTED_VALUE"""),"")</f>
        <v/>
      </c>
      <c r="C976" s="36" t="str">
        <f>IFERROR(__xludf.DUMMYFUNCTION("""COMPUTED_VALUE"""),"")</f>
        <v/>
      </c>
      <c r="D976" s="36" t="str">
        <f>IFERROR(__xludf.DUMMYFUNCTION("""COMPUTED_VALUE"""),"")</f>
        <v/>
      </c>
      <c r="E976" s="36" t="str">
        <f>IFERROR(__xludf.DUMMYFUNCTION("""COMPUTED_VALUE"""),"03-33-09-88")</f>
        <v>03-33-09-88</v>
      </c>
      <c r="F976" s="36"/>
      <c r="G976" s="36" t="str">
        <f>IFERROR(__xludf.DUMMYFUNCTION("""COMPUTED_VALUE"""),"Colón Este y Blanco")</f>
        <v>Colón Este y Blanco</v>
      </c>
      <c r="H976" s="36" t="str">
        <f>IFERROR(__xludf.DUMMYFUNCTION("""COMPUTED_VALUE"""),"")</f>
        <v/>
      </c>
    </row>
    <row r="977">
      <c r="A977" s="36" t="str">
        <f>IFERROR(__xludf.DUMMYFUNCTION("""COMPUTED_VALUE"""),"01-49-07-73")</f>
        <v>01-49-07-73</v>
      </c>
      <c r="B977" s="36" t="str">
        <f>IFERROR(__xludf.DUMMYFUNCTION("""COMPUTED_VALUE"""),"")</f>
        <v/>
      </c>
      <c r="C977" s="36" t="str">
        <f>IFERROR(__xludf.DUMMYFUNCTION("""COMPUTED_VALUE"""),"")</f>
        <v/>
      </c>
      <c r="D977" s="36" t="str">
        <f>IFERROR(__xludf.DUMMYFUNCTION("""COMPUTED_VALUE"""),"")</f>
        <v/>
      </c>
      <c r="E977" s="36" t="str">
        <f>IFERROR(__xludf.DUMMYFUNCTION("""COMPUTED_VALUE"""),"03-33-09-86")</f>
        <v>03-33-09-86</v>
      </c>
      <c r="F977" s="36"/>
      <c r="G977" s="36" t="str">
        <f>IFERROR(__xludf.DUMMYFUNCTION("""COMPUTED_VALUE"""),"Colón Este y Mariano Moreno")</f>
        <v>Colón Este y Mariano Moreno</v>
      </c>
      <c r="H977" s="36" t="str">
        <f>IFERROR(__xludf.DUMMYFUNCTION("""COMPUTED_VALUE"""),"")</f>
        <v/>
      </c>
    </row>
    <row r="978">
      <c r="A978" s="36" t="str">
        <f>IFERROR(__xludf.DUMMYFUNCTION("""COMPUTED_VALUE"""),"01-49-07-75")</f>
        <v>01-49-07-75</v>
      </c>
      <c r="B978" s="36" t="str">
        <f>IFERROR(__xludf.DUMMYFUNCTION("""COMPUTED_VALUE"""),"")</f>
        <v/>
      </c>
      <c r="C978" s="36" t="str">
        <f>IFERROR(__xludf.DUMMYFUNCTION("""COMPUTED_VALUE"""),"")</f>
        <v/>
      </c>
      <c r="D978" s="36" t="str">
        <f>IFERROR(__xludf.DUMMYFUNCTION("""COMPUTED_VALUE"""),"")</f>
        <v/>
      </c>
      <c r="E978" s="36" t="str">
        <f>IFERROR(__xludf.DUMMYFUNCTION("""COMPUTED_VALUE"""),"02-36-11-86")</f>
        <v>02-36-11-86</v>
      </c>
      <c r="F978" s="36"/>
      <c r="G978" s="36" t="str">
        <f>IFERROR(__xludf.DUMMYFUNCTION("""COMPUTED_VALUE"""),"Colón Norte y Aberastain")</f>
        <v>Colón Norte y Aberastain</v>
      </c>
      <c r="H978" s="36" t="str">
        <f>IFERROR(__xludf.DUMMYFUNCTION("""COMPUTED_VALUE"""),"")</f>
        <v/>
      </c>
    </row>
    <row r="979">
      <c r="A979" s="36" t="str">
        <f>IFERROR(__xludf.DUMMYFUNCTION("""COMPUTED_VALUE"""),"01-49-07-77")</f>
        <v>01-49-07-77</v>
      </c>
      <c r="B979" s="36" t="str">
        <f>IFERROR(__xludf.DUMMYFUNCTION("""COMPUTED_VALUE"""),"")</f>
        <v/>
      </c>
      <c r="C979" s="36" t="str">
        <f>IFERROR(__xludf.DUMMYFUNCTION("""COMPUTED_VALUE"""),"")</f>
        <v/>
      </c>
      <c r="D979" s="36" t="str">
        <f>IFERROR(__xludf.DUMMYFUNCTION("""COMPUTED_VALUE"""),"")</f>
        <v/>
      </c>
      <c r="E979" s="36" t="str">
        <f>IFERROR(__xludf.DUMMYFUNCTION("""COMPUTED_VALUE"""),"02-36-11-87")</f>
        <v>02-36-11-87</v>
      </c>
      <c r="F979" s="36"/>
      <c r="G979" s="36" t="str">
        <f>IFERROR(__xludf.DUMMYFUNCTION("""COMPUTED_VALUE"""),"Colón Norte y Malvinas Argentinas")</f>
        <v>Colón Norte y Malvinas Argentinas</v>
      </c>
      <c r="H979" s="36" t="str">
        <f>IFERROR(__xludf.DUMMYFUNCTION("""COMPUTED_VALUE"""),"")</f>
        <v/>
      </c>
    </row>
    <row r="980">
      <c r="A980" s="36" t="str">
        <f>IFERROR(__xludf.DUMMYFUNCTION("""COMPUTED_VALUE"""),"01-50-07-46A")</f>
        <v>01-50-07-46A</v>
      </c>
      <c r="B980" s="36" t="str">
        <f>IFERROR(__xludf.DUMMYFUNCTION("""COMPUTED_VALUE"""),"")</f>
        <v/>
      </c>
      <c r="C980" s="36" t="str">
        <f>IFERROR(__xludf.DUMMYFUNCTION("""COMPUTED_VALUE"""),"")</f>
        <v/>
      </c>
      <c r="D980" s="36" t="str">
        <f>IFERROR(__xludf.DUMMYFUNCTION("""COMPUTED_VALUE"""),"")</f>
        <v/>
      </c>
      <c r="E980" s="36" t="str">
        <f>IFERROR(__xludf.DUMMYFUNCTION("""COMPUTED_VALUE"""),"02-36-11-86A")</f>
        <v>02-36-11-86A</v>
      </c>
      <c r="F980" s="36"/>
      <c r="G980" s="36" t="str">
        <f>IFERROR(__xludf.DUMMYFUNCTION("""COMPUTED_VALUE"""),"Colón Sur y Aberastain")</f>
        <v>Colón Sur y Aberastain</v>
      </c>
      <c r="H980" s="36" t="str">
        <f>IFERROR(__xludf.DUMMYFUNCTION("""COMPUTED_VALUE"""),"")</f>
        <v/>
      </c>
    </row>
    <row r="981">
      <c r="A981" s="36" t="str">
        <f>IFERROR(__xludf.DUMMYFUNCTION("""COMPUTED_VALUE"""),"01-50-07-50")</f>
        <v>01-50-07-50</v>
      </c>
      <c r="B981" s="36" t="str">
        <f>IFERROR(__xludf.DUMMYFUNCTION("""COMPUTED_VALUE"""),"")</f>
        <v/>
      </c>
      <c r="C981" s="36" t="str">
        <f>IFERROR(__xludf.DUMMYFUNCTION("""COMPUTED_VALUE"""),"")</f>
        <v/>
      </c>
      <c r="D981" s="36" t="str">
        <f>IFERROR(__xludf.DUMMYFUNCTION("""COMPUTED_VALUE"""),"")</f>
        <v/>
      </c>
      <c r="E981" s="36" t="str">
        <f>IFERROR(__xludf.DUMMYFUNCTION("""COMPUTED_VALUE"""),"02-36-11-87A")</f>
        <v>02-36-11-87A</v>
      </c>
      <c r="F981" s="36"/>
      <c r="G981" s="36" t="str">
        <f>IFERROR(__xludf.DUMMYFUNCTION("""COMPUTED_VALUE"""),"Colón Sur y Malvinas Argentinas")</f>
        <v>Colón Sur y Malvinas Argentinas</v>
      </c>
      <c r="H981" s="36" t="str">
        <f>IFERROR(__xludf.DUMMYFUNCTION("""COMPUTED_VALUE"""),"")</f>
        <v/>
      </c>
    </row>
    <row r="982">
      <c r="A982" s="36" t="str">
        <f>IFERROR(__xludf.DUMMYFUNCTION("""COMPUTED_VALUE"""),"01-50-07-51")</f>
        <v>01-50-07-51</v>
      </c>
      <c r="B982" s="36" t="str">
        <f>IFERROR(__xludf.DUMMYFUNCTION("""COMPUTED_VALUE"""),"")</f>
        <v/>
      </c>
      <c r="C982" s="36" t="str">
        <f>IFERROR(__xludf.DUMMYFUNCTION("""COMPUTED_VALUE"""),"")</f>
        <v/>
      </c>
      <c r="D982" s="36" t="str">
        <f>IFERROR(__xludf.DUMMYFUNCTION("""COMPUTED_VALUE"""),"")</f>
        <v/>
      </c>
      <c r="E982" s="36" t="str">
        <f>IFERROR(__xludf.DUMMYFUNCTION("""COMPUTED_VALUE"""),"03-32-09-85")</f>
        <v>03-32-09-85</v>
      </c>
      <c r="F982" s="36"/>
      <c r="G982" s="36" t="str">
        <f>IFERROR(__xludf.DUMMYFUNCTION("""COMPUTED_VALUE"""),"Colón y Av. Libertador")</f>
        <v>Colón y Av. Libertador</v>
      </c>
      <c r="H982" s="36" t="str">
        <f>IFERROR(__xludf.DUMMYFUNCTION("""COMPUTED_VALUE"""),"")</f>
        <v/>
      </c>
    </row>
    <row r="983">
      <c r="A983" s="36" t="str">
        <f>IFERROR(__xludf.DUMMYFUNCTION("""COMPUTED_VALUE"""),"01-50-07-52")</f>
        <v>01-50-07-52</v>
      </c>
      <c r="B983" s="36" t="str">
        <f>IFERROR(__xludf.DUMMYFUNCTION("""COMPUTED_VALUE"""),"")</f>
        <v/>
      </c>
      <c r="C983" s="36" t="str">
        <f>IFERROR(__xludf.DUMMYFUNCTION("""COMPUTED_VALUE"""),"")</f>
        <v/>
      </c>
      <c r="D983" s="36" t="str">
        <f>IFERROR(__xludf.DUMMYFUNCTION("""COMPUTED_VALUE"""),"")</f>
        <v/>
      </c>
      <c r="E983" s="36" t="str">
        <f>IFERROR(__xludf.DUMMYFUNCTION("""COMPUTED_VALUE"""),"03-32-09-89")</f>
        <v>03-32-09-89</v>
      </c>
      <c r="F983" s="36"/>
      <c r="G983" s="36" t="str">
        <f>IFERROR(__xludf.DUMMYFUNCTION("""COMPUTED_VALUE"""),"Colón y Blanco")</f>
        <v>Colón y Blanco</v>
      </c>
      <c r="H983" s="36" t="str">
        <f>IFERROR(__xludf.DUMMYFUNCTION("""COMPUTED_VALUE"""),"")</f>
        <v/>
      </c>
    </row>
    <row r="984">
      <c r="A984" s="36" t="str">
        <f>IFERROR(__xludf.DUMMYFUNCTION("""COMPUTED_VALUE"""),"01-50-07-52A")</f>
        <v>01-50-07-52A</v>
      </c>
      <c r="B984" s="36" t="str">
        <f>IFERROR(__xludf.DUMMYFUNCTION("""COMPUTED_VALUE"""),"")</f>
        <v/>
      </c>
      <c r="C984" s="36" t="str">
        <f>IFERROR(__xludf.DUMMYFUNCTION("""COMPUTED_VALUE"""),"")</f>
        <v/>
      </c>
      <c r="D984" s="36" t="str">
        <f>IFERROR(__xludf.DUMMYFUNCTION("""COMPUTED_VALUE"""),"")</f>
        <v/>
      </c>
      <c r="E984" s="36" t="str">
        <f>IFERROR(__xludf.DUMMYFUNCTION("""COMPUTED_VALUE"""),"02-36-11-110")</f>
        <v>02-36-11-110</v>
      </c>
      <c r="F984" s="36"/>
      <c r="G984" s="36" t="str">
        <f>IFERROR(__xludf.DUMMYFUNCTION("""COMPUTED_VALUE"""),"Colón y Calívar")</f>
        <v>Colón y Calívar</v>
      </c>
      <c r="H984" s="36" t="str">
        <f>IFERROR(__xludf.DUMMYFUNCTION("""COMPUTED_VALUE"""),"")</f>
        <v/>
      </c>
    </row>
    <row r="985">
      <c r="A985" s="36" t="str">
        <f>IFERROR(__xludf.DUMMYFUNCTION("""COMPUTED_VALUE"""),"01-50-07-53")</f>
        <v>01-50-07-53</v>
      </c>
      <c r="B985" s="36" t="str">
        <f>IFERROR(__xludf.DUMMYFUNCTION("""COMPUTED_VALUE"""),"")</f>
        <v/>
      </c>
      <c r="C985" s="36" t="str">
        <f>IFERROR(__xludf.DUMMYFUNCTION("""COMPUTED_VALUE"""),"")</f>
        <v/>
      </c>
      <c r="D985" s="36" t="str">
        <f>IFERROR(__xludf.DUMMYFUNCTION("""COMPUTED_VALUE"""),"")</f>
        <v/>
      </c>
      <c r="E985" s="36" t="str">
        <f>IFERROR(__xludf.DUMMYFUNCTION("""COMPUTED_VALUE"""),"03-22-09-213A")</f>
        <v>03-22-09-213A</v>
      </c>
      <c r="F985" s="36"/>
      <c r="G985" s="36" t="str">
        <f>IFERROR(__xludf.DUMMYFUNCTION("""COMPUTED_VALUE"""),"Colón y Callejón Comunitario")</f>
        <v>Colón y Callejón Comunitario</v>
      </c>
      <c r="H985" s="36" t="str">
        <f>IFERROR(__xludf.DUMMYFUNCTION("""COMPUTED_VALUE"""),"")</f>
        <v/>
      </c>
    </row>
    <row r="986">
      <c r="A986" s="36" t="str">
        <f>IFERROR(__xludf.DUMMYFUNCTION("""COMPUTED_VALUE"""),"01-50-07-53A")</f>
        <v>01-50-07-53A</v>
      </c>
      <c r="B986" s="36" t="str">
        <f>IFERROR(__xludf.DUMMYFUNCTION("""COMPUTED_VALUE"""),"")</f>
        <v/>
      </c>
      <c r="C986" s="36" t="str">
        <f>IFERROR(__xludf.DUMMYFUNCTION("""COMPUTED_VALUE"""),"")</f>
        <v/>
      </c>
      <c r="D986" s="36" t="str">
        <f>IFERROR(__xludf.DUMMYFUNCTION("""COMPUTED_VALUE"""),"")</f>
        <v/>
      </c>
      <c r="E986" s="36" t="str">
        <f>IFERROR(__xludf.DUMMYFUNCTION("""COMPUTED_VALUE"""),"08-20-02-50")</f>
        <v>08-20-02-50</v>
      </c>
      <c r="F986" s="36"/>
      <c r="G986" s="36" t="str">
        <f>IFERROR(__xludf.DUMMYFUNCTION("""COMPUTED_VALUE"""),"Colón y Centenario")</f>
        <v>Colón y Centenario</v>
      </c>
      <c r="H986" s="36" t="str">
        <f>IFERROR(__xludf.DUMMYFUNCTION("""COMPUTED_VALUE"""),"")</f>
        <v/>
      </c>
    </row>
    <row r="987">
      <c r="A987" s="36" t="str">
        <f>IFERROR(__xludf.DUMMYFUNCTION("""COMPUTED_VALUE"""),"01-50-07-57")</f>
        <v>01-50-07-57</v>
      </c>
      <c r="B987" s="36" t="str">
        <f>IFERROR(__xludf.DUMMYFUNCTION("""COMPUTED_VALUE"""),"")</f>
        <v/>
      </c>
      <c r="C987" s="36" t="str">
        <f>IFERROR(__xludf.DUMMYFUNCTION("""COMPUTED_VALUE"""),"")</f>
        <v/>
      </c>
      <c r="D987" s="36" t="str">
        <f>IFERROR(__xludf.DUMMYFUNCTION("""COMPUTED_VALUE"""),"")</f>
        <v/>
      </c>
      <c r="E987" s="36" t="str">
        <f>IFERROR(__xludf.DUMMYFUNCTION("""COMPUTED_VALUE"""),"03-22-09-213C")</f>
        <v>03-22-09-213C</v>
      </c>
      <c r="F987" s="36"/>
      <c r="G987" s="36" t="str">
        <f>IFERROR(__xludf.DUMMYFUNCTION("""COMPUTED_VALUE"""),"Colón y Chubut")</f>
        <v>Colón y Chubut</v>
      </c>
      <c r="H987" s="36" t="str">
        <f>IFERROR(__xludf.DUMMYFUNCTION("""COMPUTED_VALUE"""),"")</f>
        <v/>
      </c>
    </row>
    <row r="988">
      <c r="A988" s="36" t="str">
        <f>IFERROR(__xludf.DUMMYFUNCTION("""COMPUTED_VALUE"""),"01-50-07-59")</f>
        <v>01-50-07-59</v>
      </c>
      <c r="B988" s="36" t="str">
        <f>IFERROR(__xludf.DUMMYFUNCTION("""COMPUTED_VALUE"""),"")</f>
        <v/>
      </c>
      <c r="C988" s="36" t="str">
        <f>IFERROR(__xludf.DUMMYFUNCTION("""COMPUTED_VALUE"""),"")</f>
        <v/>
      </c>
      <c r="D988" s="36" t="str">
        <f>IFERROR(__xludf.DUMMYFUNCTION("""COMPUTED_VALUE"""),"")</f>
        <v/>
      </c>
      <c r="E988" s="36" t="str">
        <f>IFERROR(__xludf.DUMMYFUNCTION("""COMPUTED_VALUE"""),"03-22-09-213")</f>
        <v>03-22-09-213</v>
      </c>
      <c r="F988" s="36"/>
      <c r="G988" s="36" t="str">
        <f>IFERROR(__xludf.DUMMYFUNCTION("""COMPUTED_VALUE"""),"Colón y Cordillera de los Andes")</f>
        <v>Colón y Cordillera de los Andes</v>
      </c>
      <c r="H988" s="36" t="str">
        <f>IFERROR(__xludf.DUMMYFUNCTION("""COMPUTED_VALUE"""),"")</f>
        <v/>
      </c>
    </row>
    <row r="989">
      <c r="A989" s="36" t="str">
        <f>IFERROR(__xludf.DUMMYFUNCTION("""COMPUTED_VALUE"""),"01-50-07-60")</f>
        <v>01-50-07-60</v>
      </c>
      <c r="B989" s="36" t="str">
        <f>IFERROR(__xludf.DUMMYFUNCTION("""COMPUTED_VALUE"""),"")</f>
        <v/>
      </c>
      <c r="C989" s="36" t="str">
        <f>IFERROR(__xludf.DUMMYFUNCTION("""COMPUTED_VALUE"""),"")</f>
        <v/>
      </c>
      <c r="D989" s="36" t="str">
        <f>IFERROR(__xludf.DUMMYFUNCTION("""COMPUTED_VALUE"""),"")</f>
        <v/>
      </c>
      <c r="E989" s="36" t="str">
        <f>IFERROR(__xludf.DUMMYFUNCTION("""COMPUTED_VALUE"""),"02-32-11-97")</f>
        <v>02-32-11-97</v>
      </c>
      <c r="F989" s="36"/>
      <c r="G989" s="36" t="str">
        <f>IFERROR(__xludf.DUMMYFUNCTION("""COMPUTED_VALUE"""),"Colón y Cortínez")</f>
        <v>Colón y Cortínez</v>
      </c>
      <c r="H989" s="36" t="str">
        <f>IFERROR(__xludf.DUMMYFUNCTION("""COMPUTED_VALUE"""),"")</f>
        <v/>
      </c>
    </row>
    <row r="990">
      <c r="A990" s="36" t="str">
        <f>IFERROR(__xludf.DUMMYFUNCTION("""COMPUTED_VALUE"""),"01-50-07-62")</f>
        <v>01-50-07-62</v>
      </c>
      <c r="B990" s="36" t="str">
        <f>IFERROR(__xludf.DUMMYFUNCTION("""COMPUTED_VALUE"""),"")</f>
        <v/>
      </c>
      <c r="C990" s="36" t="str">
        <f>IFERROR(__xludf.DUMMYFUNCTION("""COMPUTED_VALUE"""),"")</f>
        <v/>
      </c>
      <c r="D990" s="36" t="str">
        <f>IFERROR(__xludf.DUMMYFUNCTION("""COMPUTED_VALUE"""),"")</f>
        <v/>
      </c>
      <c r="E990" s="36" t="str">
        <f>IFERROR(__xludf.DUMMYFUNCTION("""COMPUTED_VALUE"""),"02-32-11-98A")</f>
        <v>02-32-11-98A</v>
      </c>
      <c r="F990" s="36"/>
      <c r="G990" s="36" t="str">
        <f>IFERROR(__xludf.DUMMYFUNCTION("""COMPUTED_VALUE"""),"Colón y Favaloro")</f>
        <v>Colón y Favaloro</v>
      </c>
      <c r="H990" s="36" t="str">
        <f>IFERROR(__xludf.DUMMYFUNCTION("""COMPUTED_VALUE"""),"")</f>
        <v/>
      </c>
    </row>
    <row r="991">
      <c r="A991" s="36" t="str">
        <f>IFERROR(__xludf.DUMMYFUNCTION("""COMPUTED_VALUE"""),"01-50-07-64")</f>
        <v>01-50-07-64</v>
      </c>
      <c r="B991" s="36" t="str">
        <f>IFERROR(__xludf.DUMMYFUNCTION("""COMPUTED_VALUE"""),"")</f>
        <v/>
      </c>
      <c r="C991" s="36" t="str">
        <f>IFERROR(__xludf.DUMMYFUNCTION("""COMPUTED_VALUE"""),"")</f>
        <v/>
      </c>
      <c r="D991" s="36" t="str">
        <f>IFERROR(__xludf.DUMMYFUNCTION("""COMPUTED_VALUE"""),"")</f>
        <v/>
      </c>
      <c r="E991" s="36" t="str">
        <f>IFERROR(__xludf.DUMMYFUNCTION("""COMPUTED_VALUE"""),"03-48-09-56")</f>
        <v>03-48-09-56</v>
      </c>
      <c r="F991" s="36"/>
      <c r="G991" s="36" t="str">
        <f>IFERROR(__xludf.DUMMYFUNCTION("""COMPUTED_VALUE"""),"Colón y Gral. Paz")</f>
        <v>Colón y Gral. Paz</v>
      </c>
      <c r="H991" s="36" t="str">
        <f>IFERROR(__xludf.DUMMYFUNCTION("""COMPUTED_VALUE"""),"")</f>
        <v/>
      </c>
    </row>
    <row r="992">
      <c r="A992" s="36" t="str">
        <f>IFERROR(__xludf.DUMMYFUNCTION("""COMPUTED_VALUE"""),"01-51-07-41A")</f>
        <v>01-51-07-41A</v>
      </c>
      <c r="B992" s="36" t="str">
        <f>IFERROR(__xludf.DUMMYFUNCTION("""COMPUTED_VALUE"""),"")</f>
        <v/>
      </c>
      <c r="C992" s="36" t="str">
        <f>IFERROR(__xludf.DUMMYFUNCTION("""COMPUTED_VALUE"""),"")</f>
        <v/>
      </c>
      <c r="D992" s="36" t="str">
        <f>IFERROR(__xludf.DUMMYFUNCTION("""COMPUTED_VALUE"""),"")</f>
        <v/>
      </c>
      <c r="E992" s="36" t="str">
        <f>IFERROR(__xludf.DUMMYFUNCTION("""COMPUTED_VALUE"""),"03-48-09-55")</f>
        <v>03-48-09-55</v>
      </c>
      <c r="F992" s="36"/>
      <c r="G992" s="36" t="str">
        <f>IFERROR(__xludf.DUMMYFUNCTION("""COMPUTED_VALUE"""),"Colón y Gral. Paz -E")</f>
        <v>Colón y Gral. Paz -E</v>
      </c>
      <c r="H992" s="36" t="str">
        <f>IFERROR(__xludf.DUMMYFUNCTION("""COMPUTED_VALUE"""),"")</f>
        <v/>
      </c>
    </row>
    <row r="993">
      <c r="A993" s="36" t="str">
        <f>IFERROR(__xludf.DUMMYFUNCTION("""COMPUTED_VALUE"""),"01-51-07-42")</f>
        <v>01-51-07-42</v>
      </c>
      <c r="B993" s="36" t="str">
        <f>IFERROR(__xludf.DUMMYFUNCTION("""COMPUTED_VALUE"""),"")</f>
        <v/>
      </c>
      <c r="C993" s="36" t="str">
        <f>IFERROR(__xludf.DUMMYFUNCTION("""COMPUTED_VALUE"""),"")</f>
        <v/>
      </c>
      <c r="D993" s="36" t="str">
        <f>IFERROR(__xludf.DUMMYFUNCTION("""COMPUTED_VALUE"""),"")</f>
        <v/>
      </c>
      <c r="E993" s="36" t="str">
        <f>IFERROR(__xludf.DUMMYFUNCTION("""COMPUTED_VALUE"""),"02-32-11-96A")</f>
        <v>02-32-11-96A</v>
      </c>
      <c r="F993" s="36"/>
      <c r="G993" s="36" t="str">
        <f>IFERROR(__xludf.DUMMYFUNCTION("""COMPUTED_VALUE"""),"Colón y J. Dávalos")</f>
        <v>Colón y J. Dávalos</v>
      </c>
      <c r="H993" s="36" t="str">
        <f>IFERROR(__xludf.DUMMYFUNCTION("""COMPUTED_VALUE"""),"")</f>
        <v/>
      </c>
    </row>
    <row r="994">
      <c r="A994" s="36" t="str">
        <f>IFERROR(__xludf.DUMMYFUNCTION("""COMPUTED_VALUE"""),"01-51-07-43")</f>
        <v>01-51-07-43</v>
      </c>
      <c r="B994" s="36" t="str">
        <f>IFERROR(__xludf.DUMMYFUNCTION("""COMPUTED_VALUE"""),"")</f>
        <v/>
      </c>
      <c r="C994" s="36" t="str">
        <f>IFERROR(__xludf.DUMMYFUNCTION("""COMPUTED_VALUE"""),"")</f>
        <v/>
      </c>
      <c r="D994" s="36" t="str">
        <f>IFERROR(__xludf.DUMMYFUNCTION("""COMPUTED_VALUE"""),"")</f>
        <v/>
      </c>
      <c r="E994" s="36" t="str">
        <f>IFERROR(__xludf.DUMMYFUNCTION("""COMPUTED_VALUE"""),"03-32-09-90")</f>
        <v>03-32-09-90</v>
      </c>
      <c r="F994" s="36"/>
      <c r="G994" s="36" t="str">
        <f>IFERROR(__xludf.DUMMYFUNCTION("""COMPUTED_VALUE"""),"Colón y J. P. Cortínez")</f>
        <v>Colón y J. P. Cortínez</v>
      </c>
      <c r="H994" s="36" t="str">
        <f>IFERROR(__xludf.DUMMYFUNCTION("""COMPUTED_VALUE"""),"")</f>
        <v/>
      </c>
    </row>
    <row r="995">
      <c r="A995" s="36" t="str">
        <f>IFERROR(__xludf.DUMMYFUNCTION("""COMPUTED_VALUE"""),"01-51-07-45")</f>
        <v>01-51-07-45</v>
      </c>
      <c r="B995" s="36" t="str">
        <f>IFERROR(__xludf.DUMMYFUNCTION("""COMPUTED_VALUE"""),"")</f>
        <v/>
      </c>
      <c r="C995" s="36" t="str">
        <f>IFERROR(__xludf.DUMMYFUNCTION("""COMPUTED_VALUE"""),"")</f>
        <v/>
      </c>
      <c r="D995" s="36" t="str">
        <f>IFERROR(__xludf.DUMMYFUNCTION("""COMPUTED_VALUE"""),"")</f>
        <v/>
      </c>
      <c r="E995" s="36" t="str">
        <f>IFERROR(__xludf.DUMMYFUNCTION("""COMPUTED_VALUE"""),"03-20-09-109F")</f>
        <v>03-20-09-109F</v>
      </c>
      <c r="F995" s="36"/>
      <c r="G995" s="36" t="str">
        <f>IFERROR(__xludf.DUMMYFUNCTION("""COMPUTED_VALUE"""),"Colón y Lima")</f>
        <v>Colón y Lima</v>
      </c>
      <c r="H995" s="36" t="str">
        <f>IFERROR(__xludf.DUMMYFUNCTION("""COMPUTED_VALUE"""),"")</f>
        <v/>
      </c>
    </row>
    <row r="996">
      <c r="A996" s="36" t="str">
        <f>IFERROR(__xludf.DUMMYFUNCTION("""COMPUTED_VALUE"""),"01-51-07-46")</f>
        <v>01-51-07-46</v>
      </c>
      <c r="B996" s="36" t="str">
        <f>IFERROR(__xludf.DUMMYFUNCTION("""COMPUTED_VALUE"""),"")</f>
        <v/>
      </c>
      <c r="C996" s="36" t="str">
        <f>IFERROR(__xludf.DUMMYFUNCTION("""COMPUTED_VALUE"""),"")</f>
        <v/>
      </c>
      <c r="D996" s="36" t="str">
        <f>IFERROR(__xludf.DUMMYFUNCTION("""COMPUTED_VALUE"""),"")</f>
        <v/>
      </c>
      <c r="E996" s="36" t="str">
        <f>IFERROR(__xludf.DUMMYFUNCTION("""COMPUTED_VALUE"""),"03-32-09-87")</f>
        <v>03-32-09-87</v>
      </c>
      <c r="F996" s="36"/>
      <c r="G996" s="36" t="str">
        <f>IFERROR(__xludf.DUMMYFUNCTION("""COMPUTED_VALUE"""),"Colón y Mariano Moreno")</f>
        <v>Colón y Mariano Moreno</v>
      </c>
      <c r="H996" s="36" t="str">
        <f>IFERROR(__xludf.DUMMYFUNCTION("""COMPUTED_VALUE"""),"")</f>
        <v/>
      </c>
    </row>
    <row r="997">
      <c r="A997" s="36" t="str">
        <f>IFERROR(__xludf.DUMMYFUNCTION("""COMPUTED_VALUE"""),"01-51-07-47A")</f>
        <v>01-51-07-47A</v>
      </c>
      <c r="B997" s="36" t="str">
        <f>IFERROR(__xludf.DUMMYFUNCTION("""COMPUTED_VALUE"""),"")</f>
        <v/>
      </c>
      <c r="C997" s="36" t="str">
        <f>IFERROR(__xludf.DUMMYFUNCTION("""COMPUTED_VALUE"""),"")</f>
        <v/>
      </c>
      <c r="D997" s="36" t="str">
        <f>IFERROR(__xludf.DUMMYFUNCTION("""COMPUTED_VALUE"""),"")</f>
        <v/>
      </c>
      <c r="E997" s="36" t="str">
        <f>IFERROR(__xludf.DUMMYFUNCTION("""COMPUTED_VALUE"""),"02-36-11-85A")</f>
        <v>02-36-11-85A</v>
      </c>
      <c r="F997" s="36"/>
      <c r="G997" s="36" t="str">
        <f>IFERROR(__xludf.DUMMYFUNCTION("""COMPUTED_VALUE"""),"Colón y Paso de los Andes")</f>
        <v>Colón y Paso de los Andes</v>
      </c>
      <c r="H997" s="36" t="str">
        <f>IFERROR(__xludf.DUMMYFUNCTION("""COMPUTED_VALUE"""),"")</f>
        <v/>
      </c>
    </row>
    <row r="998">
      <c r="A998" s="36" t="str">
        <f>IFERROR(__xludf.DUMMYFUNCTION("""COMPUTED_VALUE"""),"01-57-07-47")</f>
        <v>01-57-07-47</v>
      </c>
      <c r="B998" s="36" t="str">
        <f>IFERROR(__xludf.DUMMYFUNCTION("""COMPUTED_VALUE"""),"")</f>
        <v/>
      </c>
      <c r="C998" s="36" t="str">
        <f>IFERROR(__xludf.DUMMYFUNCTION("""COMPUTED_VALUE"""),"")</f>
        <v/>
      </c>
      <c r="D998" s="36" t="str">
        <f>IFERROR(__xludf.DUMMYFUNCTION("""COMPUTED_VALUE"""),"")</f>
        <v/>
      </c>
      <c r="E998" s="36" t="str">
        <f>IFERROR(__xludf.DUMMYFUNCTION("""COMPUTED_VALUE"""),"02-32-11-97A")</f>
        <v>02-32-11-97A</v>
      </c>
      <c r="F998" s="36"/>
      <c r="G998" s="36" t="str">
        <f>IFERROR(__xludf.DUMMYFUNCTION("""COMPUTED_VALUE"""),"Colón y Plaza B° Natania XV")</f>
        <v>Colón y Plaza B° Natania XV</v>
      </c>
      <c r="H998" s="36" t="str">
        <f>IFERROR(__xludf.DUMMYFUNCTION("""COMPUTED_VALUE"""),"")</f>
        <v/>
      </c>
    </row>
    <row r="999">
      <c r="A999" s="36" t="str">
        <f>IFERROR(__xludf.DUMMYFUNCTION("""COMPUTED_VALUE"""),"01-57-07-49")</f>
        <v>01-57-07-49</v>
      </c>
      <c r="B999" s="36" t="str">
        <f>IFERROR(__xludf.DUMMYFUNCTION("""COMPUTED_VALUE"""),"")</f>
        <v/>
      </c>
      <c r="C999" s="36" t="str">
        <f>IFERROR(__xludf.DUMMYFUNCTION("""COMPUTED_VALUE"""),"")</f>
        <v/>
      </c>
      <c r="D999" s="36" t="str">
        <f>IFERROR(__xludf.DUMMYFUNCTION("""COMPUTED_VALUE"""),"")</f>
        <v/>
      </c>
      <c r="E999" s="36" t="str">
        <f>IFERROR(__xludf.DUMMYFUNCTION("""COMPUTED_VALUE"""),"08-20-02-49B")</f>
        <v>08-20-02-49B</v>
      </c>
      <c r="F999" s="36"/>
      <c r="G999" s="36" t="str">
        <f>IFERROR(__xludf.DUMMYFUNCTION("""COMPUTED_VALUE"""),"Colón y Proyectada E")</f>
        <v>Colón y Proyectada E</v>
      </c>
      <c r="H999" s="36" t="str">
        <f>IFERROR(__xludf.DUMMYFUNCTION("""COMPUTED_VALUE"""),"")</f>
        <v/>
      </c>
    </row>
    <row r="1000">
      <c r="A1000" s="36" t="str">
        <f>IFERROR(__xludf.DUMMYFUNCTION("""COMPUTED_VALUE"""),"01-58-07-79")</f>
        <v>01-58-07-79</v>
      </c>
      <c r="B1000" s="36" t="str">
        <f>IFERROR(__xludf.DUMMYFUNCTION("""COMPUTED_VALUE"""),"")</f>
        <v/>
      </c>
      <c r="C1000" s="36" t="str">
        <f>IFERROR(__xludf.DUMMYFUNCTION("""COMPUTED_VALUE"""),"")</f>
        <v/>
      </c>
      <c r="D1000" s="36" t="str">
        <f>IFERROR(__xludf.DUMMYFUNCTION("""COMPUTED_VALUE"""),"")</f>
        <v/>
      </c>
      <c r="E1000" s="36" t="str">
        <f>IFERROR(__xludf.DUMMYFUNCTION("""COMPUTED_VALUE"""),"08-20-02-49A")</f>
        <v>08-20-02-49A</v>
      </c>
      <c r="F1000" s="36"/>
      <c r="G1000" s="36" t="str">
        <f>IFERROR(__xludf.DUMMYFUNCTION("""COMPUTED_VALUE"""),"Colón y Proyectada O")</f>
        <v>Colón y Proyectada O</v>
      </c>
      <c r="H1000" s="36" t="str">
        <f>IFERROR(__xludf.DUMMYFUNCTION("""COMPUTED_VALUE"""),"")</f>
        <v/>
      </c>
    </row>
    <row r="1001">
      <c r="A1001" s="36" t="str">
        <f>IFERROR(__xludf.DUMMYFUNCTION("""COMPUTED_VALUE"""),"01-58-07-79A")</f>
        <v>01-58-07-79A</v>
      </c>
      <c r="B1001" s="36" t="str">
        <f>IFERROR(__xludf.DUMMYFUNCTION("""COMPUTED_VALUE"""),"")</f>
        <v/>
      </c>
      <c r="C1001" s="36" t="str">
        <f>IFERROR(__xludf.DUMMYFUNCTION("""COMPUTED_VALUE"""),"")</f>
        <v/>
      </c>
      <c r="D1001" s="36" t="str">
        <f>IFERROR(__xludf.DUMMYFUNCTION("""COMPUTED_VALUE"""),"")</f>
        <v/>
      </c>
      <c r="E1001" s="36" t="str">
        <f>IFERROR(__xludf.DUMMYFUNCTION("""COMPUTED_VALUE"""),"03-33-09-91")</f>
        <v>03-33-09-91</v>
      </c>
      <c r="F1001" s="36"/>
      <c r="G1001" s="36" t="str">
        <f>IFERROR(__xludf.DUMMYFUNCTION("""COMPUTED_VALUE"""),"Colón y Roque Sáenz Peña")</f>
        <v>Colón y Roque Sáenz Peña</v>
      </c>
      <c r="H1001" s="36" t="str">
        <f>IFERROR(__xludf.DUMMYFUNCTION("""COMPUTED_VALUE"""),"")</f>
        <v/>
      </c>
    </row>
    <row r="1002">
      <c r="A1002" s="36" t="str">
        <f>IFERROR(__xludf.DUMMYFUNCTION("""COMPUTED_VALUE"""),"01-58-07-79B")</f>
        <v>01-58-07-79B</v>
      </c>
      <c r="B1002" s="36" t="str">
        <f>IFERROR(__xludf.DUMMYFUNCTION("""COMPUTED_VALUE"""),"")</f>
        <v/>
      </c>
      <c r="C1002" s="36" t="str">
        <f>IFERROR(__xludf.DUMMYFUNCTION("""COMPUTED_VALUE"""),"")</f>
        <v/>
      </c>
      <c r="D1002" s="36" t="str">
        <f>IFERROR(__xludf.DUMMYFUNCTION("""COMPUTED_VALUE"""),"")</f>
        <v/>
      </c>
      <c r="E1002" s="36" t="str">
        <f>IFERROR(__xludf.DUMMYFUNCTION("""COMPUTED_VALUE"""),"03-30-09-116X")</f>
        <v>03-30-09-116X</v>
      </c>
      <c r="F1002" s="36"/>
      <c r="G1002" s="36" t="str">
        <f>IFERROR(__xludf.DUMMYFUNCTION("""COMPUTED_VALUE"""),"Colón y San José")</f>
        <v>Colón y San José</v>
      </c>
      <c r="H1002" s="36" t="str">
        <f>IFERROR(__xludf.DUMMYFUNCTION("""COMPUTED_VALUE"""),"")</f>
        <v/>
      </c>
    </row>
    <row r="1003">
      <c r="A1003" s="36" t="str">
        <f>IFERROR(__xludf.DUMMYFUNCTION("""COMPUTED_VALUE"""),"01-58-07-79C")</f>
        <v>01-58-07-79C</v>
      </c>
      <c r="B1003" s="36" t="str">
        <f>IFERROR(__xludf.DUMMYFUNCTION("""COMPUTED_VALUE"""),"")</f>
        <v/>
      </c>
      <c r="C1003" s="36" t="str">
        <f>IFERROR(__xludf.DUMMYFUNCTION("""COMPUTED_VALUE"""),"")</f>
        <v/>
      </c>
      <c r="D1003" s="36" t="str">
        <f>IFERROR(__xludf.DUMMYFUNCTION("""COMPUTED_VALUE"""),"")</f>
        <v/>
      </c>
      <c r="E1003" s="36" t="str">
        <f>IFERROR(__xludf.DUMMYFUNCTION("""COMPUTED_VALUE"""),"03-48-09-58")</f>
        <v>03-48-09-58</v>
      </c>
      <c r="F1003" s="36"/>
      <c r="G1003" s="36" t="str">
        <f>IFERROR(__xludf.DUMMYFUNCTION("""COMPUTED_VALUE"""),"Colón y Santa Fe")</f>
        <v>Colón y Santa Fe</v>
      </c>
      <c r="H1003" s="36" t="str">
        <f>IFERROR(__xludf.DUMMYFUNCTION("""COMPUTED_VALUE"""),"")</f>
        <v/>
      </c>
    </row>
    <row r="1004">
      <c r="A1004" s="36" t="str">
        <f>IFERROR(__xludf.DUMMYFUNCTION("""COMPUTED_VALUE"""),"01-58-07-80")</f>
        <v>01-58-07-80</v>
      </c>
      <c r="B1004" s="36" t="str">
        <f>IFERROR(__xludf.DUMMYFUNCTION("""COMPUTED_VALUE"""),"")</f>
        <v/>
      </c>
      <c r="C1004" s="36" t="str">
        <f>IFERROR(__xludf.DUMMYFUNCTION("""COMPUTED_VALUE"""),"")</f>
        <v/>
      </c>
      <c r="D1004" s="36" t="str">
        <f>IFERROR(__xludf.DUMMYFUNCTION("""COMPUTED_VALUE"""),"")</f>
        <v/>
      </c>
      <c r="E1004" s="36" t="str">
        <f>IFERROR(__xludf.DUMMYFUNCTION("""COMPUTED_VALUE"""),"03-30-09-116Z")</f>
        <v>03-30-09-116Z</v>
      </c>
      <c r="F1004" s="36"/>
      <c r="G1004" s="36" t="str">
        <f>IFERROR(__xludf.DUMMYFUNCTION("""COMPUTED_VALUE"""),"Colón y Thomas Edison")</f>
        <v>Colón y Thomas Edison</v>
      </c>
      <c r="H1004" s="36" t="str">
        <f>IFERROR(__xludf.DUMMYFUNCTION("""COMPUTED_VALUE"""),"")</f>
        <v/>
      </c>
    </row>
    <row r="1005">
      <c r="A1005" s="36" t="str">
        <f>IFERROR(__xludf.DUMMYFUNCTION("""COMPUTED_VALUE"""),"01-58-07-80A")</f>
        <v>01-58-07-80A</v>
      </c>
      <c r="B1005" s="36" t="str">
        <f>IFERROR(__xludf.DUMMYFUNCTION("""COMPUTED_VALUE"""),"")</f>
        <v/>
      </c>
      <c r="C1005" s="36" t="str">
        <f>IFERROR(__xludf.DUMMYFUNCTION("""COMPUTED_VALUE"""),"")</f>
        <v/>
      </c>
      <c r="D1005" s="36" t="str">
        <f>IFERROR(__xludf.DUMMYFUNCTION("""COMPUTED_VALUE"""),"")</f>
        <v/>
      </c>
      <c r="E1005" s="36" t="str">
        <f>IFERROR(__xludf.DUMMYFUNCTION("""COMPUTED_VALUE"""),"02-38-12-221")</f>
        <v>02-38-12-221</v>
      </c>
      <c r="F1005" s="36"/>
      <c r="G1005" s="36" t="str">
        <f>IFERROR(__xludf.DUMMYFUNCTION("""COMPUTED_VALUE"""),"Comandante Cabot y 1° de Mayo")</f>
        <v>Comandante Cabot y 1° de Mayo</v>
      </c>
      <c r="H1005" s="36" t="str">
        <f>IFERROR(__xludf.DUMMYFUNCTION("""COMPUTED_VALUE"""),"")</f>
        <v/>
      </c>
    </row>
    <row r="1006">
      <c r="A1006" s="36" t="str">
        <f>IFERROR(__xludf.DUMMYFUNCTION("""COMPUTED_VALUE"""),"02-29-07-100")</f>
        <v>02-29-07-100</v>
      </c>
      <c r="B1006" s="36" t="str">
        <f>IFERROR(__xludf.DUMMYFUNCTION("""COMPUTED_VALUE"""),"")</f>
        <v/>
      </c>
      <c r="C1006" s="36" t="str">
        <f>IFERROR(__xludf.DUMMYFUNCTION("""COMPUTED_VALUE"""),"")</f>
        <v/>
      </c>
      <c r="D1006" s="36" t="str">
        <f>IFERROR(__xludf.DUMMYFUNCTION("""COMPUTED_VALUE"""),"")</f>
        <v/>
      </c>
      <c r="E1006" s="36" t="str">
        <f>IFERROR(__xludf.DUMMYFUNCTION("""COMPUTED_VALUE"""),"01-60-13-25")</f>
        <v>01-60-13-25</v>
      </c>
      <c r="F1006" s="36"/>
      <c r="G1006" s="36" t="str">
        <f>IFERROR(__xludf.DUMMYFUNCTION("""COMPUTED_VALUE"""),"Comandante Cabot y Anacleto Gil -N")</f>
        <v>Comandante Cabot y Anacleto Gil -N</v>
      </c>
      <c r="H1006" s="36" t="str">
        <f>IFERROR(__xludf.DUMMYFUNCTION("""COMPUTED_VALUE"""),"")</f>
        <v/>
      </c>
    </row>
    <row r="1007">
      <c r="A1007" s="36" t="str">
        <f>IFERROR(__xludf.DUMMYFUNCTION("""COMPUTED_VALUE"""),"02-29-07-101")</f>
        <v>02-29-07-101</v>
      </c>
      <c r="B1007" s="36" t="str">
        <f>IFERROR(__xludf.DUMMYFUNCTION("""COMPUTED_VALUE"""),"")</f>
        <v/>
      </c>
      <c r="C1007" s="36" t="str">
        <f>IFERROR(__xludf.DUMMYFUNCTION("""COMPUTED_VALUE"""),"")</f>
        <v/>
      </c>
      <c r="D1007" s="36" t="str">
        <f>IFERROR(__xludf.DUMMYFUNCTION("""COMPUTED_VALUE"""),"")</f>
        <v/>
      </c>
      <c r="E1007" s="36" t="str">
        <f>IFERROR(__xludf.DUMMYFUNCTION("""COMPUTED_VALUE"""),"04-20-13-24")</f>
        <v>04-20-13-24</v>
      </c>
      <c r="F1007" s="36"/>
      <c r="G1007" s="36" t="str">
        <f>IFERROR(__xludf.DUMMYFUNCTION("""COMPUTED_VALUE"""),"Comandante Cabot y Anacleto Gil -S")</f>
        <v>Comandante Cabot y Anacleto Gil -S</v>
      </c>
      <c r="H1007" s="36" t="str">
        <f>IFERROR(__xludf.DUMMYFUNCTION("""COMPUTED_VALUE"""),"")</f>
        <v/>
      </c>
    </row>
    <row r="1008">
      <c r="A1008" s="36" t="str">
        <f>IFERROR(__xludf.DUMMYFUNCTION("""COMPUTED_VALUE"""),"02-29-07-102")</f>
        <v>02-29-07-102</v>
      </c>
      <c r="B1008" s="36" t="str">
        <f>IFERROR(__xludf.DUMMYFUNCTION("""COMPUTED_VALUE"""),"")</f>
        <v/>
      </c>
      <c r="C1008" s="36" t="str">
        <f>IFERROR(__xludf.DUMMYFUNCTION("""COMPUTED_VALUE"""),"")</f>
        <v/>
      </c>
      <c r="D1008" s="36" t="str">
        <f>IFERROR(__xludf.DUMMYFUNCTION("""COMPUTED_VALUE"""),"")</f>
        <v/>
      </c>
      <c r="E1008" s="36" t="str">
        <f>IFERROR(__xludf.DUMMYFUNCTION("""COMPUTED_VALUE"""),"01-66-13-22B")</f>
        <v>01-66-13-22B</v>
      </c>
      <c r="F1008" s="36"/>
      <c r="G1008" s="36" t="str">
        <f>IFERROR(__xludf.DUMMYFUNCTION("""COMPUTED_VALUE"""),"Comandante Cabot y Av. España")</f>
        <v>Comandante Cabot y Av. España</v>
      </c>
      <c r="H1008" s="36" t="str">
        <f>IFERROR(__xludf.DUMMYFUNCTION("""COMPUTED_VALUE"""),"")</f>
        <v/>
      </c>
    </row>
    <row r="1009">
      <c r="A1009" s="36" t="str">
        <f>IFERROR(__xludf.DUMMYFUNCTION("""COMPUTED_VALUE"""),"02-29-07-102A")</f>
        <v>02-29-07-102A</v>
      </c>
      <c r="B1009" s="36" t="str">
        <f>IFERROR(__xludf.DUMMYFUNCTION("""COMPUTED_VALUE"""),"")</f>
        <v/>
      </c>
      <c r="C1009" s="36" t="str">
        <f>IFERROR(__xludf.DUMMYFUNCTION("""COMPUTED_VALUE"""),"")</f>
        <v/>
      </c>
      <c r="D1009" s="36" t="str">
        <f>IFERROR(__xludf.DUMMYFUNCTION("""COMPUTED_VALUE"""),"")</f>
        <v/>
      </c>
      <c r="E1009" s="36" t="str">
        <f>IFERROR(__xludf.DUMMYFUNCTION("""COMPUTED_VALUE"""),"02-38-12-219")</f>
        <v>02-38-12-219</v>
      </c>
      <c r="F1009" s="36"/>
      <c r="G1009" s="36" t="str">
        <f>IFERROR(__xludf.DUMMYFUNCTION("""COMPUTED_VALUE"""),"Comandante Cabot y B. Rivadavia")</f>
        <v>Comandante Cabot y B. Rivadavia</v>
      </c>
      <c r="H1009" s="36" t="str">
        <f>IFERROR(__xludf.DUMMYFUNCTION("""COMPUTED_VALUE"""),"")</f>
        <v/>
      </c>
    </row>
    <row r="1010">
      <c r="A1010" s="36" t="str">
        <f>IFERROR(__xludf.DUMMYFUNCTION("""COMPUTED_VALUE"""),"02-29-07-103")</f>
        <v>02-29-07-103</v>
      </c>
      <c r="B1010" s="36" t="str">
        <f>IFERROR(__xludf.DUMMYFUNCTION("""COMPUTED_VALUE"""),"")</f>
        <v/>
      </c>
      <c r="C1010" s="36" t="str">
        <f>IFERROR(__xludf.DUMMYFUNCTION("""COMPUTED_VALUE"""),"")</f>
        <v/>
      </c>
      <c r="D1010" s="36" t="str">
        <f>IFERROR(__xludf.DUMMYFUNCTION("""COMPUTED_VALUE"""),"")</f>
        <v/>
      </c>
      <c r="E1010" s="36" t="str">
        <f>IFERROR(__xludf.DUMMYFUNCTION("""COMPUTED_VALUE"""),"02-38-12-220")</f>
        <v>02-38-12-220</v>
      </c>
      <c r="F1010" s="36"/>
      <c r="G1010" s="36" t="str">
        <f>IFERROR(__xludf.DUMMYFUNCTION("""COMPUTED_VALUE"""),"Comandante Cabot y Dr. Victoria")</f>
        <v>Comandante Cabot y Dr. Victoria</v>
      </c>
      <c r="H1010" s="36" t="str">
        <f>IFERROR(__xludf.DUMMYFUNCTION("""COMPUTED_VALUE"""),"")</f>
        <v/>
      </c>
    </row>
    <row r="1011">
      <c r="A1011" s="36" t="str">
        <f>IFERROR(__xludf.DUMMYFUNCTION("""COMPUTED_VALUE"""),"02-29-07-104")</f>
        <v>02-29-07-104</v>
      </c>
      <c r="B1011" s="36" t="str">
        <f>IFERROR(__xludf.DUMMYFUNCTION("""COMPUTED_VALUE"""),"")</f>
        <v/>
      </c>
      <c r="C1011" s="36" t="str">
        <f>IFERROR(__xludf.DUMMYFUNCTION("""COMPUTED_VALUE"""),"")</f>
        <v/>
      </c>
      <c r="D1011" s="36" t="str">
        <f>IFERROR(__xludf.DUMMYFUNCTION("""COMPUTED_VALUE"""),"")</f>
        <v/>
      </c>
      <c r="E1011" s="36" t="str">
        <f>IFERROR(__xludf.DUMMYFUNCTION("""COMPUTED_VALUE"""),"02-38-12-222")</f>
        <v>02-38-12-222</v>
      </c>
      <c r="F1011" s="36"/>
      <c r="G1011" s="36" t="str">
        <f>IFERROR(__xludf.DUMMYFUNCTION("""COMPUTED_VALUE"""),"Comandante Cabot y Esteban Echeverria")</f>
        <v>Comandante Cabot y Esteban Echeverria</v>
      </c>
      <c r="H1011" s="36" t="str">
        <f>IFERROR(__xludf.DUMMYFUNCTION("""COMPUTED_VALUE"""),"")</f>
        <v/>
      </c>
    </row>
    <row r="1012">
      <c r="A1012" s="36" t="str">
        <f>IFERROR(__xludf.DUMMYFUNCTION("""COMPUTED_VALUE"""),"02-29-07-105")</f>
        <v>02-29-07-105</v>
      </c>
      <c r="B1012" s="36" t="str">
        <f>IFERROR(__xludf.DUMMYFUNCTION("""COMPUTED_VALUE"""),"")</f>
        <v/>
      </c>
      <c r="C1012" s="36" t="str">
        <f>IFERROR(__xludf.DUMMYFUNCTION("""COMPUTED_VALUE"""),"")</f>
        <v/>
      </c>
      <c r="D1012" s="36" t="str">
        <f>IFERROR(__xludf.DUMMYFUNCTION("""COMPUTED_VALUE"""),"")</f>
        <v/>
      </c>
      <c r="E1012" s="36" t="str">
        <f>IFERROR(__xludf.DUMMYFUNCTION("""COMPUTED_VALUE"""),"01-60-13-22")</f>
        <v>01-60-13-22</v>
      </c>
      <c r="F1012" s="36"/>
      <c r="G1012" s="36" t="str">
        <f>IFERROR(__xludf.DUMMYFUNCTION("""COMPUTED_VALUE"""),"Comandante Cabot y Franklin")</f>
        <v>Comandante Cabot y Franklin</v>
      </c>
      <c r="H1012" s="36" t="str">
        <f>IFERROR(__xludf.DUMMYFUNCTION("""COMPUTED_VALUE"""),"")</f>
        <v/>
      </c>
    </row>
    <row r="1013">
      <c r="A1013" s="36" t="str">
        <f>IFERROR(__xludf.DUMMYFUNCTION("""COMPUTED_VALUE"""),"02-29-07-107")</f>
        <v>02-29-07-107</v>
      </c>
      <c r="B1013" s="36" t="str">
        <f>IFERROR(__xludf.DUMMYFUNCTION("""COMPUTED_VALUE"""),"")</f>
        <v/>
      </c>
      <c r="C1013" s="36" t="str">
        <f>IFERROR(__xludf.DUMMYFUNCTION("""COMPUTED_VALUE"""),"")</f>
        <v/>
      </c>
      <c r="D1013" s="36" t="str">
        <f>IFERROR(__xludf.DUMMYFUNCTION("""COMPUTED_VALUE"""),"")</f>
        <v/>
      </c>
      <c r="E1013" s="36" t="str">
        <f>IFERROR(__xludf.DUMMYFUNCTION("""COMPUTED_VALUE"""),"01-59-12-208")</f>
        <v>01-59-12-208</v>
      </c>
      <c r="F1013" s="36"/>
      <c r="G1013" s="36" t="str">
        <f>IFERROR(__xludf.DUMMYFUNCTION("""COMPUTED_VALUE"""),"Comandante Cabot y Hudson")</f>
        <v>Comandante Cabot y Hudson</v>
      </c>
      <c r="H1013" s="36" t="str">
        <f>IFERROR(__xludf.DUMMYFUNCTION("""COMPUTED_VALUE"""),"")</f>
        <v/>
      </c>
    </row>
    <row r="1014">
      <c r="A1014" s="36" t="str">
        <f>IFERROR(__xludf.DUMMYFUNCTION("""COMPUTED_VALUE"""),"02-29-07-107A")</f>
        <v>02-29-07-107A</v>
      </c>
      <c r="B1014" s="36" t="str">
        <f>IFERROR(__xludf.DUMMYFUNCTION("""COMPUTED_VALUE"""),"")</f>
        <v/>
      </c>
      <c r="C1014" s="36" t="str">
        <f>IFERROR(__xludf.DUMMYFUNCTION("""COMPUTED_VALUE"""),"")</f>
        <v/>
      </c>
      <c r="D1014" s="36" t="str">
        <f>IFERROR(__xludf.DUMMYFUNCTION("""COMPUTED_VALUE"""),"")</f>
        <v/>
      </c>
      <c r="E1014" s="36" t="str">
        <f>IFERROR(__xludf.DUMMYFUNCTION("""COMPUTED_VALUE"""),"02-38-12-222A")</f>
        <v>02-38-12-222A</v>
      </c>
      <c r="F1014" s="36"/>
      <c r="G1014" s="36" t="str">
        <f>IFERROR(__xludf.DUMMYFUNCTION("""COMPUTED_VALUE"""),"Comandante Cabot y Lateral Oeste")</f>
        <v>Comandante Cabot y Lateral Oeste</v>
      </c>
      <c r="H1014" s="36" t="str">
        <f>IFERROR(__xludf.DUMMYFUNCTION("""COMPUTED_VALUE"""),"")</f>
        <v/>
      </c>
    </row>
    <row r="1015">
      <c r="A1015" s="36" t="str">
        <f>IFERROR(__xludf.DUMMYFUNCTION("""COMPUTED_VALUE"""),"02-29-07-108")</f>
        <v>02-29-07-108</v>
      </c>
      <c r="B1015" s="36" t="str">
        <f>IFERROR(__xludf.DUMMYFUNCTION("""COMPUTED_VALUE"""),"")</f>
        <v/>
      </c>
      <c r="C1015" s="36" t="str">
        <f>IFERROR(__xludf.DUMMYFUNCTION("""COMPUTED_VALUE"""),"")</f>
        <v/>
      </c>
      <c r="D1015" s="36" t="str">
        <f>IFERROR(__xludf.DUMMYFUNCTION("""COMPUTED_VALUE"""),"")</f>
        <v/>
      </c>
      <c r="E1015" s="36" t="str">
        <f>IFERROR(__xludf.DUMMYFUNCTION("""COMPUTED_VALUE"""),"04-21-13-150")</f>
        <v>04-21-13-150</v>
      </c>
      <c r="F1015" s="36"/>
      <c r="G1015" s="36" t="str">
        <f>IFERROR(__xludf.DUMMYFUNCTION("""COMPUTED_VALUE"""),"Comandante Cabot y Lucero -S")</f>
        <v>Comandante Cabot y Lucero -S</v>
      </c>
      <c r="H1015" s="36" t="str">
        <f>IFERROR(__xludf.DUMMYFUNCTION("""COMPUTED_VALUE"""),"")</f>
        <v/>
      </c>
    </row>
    <row r="1016">
      <c r="A1016" s="36" t="str">
        <f>IFERROR(__xludf.DUMMYFUNCTION("""COMPUTED_VALUE"""),"02-29-07-108A")</f>
        <v>02-29-07-108A</v>
      </c>
      <c r="B1016" s="36" t="str">
        <f>IFERROR(__xludf.DUMMYFUNCTION("""COMPUTED_VALUE"""),"")</f>
        <v/>
      </c>
      <c r="C1016" s="36" t="str">
        <f>IFERROR(__xludf.DUMMYFUNCTION("""COMPUTED_VALUE"""),"")</f>
        <v/>
      </c>
      <c r="D1016" s="36" t="str">
        <f>IFERROR(__xludf.DUMMYFUNCTION("""COMPUTED_VALUE"""),"")</f>
        <v/>
      </c>
      <c r="E1016" s="36" t="str">
        <f>IFERROR(__xludf.DUMMYFUNCTION("""COMPUTED_VALUE"""),"01-66-13-151")</f>
        <v>01-66-13-151</v>
      </c>
      <c r="F1016" s="36"/>
      <c r="G1016" s="36" t="str">
        <f>IFERROR(__xludf.DUMMYFUNCTION("""COMPUTED_VALUE"""),"Comandante Cabot y Lucero N")</f>
        <v>Comandante Cabot y Lucero N</v>
      </c>
      <c r="H1016" s="36" t="str">
        <f>IFERROR(__xludf.DUMMYFUNCTION("""COMPUTED_VALUE"""),"")</f>
        <v/>
      </c>
    </row>
    <row r="1017">
      <c r="A1017" s="36" t="str">
        <f>IFERROR(__xludf.DUMMYFUNCTION("""COMPUTED_VALUE"""),"02-29-07-109")</f>
        <v>02-29-07-109</v>
      </c>
      <c r="B1017" s="36" t="str">
        <f>IFERROR(__xludf.DUMMYFUNCTION("""COMPUTED_VALUE"""),"")</f>
        <v/>
      </c>
      <c r="C1017" s="36" t="str">
        <f>IFERROR(__xludf.DUMMYFUNCTION("""COMPUTED_VALUE"""),"")</f>
        <v/>
      </c>
      <c r="D1017" s="36" t="str">
        <f>IFERROR(__xludf.DUMMYFUNCTION("""COMPUTED_VALUE"""),"")</f>
        <v/>
      </c>
      <c r="E1017" s="36" t="str">
        <f>IFERROR(__xludf.DUMMYFUNCTION("""COMPUTED_VALUE"""),"04-21-13-162")</f>
        <v>04-21-13-162</v>
      </c>
      <c r="F1017" s="36"/>
      <c r="G1017" s="36" t="str">
        <f>IFERROR(__xludf.DUMMYFUNCTION("""COMPUTED_VALUE"""),"Comandante Cabot y Mendoza")</f>
        <v>Comandante Cabot y Mendoza</v>
      </c>
      <c r="H1017" s="36" t="str">
        <f>IFERROR(__xludf.DUMMYFUNCTION("""COMPUTED_VALUE"""),"")</f>
        <v/>
      </c>
    </row>
    <row r="1018">
      <c r="A1018" s="36" t="str">
        <f>IFERROR(__xludf.DUMMYFUNCTION("""COMPUTED_VALUE"""),"02-29-07-109A")</f>
        <v>02-29-07-109A</v>
      </c>
      <c r="B1018" s="36" t="str">
        <f>IFERROR(__xludf.DUMMYFUNCTION("""COMPUTED_VALUE"""),"")</f>
        <v/>
      </c>
      <c r="C1018" s="36" t="str">
        <f>IFERROR(__xludf.DUMMYFUNCTION("""COMPUTED_VALUE"""),"")</f>
        <v/>
      </c>
      <c r="D1018" s="36" t="str">
        <f>IFERROR(__xludf.DUMMYFUNCTION("""COMPUTED_VALUE"""),"")</f>
        <v/>
      </c>
      <c r="E1018" s="36" t="str">
        <f>IFERROR(__xludf.DUMMYFUNCTION("""COMPUTED_VALUE"""),"04-20-13-23")</f>
        <v>04-20-13-23</v>
      </c>
      <c r="F1018" s="36"/>
      <c r="G1018" s="36" t="str">
        <f>IFERROR(__xludf.DUMMYFUNCTION("""COMPUTED_VALUE"""),"Comandante Cabot y Rua Guiraldes")</f>
        <v>Comandante Cabot y Rua Guiraldes</v>
      </c>
      <c r="H1018" s="36" t="str">
        <f>IFERROR(__xludf.DUMMYFUNCTION("""COMPUTED_VALUE"""),"")</f>
        <v/>
      </c>
    </row>
    <row r="1019">
      <c r="A1019" s="36" t="str">
        <f>IFERROR(__xludf.DUMMYFUNCTION("""COMPUTED_VALUE"""),"02-29-07-109B")</f>
        <v>02-29-07-109B</v>
      </c>
      <c r="B1019" s="36" t="str">
        <f>IFERROR(__xludf.DUMMYFUNCTION("""COMPUTED_VALUE"""),"")</f>
        <v/>
      </c>
      <c r="C1019" s="36" t="str">
        <f>IFERROR(__xludf.DUMMYFUNCTION("""COMPUTED_VALUE"""),"")</f>
        <v/>
      </c>
      <c r="D1019" s="36" t="str">
        <f>IFERROR(__xludf.DUMMYFUNCTION("""COMPUTED_VALUE"""),"")</f>
        <v/>
      </c>
      <c r="E1019" s="36" t="str">
        <f>IFERROR(__xludf.DUMMYFUNCTION("""COMPUTED_VALUE"""),"01-66-13-149")</f>
        <v>01-66-13-149</v>
      </c>
      <c r="F1019" s="36"/>
      <c r="G1019" s="36" t="str">
        <f>IFERROR(__xludf.DUMMYFUNCTION("""COMPUTED_VALUE"""),"Comandante Cabot y Salta -N")</f>
        <v>Comandante Cabot y Salta -N</v>
      </c>
      <c r="H1019" s="36" t="str">
        <f>IFERROR(__xludf.DUMMYFUNCTION("""COMPUTED_VALUE"""),"")</f>
        <v/>
      </c>
    </row>
    <row r="1020">
      <c r="A1020" s="36" t="str">
        <f>IFERROR(__xludf.DUMMYFUNCTION("""COMPUTED_VALUE"""),"02-29-07-109C")</f>
        <v>02-29-07-109C</v>
      </c>
      <c r="B1020" s="36" t="str">
        <f>IFERROR(__xludf.DUMMYFUNCTION("""COMPUTED_VALUE"""),"")</f>
        <v/>
      </c>
      <c r="C1020" s="36" t="str">
        <f>IFERROR(__xludf.DUMMYFUNCTION("""COMPUTED_VALUE"""),"")</f>
        <v/>
      </c>
      <c r="D1020" s="36" t="str">
        <f>IFERROR(__xludf.DUMMYFUNCTION("""COMPUTED_VALUE"""),"")</f>
        <v/>
      </c>
      <c r="E1020" s="36" t="str">
        <f>IFERROR(__xludf.DUMMYFUNCTION("""COMPUTED_VALUE"""),"04-21-13-148")</f>
        <v>04-21-13-148</v>
      </c>
      <c r="F1020" s="36"/>
      <c r="G1020" s="36" t="str">
        <f>IFERROR(__xludf.DUMMYFUNCTION("""COMPUTED_VALUE"""),"Comandante Cabot y Salta -S")</f>
        <v>Comandante Cabot y Salta -S</v>
      </c>
      <c r="H1020" s="36" t="str">
        <f>IFERROR(__xludf.DUMMYFUNCTION("""COMPUTED_VALUE"""),"")</f>
        <v/>
      </c>
    </row>
    <row r="1021">
      <c r="A1021" s="36" t="str">
        <f>IFERROR(__xludf.DUMMYFUNCTION("""COMPUTED_VALUE"""),"02-29-07-109D")</f>
        <v>02-29-07-109D</v>
      </c>
      <c r="B1021" s="36" t="str">
        <f>IFERROR(__xludf.DUMMYFUNCTION("""COMPUTED_VALUE"""),"")</f>
        <v/>
      </c>
      <c r="C1021" s="36" t="str">
        <f>IFERROR(__xludf.DUMMYFUNCTION("""COMPUTED_VALUE"""),"")</f>
        <v/>
      </c>
      <c r="D1021" s="36" t="str">
        <f>IFERROR(__xludf.DUMMYFUNCTION("""COMPUTED_VALUE"""),"")</f>
        <v/>
      </c>
      <c r="E1021" s="36" t="str">
        <f>IFERROR(__xludf.DUMMYFUNCTION("""COMPUTED_VALUE"""),"04-21-13-152")</f>
        <v>04-21-13-152</v>
      </c>
      <c r="F1021" s="36"/>
      <c r="G1021" s="36" t="str">
        <f>IFERROR(__xludf.DUMMYFUNCTION("""COMPUTED_VALUE"""),"Comandante Cabot y Sarmiento -S")</f>
        <v>Comandante Cabot y Sarmiento -S</v>
      </c>
      <c r="H1021" s="36" t="str">
        <f>IFERROR(__xludf.DUMMYFUNCTION("""COMPUTED_VALUE"""),"")</f>
        <v/>
      </c>
    </row>
    <row r="1022">
      <c r="A1022" s="36" t="str">
        <f>IFERROR(__xludf.DUMMYFUNCTION("""COMPUTED_VALUE"""),"02-29-07-109E")</f>
        <v>02-29-07-109E</v>
      </c>
      <c r="B1022" s="36" t="str">
        <f>IFERROR(__xludf.DUMMYFUNCTION("""COMPUTED_VALUE"""),"")</f>
        <v/>
      </c>
      <c r="C1022" s="36" t="str">
        <f>IFERROR(__xludf.DUMMYFUNCTION("""COMPUTED_VALUE"""),"")</f>
        <v/>
      </c>
      <c r="D1022" s="36" t="str">
        <f>IFERROR(__xludf.DUMMYFUNCTION("""COMPUTED_VALUE"""),"")</f>
        <v/>
      </c>
      <c r="E1022" s="36" t="str">
        <f>IFERROR(__xludf.DUMMYFUNCTION("""COMPUTED_VALUE"""),"01-66-13-153")</f>
        <v>01-66-13-153</v>
      </c>
      <c r="F1022" s="36"/>
      <c r="G1022" s="36" t="str">
        <f>IFERROR(__xludf.DUMMYFUNCTION("""COMPUTED_VALUE"""),"Comandante Cabot y Sarmiento N")</f>
        <v>Comandante Cabot y Sarmiento N</v>
      </c>
      <c r="H1022" s="36" t="str">
        <f>IFERROR(__xludf.DUMMYFUNCTION("""COMPUTED_VALUE"""),"")</f>
        <v/>
      </c>
    </row>
    <row r="1023">
      <c r="A1023" s="36" t="str">
        <f>IFERROR(__xludf.DUMMYFUNCTION("""COMPUTED_VALUE"""),"02-29-07-109F")</f>
        <v>02-29-07-109F</v>
      </c>
      <c r="B1023" s="36" t="str">
        <f>IFERROR(__xludf.DUMMYFUNCTION("""COMPUTED_VALUE"""),"")</f>
        <v/>
      </c>
      <c r="C1023" s="36" t="str">
        <f>IFERROR(__xludf.DUMMYFUNCTION("""COMPUTED_VALUE"""),"")</f>
        <v/>
      </c>
      <c r="D1023" s="36" t="str">
        <f>IFERROR(__xludf.DUMMYFUNCTION("""COMPUTED_VALUE"""),"")</f>
        <v/>
      </c>
      <c r="E1023" s="36" t="str">
        <f>IFERROR(__xludf.DUMMYFUNCTION("""COMPUTED_VALUE"""),"02-38-12-224")</f>
        <v>02-38-12-224</v>
      </c>
      <c r="F1023" s="36"/>
      <c r="G1023" s="36" t="str">
        <f>IFERROR(__xludf.DUMMYFUNCTION("""COMPUTED_VALUE"""),"Comandante Cabot y Sgta. Acosta")</f>
        <v>Comandante Cabot y Sgta. Acosta</v>
      </c>
      <c r="H1023" s="36" t="str">
        <f>IFERROR(__xludf.DUMMYFUNCTION("""COMPUTED_VALUE"""),"")</f>
        <v/>
      </c>
    </row>
    <row r="1024">
      <c r="A1024" s="36" t="str">
        <f>IFERROR(__xludf.DUMMYFUNCTION("""COMPUTED_VALUE"""),"02-29-07-109G")</f>
        <v>02-29-07-109G</v>
      </c>
      <c r="B1024" s="36" t="str">
        <f>IFERROR(__xludf.DUMMYFUNCTION("""COMPUTED_VALUE"""),"")</f>
        <v/>
      </c>
      <c r="C1024" s="36" t="str">
        <f>IFERROR(__xludf.DUMMYFUNCTION("""COMPUTED_VALUE"""),"")</f>
        <v/>
      </c>
      <c r="D1024" s="36" t="str">
        <f>IFERROR(__xludf.DUMMYFUNCTION("""COMPUTED_VALUE"""),"")</f>
        <v/>
      </c>
      <c r="E1024" s="36" t="str">
        <f>IFERROR(__xludf.DUMMYFUNCTION("""COMPUTED_VALUE"""),"04-20-12-207")</f>
        <v>04-20-12-207</v>
      </c>
      <c r="F1024" s="36"/>
      <c r="G1024" s="36" t="str">
        <f>IFERROR(__xludf.DUMMYFUNCTION("""COMPUTED_VALUE"""),"Comandante Cabot y Urquiza")</f>
        <v>Comandante Cabot y Urquiza</v>
      </c>
      <c r="H1024" s="36" t="str">
        <f>IFERROR(__xludf.DUMMYFUNCTION("""COMPUTED_VALUE"""),"")</f>
        <v/>
      </c>
    </row>
    <row r="1025">
      <c r="A1025" s="36" t="str">
        <f>IFERROR(__xludf.DUMMYFUNCTION("""COMPUTED_VALUE"""),"02-29-07-110")</f>
        <v>02-29-07-110</v>
      </c>
      <c r="B1025" s="36" t="str">
        <f>IFERROR(__xludf.DUMMYFUNCTION("""COMPUTED_VALUE"""),"")</f>
        <v/>
      </c>
      <c r="C1025" s="36" t="str">
        <f>IFERROR(__xludf.DUMMYFUNCTION("""COMPUTED_VALUE"""),"")</f>
        <v/>
      </c>
      <c r="D1025" s="36" t="str">
        <f>IFERROR(__xludf.DUMMYFUNCTION("""COMPUTED_VALUE"""),"")</f>
        <v/>
      </c>
      <c r="E1025" s="36" t="str">
        <f>IFERROR(__xludf.DUMMYFUNCTION("""COMPUTED_VALUE"""),"02-46-11-17A")</f>
        <v>02-46-11-17A</v>
      </c>
      <c r="F1025" s="36"/>
      <c r="G1025" s="36" t="str">
        <f>IFERROR(__xludf.DUMMYFUNCTION("""COMPUTED_VALUE"""),"Comercio Este")</f>
        <v>Comercio Este</v>
      </c>
      <c r="H1025" s="36" t="str">
        <f>IFERROR(__xludf.DUMMYFUNCTION("""COMPUTED_VALUE"""),"")</f>
        <v/>
      </c>
    </row>
    <row r="1026">
      <c r="A1026" s="36" t="str">
        <f>IFERROR(__xludf.DUMMYFUNCTION("""COMPUTED_VALUE"""),"02-29-07-111")</f>
        <v>02-29-07-111</v>
      </c>
      <c r="B1026" s="36" t="str">
        <f>IFERROR(__xludf.DUMMYFUNCTION("""COMPUTED_VALUE"""),"")</f>
        <v/>
      </c>
      <c r="C1026" s="36" t="str">
        <f>IFERROR(__xludf.DUMMYFUNCTION("""COMPUTED_VALUE"""),"")</f>
        <v/>
      </c>
      <c r="D1026" s="36" t="str">
        <f>IFERROR(__xludf.DUMMYFUNCTION("""COMPUTED_VALUE"""),"")</f>
        <v/>
      </c>
      <c r="E1026" s="36" t="str">
        <f>IFERROR(__xludf.DUMMYFUNCTION("""COMPUTED_VALUE"""),"02-46-11-11A")</f>
        <v>02-46-11-11A</v>
      </c>
      <c r="F1026" s="36"/>
      <c r="G1026" s="36" t="str">
        <f>IFERROR(__xludf.DUMMYFUNCTION("""COMPUTED_VALUE"""),"Comercio Este y Morón")</f>
        <v>Comercio Este y Morón</v>
      </c>
      <c r="H1026" s="36" t="str">
        <f>IFERROR(__xludf.DUMMYFUNCTION("""COMPUTED_VALUE"""),"")</f>
        <v/>
      </c>
    </row>
    <row r="1027">
      <c r="A1027" s="36" t="str">
        <f>IFERROR(__xludf.DUMMYFUNCTION("""COMPUTED_VALUE"""),"02-29-07-112")</f>
        <v>02-29-07-112</v>
      </c>
      <c r="B1027" s="36" t="str">
        <f>IFERROR(__xludf.DUMMYFUNCTION("""COMPUTED_VALUE"""),"")</f>
        <v/>
      </c>
      <c r="C1027" s="36" t="str">
        <f>IFERROR(__xludf.DUMMYFUNCTION("""COMPUTED_VALUE"""),"")</f>
        <v/>
      </c>
      <c r="D1027" s="36" t="str">
        <f>IFERROR(__xludf.DUMMYFUNCTION("""COMPUTED_VALUE"""),"")</f>
        <v/>
      </c>
      <c r="E1027" s="36" t="str">
        <f>IFERROR(__xludf.DUMMYFUNCTION("""COMPUTED_VALUE"""),"02-46-11-17")</f>
        <v>02-46-11-17</v>
      </c>
      <c r="F1027" s="36"/>
      <c r="G1027" s="36" t="str">
        <f>IFERROR(__xludf.DUMMYFUNCTION("""COMPUTED_VALUE"""),"Comercio Oeste")</f>
        <v>Comercio Oeste</v>
      </c>
      <c r="H1027" s="36" t="str">
        <f>IFERROR(__xludf.DUMMYFUNCTION("""COMPUTED_VALUE"""),"")</f>
        <v/>
      </c>
    </row>
    <row r="1028">
      <c r="A1028" s="36" t="str">
        <f>IFERROR(__xludf.DUMMYFUNCTION("""COMPUTED_VALUE"""),"02-29-07-112A")</f>
        <v>02-29-07-112A</v>
      </c>
      <c r="B1028" s="36" t="str">
        <f>IFERROR(__xludf.DUMMYFUNCTION("""COMPUTED_VALUE"""),"")</f>
        <v/>
      </c>
      <c r="C1028" s="36" t="str">
        <f>IFERROR(__xludf.DUMMYFUNCTION("""COMPUTED_VALUE"""),"")</f>
        <v/>
      </c>
      <c r="D1028" s="36" t="str">
        <f>IFERROR(__xludf.DUMMYFUNCTION("""COMPUTED_VALUE"""),"")</f>
        <v/>
      </c>
      <c r="E1028" s="36" t="str">
        <f>IFERROR(__xludf.DUMMYFUNCTION("""COMPUTED_VALUE"""),"02-46-11-10B")</f>
        <v>02-46-11-10B</v>
      </c>
      <c r="F1028" s="36"/>
      <c r="G1028" s="36" t="str">
        <f>IFERROR(__xludf.DUMMYFUNCTION("""COMPUTED_VALUE"""),"Comercio y 9 de Julio")</f>
        <v>Comercio y 9 de Julio</v>
      </c>
      <c r="H1028" s="36" t="str">
        <f>IFERROR(__xludf.DUMMYFUNCTION("""COMPUTED_VALUE"""),"")</f>
        <v/>
      </c>
    </row>
    <row r="1029">
      <c r="A1029" s="36" t="str">
        <f>IFERROR(__xludf.DUMMYFUNCTION("""COMPUTED_VALUE"""),"02-29-07-115")</f>
        <v>02-29-07-115</v>
      </c>
      <c r="B1029" s="36" t="str">
        <f>IFERROR(__xludf.DUMMYFUNCTION("""COMPUTED_VALUE"""),"")</f>
        <v/>
      </c>
      <c r="C1029" s="36" t="str">
        <f>IFERROR(__xludf.DUMMYFUNCTION("""COMPUTED_VALUE"""),"")</f>
        <v/>
      </c>
      <c r="D1029" s="36" t="str">
        <f>IFERROR(__xludf.DUMMYFUNCTION("""COMPUTED_VALUE"""),"")</f>
        <v/>
      </c>
      <c r="E1029" s="36" t="str">
        <f>IFERROR(__xludf.DUMMYFUNCTION("""COMPUTED_VALUE"""),"02-42-11-11")</f>
        <v>02-42-11-11</v>
      </c>
      <c r="F1029" s="36"/>
      <c r="G1029" s="36" t="str">
        <f>IFERROR(__xludf.DUMMYFUNCTION("""COMPUTED_VALUE"""),"Comercio y Calle Nueva")</f>
        <v>Comercio y Calle Nueva</v>
      </c>
      <c r="H1029" s="36" t="str">
        <f>IFERROR(__xludf.DUMMYFUNCTION("""COMPUTED_VALUE"""),"")</f>
        <v/>
      </c>
    </row>
    <row r="1030">
      <c r="A1030" s="36" t="str">
        <f>IFERROR(__xludf.DUMMYFUNCTION("""COMPUTED_VALUE"""),"02-29-07-117")</f>
        <v>02-29-07-117</v>
      </c>
      <c r="B1030" s="36" t="str">
        <f>IFERROR(__xludf.DUMMYFUNCTION("""COMPUTED_VALUE"""),"")</f>
        <v/>
      </c>
      <c r="C1030" s="36" t="str">
        <f>IFERROR(__xludf.DUMMYFUNCTION("""COMPUTED_VALUE"""),"")</f>
        <v/>
      </c>
      <c r="D1030" s="36" t="str">
        <f>IFERROR(__xludf.DUMMYFUNCTION("""COMPUTED_VALUE"""),"")</f>
        <v/>
      </c>
      <c r="E1030" s="36" t="str">
        <f>IFERROR(__xludf.DUMMYFUNCTION("""COMPUTED_VALUE"""),"02-42-11-10A")</f>
        <v>02-42-11-10A</v>
      </c>
      <c r="F1030" s="36"/>
      <c r="G1030" s="36" t="str">
        <f>IFERROR(__xludf.DUMMYFUNCTION("""COMPUTED_VALUE"""),"Comercio y J. I. de la Roza")</f>
        <v>Comercio y J. I. de la Roza</v>
      </c>
      <c r="H1030" s="36" t="str">
        <f>IFERROR(__xludf.DUMMYFUNCTION("""COMPUTED_VALUE"""),"")</f>
        <v/>
      </c>
    </row>
    <row r="1031">
      <c r="A1031" s="36" t="str">
        <f>IFERROR(__xludf.DUMMYFUNCTION("""COMPUTED_VALUE"""),"02-29-07-118")</f>
        <v>02-29-07-118</v>
      </c>
      <c r="B1031" s="36" t="str">
        <f>IFERROR(__xludf.DUMMYFUNCTION("""COMPUTED_VALUE"""),"")</f>
        <v/>
      </c>
      <c r="C1031" s="36" t="str">
        <f>IFERROR(__xludf.DUMMYFUNCTION("""COMPUTED_VALUE"""),"")</f>
        <v/>
      </c>
      <c r="D1031" s="36" t="str">
        <f>IFERROR(__xludf.DUMMYFUNCTION("""COMPUTED_VALUE"""),"")</f>
        <v/>
      </c>
      <c r="E1031" s="36" t="str">
        <f>IFERROR(__xludf.DUMMYFUNCTION("""COMPUTED_VALUE"""),"03-48-09-50")</f>
        <v>03-48-09-50</v>
      </c>
      <c r="F1031" s="36"/>
      <c r="G1031" s="36" t="str">
        <f>IFERROR(__xludf.DUMMYFUNCTION("""COMPUTED_VALUE"""),"Comisaría 5° Santa Lucía")</f>
        <v>Comisaría 5° Santa Lucía</v>
      </c>
      <c r="H1031" s="36" t="str">
        <f>IFERROR(__xludf.DUMMYFUNCTION("""COMPUTED_VALUE"""),"")</f>
        <v/>
      </c>
    </row>
    <row r="1032">
      <c r="A1032" s="36" t="str">
        <f>IFERROR(__xludf.DUMMYFUNCTION("""COMPUTED_VALUE"""),"02-29-07-119")</f>
        <v>02-29-07-119</v>
      </c>
      <c r="B1032" s="36" t="str">
        <f>IFERROR(__xludf.DUMMYFUNCTION("""COMPUTED_VALUE"""),"")</f>
        <v/>
      </c>
      <c r="C1032" s="36" t="str">
        <f>IFERROR(__xludf.DUMMYFUNCTION("""COMPUTED_VALUE"""),"")</f>
        <v/>
      </c>
      <c r="D1032" s="36" t="str">
        <f>IFERROR(__xludf.DUMMYFUNCTION("""COMPUTED_VALUE"""),"")</f>
        <v/>
      </c>
      <c r="E1032" s="36" t="str">
        <f>IFERROR(__xludf.DUMMYFUNCTION("""COMPUTED_VALUE"""),"01-34-07-149")</f>
        <v>01-34-07-149</v>
      </c>
      <c r="F1032" s="36"/>
      <c r="G1032" s="36" t="str">
        <f>IFERROR(__xludf.DUMMYFUNCTION("""COMPUTED_VALUE"""),"Comisaría Cuarta")</f>
        <v>Comisaría Cuarta</v>
      </c>
      <c r="H1032" s="36" t="str">
        <f>IFERROR(__xludf.DUMMYFUNCTION("""COMPUTED_VALUE"""),"")</f>
        <v/>
      </c>
    </row>
    <row r="1033">
      <c r="A1033" s="36" t="str">
        <f>IFERROR(__xludf.DUMMYFUNCTION("""COMPUTED_VALUE"""),"02-29-07-186")</f>
        <v>02-29-07-186</v>
      </c>
      <c r="B1033" s="36" t="str">
        <f>IFERROR(__xludf.DUMMYFUNCTION("""COMPUTED_VALUE"""),"")</f>
        <v/>
      </c>
      <c r="C1033" s="36" t="str">
        <f>IFERROR(__xludf.DUMMYFUNCTION("""COMPUTED_VALUE"""),"")</f>
        <v/>
      </c>
      <c r="D1033" s="36" t="str">
        <f>IFERROR(__xludf.DUMMYFUNCTION("""COMPUTED_VALUE"""),"")</f>
        <v/>
      </c>
      <c r="E1033" s="36" t="str">
        <f>IFERROR(__xludf.DUMMYFUNCTION("""COMPUTED_VALUE"""),"04-42-11-59")</f>
        <v>04-42-11-59</v>
      </c>
      <c r="F1033" s="36"/>
      <c r="G1033" s="36" t="str">
        <f>IFERROR(__xludf.DUMMYFUNCTION("""COMPUTED_VALUE"""),"Comisaría n°35 Este")</f>
        <v>Comisaría n°35 Este</v>
      </c>
      <c r="H1033" s="36" t="str">
        <f>IFERROR(__xludf.DUMMYFUNCTION("""COMPUTED_VALUE"""),"")</f>
        <v/>
      </c>
    </row>
    <row r="1034">
      <c r="A1034" s="36" t="str">
        <f>IFERROR(__xludf.DUMMYFUNCTION("""COMPUTED_VALUE"""),"02-29-07-188A")</f>
        <v>02-29-07-188A</v>
      </c>
      <c r="B1034" s="36" t="str">
        <f>IFERROR(__xludf.DUMMYFUNCTION("""COMPUTED_VALUE"""),"")</f>
        <v/>
      </c>
      <c r="C1034" s="36" t="str">
        <f>IFERROR(__xludf.DUMMYFUNCTION("""COMPUTED_VALUE"""),"")</f>
        <v/>
      </c>
      <c r="D1034" s="36" t="str">
        <f>IFERROR(__xludf.DUMMYFUNCTION("""COMPUTED_VALUE"""),"")</f>
        <v/>
      </c>
      <c r="E1034" s="36" t="str">
        <f>IFERROR(__xludf.DUMMYFUNCTION("""COMPUTED_VALUE"""),"04-42-11-59A")</f>
        <v>04-42-11-59A</v>
      </c>
      <c r="F1034" s="36"/>
      <c r="G1034" s="36" t="str">
        <f>IFERROR(__xludf.DUMMYFUNCTION("""COMPUTED_VALUE"""),"Comisaría n°35 Oeste")</f>
        <v>Comisaría n°35 Oeste</v>
      </c>
      <c r="H1034" s="36" t="str">
        <f>IFERROR(__xludf.DUMMYFUNCTION("""COMPUTED_VALUE"""),"")</f>
        <v/>
      </c>
    </row>
    <row r="1035">
      <c r="A1035" s="36" t="str">
        <f>IFERROR(__xludf.DUMMYFUNCTION("""COMPUTED_VALUE"""),"02-29-07-189A")</f>
        <v>02-29-07-189A</v>
      </c>
      <c r="B1035" s="36" t="str">
        <f>IFERROR(__xludf.DUMMYFUNCTION("""COMPUTED_VALUE"""),"")</f>
        <v/>
      </c>
      <c r="C1035" s="36" t="str">
        <f>IFERROR(__xludf.DUMMYFUNCTION("""COMPUTED_VALUE"""),"")</f>
        <v/>
      </c>
      <c r="D1035" s="36" t="str">
        <f>IFERROR(__xludf.DUMMYFUNCTION("""COMPUTED_VALUE"""),"")</f>
        <v/>
      </c>
      <c r="E1035" s="36" t="str">
        <f>IFERROR(__xludf.DUMMYFUNCTION("""COMPUTED_VALUE"""),"04-35-12-15C")</f>
        <v>04-35-12-15C</v>
      </c>
      <c r="F1035" s="36"/>
      <c r="G1035" s="36" t="str">
        <f>IFERROR(__xludf.DUMMYFUNCTION("""COMPUTED_VALUE"""),"Comisaría Nº 25")</f>
        <v>Comisaría Nº 25</v>
      </c>
      <c r="H1035" s="36" t="str">
        <f>IFERROR(__xludf.DUMMYFUNCTION("""COMPUTED_VALUE"""),"")</f>
        <v/>
      </c>
    </row>
    <row r="1036">
      <c r="A1036" s="36" t="str">
        <f>IFERROR(__xludf.DUMMYFUNCTION("""COMPUTED_VALUE"""),"02-29-07-191A")</f>
        <v>02-29-07-191A</v>
      </c>
      <c r="B1036" s="36" t="str">
        <f>IFERROR(__xludf.DUMMYFUNCTION("""COMPUTED_VALUE"""),"")</f>
        <v/>
      </c>
      <c r="C1036" s="36" t="str">
        <f>IFERROR(__xludf.DUMMYFUNCTION("""COMPUTED_VALUE"""),"")</f>
        <v/>
      </c>
      <c r="D1036" s="36" t="str">
        <f>IFERROR(__xludf.DUMMYFUNCTION("""COMPUTED_VALUE"""),"")</f>
        <v/>
      </c>
      <c r="E1036" s="36" t="str">
        <f>IFERROR(__xludf.DUMMYFUNCTION("""COMPUTED_VALUE"""),"08-22-03-81A")</f>
        <v>08-22-03-81A</v>
      </c>
      <c r="F1036" s="36"/>
      <c r="G1036" s="36" t="str">
        <f>IFERROR(__xludf.DUMMYFUNCTION("""COMPUTED_VALUE"""),"Concordia y Centenario")</f>
        <v>Concordia y Centenario</v>
      </c>
      <c r="H1036" s="36" t="str">
        <f>IFERROR(__xludf.DUMMYFUNCTION("""COMPUTED_VALUE"""),"")</f>
        <v/>
      </c>
    </row>
    <row r="1037">
      <c r="A1037" s="36" t="str">
        <f>IFERROR(__xludf.DUMMYFUNCTION("""COMPUTED_VALUE"""),"02-29-07-192A")</f>
        <v>02-29-07-192A</v>
      </c>
      <c r="B1037" s="36" t="str">
        <f>IFERROR(__xludf.DUMMYFUNCTION("""COMPUTED_VALUE"""),"")</f>
        <v/>
      </c>
      <c r="C1037" s="36" t="str">
        <f>IFERROR(__xludf.DUMMYFUNCTION("""COMPUTED_VALUE"""),"")</f>
        <v/>
      </c>
      <c r="D1037" s="36" t="str">
        <f>IFERROR(__xludf.DUMMYFUNCTION("""COMPUTED_VALUE"""),"")</f>
        <v/>
      </c>
      <c r="E1037" s="36" t="str">
        <f>IFERROR(__xludf.DUMMYFUNCTION("""COMPUTED_VALUE"""),"03-33-10-128B")</f>
        <v>03-33-10-128B</v>
      </c>
      <c r="F1037" s="36"/>
      <c r="G1037" s="36" t="str">
        <f>IFERROR(__xludf.DUMMYFUNCTION("""COMPUTED_VALUE"""),"Coop. de Vivienda 12 de Octubre Norte")</f>
        <v>Coop. de Vivienda 12 de Octubre Norte</v>
      </c>
      <c r="H1037" s="36" t="str">
        <f>IFERROR(__xludf.DUMMYFUNCTION("""COMPUTED_VALUE"""),"")</f>
        <v/>
      </c>
    </row>
    <row r="1038">
      <c r="A1038" s="36" t="str">
        <f>IFERROR(__xludf.DUMMYFUNCTION("""COMPUTED_VALUE"""),"02-29-07-91")</f>
        <v>02-29-07-91</v>
      </c>
      <c r="B1038" s="36" t="str">
        <f>IFERROR(__xludf.DUMMYFUNCTION("""COMPUTED_VALUE"""),"")</f>
        <v/>
      </c>
      <c r="C1038" s="36" t="str">
        <f>IFERROR(__xludf.DUMMYFUNCTION("""COMPUTED_VALUE"""),"")</f>
        <v/>
      </c>
      <c r="D1038" s="36" t="str">
        <f>IFERROR(__xludf.DUMMYFUNCTION("""COMPUTED_VALUE"""),"")</f>
        <v/>
      </c>
      <c r="E1038" s="36" t="str">
        <f>IFERROR(__xludf.DUMMYFUNCTION("""COMPUTED_VALUE"""),"03-47-10-128A")</f>
        <v>03-47-10-128A</v>
      </c>
      <c r="F1038" s="36"/>
      <c r="G1038" s="36" t="str">
        <f>IFERROR(__xludf.DUMMYFUNCTION("""COMPUTED_VALUE"""),"Coop. de Vivienda 12 de Octubre Sur")</f>
        <v>Coop. de Vivienda 12 de Octubre Sur</v>
      </c>
      <c r="H1038" s="36" t="str">
        <f>IFERROR(__xludf.DUMMYFUNCTION("""COMPUTED_VALUE"""),"")</f>
        <v/>
      </c>
    </row>
    <row r="1039">
      <c r="A1039" s="36" t="str">
        <f>IFERROR(__xludf.DUMMYFUNCTION("""COMPUTED_VALUE"""),"02-29-07-93A")</f>
        <v>02-29-07-93A</v>
      </c>
      <c r="B1039" s="36" t="str">
        <f>IFERROR(__xludf.DUMMYFUNCTION("""COMPUTED_VALUE"""),"")</f>
        <v/>
      </c>
      <c r="C1039" s="36" t="str">
        <f>IFERROR(__xludf.DUMMYFUNCTION("""COMPUTED_VALUE"""),"")</f>
        <v/>
      </c>
      <c r="D1039" s="36" t="str">
        <f>IFERROR(__xludf.DUMMYFUNCTION("""COMPUTED_VALUE"""),"")</f>
        <v/>
      </c>
      <c r="E1039" s="36" t="str">
        <f>IFERROR(__xludf.DUMMYFUNCTION("""COMPUTED_VALUE"""),"03-20-09-214")</f>
        <v>03-20-09-214</v>
      </c>
      <c r="F1039" s="36"/>
      <c r="G1039" s="36" t="str">
        <f>IFERROR(__xludf.DUMMYFUNCTION("""COMPUTED_VALUE"""),"Cordillera de los Andes -N y J. C. Cuello")</f>
        <v>Cordillera de los Andes -N y J. C. Cuello</v>
      </c>
      <c r="H1039" s="36" t="str">
        <f>IFERROR(__xludf.DUMMYFUNCTION("""COMPUTED_VALUE"""),"")</f>
        <v/>
      </c>
    </row>
    <row r="1040">
      <c r="A1040" s="36" t="str">
        <f>IFERROR(__xludf.DUMMYFUNCTION("""COMPUTED_VALUE"""),"02-29-07-94")</f>
        <v>02-29-07-94</v>
      </c>
      <c r="B1040" s="36" t="str">
        <f>IFERROR(__xludf.DUMMYFUNCTION("""COMPUTED_VALUE"""),"")</f>
        <v/>
      </c>
      <c r="C1040" s="36" t="str">
        <f>IFERROR(__xludf.DUMMYFUNCTION("""COMPUTED_VALUE"""),"")</f>
        <v/>
      </c>
      <c r="D1040" s="36" t="str">
        <f>IFERROR(__xludf.DUMMYFUNCTION("""COMPUTED_VALUE"""),"")</f>
        <v/>
      </c>
      <c r="E1040" s="36" t="str">
        <f>IFERROR(__xludf.DUMMYFUNCTION("""COMPUTED_VALUE"""),"03-22-10-75A")</f>
        <v>03-22-10-75A</v>
      </c>
      <c r="F1040" s="36"/>
      <c r="G1040" s="36" t="str">
        <f>IFERROR(__xludf.DUMMYFUNCTION("""COMPUTED_VALUE"""),"Cordillera de los Andes casi Berón Norte")</f>
        <v>Cordillera de los Andes casi Berón Norte</v>
      </c>
      <c r="H1040" s="36" t="str">
        <f>IFERROR(__xludf.DUMMYFUNCTION("""COMPUTED_VALUE"""),"")</f>
        <v/>
      </c>
    </row>
    <row r="1041">
      <c r="A1041" s="36" t="str">
        <f>IFERROR(__xludf.DUMMYFUNCTION("""COMPUTED_VALUE"""),"02-29-07-95")</f>
        <v>02-29-07-95</v>
      </c>
      <c r="B1041" s="36" t="str">
        <f>IFERROR(__xludf.DUMMYFUNCTION("""COMPUTED_VALUE"""),"")</f>
        <v/>
      </c>
      <c r="C1041" s="36" t="str">
        <f>IFERROR(__xludf.DUMMYFUNCTION("""COMPUTED_VALUE"""),"")</f>
        <v/>
      </c>
      <c r="D1041" s="36" t="str">
        <f>IFERROR(__xludf.DUMMYFUNCTION("""COMPUTED_VALUE"""),"")</f>
        <v/>
      </c>
      <c r="E1041" s="36" t="str">
        <f>IFERROR(__xludf.DUMMYFUNCTION("""COMPUTED_VALUE"""),"03-22-10-75B")</f>
        <v>03-22-10-75B</v>
      </c>
      <c r="F1041" s="36"/>
      <c r="G1041" s="36" t="str">
        <f>IFERROR(__xludf.DUMMYFUNCTION("""COMPUTED_VALUE"""),"Cordillera de los Andes casi Berón Sur")</f>
        <v>Cordillera de los Andes casi Berón Sur</v>
      </c>
      <c r="H1041" s="36" t="str">
        <f>IFERROR(__xludf.DUMMYFUNCTION("""COMPUTED_VALUE"""),"")</f>
        <v/>
      </c>
    </row>
    <row r="1042">
      <c r="A1042" s="36" t="str">
        <f>IFERROR(__xludf.DUMMYFUNCTION("""COMPUTED_VALUE"""),"02-29-07-96")</f>
        <v>02-29-07-96</v>
      </c>
      <c r="B1042" s="36" t="str">
        <f>IFERROR(__xludf.DUMMYFUNCTION("""COMPUTED_VALUE"""),"")</f>
        <v/>
      </c>
      <c r="C1042" s="36" t="str">
        <f>IFERROR(__xludf.DUMMYFUNCTION("""COMPUTED_VALUE"""),"")</f>
        <v/>
      </c>
      <c r="D1042" s="36" t="str">
        <f>IFERROR(__xludf.DUMMYFUNCTION("""COMPUTED_VALUE"""),"")</f>
        <v/>
      </c>
      <c r="E1042" s="36" t="str">
        <f>IFERROR(__xludf.DUMMYFUNCTION("""COMPUTED_VALUE"""),"03-20-09-218")</f>
        <v>03-20-09-218</v>
      </c>
      <c r="F1042" s="36"/>
      <c r="G1042" s="36" t="str">
        <f>IFERROR(__xludf.DUMMYFUNCTION("""COMPUTED_VALUE"""),"Cordillera de los Andes Chacabuco")</f>
        <v>Cordillera de los Andes Chacabuco</v>
      </c>
      <c r="H1042" s="36" t="str">
        <f>IFERROR(__xludf.DUMMYFUNCTION("""COMPUTED_VALUE"""),"")</f>
        <v/>
      </c>
    </row>
    <row r="1043">
      <c r="A1043" s="36" t="str">
        <f>IFERROR(__xludf.DUMMYFUNCTION("""COMPUTED_VALUE"""),"02-29-07-97")</f>
        <v>02-29-07-97</v>
      </c>
      <c r="B1043" s="36" t="str">
        <f>IFERROR(__xludf.DUMMYFUNCTION("""COMPUTED_VALUE"""),"")</f>
        <v/>
      </c>
      <c r="C1043" s="36" t="str">
        <f>IFERROR(__xludf.DUMMYFUNCTION("""COMPUTED_VALUE"""),"")</f>
        <v/>
      </c>
      <c r="D1043" s="36" t="str">
        <f>IFERROR(__xludf.DUMMYFUNCTION("""COMPUTED_VALUE"""),"")</f>
        <v/>
      </c>
      <c r="E1043" s="36" t="str">
        <f>IFERROR(__xludf.DUMMYFUNCTION("""COMPUTED_VALUE"""),"03-22-10-73A")</f>
        <v>03-22-10-73A</v>
      </c>
      <c r="F1043" s="36"/>
      <c r="G1043" s="36" t="str">
        <f>IFERROR(__xludf.DUMMYFUNCTION("""COMPUTED_VALUE"""),"Cordillera de los Andes y Angualasto")</f>
        <v>Cordillera de los Andes y Angualasto</v>
      </c>
      <c r="H1043" s="36" t="str">
        <f>IFERROR(__xludf.DUMMYFUNCTION("""COMPUTED_VALUE"""),"")</f>
        <v/>
      </c>
    </row>
    <row r="1044">
      <c r="A1044" s="36" t="str">
        <f>IFERROR(__xludf.DUMMYFUNCTION("""COMPUTED_VALUE"""),"02-29-07-98")</f>
        <v>02-29-07-98</v>
      </c>
      <c r="B1044" s="36" t="str">
        <f>IFERROR(__xludf.DUMMYFUNCTION("""COMPUTED_VALUE"""),"")</f>
        <v/>
      </c>
      <c r="C1044" s="36" t="str">
        <f>IFERROR(__xludf.DUMMYFUNCTION("""COMPUTED_VALUE"""),"")</f>
        <v/>
      </c>
      <c r="D1044" s="36" t="str">
        <f>IFERROR(__xludf.DUMMYFUNCTION("""COMPUTED_VALUE"""),"")</f>
        <v/>
      </c>
      <c r="E1044" s="36" t="str">
        <f>IFERROR(__xludf.DUMMYFUNCTION("""COMPUTED_VALUE"""),"03-22-10-74A")</f>
        <v>03-22-10-74A</v>
      </c>
      <c r="F1044" s="36"/>
      <c r="G1044" s="36" t="str">
        <f>IFERROR(__xludf.DUMMYFUNCTION("""COMPUTED_VALUE"""),"Cordillera de los Andes y Berón Norte")</f>
        <v>Cordillera de los Andes y Berón Norte</v>
      </c>
      <c r="H1044" s="36" t="str">
        <f>IFERROR(__xludf.DUMMYFUNCTION("""COMPUTED_VALUE"""),"")</f>
        <v/>
      </c>
    </row>
    <row r="1045">
      <c r="A1045" s="36" t="str">
        <f>IFERROR(__xludf.DUMMYFUNCTION("""COMPUTED_VALUE"""),"02-29-07-99")</f>
        <v>02-29-07-99</v>
      </c>
      <c r="B1045" s="36" t="str">
        <f>IFERROR(__xludf.DUMMYFUNCTION("""COMPUTED_VALUE"""),"")</f>
        <v/>
      </c>
      <c r="C1045" s="36" t="str">
        <f>IFERROR(__xludf.DUMMYFUNCTION("""COMPUTED_VALUE"""),"")</f>
        <v/>
      </c>
      <c r="D1045" s="36" t="str">
        <f>IFERROR(__xludf.DUMMYFUNCTION("""COMPUTED_VALUE"""),"")</f>
        <v/>
      </c>
      <c r="E1045" s="36" t="str">
        <f>IFERROR(__xludf.DUMMYFUNCTION("""COMPUTED_VALUE"""),"03-22-10-74B")</f>
        <v>03-22-10-74B</v>
      </c>
      <c r="F1045" s="36"/>
      <c r="G1045" s="36" t="str">
        <f>IFERROR(__xludf.DUMMYFUNCTION("""COMPUTED_VALUE"""),"Cordillera de los Andes y Berón Sur")</f>
        <v>Cordillera de los Andes y Berón Sur</v>
      </c>
      <c r="H1045" s="36" t="str">
        <f>IFERROR(__xludf.DUMMYFUNCTION("""COMPUTED_VALUE"""),"")</f>
        <v/>
      </c>
    </row>
    <row r="1046">
      <c r="A1046" s="36" t="str">
        <f>IFERROR(__xludf.DUMMYFUNCTION("""COMPUTED_VALUE"""),"01-22-08-100")</f>
        <v>01-22-08-100</v>
      </c>
      <c r="B1046" s="36" t="str">
        <f>IFERROR(__xludf.DUMMYFUNCTION("""COMPUTED_VALUE"""),"")</f>
        <v/>
      </c>
      <c r="C1046" s="36" t="str">
        <f>IFERROR(__xludf.DUMMYFUNCTION("""COMPUTED_VALUE"""),"")</f>
        <v/>
      </c>
      <c r="D1046" s="36" t="str">
        <f>IFERROR(__xludf.DUMMYFUNCTION("""COMPUTED_VALUE"""),"")</f>
        <v/>
      </c>
      <c r="E1046" s="36" t="str">
        <f>IFERROR(__xludf.DUMMYFUNCTION("""COMPUTED_VALUE"""),"03-20-09-212")</f>
        <v>03-20-09-212</v>
      </c>
      <c r="F1046" s="36"/>
      <c r="G1046" s="36" t="str">
        <f>IFERROR(__xludf.DUMMYFUNCTION("""COMPUTED_VALUE"""),"Cordillera de los Andes y Colón")</f>
        <v>Cordillera de los Andes y Colón</v>
      </c>
      <c r="H1046" s="36" t="str">
        <f>IFERROR(__xludf.DUMMYFUNCTION("""COMPUTED_VALUE"""),"")</f>
        <v/>
      </c>
    </row>
    <row r="1047">
      <c r="A1047" s="36" t="str">
        <f>IFERROR(__xludf.DUMMYFUNCTION("""COMPUTED_VALUE"""),"01-22-08-101")</f>
        <v>01-22-08-101</v>
      </c>
      <c r="B1047" s="36" t="str">
        <f>IFERROR(__xludf.DUMMYFUNCTION("""COMPUTED_VALUE"""),"")</f>
        <v/>
      </c>
      <c r="C1047" s="36" t="str">
        <f>IFERROR(__xludf.DUMMYFUNCTION("""COMPUTED_VALUE"""),"")</f>
        <v/>
      </c>
      <c r="D1047" s="36" t="str">
        <f>IFERROR(__xludf.DUMMYFUNCTION("""COMPUTED_VALUE"""),"")</f>
        <v/>
      </c>
      <c r="E1047" s="36" t="str">
        <f>IFERROR(__xludf.DUMMYFUNCTION("""COMPUTED_VALUE"""),"03-20-09-215")</f>
        <v>03-20-09-215</v>
      </c>
      <c r="F1047" s="36"/>
      <c r="G1047" s="36" t="str">
        <f>IFERROR(__xludf.DUMMYFUNCTION("""COMPUTED_VALUE"""),"Cordillera de los Andes y J. C. Cuello")</f>
        <v>Cordillera de los Andes y J. C. Cuello</v>
      </c>
      <c r="H1047" s="36" t="str">
        <f>IFERROR(__xludf.DUMMYFUNCTION("""COMPUTED_VALUE"""),"")</f>
        <v/>
      </c>
    </row>
    <row r="1048">
      <c r="A1048" s="36" t="str">
        <f>IFERROR(__xludf.DUMMYFUNCTION("""COMPUTED_VALUE"""),"01-22-08-101A")</f>
        <v>01-22-08-101A</v>
      </c>
      <c r="B1048" s="36" t="str">
        <f>IFERROR(__xludf.DUMMYFUNCTION("""COMPUTED_VALUE"""),"")</f>
        <v/>
      </c>
      <c r="C1048" s="36" t="str">
        <f>IFERROR(__xludf.DUMMYFUNCTION("""COMPUTED_VALUE"""),"")</f>
        <v/>
      </c>
      <c r="D1048" s="36" t="str">
        <f>IFERROR(__xludf.DUMMYFUNCTION("""COMPUTED_VALUE"""),"")</f>
        <v/>
      </c>
      <c r="E1048" s="36" t="str">
        <f>IFERROR(__xludf.DUMMYFUNCTION("""COMPUTED_VALUE"""),"03-20-09-217")</f>
        <v>03-20-09-217</v>
      </c>
      <c r="F1048" s="36"/>
      <c r="G1048" s="36" t="str">
        <f>IFERROR(__xludf.DUMMYFUNCTION("""COMPUTED_VALUE"""),"Cordillera de los Andes y Jorge Yacante")</f>
        <v>Cordillera de los Andes y Jorge Yacante</v>
      </c>
      <c r="H1048" s="36" t="str">
        <f>IFERROR(__xludf.DUMMYFUNCTION("""COMPUTED_VALUE"""),"")</f>
        <v/>
      </c>
    </row>
    <row r="1049">
      <c r="A1049" s="36" t="str">
        <f>IFERROR(__xludf.DUMMYFUNCTION("""COMPUTED_VALUE"""),"01-22-08-103")</f>
        <v>01-22-08-103</v>
      </c>
      <c r="B1049" s="36" t="str">
        <f>IFERROR(__xludf.DUMMYFUNCTION("""COMPUTED_VALUE"""),"")</f>
        <v/>
      </c>
      <c r="C1049" s="36" t="str">
        <f>IFERROR(__xludf.DUMMYFUNCTION("""COMPUTED_VALUE"""),"")</f>
        <v/>
      </c>
      <c r="D1049" s="36" t="str">
        <f>IFERROR(__xludf.DUMMYFUNCTION("""COMPUTED_VALUE"""),"")</f>
        <v/>
      </c>
      <c r="E1049" s="36" t="str">
        <f>IFERROR(__xludf.DUMMYFUNCTION("""COMPUTED_VALUE"""),"03-20-09-211")</f>
        <v>03-20-09-211</v>
      </c>
      <c r="F1049" s="36"/>
      <c r="G1049" s="36" t="str">
        <f>IFERROR(__xludf.DUMMYFUNCTION("""COMPUTED_VALUE"""),"Cordillera de los Andes y S. Derqui")</f>
        <v>Cordillera de los Andes y S. Derqui</v>
      </c>
      <c r="H1049" s="36" t="str">
        <f>IFERROR(__xludf.DUMMYFUNCTION("""COMPUTED_VALUE"""),"")</f>
        <v/>
      </c>
    </row>
    <row r="1050">
      <c r="A1050" s="36" t="str">
        <f>IFERROR(__xludf.DUMMYFUNCTION("""COMPUTED_VALUE"""),"01-22-08-105")</f>
        <v>01-22-08-105</v>
      </c>
      <c r="B1050" s="36" t="str">
        <f>IFERROR(__xludf.DUMMYFUNCTION("""COMPUTED_VALUE"""),"")</f>
        <v/>
      </c>
      <c r="C1050" s="36" t="str">
        <f>IFERROR(__xludf.DUMMYFUNCTION("""COMPUTED_VALUE"""),"")</f>
        <v/>
      </c>
      <c r="D1050" s="36" t="str">
        <f>IFERROR(__xludf.DUMMYFUNCTION("""COMPUTED_VALUE"""),"")</f>
        <v/>
      </c>
      <c r="E1050" s="36" t="str">
        <f>IFERROR(__xludf.DUMMYFUNCTION("""COMPUTED_VALUE"""),"03-20-09-216")</f>
        <v>03-20-09-216</v>
      </c>
      <c r="F1050" s="36"/>
      <c r="G1050" s="36" t="str">
        <f>IFERROR(__xludf.DUMMYFUNCTION("""COMPUTED_VALUE"""),"Cordillera de los Andes y Salas Castro")</f>
        <v>Cordillera de los Andes y Salas Castro</v>
      </c>
      <c r="H1050" s="36" t="str">
        <f>IFERROR(__xludf.DUMMYFUNCTION("""COMPUTED_VALUE"""),"")</f>
        <v/>
      </c>
    </row>
    <row r="1051">
      <c r="A1051" s="36" t="str">
        <f>IFERROR(__xludf.DUMMYFUNCTION("""COMPUTED_VALUE"""),"01-22-08-107")</f>
        <v>01-22-08-107</v>
      </c>
      <c r="B1051" s="36" t="str">
        <f>IFERROR(__xludf.DUMMYFUNCTION("""COMPUTED_VALUE"""),"")</f>
        <v/>
      </c>
      <c r="C1051" s="36" t="str">
        <f>IFERROR(__xludf.DUMMYFUNCTION("""COMPUTED_VALUE"""),"")</f>
        <v/>
      </c>
      <c r="D1051" s="36" t="str">
        <f>IFERROR(__xludf.DUMMYFUNCTION("""COMPUTED_VALUE"""),"")</f>
        <v/>
      </c>
      <c r="E1051" s="36" t="str">
        <f>IFERROR(__xludf.DUMMYFUNCTION("""COMPUTED_VALUE"""),"03-22-10-77B")</f>
        <v>03-22-10-77B</v>
      </c>
      <c r="F1051" s="36"/>
      <c r="G1051" s="36" t="str">
        <f>IFERROR(__xludf.DUMMYFUNCTION("""COMPUTED_VALUE"""),"Cordillera de los Andes y San Juan")</f>
        <v>Cordillera de los Andes y San Juan</v>
      </c>
      <c r="H1051" s="36" t="str">
        <f>IFERROR(__xludf.DUMMYFUNCTION("""COMPUTED_VALUE"""),"")</f>
        <v/>
      </c>
    </row>
    <row r="1052">
      <c r="A1052" s="36" t="str">
        <f>IFERROR(__xludf.DUMMYFUNCTION("""COMPUTED_VALUE"""),"01-22-08-108")</f>
        <v>01-22-08-108</v>
      </c>
      <c r="B1052" s="36" t="str">
        <f>IFERROR(__xludf.DUMMYFUNCTION("""COMPUTED_VALUE"""),"")</f>
        <v/>
      </c>
      <c r="C1052" s="36" t="str">
        <f>IFERROR(__xludf.DUMMYFUNCTION("""COMPUTED_VALUE"""),"")</f>
        <v/>
      </c>
      <c r="D1052" s="36" t="str">
        <f>IFERROR(__xludf.DUMMYFUNCTION("""COMPUTED_VALUE"""),"")</f>
        <v/>
      </c>
      <c r="E1052" s="36" t="str">
        <f>IFERROR(__xludf.DUMMYFUNCTION("""COMPUTED_VALUE"""),"08-44-03-46A")</f>
        <v>08-44-03-46A</v>
      </c>
      <c r="F1052" s="36"/>
      <c r="G1052" s="36" t="str">
        <f>IFERROR(__xludf.DUMMYFUNCTION("""COMPUTED_VALUE"""),"Córdoba y Bandera Argentina")</f>
        <v>Córdoba y Bandera Argentina</v>
      </c>
      <c r="H1052" s="36" t="str">
        <f>IFERROR(__xludf.DUMMYFUNCTION("""COMPUTED_VALUE"""),"")</f>
        <v/>
      </c>
    </row>
    <row r="1053">
      <c r="A1053" s="36" t="str">
        <f>IFERROR(__xludf.DUMMYFUNCTION("""COMPUTED_VALUE"""),"01-22-08-110")</f>
        <v>01-22-08-110</v>
      </c>
      <c r="B1053" s="36" t="str">
        <f>IFERROR(__xludf.DUMMYFUNCTION("""COMPUTED_VALUE"""),"")</f>
        <v/>
      </c>
      <c r="C1053" s="36" t="str">
        <f>IFERROR(__xludf.DUMMYFUNCTION("""COMPUTED_VALUE"""),"")</f>
        <v/>
      </c>
      <c r="D1053" s="36" t="str">
        <f>IFERROR(__xludf.DUMMYFUNCTION("""COMPUTED_VALUE"""),"")</f>
        <v/>
      </c>
      <c r="E1053" s="36" t="str">
        <f>IFERROR(__xludf.DUMMYFUNCTION("""COMPUTED_VALUE"""),"08-44-03-46")</f>
        <v>08-44-03-46</v>
      </c>
      <c r="F1053" s="36"/>
      <c r="G1053" s="36" t="str">
        <f>IFERROR(__xludf.DUMMYFUNCTION("""COMPUTED_VALUE"""),"Córdoba y R. Godoy")</f>
        <v>Córdoba y R. Godoy</v>
      </c>
      <c r="H1053" s="36" t="str">
        <f>IFERROR(__xludf.DUMMYFUNCTION("""COMPUTED_VALUE"""),"")</f>
        <v/>
      </c>
    </row>
    <row r="1054">
      <c r="A1054" s="36" t="str">
        <f>IFERROR(__xludf.DUMMYFUNCTION("""COMPUTED_VALUE"""),"01-22-08-93")</f>
        <v>01-22-08-93</v>
      </c>
      <c r="B1054" s="36" t="str">
        <f>IFERROR(__xludf.DUMMYFUNCTION("""COMPUTED_VALUE"""),"")</f>
        <v/>
      </c>
      <c r="C1054" s="36" t="str">
        <f>IFERROR(__xludf.DUMMYFUNCTION("""COMPUTED_VALUE"""),"")</f>
        <v/>
      </c>
      <c r="D1054" s="36" t="str">
        <f>IFERROR(__xludf.DUMMYFUNCTION("""COMPUTED_VALUE"""),"")</f>
        <v/>
      </c>
      <c r="E1054" s="36" t="str">
        <f>IFERROR(__xludf.DUMMYFUNCTION("""COMPUTED_VALUE"""),"01-33-06-18A")</f>
        <v>01-33-06-18A</v>
      </c>
      <c r="F1054" s="36"/>
      <c r="G1054" s="36" t="str">
        <f>IFERROR(__xludf.DUMMYFUNCTION("""COMPUTED_VALUE"""),"Cornelio Saavedra e Hipólito Yrigoyen")</f>
        <v>Cornelio Saavedra e Hipólito Yrigoyen</v>
      </c>
      <c r="H1054" s="36" t="str">
        <f>IFERROR(__xludf.DUMMYFUNCTION("""COMPUTED_VALUE"""),"")</f>
        <v/>
      </c>
    </row>
    <row r="1055">
      <c r="A1055" s="36" t="str">
        <f>IFERROR(__xludf.DUMMYFUNCTION("""COMPUTED_VALUE"""),"01-22-08-94")</f>
        <v>01-22-08-94</v>
      </c>
      <c r="B1055" s="36" t="str">
        <f>IFERROR(__xludf.DUMMYFUNCTION("""COMPUTED_VALUE"""),"")</f>
        <v/>
      </c>
      <c r="C1055" s="36" t="str">
        <f>IFERROR(__xludf.DUMMYFUNCTION("""COMPUTED_VALUE"""),"")</f>
        <v/>
      </c>
      <c r="D1055" s="36" t="str">
        <f>IFERROR(__xludf.DUMMYFUNCTION("""COMPUTED_VALUE"""),"")</f>
        <v/>
      </c>
      <c r="E1055" s="36" t="str">
        <f>IFERROR(__xludf.DUMMYFUNCTION("""COMPUTED_VALUE"""),"01-33-07-164")</f>
        <v>01-33-07-164</v>
      </c>
      <c r="F1055" s="36"/>
      <c r="G1055" s="36" t="str">
        <f>IFERROR(__xludf.DUMMYFUNCTION("""COMPUTED_VALUE"""),"Cornelio Saavedra y Adán Quiroga")</f>
        <v>Cornelio Saavedra y Adán Quiroga</v>
      </c>
      <c r="H1055" s="36" t="str">
        <f>IFERROR(__xludf.DUMMYFUNCTION("""COMPUTED_VALUE"""),"")</f>
        <v/>
      </c>
    </row>
    <row r="1056">
      <c r="A1056" s="36" t="str">
        <f>IFERROR(__xludf.DUMMYFUNCTION("""COMPUTED_VALUE"""),"01-22-08-95")</f>
        <v>01-22-08-95</v>
      </c>
      <c r="B1056" s="36" t="str">
        <f>IFERROR(__xludf.DUMMYFUNCTION("""COMPUTED_VALUE"""),"")</f>
        <v/>
      </c>
      <c r="C1056" s="36" t="str">
        <f>IFERROR(__xludf.DUMMYFUNCTION("""COMPUTED_VALUE"""),"")</f>
        <v/>
      </c>
      <c r="D1056" s="36" t="str">
        <f>IFERROR(__xludf.DUMMYFUNCTION("""COMPUTED_VALUE"""),"")</f>
        <v/>
      </c>
      <c r="E1056" s="36" t="str">
        <f>IFERROR(__xludf.DUMMYFUNCTION("""COMPUTED_VALUE"""),"01-33-07-165")</f>
        <v>01-33-07-165</v>
      </c>
      <c r="F1056" s="36"/>
      <c r="G1056" s="36" t="str">
        <f>IFERROR(__xludf.DUMMYFUNCTION("""COMPUTED_VALUE"""),"Cornelio Saavedra y Esteban Echeverría")</f>
        <v>Cornelio Saavedra y Esteban Echeverría</v>
      </c>
      <c r="H1056" s="36" t="str">
        <f>IFERROR(__xludf.DUMMYFUNCTION("""COMPUTED_VALUE"""),"")</f>
        <v/>
      </c>
    </row>
    <row r="1057">
      <c r="A1057" s="36" t="str">
        <f>IFERROR(__xludf.DUMMYFUNCTION("""COMPUTED_VALUE"""),"01-22-08-96")</f>
        <v>01-22-08-96</v>
      </c>
      <c r="B1057" s="36" t="str">
        <f>IFERROR(__xludf.DUMMYFUNCTION("""COMPUTED_VALUE"""),"")</f>
        <v/>
      </c>
      <c r="C1057" s="36" t="str">
        <f>IFERROR(__xludf.DUMMYFUNCTION("""COMPUTED_VALUE"""),"")</f>
        <v/>
      </c>
      <c r="D1057" s="36" t="str">
        <f>IFERROR(__xludf.DUMMYFUNCTION("""COMPUTED_VALUE"""),"")</f>
        <v/>
      </c>
      <c r="E1057" s="36" t="str">
        <f>IFERROR(__xludf.DUMMYFUNCTION("""COMPUTED_VALUE"""),"01-33-07-166")</f>
        <v>01-33-07-166</v>
      </c>
      <c r="F1057" s="36"/>
      <c r="G1057" s="36" t="str">
        <f>IFERROR(__xludf.DUMMYFUNCTION("""COMPUTED_VALUE"""),"Cornelio Saavedra y Jofré")</f>
        <v>Cornelio Saavedra y Jofré</v>
      </c>
      <c r="H1057" s="36" t="str">
        <f>IFERROR(__xludf.DUMMYFUNCTION("""COMPUTED_VALUE"""),"")</f>
        <v/>
      </c>
    </row>
    <row r="1058">
      <c r="A1058" s="36" t="str">
        <f>IFERROR(__xludf.DUMMYFUNCTION("""COMPUTED_VALUE"""),"01-22-08-97")</f>
        <v>01-22-08-97</v>
      </c>
      <c r="B1058" s="36" t="str">
        <f>IFERROR(__xludf.DUMMYFUNCTION("""COMPUTED_VALUE"""),"")</f>
        <v/>
      </c>
      <c r="C1058" s="36" t="str">
        <f>IFERROR(__xludf.DUMMYFUNCTION("""COMPUTED_VALUE"""),"")</f>
        <v/>
      </c>
      <c r="D1058" s="36" t="str">
        <f>IFERROR(__xludf.DUMMYFUNCTION("""COMPUTED_VALUE"""),"")</f>
        <v/>
      </c>
      <c r="E1058" s="36" t="str">
        <f>IFERROR(__xludf.DUMMYFUNCTION("""COMPUTED_VALUE"""),"01-33-07-163")</f>
        <v>01-33-07-163</v>
      </c>
      <c r="F1058" s="36"/>
      <c r="G1058" s="36" t="str">
        <f>IFERROR(__xludf.DUMMYFUNCTION("""COMPUTED_VALUE"""),"Cornelio Saavedra y Santa María de Oro")</f>
        <v>Cornelio Saavedra y Santa María de Oro</v>
      </c>
      <c r="H1058" s="36" t="str">
        <f>IFERROR(__xludf.DUMMYFUNCTION("""COMPUTED_VALUE"""),"")</f>
        <v/>
      </c>
    </row>
    <row r="1059">
      <c r="A1059" s="36" t="str">
        <f>IFERROR(__xludf.DUMMYFUNCTION("""COMPUTED_VALUE"""),"01-22-08-98")</f>
        <v>01-22-08-98</v>
      </c>
      <c r="B1059" s="36" t="str">
        <f>IFERROR(__xludf.DUMMYFUNCTION("""COMPUTED_VALUE"""),"")</f>
        <v/>
      </c>
      <c r="C1059" s="36" t="str">
        <f>IFERROR(__xludf.DUMMYFUNCTION("""COMPUTED_VALUE"""),"")</f>
        <v/>
      </c>
      <c r="D1059" s="36" t="str">
        <f>IFERROR(__xludf.DUMMYFUNCTION("""COMPUTED_VALUE"""),"")</f>
        <v/>
      </c>
      <c r="E1059" s="36" t="str">
        <f>IFERROR(__xludf.DUMMYFUNCTION("""COMPUTED_VALUE"""),"01-24-08-145")</f>
        <v>01-24-08-145</v>
      </c>
      <c r="F1059" s="36"/>
      <c r="G1059" s="36" t="str">
        <f>IFERROR(__xludf.DUMMYFUNCTION("""COMPUTED_VALUE"""),"Corrientes y Ayacucho N")</f>
        <v>Corrientes y Ayacucho N</v>
      </c>
      <c r="H1059" s="36" t="str">
        <f>IFERROR(__xludf.DUMMYFUNCTION("""COMPUTED_VALUE"""),"")</f>
        <v/>
      </c>
    </row>
    <row r="1060">
      <c r="A1060" s="36" t="str">
        <f>IFERROR(__xludf.DUMMYFUNCTION("""COMPUTED_VALUE"""),"01-22-08-99")</f>
        <v>01-22-08-99</v>
      </c>
      <c r="B1060" s="36" t="str">
        <f>IFERROR(__xludf.DUMMYFUNCTION("""COMPUTED_VALUE"""),"")</f>
        <v/>
      </c>
      <c r="C1060" s="36" t="str">
        <f>IFERROR(__xludf.DUMMYFUNCTION("""COMPUTED_VALUE"""),"")</f>
        <v/>
      </c>
      <c r="D1060" s="36" t="str">
        <f>IFERROR(__xludf.DUMMYFUNCTION("""COMPUTED_VALUE"""),"")</f>
        <v/>
      </c>
      <c r="E1060" s="36" t="str">
        <f>IFERROR(__xludf.DUMMYFUNCTION("""COMPUTED_VALUE"""),"08-28-03-10")</f>
        <v>08-28-03-10</v>
      </c>
      <c r="F1060" s="36"/>
      <c r="G1060" s="36" t="str">
        <f>IFERROR(__xludf.DUMMYFUNCTION("""COMPUTED_VALUE"""),"Corrientes y Azcuénaga")</f>
        <v>Corrientes y Azcuénaga</v>
      </c>
      <c r="H1060" s="36" t="str">
        <f>IFERROR(__xludf.DUMMYFUNCTION("""COMPUTED_VALUE"""),"")</f>
        <v/>
      </c>
    </row>
    <row r="1061">
      <c r="A1061" s="36" t="str">
        <f>IFERROR(__xludf.DUMMYFUNCTION("""COMPUTED_VALUE"""),"01-23-08-102")</f>
        <v>01-23-08-102</v>
      </c>
      <c r="B1061" s="36" t="str">
        <f>IFERROR(__xludf.DUMMYFUNCTION("""COMPUTED_VALUE"""),"")</f>
        <v/>
      </c>
      <c r="C1061" s="36" t="str">
        <f>IFERROR(__xludf.DUMMYFUNCTION("""COMPUTED_VALUE"""),"")</f>
        <v/>
      </c>
      <c r="D1061" s="36" t="str">
        <f>IFERROR(__xludf.DUMMYFUNCTION("""COMPUTED_VALUE"""),"")</f>
        <v/>
      </c>
      <c r="E1061" s="36" t="str">
        <f>IFERROR(__xludf.DUMMYFUNCTION("""COMPUTED_VALUE"""),"01-27-08-52S")</f>
        <v>01-27-08-52S</v>
      </c>
      <c r="F1061" s="36"/>
      <c r="G1061" s="36" t="str">
        <f>IFERROR(__xludf.DUMMYFUNCTION("""COMPUTED_VALUE"""),"Corrientes y Caseros")</f>
        <v>Corrientes y Caseros</v>
      </c>
      <c r="H1061" s="36" t="str">
        <f>IFERROR(__xludf.DUMMYFUNCTION("""COMPUTED_VALUE"""),"")</f>
        <v/>
      </c>
    </row>
    <row r="1062">
      <c r="A1062" s="36" t="str">
        <f>IFERROR(__xludf.DUMMYFUNCTION("""COMPUTED_VALUE"""),"01-23-08-104")</f>
        <v>01-23-08-104</v>
      </c>
      <c r="B1062" s="36" t="str">
        <f>IFERROR(__xludf.DUMMYFUNCTION("""COMPUTED_VALUE"""),"")</f>
        <v/>
      </c>
      <c r="C1062" s="36" t="str">
        <f>IFERROR(__xludf.DUMMYFUNCTION("""COMPUTED_VALUE"""),"")</f>
        <v/>
      </c>
      <c r="D1062" s="36" t="str">
        <f>IFERROR(__xludf.DUMMYFUNCTION("""COMPUTED_VALUE"""),"")</f>
        <v/>
      </c>
      <c r="E1062" s="36" t="str">
        <f>IFERROR(__xludf.DUMMYFUNCTION("""COMPUTED_VALUE"""),"01-24-08-52T")</f>
        <v>01-24-08-52T</v>
      </c>
      <c r="F1062" s="36"/>
      <c r="G1062" s="36" t="str">
        <f>IFERROR(__xludf.DUMMYFUNCTION("""COMPUTED_VALUE"""),"Corrientes y Caseros E")</f>
        <v>Corrientes y Caseros E</v>
      </c>
      <c r="H1062" s="36" t="str">
        <f>IFERROR(__xludf.DUMMYFUNCTION("""COMPUTED_VALUE"""),"")</f>
        <v/>
      </c>
    </row>
    <row r="1063">
      <c r="A1063" s="36" t="str">
        <f>IFERROR(__xludf.DUMMYFUNCTION("""COMPUTED_VALUE"""),"01-23-08-106")</f>
        <v>01-23-08-106</v>
      </c>
      <c r="B1063" s="36" t="str">
        <f>IFERROR(__xludf.DUMMYFUNCTION("""COMPUTED_VALUE"""),"")</f>
        <v/>
      </c>
      <c r="C1063" s="36" t="str">
        <f>IFERROR(__xludf.DUMMYFUNCTION("""COMPUTED_VALUE"""),"")</f>
        <v/>
      </c>
      <c r="D1063" s="36" t="str">
        <f>IFERROR(__xludf.DUMMYFUNCTION("""COMPUTED_VALUE"""),"")</f>
        <v/>
      </c>
      <c r="E1063" s="36" t="str">
        <f>IFERROR(__xludf.DUMMYFUNCTION("""COMPUTED_VALUE"""),"01-28-08-92")</f>
        <v>01-28-08-92</v>
      </c>
      <c r="F1063" s="36"/>
      <c r="G1063" s="36" t="str">
        <f>IFERROR(__xludf.DUMMYFUNCTION("""COMPUTED_VALUE"""),"Corrientes y Catamarca")</f>
        <v>Corrientes y Catamarca</v>
      </c>
      <c r="H1063" s="36" t="str">
        <f>IFERROR(__xludf.DUMMYFUNCTION("""COMPUTED_VALUE"""),"")</f>
        <v/>
      </c>
    </row>
    <row r="1064">
      <c r="A1064" s="36" t="str">
        <f>IFERROR(__xludf.DUMMYFUNCTION("""COMPUTED_VALUE"""),"01-24-08-143")</f>
        <v>01-24-08-143</v>
      </c>
      <c r="B1064" s="36" t="str">
        <f>IFERROR(__xludf.DUMMYFUNCTION("""COMPUTED_VALUE"""),"")</f>
        <v/>
      </c>
      <c r="C1064" s="36" t="str">
        <f>IFERROR(__xludf.DUMMYFUNCTION("""COMPUTED_VALUE"""),"")</f>
        <v/>
      </c>
      <c r="D1064" s="36" t="str">
        <f>IFERROR(__xludf.DUMMYFUNCTION("""COMPUTED_VALUE"""),"")</f>
        <v/>
      </c>
      <c r="E1064" s="36" t="str">
        <f>IFERROR(__xludf.DUMMYFUNCTION("""COMPUTED_VALUE"""),"08-28-03-11")</f>
        <v>08-28-03-11</v>
      </c>
      <c r="F1064" s="36"/>
      <c r="G1064" s="36" t="str">
        <f>IFERROR(__xludf.DUMMYFUNCTION("""COMPUTED_VALUE"""),"Corrientes y Chaco")</f>
        <v>Corrientes y Chaco</v>
      </c>
      <c r="H1064" s="36" t="str">
        <f>IFERROR(__xludf.DUMMYFUNCTION("""COMPUTED_VALUE"""),"")</f>
        <v/>
      </c>
    </row>
    <row r="1065">
      <c r="A1065" s="36" t="str">
        <f>IFERROR(__xludf.DUMMYFUNCTION("""COMPUTED_VALUE"""),"01-24-08-144")</f>
        <v>01-24-08-144</v>
      </c>
      <c r="B1065" s="36" t="str">
        <f>IFERROR(__xludf.DUMMYFUNCTION("""COMPUTED_VALUE"""),"")</f>
        <v/>
      </c>
      <c r="C1065" s="36" t="str">
        <f>IFERROR(__xludf.DUMMYFUNCTION("""COMPUTED_VALUE"""),"")</f>
        <v/>
      </c>
      <c r="D1065" s="36" t="str">
        <f>IFERROR(__xludf.DUMMYFUNCTION("""COMPUTED_VALUE"""),"")</f>
        <v/>
      </c>
      <c r="E1065" s="36" t="str">
        <f>IFERROR(__xludf.DUMMYFUNCTION("""COMPUTED_VALUE"""),"01-22-08-110")</f>
        <v>01-22-08-110</v>
      </c>
      <c r="F1065" s="36"/>
      <c r="G1065" s="36" t="str">
        <f>IFERROR(__xludf.DUMMYFUNCTION("""COMPUTED_VALUE"""),"Corrientes y Domingo F. Sarmiento")</f>
        <v>Corrientes y Domingo F. Sarmiento</v>
      </c>
      <c r="H1065" s="36" t="str">
        <f>IFERROR(__xludf.DUMMYFUNCTION("""COMPUTED_VALUE"""),"")</f>
        <v/>
      </c>
    </row>
    <row r="1066">
      <c r="A1066" s="36" t="str">
        <f>IFERROR(__xludf.DUMMYFUNCTION("""COMPUTED_VALUE"""),"01-24-08-145")</f>
        <v>01-24-08-145</v>
      </c>
      <c r="B1066" s="36" t="str">
        <f>IFERROR(__xludf.DUMMYFUNCTION("""COMPUTED_VALUE"""),"")</f>
        <v/>
      </c>
      <c r="C1066" s="36" t="str">
        <f>IFERROR(__xludf.DUMMYFUNCTION("""COMPUTED_VALUE"""),"")</f>
        <v/>
      </c>
      <c r="D1066" s="36" t="str">
        <f>IFERROR(__xludf.DUMMYFUNCTION("""COMPUTED_VALUE"""),"")</f>
        <v/>
      </c>
      <c r="E1066" s="36" t="str">
        <f>IFERROR(__xludf.DUMMYFUNCTION("""COMPUTED_VALUE"""),"01-28-08-109")</f>
        <v>01-28-08-109</v>
      </c>
      <c r="F1066" s="36"/>
      <c r="G1066" s="36" t="str">
        <f>IFERROR(__xludf.DUMMYFUNCTION("""COMPUTED_VALUE"""),"Corrientes y Entre Ríos ")</f>
        <v>Corrientes y Entre Ríos </v>
      </c>
      <c r="H1066" s="36" t="str">
        <f>IFERROR(__xludf.DUMMYFUNCTION("""COMPUTED_VALUE"""),"")</f>
        <v/>
      </c>
    </row>
    <row r="1067">
      <c r="A1067" s="36" t="str">
        <f>IFERROR(__xludf.DUMMYFUNCTION("""COMPUTED_VALUE"""),"01-24-08-52R")</f>
        <v>01-24-08-52R</v>
      </c>
      <c r="B1067" s="36" t="str">
        <f>IFERROR(__xludf.DUMMYFUNCTION("""COMPUTED_VALUE"""),"")</f>
        <v/>
      </c>
      <c r="C1067" s="36" t="str">
        <f>IFERROR(__xludf.DUMMYFUNCTION("""COMPUTED_VALUE"""),"")</f>
        <v/>
      </c>
      <c r="D1067" s="36" t="str">
        <f>IFERROR(__xludf.DUMMYFUNCTION("""COMPUTED_VALUE"""),"")</f>
        <v/>
      </c>
      <c r="E1067" s="36" t="str">
        <f>IFERROR(__xludf.DUMMYFUNCTION("""COMPUTED_VALUE"""),"01-26-09-250K")</f>
        <v>01-26-09-250K</v>
      </c>
      <c r="F1067" s="36"/>
      <c r="G1067" s="36" t="str">
        <f>IFERROR(__xludf.DUMMYFUNCTION("""COMPUTED_VALUE"""),"Corrientes y Perú")</f>
        <v>Corrientes y Perú</v>
      </c>
      <c r="H1067" s="36" t="str">
        <f>IFERROR(__xludf.DUMMYFUNCTION("""COMPUTED_VALUE"""),"")</f>
        <v/>
      </c>
    </row>
    <row r="1068">
      <c r="A1068" s="36" t="str">
        <f>IFERROR(__xludf.DUMMYFUNCTION("""COMPUTED_VALUE"""),"01-24-08-52T")</f>
        <v>01-24-08-52T</v>
      </c>
      <c r="B1068" s="36" t="str">
        <f>IFERROR(__xludf.DUMMYFUNCTION("""COMPUTED_VALUE"""),"")</f>
        <v/>
      </c>
      <c r="C1068" s="36" t="str">
        <f>IFERROR(__xludf.DUMMYFUNCTION("""COMPUTED_VALUE"""),"")</f>
        <v/>
      </c>
      <c r="D1068" s="36" t="str">
        <f>IFERROR(__xludf.DUMMYFUNCTION("""COMPUTED_VALUE"""),"")</f>
        <v/>
      </c>
      <c r="E1068" s="36" t="str">
        <f>IFERROR(__xludf.DUMMYFUNCTION("""COMPUTED_VALUE"""),"01-26-09-250J")</f>
        <v>01-26-09-250J</v>
      </c>
      <c r="F1068" s="36"/>
      <c r="G1068" s="36" t="str">
        <f>IFERROR(__xludf.DUMMYFUNCTION("""COMPUTED_VALUE"""),"Corrientes y Perú -N")</f>
        <v>Corrientes y Perú -N</v>
      </c>
      <c r="H1068" s="36" t="str">
        <f>IFERROR(__xludf.DUMMYFUNCTION("""COMPUTED_VALUE"""),"")</f>
        <v/>
      </c>
    </row>
    <row r="1069">
      <c r="A1069" s="36" t="str">
        <f>IFERROR(__xludf.DUMMYFUNCTION("""COMPUTED_VALUE"""),"01-25-08-141")</f>
        <v>01-25-08-141</v>
      </c>
      <c r="B1069" s="36" t="str">
        <f>IFERROR(__xludf.DUMMYFUNCTION("""COMPUTED_VALUE"""),"")</f>
        <v/>
      </c>
      <c r="C1069" s="36" t="str">
        <f>IFERROR(__xludf.DUMMYFUNCTION("""COMPUTED_VALUE"""),"")</f>
        <v/>
      </c>
      <c r="D1069" s="36" t="str">
        <f>IFERROR(__xludf.DUMMYFUNCTION("""COMPUTED_VALUE"""),"")</f>
        <v/>
      </c>
      <c r="E1069" s="36" t="str">
        <f>IFERROR(__xludf.DUMMYFUNCTION("""COMPUTED_VALUE"""),"01-26-08-145A")</f>
        <v>01-26-08-145A</v>
      </c>
      <c r="F1069" s="36"/>
      <c r="G1069" s="36" t="str">
        <f>IFERROR(__xludf.DUMMYFUNCTION("""COMPUTED_VALUE"""),"Corrientes y Rotonda Acceso Norte")</f>
        <v>Corrientes y Rotonda Acceso Norte</v>
      </c>
      <c r="H1069" s="36" t="str">
        <f>IFERROR(__xludf.DUMMYFUNCTION("""COMPUTED_VALUE"""),"")</f>
        <v/>
      </c>
    </row>
    <row r="1070">
      <c r="A1070" s="36" t="str">
        <f>IFERROR(__xludf.DUMMYFUNCTION("""COMPUTED_VALUE"""),"01-25-08-142")</f>
        <v>01-25-08-142</v>
      </c>
      <c r="B1070" s="36" t="str">
        <f>IFERROR(__xludf.DUMMYFUNCTION("""COMPUTED_VALUE"""),"")</f>
        <v/>
      </c>
      <c r="C1070" s="36" t="str">
        <f>IFERROR(__xludf.DUMMYFUNCTION("""COMPUTED_VALUE"""),"")</f>
        <v/>
      </c>
      <c r="D1070" s="36" t="str">
        <f>IFERROR(__xludf.DUMMYFUNCTION("""COMPUTED_VALUE"""),"")</f>
        <v/>
      </c>
      <c r="E1070" s="36" t="str">
        <f>IFERROR(__xludf.DUMMYFUNCTION("""COMPUTED_VALUE"""),"01-22-07-20D")</f>
        <v>01-22-07-20D</v>
      </c>
      <c r="F1070" s="36"/>
      <c r="G1070" s="36" t="str">
        <f>IFERROR(__xludf.DUMMYFUNCTION("""COMPUTED_VALUE"""),"Corrientes y Salta")</f>
        <v>Corrientes y Salta</v>
      </c>
      <c r="H1070" s="36" t="str">
        <f>IFERROR(__xludf.DUMMYFUNCTION("""COMPUTED_VALUE"""),"")</f>
        <v/>
      </c>
    </row>
    <row r="1071">
      <c r="A1071" s="36" t="str">
        <f>IFERROR(__xludf.DUMMYFUNCTION("""COMPUTED_VALUE"""),"01-26-08-136")</f>
        <v>01-26-08-136</v>
      </c>
      <c r="B1071" s="36" t="str">
        <f>IFERROR(__xludf.DUMMYFUNCTION("""COMPUTED_VALUE"""),"")</f>
        <v/>
      </c>
      <c r="C1071" s="36" t="str">
        <f>IFERROR(__xludf.DUMMYFUNCTION("""COMPUTED_VALUE"""),"")</f>
        <v/>
      </c>
      <c r="D1071" s="36" t="str">
        <f>IFERROR(__xludf.DUMMYFUNCTION("""COMPUTED_VALUE"""),"")</f>
        <v/>
      </c>
      <c r="E1071" s="36" t="str">
        <f>IFERROR(__xludf.DUMMYFUNCTION("""COMPUTED_VALUE"""),"01-26-09-250I")</f>
        <v>01-26-09-250I</v>
      </c>
      <c r="F1071" s="36"/>
      <c r="G1071" s="36" t="str">
        <f>IFERROR(__xludf.DUMMYFUNCTION("""COMPUTED_VALUE"""),"Corrientes y Soler")</f>
        <v>Corrientes y Soler</v>
      </c>
      <c r="H1071" s="36" t="str">
        <f>IFERROR(__xludf.DUMMYFUNCTION("""COMPUTED_VALUE"""),"")</f>
        <v/>
      </c>
    </row>
    <row r="1072">
      <c r="A1072" s="36" t="str">
        <f>IFERROR(__xludf.DUMMYFUNCTION("""COMPUTED_VALUE"""),"01-26-08-137")</f>
        <v>01-26-08-137</v>
      </c>
      <c r="B1072" s="36" t="str">
        <f>IFERROR(__xludf.DUMMYFUNCTION("""COMPUTED_VALUE"""),"")</f>
        <v/>
      </c>
      <c r="C1072" s="36" t="str">
        <f>IFERROR(__xludf.DUMMYFUNCTION("""COMPUTED_VALUE"""),"")</f>
        <v/>
      </c>
      <c r="D1072" s="36" t="str">
        <f>IFERROR(__xludf.DUMMYFUNCTION("""COMPUTED_VALUE"""),"")</f>
        <v/>
      </c>
      <c r="E1072" s="36" t="str">
        <f>IFERROR(__xludf.DUMMYFUNCTION("""COMPUTED_VALUE"""),"01-24-08-52R")</f>
        <v>01-24-08-52R</v>
      </c>
      <c r="F1072" s="36"/>
      <c r="G1072" s="36" t="str">
        <f>IFERROR(__xludf.DUMMYFUNCTION("""COMPUTED_VALUE"""),"Corrientes y Tucumán")</f>
        <v>Corrientes y Tucumán</v>
      </c>
      <c r="H1072" s="36" t="str">
        <f>IFERROR(__xludf.DUMMYFUNCTION("""COMPUTED_VALUE"""),"")</f>
        <v/>
      </c>
    </row>
    <row r="1073">
      <c r="A1073" s="36" t="str">
        <f>IFERROR(__xludf.DUMMYFUNCTION("""COMPUTED_VALUE"""),"01-26-08-138")</f>
        <v>01-26-08-138</v>
      </c>
      <c r="B1073" s="36" t="str">
        <f>IFERROR(__xludf.DUMMYFUNCTION("""COMPUTED_VALUE"""),"")</f>
        <v/>
      </c>
      <c r="C1073" s="36" t="str">
        <f>IFERROR(__xludf.DUMMYFUNCTION("""COMPUTED_VALUE"""),"")</f>
        <v/>
      </c>
      <c r="D1073" s="36" t="str">
        <f>IFERROR(__xludf.DUMMYFUNCTION("""COMPUTED_VALUE"""),"")</f>
        <v/>
      </c>
      <c r="E1073" s="36" t="str">
        <f>IFERROR(__xludf.DUMMYFUNCTION("""COMPUTED_VALUE"""),"08-28-03-12")</f>
        <v>08-28-03-12</v>
      </c>
      <c r="F1073" s="36"/>
      <c r="G1073" s="36" t="str">
        <f>IFERROR(__xludf.DUMMYFUNCTION("""COMPUTED_VALUE"""),"Corrientes y Yapeyú")</f>
        <v>Corrientes y Yapeyú</v>
      </c>
      <c r="H1073" s="36" t="str">
        <f>IFERROR(__xludf.DUMMYFUNCTION("""COMPUTED_VALUE"""),"")</f>
        <v/>
      </c>
    </row>
    <row r="1074">
      <c r="A1074" s="36" t="str">
        <f>IFERROR(__xludf.DUMMYFUNCTION("""COMPUTED_VALUE"""),"01-26-08-139")</f>
        <v>01-26-08-139</v>
      </c>
      <c r="B1074" s="36" t="str">
        <f>IFERROR(__xludf.DUMMYFUNCTION("""COMPUTED_VALUE"""),"")</f>
        <v/>
      </c>
      <c r="C1074" s="36" t="str">
        <f>IFERROR(__xludf.DUMMYFUNCTION("""COMPUTED_VALUE"""),"")</f>
        <v/>
      </c>
      <c r="D1074" s="36" t="str">
        <f>IFERROR(__xludf.DUMMYFUNCTION("""COMPUTED_VALUE"""),"")</f>
        <v/>
      </c>
      <c r="E1074" s="36" t="str">
        <f>IFERROR(__xludf.DUMMYFUNCTION("""COMPUTED_VALUE"""),"01-36-07-9B")</f>
        <v>01-36-07-9B</v>
      </c>
      <c r="F1074" s="36"/>
      <c r="G1074" s="36" t="str">
        <f>IFERROR(__xludf.DUMMYFUNCTION("""COMPUTED_VALUE"""),"Cortínez y Salta")</f>
        <v>Cortínez y Salta</v>
      </c>
      <c r="H1074" s="36" t="str">
        <f>IFERROR(__xludf.DUMMYFUNCTION("""COMPUTED_VALUE"""),"")</f>
        <v/>
      </c>
    </row>
    <row r="1075">
      <c r="A1075" s="36" t="str">
        <f>IFERROR(__xludf.DUMMYFUNCTION("""COMPUTED_VALUE"""),"01-26-08-140")</f>
        <v>01-26-08-140</v>
      </c>
      <c r="B1075" s="36" t="str">
        <f>IFERROR(__xludf.DUMMYFUNCTION("""COMPUTED_VALUE"""),"")</f>
        <v/>
      </c>
      <c r="C1075" s="36" t="str">
        <f>IFERROR(__xludf.DUMMYFUNCTION("""COMPUTED_VALUE"""),"")</f>
        <v/>
      </c>
      <c r="D1075" s="36" t="str">
        <f>IFERROR(__xludf.DUMMYFUNCTION("""COMPUTED_VALUE"""),"")</f>
        <v/>
      </c>
      <c r="E1075" s="36" t="str">
        <f>IFERROR(__xludf.DUMMYFUNCTION("""COMPUTED_VALUE"""),"03-48-10-2")</f>
        <v>03-48-10-2</v>
      </c>
      <c r="F1075" s="36"/>
      <c r="G1075" s="36" t="str">
        <f>IFERROR(__xludf.DUMMYFUNCTION("""COMPUTED_VALUE"""),"Corvalán e Hipólito Yrigoyen")</f>
        <v>Corvalán e Hipólito Yrigoyen</v>
      </c>
      <c r="H1075" s="36" t="str">
        <f>IFERROR(__xludf.DUMMYFUNCTION("""COMPUTED_VALUE"""),"")</f>
        <v/>
      </c>
    </row>
    <row r="1076">
      <c r="A1076" s="36" t="str">
        <f>IFERROR(__xludf.DUMMYFUNCTION("""COMPUTED_VALUE"""),"01-26-08-140A")</f>
        <v>01-26-08-140A</v>
      </c>
      <c r="B1076" s="36" t="str">
        <f>IFERROR(__xludf.DUMMYFUNCTION("""COMPUTED_VALUE"""),"")</f>
        <v/>
      </c>
      <c r="C1076" s="36" t="str">
        <f>IFERROR(__xludf.DUMMYFUNCTION("""COMPUTED_VALUE"""),"")</f>
        <v/>
      </c>
      <c r="D1076" s="36" t="str">
        <f>IFERROR(__xludf.DUMMYFUNCTION("""COMPUTED_VALUE"""),"")</f>
        <v/>
      </c>
      <c r="E1076" s="36" t="str">
        <f>IFERROR(__xludf.DUMMYFUNCTION("""COMPUTED_VALUE"""),"01-20-07-212")</f>
        <v>01-20-07-212</v>
      </c>
      <c r="F1076" s="36"/>
      <c r="G1076" s="36" t="str">
        <f>IFERROR(__xludf.DUMMYFUNCTION("""COMPUTED_VALUE"""),"Cristobal Colón y Dominguito")</f>
        <v>Cristobal Colón y Dominguito</v>
      </c>
      <c r="H1076" s="36" t="str">
        <f>IFERROR(__xludf.DUMMYFUNCTION("""COMPUTED_VALUE"""),"")</f>
        <v/>
      </c>
    </row>
    <row r="1077">
      <c r="A1077" s="36" t="str">
        <f>IFERROR(__xludf.DUMMYFUNCTION("""COMPUTED_VALUE"""),"01-26-08-145A")</f>
        <v>01-26-08-145A</v>
      </c>
      <c r="B1077" s="36" t="str">
        <f>IFERROR(__xludf.DUMMYFUNCTION("""COMPUTED_VALUE"""),"")</f>
        <v/>
      </c>
      <c r="C1077" s="36" t="str">
        <f>IFERROR(__xludf.DUMMYFUNCTION("""COMPUTED_VALUE"""),"")</f>
        <v/>
      </c>
      <c r="D1077" s="36" t="str">
        <f>IFERROR(__xludf.DUMMYFUNCTION("""COMPUTED_VALUE"""),"")</f>
        <v/>
      </c>
      <c r="E1077" s="36" t="str">
        <f>IFERROR(__xludf.DUMMYFUNCTION("""COMPUTED_VALUE"""),"01-21-07-211")</f>
        <v>01-21-07-211</v>
      </c>
      <c r="F1077" s="36"/>
      <c r="G1077" s="36" t="str">
        <f>IFERROR(__xludf.DUMMYFUNCTION("""COMPUTED_VALUE"""),"Cristobal Colón y Los Almendros")</f>
        <v>Cristobal Colón y Los Almendros</v>
      </c>
      <c r="H1077" s="36" t="str">
        <f>IFERROR(__xludf.DUMMYFUNCTION("""COMPUTED_VALUE"""),"")</f>
        <v/>
      </c>
    </row>
    <row r="1078">
      <c r="A1078" s="36" t="str">
        <f>IFERROR(__xludf.DUMMYFUNCTION("""COMPUTED_VALUE"""),"01-26-08-52J")</f>
        <v>01-26-08-52J</v>
      </c>
      <c r="B1078" s="36" t="str">
        <f>IFERROR(__xludf.DUMMYFUNCTION("""COMPUTED_VALUE"""),"")</f>
        <v/>
      </c>
      <c r="C1078" s="36" t="str">
        <f>IFERROR(__xludf.DUMMYFUNCTION("""COMPUTED_VALUE"""),"")</f>
        <v/>
      </c>
      <c r="D1078" s="36" t="str">
        <f>IFERROR(__xludf.DUMMYFUNCTION("""COMPUTED_VALUE"""),"")</f>
        <v/>
      </c>
      <c r="E1078" s="36" t="str">
        <f>IFERROR(__xludf.DUMMYFUNCTION("""COMPUTED_VALUE"""),"01-21-07-213")</f>
        <v>01-21-07-213</v>
      </c>
      <c r="F1078" s="36"/>
      <c r="G1078" s="36" t="str">
        <f>IFERROR(__xludf.DUMMYFUNCTION("""COMPUTED_VALUE"""),"Cristobal Colón y Virgen de Lourdes")</f>
        <v>Cristobal Colón y Virgen de Lourdes</v>
      </c>
      <c r="H1078" s="36" t="str">
        <f>IFERROR(__xludf.DUMMYFUNCTION("""COMPUTED_VALUE"""),"")</f>
        <v/>
      </c>
    </row>
    <row r="1079">
      <c r="A1079" s="36" t="str">
        <f>IFERROR(__xludf.DUMMYFUNCTION("""COMPUTED_VALUE"""),"01-27-08-108")</f>
        <v>01-27-08-108</v>
      </c>
      <c r="B1079" s="36" t="str">
        <f>IFERROR(__xludf.DUMMYFUNCTION("""COMPUTED_VALUE"""),"")</f>
        <v/>
      </c>
      <c r="C1079" s="36" t="str">
        <f>IFERROR(__xludf.DUMMYFUNCTION("""COMPUTED_VALUE"""),"")</f>
        <v/>
      </c>
      <c r="D1079" s="36" t="str">
        <f>IFERROR(__xludf.DUMMYFUNCTION("""COMPUTED_VALUE"""),"")</f>
        <v/>
      </c>
      <c r="E1079" s="36" t="str">
        <f>IFERROR(__xludf.DUMMYFUNCTION("""COMPUTED_VALUE"""),"01-22-08-103")</f>
        <v>01-22-08-103</v>
      </c>
      <c r="F1079" s="36"/>
      <c r="G1079" s="36" t="str">
        <f>IFERROR(__xludf.DUMMYFUNCTION("""COMPUTED_VALUE"""),"Cuartel de Bomberos y Policía")</f>
        <v>Cuartel de Bomberos y Policía</v>
      </c>
      <c r="H1079" s="36" t="str">
        <f>IFERROR(__xludf.DUMMYFUNCTION("""COMPUTED_VALUE"""),"")</f>
        <v/>
      </c>
    </row>
    <row r="1080">
      <c r="A1080" s="36" t="str">
        <f>IFERROR(__xludf.DUMMYFUNCTION("""COMPUTED_VALUE"""),"01-27-08-111")</f>
        <v>01-27-08-111</v>
      </c>
      <c r="B1080" s="36" t="str">
        <f>IFERROR(__xludf.DUMMYFUNCTION("""COMPUTED_VALUE"""),"")</f>
        <v/>
      </c>
      <c r="C1080" s="36" t="str">
        <f>IFERROR(__xludf.DUMMYFUNCTION("""COMPUTED_VALUE"""),"")</f>
        <v/>
      </c>
      <c r="D1080" s="36" t="str">
        <f>IFERROR(__xludf.DUMMYFUNCTION("""COMPUTED_VALUE"""),"")</f>
        <v/>
      </c>
      <c r="E1080" s="36" t="str">
        <f>IFERROR(__xludf.DUMMYFUNCTION("""COMPUTED_VALUE"""),"08-22-03-34")</f>
        <v>08-22-03-34</v>
      </c>
      <c r="F1080" s="36"/>
      <c r="G1080" s="36" t="str">
        <f>IFERROR(__xludf.DUMMYFUNCTION("""COMPUTED_VALUE"""),"Cuba y Ecuador")</f>
        <v>Cuba y Ecuador</v>
      </c>
      <c r="H1080" s="36" t="str">
        <f>IFERROR(__xludf.DUMMYFUNCTION("""COMPUTED_VALUE"""),"")</f>
        <v/>
      </c>
    </row>
    <row r="1081">
      <c r="A1081" s="36" t="str">
        <f>IFERROR(__xludf.DUMMYFUNCTION("""COMPUTED_VALUE"""),"01-27-08-114")</f>
        <v>01-27-08-114</v>
      </c>
      <c r="B1081" s="36" t="str">
        <f>IFERROR(__xludf.DUMMYFUNCTION("""COMPUTED_VALUE"""),"")</f>
        <v/>
      </c>
      <c r="C1081" s="36" t="str">
        <f>IFERROR(__xludf.DUMMYFUNCTION("""COMPUTED_VALUE"""),"")</f>
        <v/>
      </c>
      <c r="D1081" s="36" t="str">
        <f>IFERROR(__xludf.DUMMYFUNCTION("""COMPUTED_VALUE"""),"")</f>
        <v/>
      </c>
      <c r="E1081" s="36" t="str">
        <f>IFERROR(__xludf.DUMMYFUNCTION("""COMPUTED_VALUE"""),"08-22-03-35")</f>
        <v>08-22-03-35</v>
      </c>
      <c r="F1081" s="36"/>
      <c r="G1081" s="36" t="str">
        <f>IFERROR(__xludf.DUMMYFUNCTION("""COMPUTED_VALUE"""),"Cuba y Paraguay")</f>
        <v>Cuba y Paraguay</v>
      </c>
      <c r="H1081" s="36" t="str">
        <f>IFERROR(__xludf.DUMMYFUNCTION("""COMPUTED_VALUE"""),"")</f>
        <v/>
      </c>
    </row>
    <row r="1082">
      <c r="A1082" s="36" t="str">
        <f>IFERROR(__xludf.DUMMYFUNCTION("""COMPUTED_VALUE"""),"01-27-08-117")</f>
        <v>01-27-08-117</v>
      </c>
      <c r="B1082" s="36" t="str">
        <f>IFERROR(__xludf.DUMMYFUNCTION("""COMPUTED_VALUE"""),"")</f>
        <v/>
      </c>
      <c r="C1082" s="36" t="str">
        <f>IFERROR(__xludf.DUMMYFUNCTION("""COMPUTED_VALUE"""),"")</f>
        <v/>
      </c>
      <c r="D1082" s="36" t="str">
        <f>IFERROR(__xludf.DUMMYFUNCTION("""COMPUTED_VALUE"""),"")</f>
        <v/>
      </c>
      <c r="E1082" s="36" t="str">
        <f>IFERROR(__xludf.DUMMYFUNCTION("""COMPUTED_VALUE"""),"02-37-12-262")</f>
        <v>02-37-12-262</v>
      </c>
      <c r="F1082" s="36"/>
      <c r="G1082" s="36" t="str">
        <f>IFERROR(__xludf.DUMMYFUNCTION("""COMPUTED_VALUE"""),"Curupayti y Av. I. de la Roza")</f>
        <v>Curupayti y Av. I. de la Roza</v>
      </c>
      <c r="H1082" s="36" t="str">
        <f>IFERROR(__xludf.DUMMYFUNCTION("""COMPUTED_VALUE"""),"")</f>
        <v/>
      </c>
    </row>
    <row r="1083">
      <c r="A1083" s="36" t="str">
        <f>IFERROR(__xludf.DUMMYFUNCTION("""COMPUTED_VALUE"""),"01-27-08-119")</f>
        <v>01-27-08-119</v>
      </c>
      <c r="B1083" s="36" t="str">
        <f>IFERROR(__xludf.DUMMYFUNCTION("""COMPUTED_VALUE"""),"")</f>
        <v/>
      </c>
      <c r="C1083" s="36" t="str">
        <f>IFERROR(__xludf.DUMMYFUNCTION("""COMPUTED_VALUE"""),"")</f>
        <v/>
      </c>
      <c r="D1083" s="36" t="str">
        <f>IFERROR(__xludf.DUMMYFUNCTION("""COMPUTED_VALUE"""),"")</f>
        <v/>
      </c>
      <c r="E1083" s="36" t="str">
        <f>IFERROR(__xludf.DUMMYFUNCTION("""COMPUTED_VALUE"""),"02-37-06-11A")</f>
        <v>02-37-06-11A</v>
      </c>
      <c r="F1083" s="36"/>
      <c r="G1083" s="36" t="str">
        <f>IFERROR(__xludf.DUMMYFUNCTION("""COMPUTED_VALUE"""),"Curupaytí y Reconquista")</f>
        <v>Curupaytí y Reconquista</v>
      </c>
      <c r="H1083" s="36" t="str">
        <f>IFERROR(__xludf.DUMMYFUNCTION("""COMPUTED_VALUE"""),"")</f>
        <v/>
      </c>
    </row>
    <row r="1084">
      <c r="A1084" s="36" t="str">
        <f>IFERROR(__xludf.DUMMYFUNCTION("""COMPUTED_VALUE"""),"01-27-08-133")</f>
        <v>01-27-08-133</v>
      </c>
      <c r="B1084" s="36" t="str">
        <f>IFERROR(__xludf.DUMMYFUNCTION("""COMPUTED_VALUE"""),"")</f>
        <v/>
      </c>
      <c r="C1084" s="36" t="str">
        <f>IFERROR(__xludf.DUMMYFUNCTION("""COMPUTED_VALUE"""),"")</f>
        <v/>
      </c>
      <c r="D1084" s="36" t="str">
        <f>IFERROR(__xludf.DUMMYFUNCTION("""COMPUTED_VALUE"""),"")</f>
        <v/>
      </c>
      <c r="E1084" s="36" t="str">
        <f>IFERROR(__xludf.DUMMYFUNCTION("""COMPUTED_VALUE"""),"03-30-10-66B")</f>
        <v>03-30-10-66B</v>
      </c>
      <c r="F1084" s="36"/>
      <c r="G1084" s="36" t="str">
        <f>IFERROR(__xludf.DUMMYFUNCTION("""COMPUTED_VALUE"""),"De Leloir y Paula A. de Sarmiento Este")</f>
        <v>De Leloir y Paula A. de Sarmiento Este</v>
      </c>
      <c r="H1084" s="36" t="str">
        <f>IFERROR(__xludf.DUMMYFUNCTION("""COMPUTED_VALUE"""),"")</f>
        <v/>
      </c>
    </row>
    <row r="1085">
      <c r="A1085" s="36" t="str">
        <f>IFERROR(__xludf.DUMMYFUNCTION("""COMPUTED_VALUE"""),"01-27-08-134")</f>
        <v>01-27-08-134</v>
      </c>
      <c r="B1085" s="36" t="str">
        <f>IFERROR(__xludf.DUMMYFUNCTION("""COMPUTED_VALUE"""),"")</f>
        <v/>
      </c>
      <c r="C1085" s="36" t="str">
        <f>IFERROR(__xludf.DUMMYFUNCTION("""COMPUTED_VALUE"""),"")</f>
        <v/>
      </c>
      <c r="D1085" s="36" t="str">
        <f>IFERROR(__xludf.DUMMYFUNCTION("""COMPUTED_VALUE"""),"")</f>
        <v/>
      </c>
      <c r="E1085" s="36" t="str">
        <f>IFERROR(__xludf.DUMMYFUNCTION("""COMPUTED_VALUE"""),"03-30-10-66A")</f>
        <v>03-30-10-66A</v>
      </c>
      <c r="F1085" s="36"/>
      <c r="G1085" s="36" t="str">
        <f>IFERROR(__xludf.DUMMYFUNCTION("""COMPUTED_VALUE"""),"De Leloir y Paula A. de Sarmiento Oeste")</f>
        <v>De Leloir y Paula A. de Sarmiento Oeste</v>
      </c>
      <c r="H1085" s="36" t="str">
        <f>IFERROR(__xludf.DUMMYFUNCTION("""COMPUTED_VALUE"""),"")</f>
        <v/>
      </c>
    </row>
    <row r="1086">
      <c r="A1086" s="36" t="str">
        <f>IFERROR(__xludf.DUMMYFUNCTION("""COMPUTED_VALUE"""),"01-27-08-52F")</f>
        <v>01-27-08-52F</v>
      </c>
      <c r="B1086" s="36" t="str">
        <f>IFERROR(__xludf.DUMMYFUNCTION("""COMPUTED_VALUE"""),"")</f>
        <v/>
      </c>
      <c r="C1086" s="36" t="str">
        <f>IFERROR(__xludf.DUMMYFUNCTION("""COMPUTED_VALUE"""),"")</f>
        <v/>
      </c>
      <c r="D1086" s="36" t="str">
        <f>IFERROR(__xludf.DUMMYFUNCTION("""COMPUTED_VALUE"""),"")</f>
        <v/>
      </c>
      <c r="E1086" s="36" t="str">
        <f>IFERROR(__xludf.DUMMYFUNCTION("""COMPUTED_VALUE"""),"08-23-04-59")</f>
        <v>08-23-04-59</v>
      </c>
      <c r="F1086" s="36"/>
      <c r="G1086" s="36" t="str">
        <f>IFERROR(__xludf.DUMMYFUNCTION("""COMPUTED_VALUE"""),"De los Vega y Plaza")</f>
        <v>De los Vega y Plaza</v>
      </c>
      <c r="H1086" s="36" t="str">
        <f>IFERROR(__xludf.DUMMYFUNCTION("""COMPUTED_VALUE"""),"")</f>
        <v/>
      </c>
    </row>
    <row r="1087">
      <c r="A1087" s="36" t="str">
        <f>IFERROR(__xludf.DUMMYFUNCTION("""COMPUTED_VALUE"""),"01-27-08-52G")</f>
        <v>01-27-08-52G</v>
      </c>
      <c r="B1087" s="36" t="str">
        <f>IFERROR(__xludf.DUMMYFUNCTION("""COMPUTED_VALUE"""),"")</f>
        <v/>
      </c>
      <c r="C1087" s="36" t="str">
        <f>IFERROR(__xludf.DUMMYFUNCTION("""COMPUTED_VALUE"""),"")</f>
        <v/>
      </c>
      <c r="D1087" s="36" t="str">
        <f>IFERROR(__xludf.DUMMYFUNCTION("""COMPUTED_VALUE"""),"")</f>
        <v/>
      </c>
      <c r="E1087" s="36" t="str">
        <f>IFERROR(__xludf.DUMMYFUNCTION("""COMPUTED_VALUE"""),"08-23-04-60")</f>
        <v>08-23-04-60</v>
      </c>
      <c r="F1087" s="36"/>
      <c r="G1087" s="36" t="str">
        <f>IFERROR(__xludf.DUMMYFUNCTION("""COMPUTED_VALUE"""),"De los Vega y Proyectada")</f>
        <v>De los Vega y Proyectada</v>
      </c>
      <c r="H1087" s="36" t="str">
        <f>IFERROR(__xludf.DUMMYFUNCTION("""COMPUTED_VALUE"""),"")</f>
        <v/>
      </c>
    </row>
    <row r="1088">
      <c r="A1088" s="36" t="str">
        <f>IFERROR(__xludf.DUMMYFUNCTION("""COMPUTED_VALUE"""),"01-27-08-52H")</f>
        <v>01-27-08-52H</v>
      </c>
      <c r="B1088" s="36" t="str">
        <f>IFERROR(__xludf.DUMMYFUNCTION("""COMPUTED_VALUE"""),"")</f>
        <v/>
      </c>
      <c r="C1088" s="36" t="str">
        <f>IFERROR(__xludf.DUMMYFUNCTION("""COMPUTED_VALUE"""),"")</f>
        <v/>
      </c>
      <c r="D1088" s="36" t="str">
        <f>IFERROR(__xludf.DUMMYFUNCTION("""COMPUTED_VALUE"""),"")</f>
        <v/>
      </c>
      <c r="E1088" s="36" t="str">
        <f>IFERROR(__xludf.DUMMYFUNCTION("""COMPUTED_VALUE"""),"02-29-07-96")</f>
        <v>02-29-07-96</v>
      </c>
      <c r="F1088" s="36"/>
      <c r="G1088" s="36" t="str">
        <f>IFERROR(__xludf.DUMMYFUNCTION("""COMPUTED_VALUE"""),"De. Bazán Agras y Vice Gdor. Cattani")</f>
        <v>De. Bazán Agras y Vice Gdor. Cattani</v>
      </c>
      <c r="H1088" s="36" t="str">
        <f>IFERROR(__xludf.DUMMYFUNCTION("""COMPUTED_VALUE"""),"")</f>
        <v/>
      </c>
    </row>
    <row r="1089">
      <c r="A1089" s="36" t="str">
        <f>IFERROR(__xludf.DUMMYFUNCTION("""COMPUTED_VALUE"""),"01-27-08-52K")</f>
        <v>01-27-08-52K</v>
      </c>
      <c r="B1089" s="36" t="str">
        <f>IFERROR(__xludf.DUMMYFUNCTION("""COMPUTED_VALUE"""),"")</f>
        <v/>
      </c>
      <c r="C1089" s="36" t="str">
        <f>IFERROR(__xludf.DUMMYFUNCTION("""COMPUTED_VALUE"""),"")</f>
        <v/>
      </c>
      <c r="D1089" s="36" t="str">
        <f>IFERROR(__xludf.DUMMYFUNCTION("""COMPUTED_VALUE"""),"")</f>
        <v/>
      </c>
      <c r="E1089" s="36" t="str">
        <f>IFERROR(__xludf.DUMMYFUNCTION("""COMPUTED_VALUE"""),"02-29-07-95")</f>
        <v>02-29-07-95</v>
      </c>
      <c r="F1089" s="36"/>
      <c r="G1089" s="36" t="str">
        <f>IFERROR(__xludf.DUMMYFUNCTION("""COMPUTED_VALUE"""),"De. Bazán Agras y Zuluaga")</f>
        <v>De. Bazán Agras y Zuluaga</v>
      </c>
      <c r="H1089" s="36" t="str">
        <f>IFERROR(__xludf.DUMMYFUNCTION("""COMPUTED_VALUE"""),"")</f>
        <v/>
      </c>
    </row>
    <row r="1090">
      <c r="A1090" s="36" t="str">
        <f>IFERROR(__xludf.DUMMYFUNCTION("""COMPUTED_VALUE"""),"01-27-08-52L")</f>
        <v>01-27-08-52L</v>
      </c>
      <c r="B1090" s="36" t="str">
        <f>IFERROR(__xludf.DUMMYFUNCTION("""COMPUTED_VALUE"""),"")</f>
        <v/>
      </c>
      <c r="C1090" s="36" t="str">
        <f>IFERROR(__xludf.DUMMYFUNCTION("""COMPUTED_VALUE"""),"")</f>
        <v/>
      </c>
      <c r="D1090" s="36" t="str">
        <f>IFERROR(__xludf.DUMMYFUNCTION("""COMPUTED_VALUE"""),"")</f>
        <v/>
      </c>
      <c r="E1090" s="36" t="str">
        <f>IFERROR(__xludf.DUMMYFUNCTION("""COMPUTED_VALUE"""),"01-45-07-172A")</f>
        <v>01-45-07-172A</v>
      </c>
      <c r="F1090" s="36"/>
      <c r="G1090" s="36" t="str">
        <f>IFERROR(__xludf.DUMMYFUNCTION("""COMPUTED_VALUE"""),"Del Bono y Av. Libertador")</f>
        <v>Del Bono y Av. Libertador</v>
      </c>
      <c r="H1090" s="36" t="str">
        <f>IFERROR(__xludf.DUMMYFUNCTION("""COMPUTED_VALUE"""),"")</f>
        <v/>
      </c>
    </row>
    <row r="1091">
      <c r="A1091" s="36" t="str">
        <f>IFERROR(__xludf.DUMMYFUNCTION("""COMPUTED_VALUE"""),"01-27-08-52M")</f>
        <v>01-27-08-52M</v>
      </c>
      <c r="B1091" s="36" t="str">
        <f>IFERROR(__xludf.DUMMYFUNCTION("""COMPUTED_VALUE"""),"")</f>
        <v/>
      </c>
      <c r="C1091" s="36" t="str">
        <f>IFERROR(__xludf.DUMMYFUNCTION("""COMPUTED_VALUE"""),"")</f>
        <v/>
      </c>
      <c r="D1091" s="36" t="str">
        <f>IFERROR(__xludf.DUMMYFUNCTION("""COMPUTED_VALUE"""),"")</f>
        <v/>
      </c>
      <c r="E1091" s="36" t="str">
        <f>IFERROR(__xludf.DUMMYFUNCTION("""COMPUTED_VALUE"""),"04-34-12-34A")</f>
        <v>04-34-12-34A</v>
      </c>
      <c r="F1091" s="36"/>
      <c r="G1091" s="36" t="str">
        <f>IFERROR(__xludf.DUMMYFUNCTION("""COMPUTED_VALUE"""),"Del Libano y Av. Paula Albarracín")</f>
        <v>Del Libano y Av. Paula Albarracín</v>
      </c>
      <c r="H1091" s="36" t="str">
        <f>IFERROR(__xludf.DUMMYFUNCTION("""COMPUTED_VALUE"""),"")</f>
        <v/>
      </c>
    </row>
    <row r="1092">
      <c r="A1092" s="36" t="str">
        <f>IFERROR(__xludf.DUMMYFUNCTION("""COMPUTED_VALUE"""),"01-27-08-52Ñ")</f>
        <v>01-27-08-52Ñ</v>
      </c>
      <c r="B1092" s="36" t="str">
        <f>IFERROR(__xludf.DUMMYFUNCTION("""COMPUTED_VALUE"""),"")</f>
        <v/>
      </c>
      <c r="C1092" s="36" t="str">
        <f>IFERROR(__xludf.DUMMYFUNCTION("""COMPUTED_VALUE"""),"")</f>
        <v/>
      </c>
      <c r="D1092" s="36" t="str">
        <f>IFERROR(__xludf.DUMMYFUNCTION("""COMPUTED_VALUE"""),"")</f>
        <v/>
      </c>
      <c r="E1092" s="36" t="str">
        <f>IFERROR(__xludf.DUMMYFUNCTION("""COMPUTED_VALUE"""),"04-34-12-32A")</f>
        <v>04-34-12-32A</v>
      </c>
      <c r="F1092" s="36"/>
      <c r="G1092" s="36" t="str">
        <f>IFERROR(__xludf.DUMMYFUNCTION("""COMPUTED_VALUE"""),"Del Libano y R. de Provincia Sur")</f>
        <v>Del Libano y R. de Provincia Sur</v>
      </c>
      <c r="H1092" s="36" t="str">
        <f>IFERROR(__xludf.DUMMYFUNCTION("""COMPUTED_VALUE"""),"")</f>
        <v/>
      </c>
    </row>
    <row r="1093">
      <c r="A1093" s="36" t="str">
        <f>IFERROR(__xludf.DUMMYFUNCTION("""COMPUTED_VALUE"""),"01-27-08-52O")</f>
        <v>01-27-08-52O</v>
      </c>
      <c r="B1093" s="36" t="str">
        <f>IFERROR(__xludf.DUMMYFUNCTION("""COMPUTED_VALUE"""),"")</f>
        <v/>
      </c>
      <c r="C1093" s="36" t="str">
        <f>IFERROR(__xludf.DUMMYFUNCTION("""COMPUTED_VALUE"""),"")</f>
        <v/>
      </c>
      <c r="D1093" s="36" t="str">
        <f>IFERROR(__xludf.DUMMYFUNCTION("""COMPUTED_VALUE"""),"")</f>
        <v/>
      </c>
      <c r="E1093" s="36" t="str">
        <f>IFERROR(__xludf.DUMMYFUNCTION("""COMPUTED_VALUE"""),"04-34-12-27")</f>
        <v>04-34-12-27</v>
      </c>
      <c r="F1093" s="36"/>
      <c r="G1093" s="36" t="str">
        <f>IFERROR(__xludf.DUMMYFUNCTION("""COMPUTED_VALUE"""),"Del Libano y Soldado Argentino Sur")</f>
        <v>Del Libano y Soldado Argentino Sur</v>
      </c>
      <c r="H1093" s="36" t="str">
        <f>IFERROR(__xludf.DUMMYFUNCTION("""COMPUTED_VALUE"""),"")</f>
        <v/>
      </c>
    </row>
    <row r="1094">
      <c r="A1094" s="36" t="str">
        <f>IFERROR(__xludf.DUMMYFUNCTION("""COMPUTED_VALUE"""),"01-27-08-52P")</f>
        <v>01-27-08-52P</v>
      </c>
      <c r="B1094" s="36" t="str">
        <f>IFERROR(__xludf.DUMMYFUNCTION("""COMPUTED_VALUE"""),"")</f>
        <v/>
      </c>
      <c r="C1094" s="36" t="str">
        <f>IFERROR(__xludf.DUMMYFUNCTION("""COMPUTED_VALUE"""),"")</f>
        <v/>
      </c>
      <c r="D1094" s="36" t="str">
        <f>IFERROR(__xludf.DUMMYFUNCTION("""COMPUTED_VALUE"""),"")</f>
        <v/>
      </c>
      <c r="E1094" s="36" t="str">
        <f>IFERROR(__xludf.DUMMYFUNCTION("""COMPUTED_VALUE"""),"08-23-04-25")</f>
        <v>08-23-04-25</v>
      </c>
      <c r="F1094" s="36"/>
      <c r="G1094" s="36" t="str">
        <f>IFERROR(__xludf.DUMMYFUNCTION("""COMPUTED_VALUE"""),"Diagonal Fernández E")</f>
        <v>Diagonal Fernández E</v>
      </c>
      <c r="H1094" s="36" t="str">
        <f>IFERROR(__xludf.DUMMYFUNCTION("""COMPUTED_VALUE"""),"")</f>
        <v/>
      </c>
    </row>
    <row r="1095">
      <c r="A1095" s="36" t="str">
        <f>IFERROR(__xludf.DUMMYFUNCTION("""COMPUTED_VALUE"""),"01-27-08-52Q")</f>
        <v>01-27-08-52Q</v>
      </c>
      <c r="B1095" s="36" t="str">
        <f>IFERROR(__xludf.DUMMYFUNCTION("""COMPUTED_VALUE"""),"")</f>
        <v/>
      </c>
      <c r="C1095" s="36" t="str">
        <f>IFERROR(__xludf.DUMMYFUNCTION("""COMPUTED_VALUE"""),"")</f>
        <v/>
      </c>
      <c r="D1095" s="36" t="str">
        <f>IFERROR(__xludf.DUMMYFUNCTION("""COMPUTED_VALUE"""),"")</f>
        <v/>
      </c>
      <c r="E1095" s="36" t="str">
        <f>IFERROR(__xludf.DUMMYFUNCTION("""COMPUTED_VALUE"""),"08-23-04-24")</f>
        <v>08-23-04-24</v>
      </c>
      <c r="F1095" s="36"/>
      <c r="G1095" s="36" t="str">
        <f>IFERROR(__xludf.DUMMYFUNCTION("""COMPUTED_VALUE"""),"Diagonal Fernández O")</f>
        <v>Diagonal Fernández O</v>
      </c>
      <c r="H1095" s="36" t="str">
        <f>IFERROR(__xludf.DUMMYFUNCTION("""COMPUTED_VALUE"""),"")</f>
        <v/>
      </c>
    </row>
    <row r="1096">
      <c r="A1096" s="36" t="str">
        <f>IFERROR(__xludf.DUMMYFUNCTION("""COMPUTED_VALUE"""),"01-27-08-52S")</f>
        <v>01-27-08-52S</v>
      </c>
      <c r="B1096" s="36" t="str">
        <f>IFERROR(__xludf.DUMMYFUNCTION("""COMPUTED_VALUE"""),"")</f>
        <v/>
      </c>
      <c r="C1096" s="36" t="str">
        <f>IFERROR(__xludf.DUMMYFUNCTION("""COMPUTED_VALUE"""),"")</f>
        <v/>
      </c>
      <c r="D1096" s="36" t="str">
        <f>IFERROR(__xludf.DUMMYFUNCTION("""COMPUTED_VALUE"""),"")</f>
        <v/>
      </c>
      <c r="E1096" s="36" t="str">
        <f>IFERROR(__xludf.DUMMYFUNCTION("""COMPUTED_VALUE"""),"01-20-07-200")</f>
        <v>01-20-07-200</v>
      </c>
      <c r="F1096" s="36"/>
      <c r="G1096" s="36" t="str">
        <f>IFERROR(__xludf.DUMMYFUNCTION("""COMPUTED_VALUE"""),"Diagonal Viamonte y Dominguito")</f>
        <v>Diagonal Viamonte y Dominguito</v>
      </c>
      <c r="H1096" s="36" t="str">
        <f>IFERROR(__xludf.DUMMYFUNCTION("""COMPUTED_VALUE"""),"")</f>
        <v/>
      </c>
    </row>
    <row r="1097">
      <c r="A1097" s="36" t="str">
        <f>IFERROR(__xludf.DUMMYFUNCTION("""COMPUTED_VALUE"""),"01-28-08-109")</f>
        <v>01-28-08-109</v>
      </c>
      <c r="B1097" s="36" t="str">
        <f>IFERROR(__xludf.DUMMYFUNCTION("""COMPUTED_VALUE"""),"")</f>
        <v/>
      </c>
      <c r="C1097" s="36" t="str">
        <f>IFERROR(__xludf.DUMMYFUNCTION("""COMPUTED_VALUE"""),"")</f>
        <v/>
      </c>
      <c r="D1097" s="36" t="str">
        <f>IFERROR(__xludf.DUMMYFUNCTION("""COMPUTED_VALUE"""),"")</f>
        <v/>
      </c>
      <c r="E1097" s="36" t="str">
        <f>IFERROR(__xludf.DUMMYFUNCTION("""COMPUTED_VALUE"""),"03-31-09-99")</f>
        <v>03-31-09-99</v>
      </c>
      <c r="F1097" s="36"/>
      <c r="G1097" s="36" t="str">
        <f>IFERROR(__xludf.DUMMYFUNCTION("""COMPUTED_VALUE"""),"Díaz Costa y 4 de Diciembre")</f>
        <v>Díaz Costa y 4 de Diciembre</v>
      </c>
      <c r="H1097" s="36" t="str">
        <f>IFERROR(__xludf.DUMMYFUNCTION("""COMPUTED_VALUE"""),"")</f>
        <v/>
      </c>
    </row>
    <row r="1098">
      <c r="A1098" s="36" t="str">
        <f>IFERROR(__xludf.DUMMYFUNCTION("""COMPUTED_VALUE"""),"01-28-08-112")</f>
        <v>01-28-08-112</v>
      </c>
      <c r="B1098" s="36" t="str">
        <f>IFERROR(__xludf.DUMMYFUNCTION("""COMPUTED_VALUE"""),"")</f>
        <v/>
      </c>
      <c r="C1098" s="36" t="str">
        <f>IFERROR(__xludf.DUMMYFUNCTION("""COMPUTED_VALUE"""),"")</f>
        <v/>
      </c>
      <c r="D1098" s="36" t="str">
        <f>IFERROR(__xludf.DUMMYFUNCTION("""COMPUTED_VALUE"""),"")</f>
        <v/>
      </c>
      <c r="E1098" s="36" t="str">
        <f>IFERROR(__xludf.DUMMYFUNCTION("""COMPUTED_VALUE"""),"03-31-09-100")</f>
        <v>03-31-09-100</v>
      </c>
      <c r="F1098" s="36"/>
      <c r="G1098" s="36" t="str">
        <f>IFERROR(__xludf.DUMMYFUNCTION("""COMPUTED_VALUE"""),"Díaz Costa y Cabildo")</f>
        <v>Díaz Costa y Cabildo</v>
      </c>
      <c r="H1098" s="36" t="str">
        <f>IFERROR(__xludf.DUMMYFUNCTION("""COMPUTED_VALUE"""),"")</f>
        <v/>
      </c>
    </row>
    <row r="1099">
      <c r="A1099" s="36" t="str">
        <f>IFERROR(__xludf.DUMMYFUNCTION("""COMPUTED_VALUE"""),"01-28-08-113")</f>
        <v>01-28-08-113</v>
      </c>
      <c r="B1099" s="36" t="str">
        <f>IFERROR(__xludf.DUMMYFUNCTION("""COMPUTED_VALUE"""),"")</f>
        <v/>
      </c>
      <c r="C1099" s="36" t="str">
        <f>IFERROR(__xludf.DUMMYFUNCTION("""COMPUTED_VALUE"""),"")</f>
        <v/>
      </c>
      <c r="D1099" s="36" t="str">
        <f>IFERROR(__xludf.DUMMYFUNCTION("""COMPUTED_VALUE"""),"")</f>
        <v/>
      </c>
      <c r="E1099" s="36" t="str">
        <f>IFERROR(__xludf.DUMMYFUNCTION("""COMPUTED_VALUE"""),"08-40-02-110")</f>
        <v>08-40-02-110</v>
      </c>
      <c r="F1099" s="36"/>
      <c r="G1099" s="36" t="str">
        <f>IFERROR(__xludf.DUMMYFUNCTION("""COMPUTED_VALUE"""),"Díaz Norte")</f>
        <v>Díaz Norte</v>
      </c>
      <c r="H1099" s="36" t="str">
        <f>IFERROR(__xludf.DUMMYFUNCTION("""COMPUTED_VALUE"""),"")</f>
        <v/>
      </c>
    </row>
    <row r="1100">
      <c r="A1100" s="36" t="str">
        <f>IFERROR(__xludf.DUMMYFUNCTION("""COMPUTED_VALUE"""),"01-28-08-115")</f>
        <v>01-28-08-115</v>
      </c>
      <c r="B1100" s="36" t="str">
        <f>IFERROR(__xludf.DUMMYFUNCTION("""COMPUTED_VALUE"""),"")</f>
        <v/>
      </c>
      <c r="C1100" s="36" t="str">
        <f>IFERROR(__xludf.DUMMYFUNCTION("""COMPUTED_VALUE"""),"")</f>
        <v/>
      </c>
      <c r="D1100" s="36" t="str">
        <f>IFERROR(__xludf.DUMMYFUNCTION("""COMPUTED_VALUE"""),"")</f>
        <v/>
      </c>
      <c r="E1100" s="36" t="str">
        <f>IFERROR(__xludf.DUMMYFUNCTION("""COMPUTED_VALUE"""),"08-36-02-121")</f>
        <v>08-36-02-121</v>
      </c>
      <c r="F1100" s="36"/>
      <c r="G1100" s="36" t="str">
        <f>IFERROR(__xludf.DUMMYFUNCTION("""COMPUTED_VALUE"""),"Díaz Oeste y Formosa")</f>
        <v>Díaz Oeste y Formosa</v>
      </c>
      <c r="H1100" s="36" t="str">
        <f>IFERROR(__xludf.DUMMYFUNCTION("""COMPUTED_VALUE"""),"")</f>
        <v/>
      </c>
    </row>
    <row r="1101">
      <c r="A1101" s="36" t="str">
        <f>IFERROR(__xludf.DUMMYFUNCTION("""COMPUTED_VALUE"""),"01-28-08-116")</f>
        <v>01-28-08-116</v>
      </c>
      <c r="B1101" s="36" t="str">
        <f>IFERROR(__xludf.DUMMYFUNCTION("""COMPUTED_VALUE"""),"")</f>
        <v/>
      </c>
      <c r="C1101" s="36" t="str">
        <f>IFERROR(__xludf.DUMMYFUNCTION("""COMPUTED_VALUE"""),"")</f>
        <v/>
      </c>
      <c r="D1101" s="36" t="str">
        <f>IFERROR(__xludf.DUMMYFUNCTION("""COMPUTED_VALUE"""),"")</f>
        <v/>
      </c>
      <c r="E1101" s="36" t="str">
        <f>IFERROR(__xludf.DUMMYFUNCTION("""COMPUTED_VALUE"""),"08-40-02-122")</f>
        <v>08-40-02-122</v>
      </c>
      <c r="F1101" s="36"/>
      <c r="G1101" s="36" t="str">
        <f>IFERROR(__xludf.DUMMYFUNCTION("""COMPUTED_VALUE"""),"Díaz y Formosa E")</f>
        <v>Díaz y Formosa E</v>
      </c>
      <c r="H1101" s="36" t="str">
        <f>IFERROR(__xludf.DUMMYFUNCTION("""COMPUTED_VALUE"""),"")</f>
        <v/>
      </c>
    </row>
    <row r="1102">
      <c r="A1102" s="36" t="str">
        <f>IFERROR(__xludf.DUMMYFUNCTION("""COMPUTED_VALUE"""),"01-28-08-118")</f>
        <v>01-28-08-118</v>
      </c>
      <c r="B1102" s="36" t="str">
        <f>IFERROR(__xludf.DUMMYFUNCTION("""COMPUTED_VALUE"""),"")</f>
        <v/>
      </c>
      <c r="C1102" s="36" t="str">
        <f>IFERROR(__xludf.DUMMYFUNCTION("""COMPUTED_VALUE"""),"")</f>
        <v/>
      </c>
      <c r="D1102" s="36" t="str">
        <f>IFERROR(__xludf.DUMMYFUNCTION("""COMPUTED_VALUE"""),"")</f>
        <v/>
      </c>
      <c r="E1102" s="36" t="str">
        <f>IFERROR(__xludf.DUMMYFUNCTION("""COMPUTED_VALUE"""),"08-40-02-120")</f>
        <v>08-40-02-120</v>
      </c>
      <c r="F1102" s="36"/>
      <c r="G1102" s="36" t="str">
        <f>IFERROR(__xludf.DUMMYFUNCTION("""COMPUTED_VALUE"""),"Díaz y Proyectada E")</f>
        <v>Díaz y Proyectada E</v>
      </c>
      <c r="H1102" s="36" t="str">
        <f>IFERROR(__xludf.DUMMYFUNCTION("""COMPUTED_VALUE"""),"")</f>
        <v/>
      </c>
    </row>
    <row r="1103">
      <c r="A1103" s="36" t="str">
        <f>IFERROR(__xludf.DUMMYFUNCTION("""COMPUTED_VALUE"""),"01-28-08-120")</f>
        <v>01-28-08-120</v>
      </c>
      <c r="B1103" s="36" t="str">
        <f>IFERROR(__xludf.DUMMYFUNCTION("""COMPUTED_VALUE"""),"")</f>
        <v/>
      </c>
      <c r="C1103" s="36" t="str">
        <f>IFERROR(__xludf.DUMMYFUNCTION("""COMPUTED_VALUE"""),"")</f>
        <v/>
      </c>
      <c r="D1103" s="36" t="str">
        <f>IFERROR(__xludf.DUMMYFUNCTION("""COMPUTED_VALUE"""),"")</f>
        <v/>
      </c>
      <c r="E1103" s="36" t="str">
        <f>IFERROR(__xludf.DUMMYFUNCTION("""COMPUTED_VALUE"""),"08-36-02-111")</f>
        <v>08-36-02-111</v>
      </c>
      <c r="F1103" s="36"/>
      <c r="G1103" s="36" t="str">
        <f>IFERROR(__xludf.DUMMYFUNCTION("""COMPUTED_VALUE"""),"Díaz y Sta. Cruz")</f>
        <v>Díaz y Sta. Cruz</v>
      </c>
      <c r="H1103" s="36" t="str">
        <f>IFERROR(__xludf.DUMMYFUNCTION("""COMPUTED_VALUE"""),"")</f>
        <v/>
      </c>
    </row>
    <row r="1104">
      <c r="A1104" s="36" t="str">
        <f>IFERROR(__xludf.DUMMYFUNCTION("""COMPUTED_VALUE"""),"01-28-08-79A")</f>
        <v>01-28-08-79A</v>
      </c>
      <c r="B1104" s="36" t="str">
        <f>IFERROR(__xludf.DUMMYFUNCTION("""COMPUTED_VALUE"""),"")</f>
        <v/>
      </c>
      <c r="C1104" s="36" t="str">
        <f>IFERROR(__xludf.DUMMYFUNCTION("""COMPUTED_VALUE"""),"")</f>
        <v/>
      </c>
      <c r="D1104" s="36" t="str">
        <f>IFERROR(__xludf.DUMMYFUNCTION("""COMPUTED_VALUE"""),"")</f>
        <v/>
      </c>
      <c r="E1104" s="36" t="str">
        <f>IFERROR(__xludf.DUMMYFUNCTION("""COMPUTED_VALUE"""),"01-40-08-55")</f>
        <v>01-40-08-55</v>
      </c>
      <c r="F1104" s="36"/>
      <c r="G1104" s="36" t="str">
        <f>IFERROR(__xludf.DUMMYFUNCTION("""COMPUTED_VALUE"""),"Dirección Nacional de Vialidad")</f>
        <v>Dirección Nacional de Vialidad</v>
      </c>
      <c r="H1104" s="36" t="str">
        <f>IFERROR(__xludf.DUMMYFUNCTION("""COMPUTED_VALUE"""),"")</f>
        <v/>
      </c>
    </row>
    <row r="1105">
      <c r="A1105" s="36" t="str">
        <f>IFERROR(__xludf.DUMMYFUNCTION("""COMPUTED_VALUE"""),"01-28-08-80")</f>
        <v>01-28-08-80</v>
      </c>
      <c r="B1105" s="36" t="str">
        <f>IFERROR(__xludf.DUMMYFUNCTION("""COMPUTED_VALUE"""),"")</f>
        <v/>
      </c>
      <c r="C1105" s="36" t="str">
        <f>IFERROR(__xludf.DUMMYFUNCTION("""COMPUTED_VALUE"""),"")</f>
        <v/>
      </c>
      <c r="D1105" s="36" t="str">
        <f>IFERROR(__xludf.DUMMYFUNCTION("""COMPUTED_VALUE"""),"")</f>
        <v/>
      </c>
      <c r="E1105" s="36" t="str">
        <f>IFERROR(__xludf.DUMMYFUNCTION("""COMPUTED_VALUE"""),"02-32-05-11")</f>
        <v>02-32-05-11</v>
      </c>
      <c r="F1105" s="36"/>
      <c r="G1105" s="36" t="str">
        <f>IFERROR(__xludf.DUMMYFUNCTION("""COMPUTED_VALUE"""),"Doctor Arturo Zorrilla y Juan Blanes N")</f>
        <v>Doctor Arturo Zorrilla y Juan Blanes N</v>
      </c>
      <c r="H1105" s="36" t="str">
        <f>IFERROR(__xludf.DUMMYFUNCTION("""COMPUTED_VALUE"""),"")</f>
        <v/>
      </c>
    </row>
    <row r="1106">
      <c r="A1106" s="36" t="str">
        <f>IFERROR(__xludf.DUMMYFUNCTION("""COMPUTED_VALUE"""),"01-28-08-81")</f>
        <v>01-28-08-81</v>
      </c>
      <c r="B1106" s="36" t="str">
        <f>IFERROR(__xludf.DUMMYFUNCTION("""COMPUTED_VALUE"""),"")</f>
        <v/>
      </c>
      <c r="C1106" s="36" t="str">
        <f>IFERROR(__xludf.DUMMYFUNCTION("""COMPUTED_VALUE"""),"")</f>
        <v/>
      </c>
      <c r="D1106" s="36" t="str">
        <f>IFERROR(__xludf.DUMMYFUNCTION("""COMPUTED_VALUE"""),"")</f>
        <v/>
      </c>
      <c r="E1106" s="36" t="str">
        <f>IFERROR(__xludf.DUMMYFUNCTION("""COMPUTED_VALUE"""),"02-32-05-10")</f>
        <v>02-32-05-10</v>
      </c>
      <c r="F1106" s="36"/>
      <c r="G1106" s="36" t="str">
        <f>IFERROR(__xludf.DUMMYFUNCTION("""COMPUTED_VALUE"""),"Doctor Arturo Zorrilla y Juan Blanes S")</f>
        <v>Doctor Arturo Zorrilla y Juan Blanes S</v>
      </c>
      <c r="H1106" s="36" t="str">
        <f>IFERROR(__xludf.DUMMYFUNCTION("""COMPUTED_VALUE"""),"")</f>
        <v/>
      </c>
    </row>
    <row r="1107">
      <c r="A1107" s="36" t="str">
        <f>IFERROR(__xludf.DUMMYFUNCTION("""COMPUTED_VALUE"""),"01-28-08-82")</f>
        <v>01-28-08-82</v>
      </c>
      <c r="B1107" s="36" t="str">
        <f>IFERROR(__xludf.DUMMYFUNCTION("""COMPUTED_VALUE"""),"")</f>
        <v/>
      </c>
      <c r="C1107" s="36" t="str">
        <f>IFERROR(__xludf.DUMMYFUNCTION("""COMPUTED_VALUE"""),"")</f>
        <v/>
      </c>
      <c r="D1107" s="36" t="str">
        <f>IFERROR(__xludf.DUMMYFUNCTION("""COMPUTED_VALUE"""),"")</f>
        <v/>
      </c>
      <c r="E1107" s="36" t="str">
        <f>IFERROR(__xludf.DUMMYFUNCTION("""COMPUTED_VALUE"""),"01-20-07-199")</f>
        <v>01-20-07-199</v>
      </c>
      <c r="F1107" s="36"/>
      <c r="G1107" s="36" t="str">
        <f>IFERROR(__xludf.DUMMYFUNCTION("""COMPUTED_VALUE"""),"Dominguito y Diagonal Viamonte")</f>
        <v>Dominguito y Diagonal Viamonte</v>
      </c>
      <c r="H1107" s="36" t="str">
        <f>IFERROR(__xludf.DUMMYFUNCTION("""COMPUTED_VALUE"""),"")</f>
        <v/>
      </c>
    </row>
    <row r="1108">
      <c r="A1108" s="36" t="str">
        <f>IFERROR(__xludf.DUMMYFUNCTION("""COMPUTED_VALUE"""),"01-28-08-82A")</f>
        <v>01-28-08-82A</v>
      </c>
      <c r="B1108" s="36" t="str">
        <f>IFERROR(__xludf.DUMMYFUNCTION("""COMPUTED_VALUE"""),"")</f>
        <v/>
      </c>
      <c r="C1108" s="36" t="str">
        <f>IFERROR(__xludf.DUMMYFUNCTION("""COMPUTED_VALUE"""),"")</f>
        <v/>
      </c>
      <c r="D1108" s="36" t="str">
        <f>IFERROR(__xludf.DUMMYFUNCTION("""COMPUTED_VALUE"""),"")</f>
        <v/>
      </c>
      <c r="E1108" s="36" t="str">
        <f>IFERROR(__xludf.DUMMYFUNCTION("""COMPUTED_VALUE"""),"04-43-12-99")</f>
        <v>04-43-12-99</v>
      </c>
      <c r="F1108" s="36"/>
      <c r="G1108" s="36" t="str">
        <f>IFERROR(__xludf.DUMMYFUNCTION("""COMPUTED_VALUE"""),"Don Segundo Sombra y Fortabat
")</f>
        <v>Don Segundo Sombra y Fortabat
</v>
      </c>
      <c r="H1108" s="36" t="str">
        <f>IFERROR(__xludf.DUMMYFUNCTION("""COMPUTED_VALUE"""),"")</f>
        <v/>
      </c>
    </row>
    <row r="1109">
      <c r="A1109" s="36" t="str">
        <f>IFERROR(__xludf.DUMMYFUNCTION("""COMPUTED_VALUE"""),"01-28-08-83")</f>
        <v>01-28-08-83</v>
      </c>
      <c r="B1109" s="36" t="str">
        <f>IFERROR(__xludf.DUMMYFUNCTION("""COMPUTED_VALUE"""),"")</f>
        <v/>
      </c>
      <c r="C1109" s="36" t="str">
        <f>IFERROR(__xludf.DUMMYFUNCTION("""COMPUTED_VALUE"""),"")</f>
        <v/>
      </c>
      <c r="D1109" s="36" t="str">
        <f>IFERROR(__xludf.DUMMYFUNCTION("""COMPUTED_VALUE"""),"")</f>
        <v/>
      </c>
      <c r="E1109" s="36" t="str">
        <f>IFERROR(__xludf.DUMMYFUNCTION("""COMPUTED_VALUE"""),"04-43-12-92")</f>
        <v>04-43-12-92</v>
      </c>
      <c r="F1109" s="36"/>
      <c r="G1109" s="36" t="str">
        <f>IFERROR(__xludf.DUMMYFUNCTION("""COMPUTED_VALUE"""),"Don Segundo Sombra y General Paz")</f>
        <v>Don Segundo Sombra y General Paz</v>
      </c>
      <c r="H1109" s="36" t="str">
        <f>IFERROR(__xludf.DUMMYFUNCTION("""COMPUTED_VALUE"""),"")</f>
        <v/>
      </c>
    </row>
    <row r="1110">
      <c r="A1110" s="36" t="str">
        <f>IFERROR(__xludf.DUMMYFUNCTION("""COMPUTED_VALUE"""),"01-28-08-84")</f>
        <v>01-28-08-84</v>
      </c>
      <c r="B1110" s="36" t="str">
        <f>IFERROR(__xludf.DUMMYFUNCTION("""COMPUTED_VALUE"""),"")</f>
        <v/>
      </c>
      <c r="C1110" s="36" t="str">
        <f>IFERROR(__xludf.DUMMYFUNCTION("""COMPUTED_VALUE"""),"")</f>
        <v/>
      </c>
      <c r="D1110" s="36" t="str">
        <f>IFERROR(__xludf.DUMMYFUNCTION("""COMPUTED_VALUE"""),"")</f>
        <v/>
      </c>
      <c r="E1110" s="36" t="str">
        <f>IFERROR(__xludf.DUMMYFUNCTION("""COMPUTED_VALUE"""),"03-31-09-145")</f>
        <v>03-31-09-145</v>
      </c>
      <c r="F1110" s="36"/>
      <c r="G1110" s="36" t="str">
        <f>IFERROR(__xludf.DUMMYFUNCTION("""COMPUTED_VALUE"""),"Dorrego y Boulogne -S Mer")</f>
        <v>Dorrego y Boulogne -S Mer</v>
      </c>
      <c r="H1110" s="36" t="str">
        <f>IFERROR(__xludf.DUMMYFUNCTION("""COMPUTED_VALUE"""),"")</f>
        <v/>
      </c>
    </row>
    <row r="1111">
      <c r="A1111" s="36" t="str">
        <f>IFERROR(__xludf.DUMMYFUNCTION("""COMPUTED_VALUE"""),"01-28-08-85")</f>
        <v>01-28-08-85</v>
      </c>
      <c r="B1111" s="36" t="str">
        <f>IFERROR(__xludf.DUMMYFUNCTION("""COMPUTED_VALUE"""),"")</f>
        <v/>
      </c>
      <c r="C1111" s="36" t="str">
        <f>IFERROR(__xludf.DUMMYFUNCTION("""COMPUTED_VALUE"""),"")</f>
        <v/>
      </c>
      <c r="D1111" s="36" t="str">
        <f>IFERROR(__xludf.DUMMYFUNCTION("""COMPUTED_VALUE"""),"")</f>
        <v/>
      </c>
      <c r="E1111" s="36" t="str">
        <f>IFERROR(__xludf.DUMMYFUNCTION("""COMPUTED_VALUE"""),"03-31-09-146")</f>
        <v>03-31-09-146</v>
      </c>
      <c r="F1111" s="36"/>
      <c r="G1111" s="36" t="str">
        <f>IFERROR(__xludf.DUMMYFUNCTION("""COMPUTED_VALUE"""),"Dorrego y Maipú")</f>
        <v>Dorrego y Maipú</v>
      </c>
      <c r="H1111" s="36" t="str">
        <f>IFERROR(__xludf.DUMMYFUNCTION("""COMPUTED_VALUE"""),"")</f>
        <v/>
      </c>
    </row>
    <row r="1112">
      <c r="A1112" s="36" t="str">
        <f>IFERROR(__xludf.DUMMYFUNCTION("""COMPUTED_VALUE"""),"01-28-08-86")</f>
        <v>01-28-08-86</v>
      </c>
      <c r="B1112" s="36" t="str">
        <f>IFERROR(__xludf.DUMMYFUNCTION("""COMPUTED_VALUE"""),"")</f>
        <v/>
      </c>
      <c r="C1112" s="36" t="str">
        <f>IFERROR(__xludf.DUMMYFUNCTION("""COMPUTED_VALUE"""),"")</f>
        <v/>
      </c>
      <c r="D1112" s="36" t="str">
        <f>IFERROR(__xludf.DUMMYFUNCTION("""COMPUTED_VALUE"""),"")</f>
        <v/>
      </c>
      <c r="E1112" s="36" t="str">
        <f>IFERROR(__xludf.DUMMYFUNCTION("""COMPUTED_VALUE"""),"03-31-09-147")</f>
        <v>03-31-09-147</v>
      </c>
      <c r="F1112" s="36"/>
      <c r="G1112" s="36" t="str">
        <f>IFERROR(__xludf.DUMMYFUNCTION("""COMPUTED_VALUE"""),"Dorrego y Rivadavia")</f>
        <v>Dorrego y Rivadavia</v>
      </c>
      <c r="H1112" s="36" t="str">
        <f>IFERROR(__xludf.DUMMYFUNCTION("""COMPUTED_VALUE"""),"")</f>
        <v/>
      </c>
    </row>
    <row r="1113">
      <c r="A1113" s="36" t="str">
        <f>IFERROR(__xludf.DUMMYFUNCTION("""COMPUTED_VALUE"""),"01-28-08-87")</f>
        <v>01-28-08-87</v>
      </c>
      <c r="B1113" s="36" t="str">
        <f>IFERROR(__xludf.DUMMYFUNCTION("""COMPUTED_VALUE"""),"")</f>
        <v/>
      </c>
      <c r="C1113" s="36" t="str">
        <f>IFERROR(__xludf.DUMMYFUNCTION("""COMPUTED_VALUE"""),"")</f>
        <v/>
      </c>
      <c r="D1113" s="36" t="str">
        <f>IFERROR(__xludf.DUMMYFUNCTION("""COMPUTED_VALUE"""),"")</f>
        <v/>
      </c>
      <c r="E1113" s="36" t="str">
        <f>IFERROR(__xludf.DUMMYFUNCTION("""COMPUTED_VALUE"""),"03-31-09-144")</f>
        <v>03-31-09-144</v>
      </c>
      <c r="F1113" s="36"/>
      <c r="G1113" s="36" t="str">
        <f>IFERROR(__xludf.DUMMYFUNCTION("""COMPUTED_VALUE"""),"Dorrego y Roque Sáenz Peña")</f>
        <v>Dorrego y Roque Sáenz Peña</v>
      </c>
      <c r="H1113" s="36" t="str">
        <f>IFERROR(__xludf.DUMMYFUNCTION("""COMPUTED_VALUE"""),"")</f>
        <v/>
      </c>
    </row>
    <row r="1114">
      <c r="A1114" s="36" t="str">
        <f>IFERROR(__xludf.DUMMYFUNCTION("""COMPUTED_VALUE"""),"01-28-08-88")</f>
        <v>01-28-08-88</v>
      </c>
      <c r="B1114" s="36" t="str">
        <f>IFERROR(__xludf.DUMMYFUNCTION("""COMPUTED_VALUE"""),"")</f>
        <v/>
      </c>
      <c r="C1114" s="36" t="str">
        <f>IFERROR(__xludf.DUMMYFUNCTION("""COMPUTED_VALUE"""),"")</f>
        <v/>
      </c>
      <c r="D1114" s="36" t="str">
        <f>IFERROR(__xludf.DUMMYFUNCTION("""COMPUTED_VALUE"""),"")</f>
        <v/>
      </c>
      <c r="E1114" s="36" t="str">
        <f>IFERROR(__xludf.DUMMYFUNCTION("""COMPUTED_VALUE"""),"02-29-07-94")</f>
        <v>02-29-07-94</v>
      </c>
      <c r="F1114" s="36"/>
      <c r="G1114" s="36" t="str">
        <f>IFERROR(__xludf.DUMMYFUNCTION("""COMPUTED_VALUE"""),"Dr. Bazán Agras y Alonso")</f>
        <v>Dr. Bazán Agras y Alonso</v>
      </c>
      <c r="H1114" s="36" t="str">
        <f>IFERROR(__xludf.DUMMYFUNCTION("""COMPUTED_VALUE"""),"")</f>
        <v/>
      </c>
    </row>
    <row r="1115">
      <c r="A1115" s="36" t="str">
        <f>IFERROR(__xludf.DUMMYFUNCTION("""COMPUTED_VALUE"""),"01-28-08-89")</f>
        <v>01-28-08-89</v>
      </c>
      <c r="B1115" s="36" t="str">
        <f>IFERROR(__xludf.DUMMYFUNCTION("""COMPUTED_VALUE"""),"")</f>
        <v/>
      </c>
      <c r="C1115" s="36" t="str">
        <f>IFERROR(__xludf.DUMMYFUNCTION("""COMPUTED_VALUE"""),"")</f>
        <v/>
      </c>
      <c r="D1115" s="36" t="str">
        <f>IFERROR(__xludf.DUMMYFUNCTION("""COMPUTED_VALUE"""),"")</f>
        <v/>
      </c>
      <c r="E1115" s="36" t="str">
        <f>IFERROR(__xludf.DUMMYFUNCTION("""COMPUTED_VALUE"""),"02-32-11-105A")</f>
        <v>02-32-11-105A</v>
      </c>
      <c r="F1115" s="36"/>
      <c r="G1115" s="36" t="str">
        <f>IFERROR(__xludf.DUMMYFUNCTION("""COMPUTED_VALUE"""),"Dr. Cortínez y Av. P. Argentinos")</f>
        <v>Dr. Cortínez y Av. P. Argentinos</v>
      </c>
      <c r="H1115" s="36" t="str">
        <f>IFERROR(__xludf.DUMMYFUNCTION("""COMPUTED_VALUE"""),"")</f>
        <v/>
      </c>
    </row>
    <row r="1116">
      <c r="A1116" s="36" t="str">
        <f>IFERROR(__xludf.DUMMYFUNCTION("""COMPUTED_VALUE"""),"01-28-08-90")</f>
        <v>01-28-08-90</v>
      </c>
      <c r="B1116" s="36" t="str">
        <f>IFERROR(__xludf.DUMMYFUNCTION("""COMPUTED_VALUE"""),"")</f>
        <v/>
      </c>
      <c r="C1116" s="36" t="str">
        <f>IFERROR(__xludf.DUMMYFUNCTION("""COMPUTED_VALUE"""),"")</f>
        <v/>
      </c>
      <c r="D1116" s="36" t="str">
        <f>IFERROR(__xludf.DUMMYFUNCTION("""COMPUTED_VALUE"""),"")</f>
        <v/>
      </c>
      <c r="E1116" s="36" t="str">
        <f>IFERROR(__xludf.DUMMYFUNCTION("""COMPUTED_VALUE"""),"02-32-11-106")</f>
        <v>02-32-11-106</v>
      </c>
      <c r="F1116" s="36"/>
      <c r="G1116" s="36" t="str">
        <f>IFERROR(__xludf.DUMMYFUNCTION("""COMPUTED_VALUE"""),"Dr. Cortínez y Valenzuela Varas")</f>
        <v>Dr. Cortínez y Valenzuela Varas</v>
      </c>
      <c r="H1116" s="36" t="str">
        <f>IFERROR(__xludf.DUMMYFUNCTION("""COMPUTED_VALUE"""),"")</f>
        <v/>
      </c>
    </row>
    <row r="1117">
      <c r="A1117" s="36" t="str">
        <f>IFERROR(__xludf.DUMMYFUNCTION("""COMPUTED_VALUE"""),"01-28-08-91")</f>
        <v>01-28-08-91</v>
      </c>
      <c r="B1117" s="36" t="str">
        <f>IFERROR(__xludf.DUMMYFUNCTION("""COMPUTED_VALUE"""),"")</f>
        <v/>
      </c>
      <c r="C1117" s="36" t="str">
        <f>IFERROR(__xludf.DUMMYFUNCTION("""COMPUTED_VALUE"""),"")</f>
        <v/>
      </c>
      <c r="D1117" s="36" t="str">
        <f>IFERROR(__xludf.DUMMYFUNCTION("""COMPUTED_VALUE"""),"")</f>
        <v/>
      </c>
      <c r="E1117" s="36" t="str">
        <f>IFERROR(__xludf.DUMMYFUNCTION("""COMPUTED_VALUE"""),"04-36-11-73C")</f>
        <v>04-36-11-73C</v>
      </c>
      <c r="F1117" s="36"/>
      <c r="G1117" s="36" t="str">
        <f>IFERROR(__xludf.DUMMYFUNCTION("""COMPUTED_VALUE"""),"Dr. Ortega  y Meglioli Norte")</f>
        <v>Dr. Ortega  y Meglioli Norte</v>
      </c>
      <c r="H1117" s="36" t="str">
        <f>IFERROR(__xludf.DUMMYFUNCTION("""COMPUTED_VALUE"""),"")</f>
        <v/>
      </c>
    </row>
    <row r="1118">
      <c r="A1118" s="36" t="str">
        <f>IFERROR(__xludf.DUMMYFUNCTION("""COMPUTED_VALUE"""),"01-28-08-92")</f>
        <v>01-28-08-92</v>
      </c>
      <c r="B1118" s="36" t="str">
        <f>IFERROR(__xludf.DUMMYFUNCTION("""COMPUTED_VALUE"""),"")</f>
        <v/>
      </c>
      <c r="C1118" s="36" t="str">
        <f>IFERROR(__xludf.DUMMYFUNCTION("""COMPUTED_VALUE"""),"")</f>
        <v/>
      </c>
      <c r="D1118" s="36" t="str">
        <f>IFERROR(__xludf.DUMMYFUNCTION("""COMPUTED_VALUE"""),"")</f>
        <v/>
      </c>
      <c r="E1118" s="36" t="str">
        <f>IFERROR(__xludf.DUMMYFUNCTION("""COMPUTED_VALUE"""),"04-42-11-73B")</f>
        <v>04-42-11-73B</v>
      </c>
      <c r="F1118" s="36"/>
      <c r="G1118" s="36" t="str">
        <f>IFERROR(__xludf.DUMMYFUNCTION("""COMPUTED_VALUE"""),"Dr. Ortega  y Meglioli Sur")</f>
        <v>Dr. Ortega  y Meglioli Sur</v>
      </c>
      <c r="H1118" s="36" t="str">
        <f>IFERROR(__xludf.DUMMYFUNCTION("""COMPUTED_VALUE"""),"")</f>
        <v/>
      </c>
    </row>
    <row r="1119">
      <c r="A1119" s="36" t="str">
        <f>IFERROR(__xludf.DUMMYFUNCTION("""COMPUTED_VALUE"""),"01-34-08-134")</f>
        <v>01-34-08-134</v>
      </c>
      <c r="B1119" s="36" t="str">
        <f>IFERROR(__xludf.DUMMYFUNCTION("""COMPUTED_VALUE"""),"")</f>
        <v/>
      </c>
      <c r="C1119" s="36" t="str">
        <f>IFERROR(__xludf.DUMMYFUNCTION("""COMPUTED_VALUE"""),"")</f>
        <v/>
      </c>
      <c r="D1119" s="36" t="str">
        <f>IFERROR(__xludf.DUMMYFUNCTION("""COMPUTED_VALUE"""),"")</f>
        <v/>
      </c>
      <c r="E1119" s="36" t="str">
        <f>IFERROR(__xludf.DUMMYFUNCTION("""COMPUTED_VALUE"""),"04-36-12-92")</f>
        <v>04-36-12-92</v>
      </c>
      <c r="F1119" s="36"/>
      <c r="G1119" s="36" t="str">
        <f>IFERROR(__xludf.DUMMYFUNCTION("""COMPUTED_VALUE"""),"Dr. Ortega e Hipólito Yrigoyen")</f>
        <v>Dr. Ortega e Hipólito Yrigoyen</v>
      </c>
      <c r="H1119" s="36" t="str">
        <f>IFERROR(__xludf.DUMMYFUNCTION("""COMPUTED_VALUE"""),"")</f>
        <v/>
      </c>
    </row>
    <row r="1120">
      <c r="A1120" s="36" t="str">
        <f>IFERROR(__xludf.DUMMYFUNCTION("""COMPUTED_VALUE"""),"01-37-08-121")</f>
        <v>01-37-08-121</v>
      </c>
      <c r="B1120" s="36" t="str">
        <f>IFERROR(__xludf.DUMMYFUNCTION("""COMPUTED_VALUE"""),"")</f>
        <v/>
      </c>
      <c r="C1120" s="36" t="str">
        <f>IFERROR(__xludf.DUMMYFUNCTION("""COMPUTED_VALUE"""),"")</f>
        <v/>
      </c>
      <c r="D1120" s="36" t="str">
        <f>IFERROR(__xludf.DUMMYFUNCTION("""COMPUTED_VALUE"""),"")</f>
        <v/>
      </c>
      <c r="E1120" s="36" t="str">
        <f>IFERROR(__xludf.DUMMYFUNCTION("""COMPUTED_VALUE"""),"04-44-12-91")</f>
        <v>04-44-12-91</v>
      </c>
      <c r="F1120" s="36"/>
      <c r="G1120" s="36" t="str">
        <f>IFERROR(__xludf.DUMMYFUNCTION("""COMPUTED_VALUE"""),"Dr. Ortega e Hipólito Yrigoyen Sureste")</f>
        <v>Dr. Ortega e Hipólito Yrigoyen Sureste</v>
      </c>
      <c r="H1120" s="36" t="str">
        <f>IFERROR(__xludf.DUMMYFUNCTION("""COMPUTED_VALUE"""),"")</f>
        <v/>
      </c>
    </row>
    <row r="1121">
      <c r="A1121" s="36" t="str">
        <f>IFERROR(__xludf.DUMMYFUNCTION("""COMPUTED_VALUE"""),"01-37-08-45")</f>
        <v>01-37-08-45</v>
      </c>
      <c r="B1121" s="36" t="str">
        <f>IFERROR(__xludf.DUMMYFUNCTION("""COMPUTED_VALUE"""),"")</f>
        <v/>
      </c>
      <c r="C1121" s="36" t="str">
        <f>IFERROR(__xludf.DUMMYFUNCTION("""COMPUTED_VALUE"""),"")</f>
        <v/>
      </c>
      <c r="D1121" s="36" t="str">
        <f>IFERROR(__xludf.DUMMYFUNCTION("""COMPUTED_VALUE"""),"")</f>
        <v/>
      </c>
      <c r="E1121" s="36" t="str">
        <f>IFERROR(__xludf.DUMMYFUNCTION("""COMPUTED_VALUE"""),"04-38-11-49A")</f>
        <v>04-38-11-49A</v>
      </c>
      <c r="F1121" s="36"/>
      <c r="G1121" s="36" t="str">
        <f>IFERROR(__xludf.DUMMYFUNCTION("""COMPUTED_VALUE"""),"Dr. Ortega Norte y Chacabuco")</f>
        <v>Dr. Ortega Norte y Chacabuco</v>
      </c>
      <c r="H1121" s="36" t="str">
        <f>IFERROR(__xludf.DUMMYFUNCTION("""COMPUTED_VALUE"""),"")</f>
        <v/>
      </c>
    </row>
    <row r="1122">
      <c r="A1122" s="36" t="str">
        <f>IFERROR(__xludf.DUMMYFUNCTION("""COMPUTED_VALUE"""),"01-37-08-46")</f>
        <v>01-37-08-46</v>
      </c>
      <c r="B1122" s="36" t="str">
        <f>IFERROR(__xludf.DUMMYFUNCTION("""COMPUTED_VALUE"""),"")</f>
        <v/>
      </c>
      <c r="C1122" s="36" t="str">
        <f>IFERROR(__xludf.DUMMYFUNCTION("""COMPUTED_VALUE"""),"")</f>
        <v/>
      </c>
      <c r="D1122" s="36" t="str">
        <f>IFERROR(__xludf.DUMMYFUNCTION("""COMPUTED_VALUE"""),"")</f>
        <v/>
      </c>
      <c r="E1122" s="36" t="str">
        <f>IFERROR(__xludf.DUMMYFUNCTION("""COMPUTED_VALUE"""),"04-35-12-6")</f>
        <v>04-35-12-6</v>
      </c>
      <c r="F1122" s="36"/>
      <c r="G1122" s="36" t="str">
        <f>IFERROR(__xludf.DUMMYFUNCTION("""COMPUTED_VALUE"""),"Dr. Ortega Norte y Río de la Plata")</f>
        <v>Dr. Ortega Norte y Río de la Plata</v>
      </c>
      <c r="H1122" s="36" t="str">
        <f>IFERROR(__xludf.DUMMYFUNCTION("""COMPUTED_VALUE"""),"")</f>
        <v/>
      </c>
    </row>
    <row r="1123">
      <c r="A1123" s="36" t="str">
        <f>IFERROR(__xludf.DUMMYFUNCTION("""COMPUTED_VALUE"""),"01-37-08-47")</f>
        <v>01-37-08-47</v>
      </c>
      <c r="B1123" s="36" t="str">
        <f>IFERROR(__xludf.DUMMYFUNCTION("""COMPUTED_VALUE"""),"")</f>
        <v/>
      </c>
      <c r="C1123" s="36" t="str">
        <f>IFERROR(__xludf.DUMMYFUNCTION("""COMPUTED_VALUE"""),"")</f>
        <v/>
      </c>
      <c r="D1123" s="36" t="str">
        <f>IFERROR(__xludf.DUMMYFUNCTION("""COMPUTED_VALUE"""),"")</f>
        <v/>
      </c>
      <c r="E1123" s="36" t="str">
        <f>IFERROR(__xludf.DUMMYFUNCTION("""COMPUTED_VALUE"""),"04-42-11-49")</f>
        <v>04-42-11-49</v>
      </c>
      <c r="F1123" s="36"/>
      <c r="G1123" s="36" t="str">
        <f>IFERROR(__xludf.DUMMYFUNCTION("""COMPUTED_VALUE"""),"Dr. Ortega Sur y Chacabuco")</f>
        <v>Dr. Ortega Sur y Chacabuco</v>
      </c>
      <c r="H1123" s="36" t="str">
        <f>IFERROR(__xludf.DUMMYFUNCTION("""COMPUTED_VALUE"""),"")</f>
        <v/>
      </c>
    </row>
    <row r="1124">
      <c r="A1124" s="36" t="str">
        <f>IFERROR(__xludf.DUMMYFUNCTION("""COMPUTED_VALUE"""),"01-37-08-47A")</f>
        <v>01-37-08-47A</v>
      </c>
      <c r="B1124" s="36" t="str">
        <f>IFERROR(__xludf.DUMMYFUNCTION("""COMPUTED_VALUE"""),"")</f>
        <v/>
      </c>
      <c r="C1124" s="36" t="str">
        <f>IFERROR(__xludf.DUMMYFUNCTION("""COMPUTED_VALUE"""),"")</f>
        <v/>
      </c>
      <c r="D1124" s="36" t="str">
        <f>IFERROR(__xludf.DUMMYFUNCTION("""COMPUTED_VALUE"""),"")</f>
        <v/>
      </c>
      <c r="E1124" s="36" t="str">
        <f>IFERROR(__xludf.DUMMYFUNCTION("""COMPUTED_VALUE"""),"04-33-13-181B")</f>
        <v>04-33-13-181B</v>
      </c>
      <c r="F1124" s="36"/>
      <c r="G1124" s="36" t="str">
        <f>IFERROR(__xludf.DUMMYFUNCTION("""COMPUTED_VALUE"""),"Dr. Ortega y Aman Rawson -N")</f>
        <v>Dr. Ortega y Aman Rawson -N</v>
      </c>
      <c r="H1124" s="36" t="str">
        <f>IFERROR(__xludf.DUMMYFUNCTION("""COMPUTED_VALUE"""),"")</f>
        <v/>
      </c>
    </row>
    <row r="1125">
      <c r="A1125" s="36" t="str">
        <f>IFERROR(__xludf.DUMMYFUNCTION("""COMPUTED_VALUE"""),"01-37-08-48")</f>
        <v>01-37-08-48</v>
      </c>
      <c r="B1125" s="36" t="str">
        <f>IFERROR(__xludf.DUMMYFUNCTION("""COMPUTED_VALUE"""),"")</f>
        <v/>
      </c>
      <c r="C1125" s="36" t="str">
        <f>IFERROR(__xludf.DUMMYFUNCTION("""COMPUTED_VALUE"""),"")</f>
        <v/>
      </c>
      <c r="D1125" s="36" t="str">
        <f>IFERROR(__xludf.DUMMYFUNCTION("""COMPUTED_VALUE"""),"")</f>
        <v/>
      </c>
      <c r="E1125" s="36" t="str">
        <f>IFERROR(__xludf.DUMMYFUNCTION("""COMPUTED_VALUE"""),"04-43-12-84A")</f>
        <v>04-43-12-84A</v>
      </c>
      <c r="F1125" s="36"/>
      <c r="G1125" s="36" t="str">
        <f>IFERROR(__xludf.DUMMYFUNCTION("""COMPUTED_VALUE"""),"Dr. Ortega y Don Segundo Sombra Sur")</f>
        <v>Dr. Ortega y Don Segundo Sombra Sur</v>
      </c>
      <c r="H1125" s="36" t="str">
        <f>IFERROR(__xludf.DUMMYFUNCTION("""COMPUTED_VALUE"""),"")</f>
        <v/>
      </c>
    </row>
    <row r="1126">
      <c r="A1126" s="36" t="str">
        <f>IFERROR(__xludf.DUMMYFUNCTION("""COMPUTED_VALUE"""),"01-37-08-72")</f>
        <v>01-37-08-72</v>
      </c>
      <c r="B1126" s="36" t="str">
        <f>IFERROR(__xludf.DUMMYFUNCTION("""COMPUTED_VALUE"""),"")</f>
        <v/>
      </c>
      <c r="C1126" s="36" t="str">
        <f>IFERROR(__xludf.DUMMYFUNCTION("""COMPUTED_VALUE"""),"")</f>
        <v/>
      </c>
      <c r="D1126" s="36" t="str">
        <f>IFERROR(__xludf.DUMMYFUNCTION("""COMPUTED_VALUE"""),"")</f>
        <v/>
      </c>
      <c r="E1126" s="36" t="str">
        <f>IFERROR(__xludf.DUMMYFUNCTION("""COMPUTED_VALUE"""),"04-34-12-10")</f>
        <v>04-34-12-10</v>
      </c>
      <c r="F1126" s="36"/>
      <c r="G1126" s="36" t="str">
        <f>IFERROR(__xludf.DUMMYFUNCTION("""COMPUTED_VALUE"""),"Dr. Ortega y Jachal")</f>
        <v>Dr. Ortega y Jachal</v>
      </c>
      <c r="H1126" s="36" t="str">
        <f>IFERROR(__xludf.DUMMYFUNCTION("""COMPUTED_VALUE"""),"")</f>
        <v/>
      </c>
    </row>
    <row r="1127">
      <c r="A1127" s="36" t="str">
        <f>IFERROR(__xludf.DUMMYFUNCTION("""COMPUTED_VALUE"""),"01-37-08-72A")</f>
        <v>01-37-08-72A</v>
      </c>
      <c r="B1127" s="36" t="str">
        <f>IFERROR(__xludf.DUMMYFUNCTION("""COMPUTED_VALUE"""),"")</f>
        <v/>
      </c>
      <c r="C1127" s="36" t="str">
        <f>IFERROR(__xludf.DUMMYFUNCTION("""COMPUTED_VALUE"""),"")</f>
        <v/>
      </c>
      <c r="D1127" s="36" t="str">
        <f>IFERROR(__xludf.DUMMYFUNCTION("""COMPUTED_VALUE"""),"")</f>
        <v/>
      </c>
      <c r="E1127" s="36" t="str">
        <f>IFERROR(__xludf.DUMMYFUNCTION("""COMPUTED_VALUE"""),"04-45-12-9")</f>
        <v>04-45-12-9</v>
      </c>
      <c r="F1127" s="36"/>
      <c r="G1127" s="36" t="str">
        <f>IFERROR(__xludf.DUMMYFUNCTION("""COMPUTED_VALUE"""),"Dr. Ortega y Lemos")</f>
        <v>Dr. Ortega y Lemos</v>
      </c>
      <c r="H1127" s="36" t="str">
        <f>IFERROR(__xludf.DUMMYFUNCTION("""COMPUTED_VALUE"""),"")</f>
        <v/>
      </c>
    </row>
    <row r="1128">
      <c r="A1128" s="36" t="str">
        <f>IFERROR(__xludf.DUMMYFUNCTION("""COMPUTED_VALUE"""),"01-37-08-72B")</f>
        <v>01-37-08-72B</v>
      </c>
      <c r="B1128" s="36" t="str">
        <f>IFERROR(__xludf.DUMMYFUNCTION("""COMPUTED_VALUE"""),"")</f>
        <v/>
      </c>
      <c r="C1128" s="36" t="str">
        <f>IFERROR(__xludf.DUMMYFUNCTION("""COMPUTED_VALUE"""),"")</f>
        <v/>
      </c>
      <c r="D1128" s="36" t="str">
        <f>IFERROR(__xludf.DUMMYFUNCTION("""COMPUTED_VALUE"""),"")</f>
        <v/>
      </c>
      <c r="E1128" s="36" t="str">
        <f>IFERROR(__xludf.DUMMYFUNCTION("""COMPUTED_VALUE"""),"04-45-12-73")</f>
        <v>04-45-12-73</v>
      </c>
      <c r="F1128" s="36"/>
      <c r="G1128" s="36" t="str">
        <f>IFERROR(__xludf.DUMMYFUNCTION("""COMPUTED_VALUE"""),"Dr. Ortega y Magallanes")</f>
        <v>Dr. Ortega y Magallanes</v>
      </c>
      <c r="H1128" s="36" t="str">
        <f>IFERROR(__xludf.DUMMYFUNCTION("""COMPUTED_VALUE"""),"")</f>
        <v/>
      </c>
    </row>
    <row r="1129">
      <c r="A1129" s="36" t="str">
        <f>IFERROR(__xludf.DUMMYFUNCTION("""COMPUTED_VALUE"""),"01-37-08-73")</f>
        <v>01-37-08-73</v>
      </c>
      <c r="B1129" s="36" t="str">
        <f>IFERROR(__xludf.DUMMYFUNCTION("""COMPUTED_VALUE"""),"")</f>
        <v/>
      </c>
      <c r="C1129" s="36" t="str">
        <f>IFERROR(__xludf.DUMMYFUNCTION("""COMPUTED_VALUE"""),"")</f>
        <v/>
      </c>
      <c r="D1129" s="36" t="str">
        <f>IFERROR(__xludf.DUMMYFUNCTION("""COMPUTED_VALUE"""),"")</f>
        <v/>
      </c>
      <c r="E1129" s="36" t="str">
        <f>IFERROR(__xludf.DUMMYFUNCTION("""COMPUTED_VALUE"""),"04-34-12-72")</f>
        <v>04-34-12-72</v>
      </c>
      <c r="F1129" s="36"/>
      <c r="G1129" s="36" t="str">
        <f>IFERROR(__xludf.DUMMYFUNCTION("""COMPUTED_VALUE"""),"Dr. Ortega y Magallanes I")</f>
        <v>Dr. Ortega y Magallanes I</v>
      </c>
      <c r="H1129" s="36" t="str">
        <f>IFERROR(__xludf.DUMMYFUNCTION("""COMPUTED_VALUE"""),"")</f>
        <v/>
      </c>
    </row>
    <row r="1130">
      <c r="A1130" s="36" t="str">
        <f>IFERROR(__xludf.DUMMYFUNCTION("""COMPUTED_VALUE"""),"01-37-08-74")</f>
        <v>01-37-08-74</v>
      </c>
      <c r="B1130" s="36" t="str">
        <f>IFERROR(__xludf.DUMMYFUNCTION("""COMPUTED_VALUE"""),"")</f>
        <v/>
      </c>
      <c r="C1130" s="36" t="str">
        <f>IFERROR(__xludf.DUMMYFUNCTION("""COMPUTED_VALUE"""),"")</f>
        <v/>
      </c>
      <c r="D1130" s="36" t="str">
        <f>IFERROR(__xludf.DUMMYFUNCTION("""COMPUTED_VALUE"""),"")</f>
        <v/>
      </c>
      <c r="E1130" s="36" t="str">
        <f>IFERROR(__xludf.DUMMYFUNCTION("""COMPUTED_VALUE"""),"04-45-12-70")</f>
        <v>04-45-12-70</v>
      </c>
      <c r="F1130" s="36"/>
      <c r="G1130" s="36" t="str">
        <f>IFERROR(__xludf.DUMMYFUNCTION("""COMPUTED_VALUE"""),"Dr. Ortega y Neuquén")</f>
        <v>Dr. Ortega y Neuquén</v>
      </c>
      <c r="H1130" s="36" t="str">
        <f>IFERROR(__xludf.DUMMYFUNCTION("""COMPUTED_VALUE"""),"")</f>
        <v/>
      </c>
    </row>
    <row r="1131">
      <c r="A1131" s="36" t="str">
        <f>IFERROR(__xludf.DUMMYFUNCTION("""COMPUTED_VALUE"""),"01-37-08-75")</f>
        <v>01-37-08-75</v>
      </c>
      <c r="B1131" s="36" t="str">
        <f>IFERROR(__xludf.DUMMYFUNCTION("""COMPUTED_VALUE"""),"")</f>
        <v/>
      </c>
      <c r="C1131" s="36" t="str">
        <f>IFERROR(__xludf.DUMMYFUNCTION("""COMPUTED_VALUE"""),"")</f>
        <v/>
      </c>
      <c r="D1131" s="36" t="str">
        <f>IFERROR(__xludf.DUMMYFUNCTION("""COMPUTED_VALUE"""),"")</f>
        <v/>
      </c>
      <c r="E1131" s="36" t="str">
        <f>IFERROR(__xludf.DUMMYFUNCTION("""COMPUTED_VALUE"""),"04-43-12-83")</f>
        <v>04-43-12-83</v>
      </c>
      <c r="F1131" s="36"/>
      <c r="G1131" s="36" t="str">
        <f>IFERROR(__xludf.DUMMYFUNCTION("""COMPUTED_VALUE"""),"Dr. Ortega y Pedro Echague Sur")</f>
        <v>Dr. Ortega y Pedro Echague Sur</v>
      </c>
      <c r="H1131" s="36" t="str">
        <f>IFERROR(__xludf.DUMMYFUNCTION("""COMPUTED_VALUE"""),"")</f>
        <v/>
      </c>
    </row>
    <row r="1132">
      <c r="A1132" s="36" t="str">
        <f>IFERROR(__xludf.DUMMYFUNCTION("""COMPUTED_VALUE"""),"01-37-08-76")</f>
        <v>01-37-08-76</v>
      </c>
      <c r="B1132" s="36" t="str">
        <f>IFERROR(__xludf.DUMMYFUNCTION("""COMPUTED_VALUE"""),"")</f>
        <v/>
      </c>
      <c r="C1132" s="36" t="str">
        <f>IFERROR(__xludf.DUMMYFUNCTION("""COMPUTED_VALUE"""),"")</f>
        <v/>
      </c>
      <c r="D1132" s="36" t="str">
        <f>IFERROR(__xludf.DUMMYFUNCTION("""COMPUTED_VALUE"""),"")</f>
        <v/>
      </c>
      <c r="E1132" s="36" t="str">
        <f>IFERROR(__xludf.DUMMYFUNCTION("""COMPUTED_VALUE"""),"04-44-12-7")</f>
        <v>04-44-12-7</v>
      </c>
      <c r="F1132" s="36"/>
      <c r="G1132" s="36" t="str">
        <f>IFERROR(__xludf.DUMMYFUNCTION("""COMPUTED_VALUE"""),"Dr. Ortega y Proyectada")</f>
        <v>Dr. Ortega y Proyectada</v>
      </c>
      <c r="H1132" s="36" t="str">
        <f>IFERROR(__xludf.DUMMYFUNCTION("""COMPUTED_VALUE"""),"")</f>
        <v/>
      </c>
    </row>
    <row r="1133">
      <c r="A1133" s="36" t="str">
        <f>IFERROR(__xludf.DUMMYFUNCTION("""COMPUTED_VALUE"""),"01-37-08-77")</f>
        <v>01-37-08-77</v>
      </c>
      <c r="B1133" s="36" t="str">
        <f>IFERROR(__xludf.DUMMYFUNCTION("""COMPUTED_VALUE"""),"")</f>
        <v/>
      </c>
      <c r="C1133" s="36" t="str">
        <f>IFERROR(__xludf.DUMMYFUNCTION("""COMPUTED_VALUE"""),"")</f>
        <v/>
      </c>
      <c r="D1133" s="36" t="str">
        <f>IFERROR(__xludf.DUMMYFUNCTION("""COMPUTED_VALUE"""),"")</f>
        <v/>
      </c>
      <c r="E1133" s="36" t="str">
        <f>IFERROR(__xludf.DUMMYFUNCTION("""COMPUTED_VALUE"""),"04-34-12-30A")</f>
        <v>04-34-12-30A</v>
      </c>
      <c r="F1133" s="36"/>
      <c r="G1133" s="36" t="str">
        <f>IFERROR(__xludf.DUMMYFUNCTION("""COMPUTED_VALUE"""),"Dr. Ortega y Rivadavia Norte")</f>
        <v>Dr. Ortega y Rivadavia Norte</v>
      </c>
      <c r="H1133" s="36" t="str">
        <f>IFERROR(__xludf.DUMMYFUNCTION("""COMPUTED_VALUE"""),"")</f>
        <v/>
      </c>
    </row>
    <row r="1134">
      <c r="A1134" s="36" t="str">
        <f>IFERROR(__xludf.DUMMYFUNCTION("""COMPUTED_VALUE"""),"01-37-08-78")</f>
        <v>01-37-08-78</v>
      </c>
      <c r="B1134" s="36" t="str">
        <f>IFERROR(__xludf.DUMMYFUNCTION("""COMPUTED_VALUE"""),"")</f>
        <v/>
      </c>
      <c r="C1134" s="36" t="str">
        <f>IFERROR(__xludf.DUMMYFUNCTION("""COMPUTED_VALUE"""),"")</f>
        <v/>
      </c>
      <c r="D1134" s="36" t="str">
        <f>IFERROR(__xludf.DUMMYFUNCTION("""COMPUTED_VALUE"""),"")</f>
        <v/>
      </c>
      <c r="E1134" s="36" t="str">
        <f>IFERROR(__xludf.DUMMYFUNCTION("""COMPUTED_VALUE"""),"04-45-12-29A")</f>
        <v>04-45-12-29A</v>
      </c>
      <c r="F1134" s="36"/>
      <c r="G1134" s="36" t="str">
        <f>IFERROR(__xludf.DUMMYFUNCTION("""COMPUTED_VALUE"""),"Dr. Ortega y Rivadavia Sur")</f>
        <v>Dr. Ortega y Rivadavia Sur</v>
      </c>
      <c r="H1134" s="36" t="str">
        <f>IFERROR(__xludf.DUMMYFUNCTION("""COMPUTED_VALUE"""),"")</f>
        <v/>
      </c>
    </row>
    <row r="1135">
      <c r="A1135" s="36" t="str">
        <f>IFERROR(__xludf.DUMMYFUNCTION("""COMPUTED_VALUE"""),"01-37-08-79")</f>
        <v>01-37-08-79</v>
      </c>
      <c r="B1135" s="36" t="str">
        <f>IFERROR(__xludf.DUMMYFUNCTION("""COMPUTED_VALUE"""),"")</f>
        <v/>
      </c>
      <c r="C1135" s="36" t="str">
        <f>IFERROR(__xludf.DUMMYFUNCTION("""COMPUTED_VALUE"""),"")</f>
        <v/>
      </c>
      <c r="D1135" s="36" t="str">
        <f>IFERROR(__xludf.DUMMYFUNCTION("""COMPUTED_VALUE"""),"")</f>
        <v/>
      </c>
      <c r="E1135" s="36" t="str">
        <f>IFERROR(__xludf.DUMMYFUNCTION("""COMPUTED_VALUE"""),"04-34-12-71")</f>
        <v>04-34-12-71</v>
      </c>
      <c r="F1135" s="36"/>
      <c r="G1135" s="36" t="str">
        <f>IFERROR(__xludf.DUMMYFUNCTION("""COMPUTED_VALUE"""),"Dr. Ortega y Roque Saenz Peña")</f>
        <v>Dr. Ortega y Roque Saenz Peña</v>
      </c>
      <c r="H1135" s="36" t="str">
        <f>IFERROR(__xludf.DUMMYFUNCTION("""COMPUTED_VALUE"""),"")</f>
        <v/>
      </c>
    </row>
    <row r="1136">
      <c r="A1136" s="36" t="str">
        <f>IFERROR(__xludf.DUMMYFUNCTION("""COMPUTED_VALUE"""),"01-38-08-49")</f>
        <v>01-38-08-49</v>
      </c>
      <c r="B1136" s="36" t="str">
        <f>IFERROR(__xludf.DUMMYFUNCTION("""COMPUTED_VALUE"""),"")</f>
        <v/>
      </c>
      <c r="C1136" s="36" t="str">
        <f>IFERROR(__xludf.DUMMYFUNCTION("""COMPUTED_VALUE"""),"")</f>
        <v/>
      </c>
      <c r="D1136" s="36" t="str">
        <f>IFERROR(__xludf.DUMMYFUNCTION("""COMPUTED_VALUE"""),"")</f>
        <v/>
      </c>
      <c r="E1136" s="36" t="str">
        <f>IFERROR(__xludf.DUMMYFUNCTION("""COMPUTED_VALUE"""),"04-36-12-84B")</f>
        <v>04-36-12-84B</v>
      </c>
      <c r="F1136" s="36"/>
      <c r="G1136" s="36" t="str">
        <f>IFERROR(__xludf.DUMMYFUNCTION("""COMPUTED_VALUE"""),"Dr. Ortega y Segundo Sombra")</f>
        <v>Dr. Ortega y Segundo Sombra</v>
      </c>
      <c r="H1136" s="36" t="str">
        <f>IFERROR(__xludf.DUMMYFUNCTION("""COMPUTED_VALUE"""),"")</f>
        <v/>
      </c>
    </row>
    <row r="1137">
      <c r="A1137" s="36" t="str">
        <f>IFERROR(__xludf.DUMMYFUNCTION("""COMPUTED_VALUE"""),"01-38-08-51")</f>
        <v>01-38-08-51</v>
      </c>
      <c r="B1137" s="36" t="str">
        <f>IFERROR(__xludf.DUMMYFUNCTION("""COMPUTED_VALUE"""),"")</f>
        <v/>
      </c>
      <c r="C1137" s="36" t="str">
        <f>IFERROR(__xludf.DUMMYFUNCTION("""COMPUTED_VALUE"""),"")</f>
        <v/>
      </c>
      <c r="D1137" s="36" t="str">
        <f>IFERROR(__xludf.DUMMYFUNCTION("""COMPUTED_VALUE"""),"")</f>
        <v/>
      </c>
      <c r="E1137" s="36" t="str">
        <f>IFERROR(__xludf.DUMMYFUNCTION("""COMPUTED_VALUE"""),"04-34-12-69")</f>
        <v>04-34-12-69</v>
      </c>
      <c r="F1137" s="36"/>
      <c r="G1137" s="36" t="str">
        <f>IFERROR(__xludf.DUMMYFUNCTION("""COMPUTED_VALUE"""),"Dr. Ortega y Vidart Norte")</f>
        <v>Dr. Ortega y Vidart Norte</v>
      </c>
      <c r="H1137" s="36" t="str">
        <f>IFERROR(__xludf.DUMMYFUNCTION("""COMPUTED_VALUE"""),"")</f>
        <v/>
      </c>
    </row>
    <row r="1138">
      <c r="A1138" s="36" t="str">
        <f>IFERROR(__xludf.DUMMYFUNCTION("""COMPUTED_VALUE"""),"01-38-08-52")</f>
        <v>01-38-08-52</v>
      </c>
      <c r="B1138" s="36" t="str">
        <f>IFERROR(__xludf.DUMMYFUNCTION("""COMPUTED_VALUE"""),"")</f>
        <v/>
      </c>
      <c r="C1138" s="36" t="str">
        <f>IFERROR(__xludf.DUMMYFUNCTION("""COMPUTED_VALUE"""),"")</f>
        <v/>
      </c>
      <c r="D1138" s="36" t="str">
        <f>IFERROR(__xludf.DUMMYFUNCTION("""COMPUTED_VALUE"""),"")</f>
        <v/>
      </c>
      <c r="E1138" s="36" t="str">
        <f>IFERROR(__xludf.DUMMYFUNCTION("""COMPUTED_VALUE"""),"01-57-12-353A")</f>
        <v>01-57-12-353A</v>
      </c>
      <c r="F1138" s="36"/>
      <c r="G1138" s="36" t="str">
        <f>IFERROR(__xludf.DUMMYFUNCTION("""COMPUTED_VALUE"""),"Dr. V. Lloveras y Brasil")</f>
        <v>Dr. V. Lloveras y Brasil</v>
      </c>
      <c r="H1138" s="36" t="str">
        <f>IFERROR(__xludf.DUMMYFUNCTION("""COMPUTED_VALUE"""),"")</f>
        <v/>
      </c>
    </row>
    <row r="1139">
      <c r="A1139" s="36" t="str">
        <f>IFERROR(__xludf.DUMMYFUNCTION("""COMPUTED_VALUE"""),"01-38-08-52A")</f>
        <v>01-38-08-52A</v>
      </c>
      <c r="B1139" s="36" t="str">
        <f>IFERROR(__xludf.DUMMYFUNCTION("""COMPUTED_VALUE"""),"")</f>
        <v/>
      </c>
      <c r="C1139" s="36" t="str">
        <f>IFERROR(__xludf.DUMMYFUNCTION("""COMPUTED_VALUE"""),"")</f>
        <v/>
      </c>
      <c r="D1139" s="36" t="str">
        <f>IFERROR(__xludf.DUMMYFUNCTION("""COMPUTED_VALUE"""),"")</f>
        <v/>
      </c>
      <c r="E1139" s="36" t="str">
        <f>IFERROR(__xludf.DUMMYFUNCTION("""COMPUTED_VALUE"""),"01-61-13-36")</f>
        <v>01-61-13-36</v>
      </c>
      <c r="F1139" s="36"/>
      <c r="G1139" s="36" t="str">
        <f>IFERROR(__xludf.DUMMYFUNCTION("""COMPUTED_VALUE"""),"E.N.I. N° 35 Estrella de los Andes")</f>
        <v>E.N.I. N° 35 Estrella de los Andes</v>
      </c>
      <c r="H1139" s="36" t="str">
        <f>IFERROR(__xludf.DUMMYFUNCTION("""COMPUTED_VALUE"""),"")</f>
        <v/>
      </c>
    </row>
    <row r="1140">
      <c r="A1140" s="36" t="str">
        <f>IFERROR(__xludf.DUMMYFUNCTION("""COMPUTED_VALUE"""),"01-38-08-52B")</f>
        <v>01-38-08-52B</v>
      </c>
      <c r="B1140" s="36" t="str">
        <f>IFERROR(__xludf.DUMMYFUNCTION("""COMPUTED_VALUE"""),"")</f>
        <v/>
      </c>
      <c r="C1140" s="36" t="str">
        <f>IFERROR(__xludf.DUMMYFUNCTION("""COMPUTED_VALUE"""),"")</f>
        <v/>
      </c>
      <c r="D1140" s="36" t="str">
        <f>IFERROR(__xludf.DUMMYFUNCTION("""COMPUTED_VALUE"""),"")</f>
        <v/>
      </c>
      <c r="E1140" s="36" t="str">
        <f>IFERROR(__xludf.DUMMYFUNCTION("""COMPUTED_VALUE"""),"08-22-03-32")</f>
        <v>08-22-03-32</v>
      </c>
      <c r="F1140" s="36"/>
      <c r="G1140" s="36" t="str">
        <f>IFERROR(__xludf.DUMMYFUNCTION("""COMPUTED_VALUE"""),"Ecuador y Rep. Argentina")</f>
        <v>Ecuador y Rep. Argentina</v>
      </c>
      <c r="H1140" s="36" t="str">
        <f>IFERROR(__xludf.DUMMYFUNCTION("""COMPUTED_VALUE"""),"")</f>
        <v/>
      </c>
    </row>
    <row r="1141">
      <c r="A1141" s="36" t="str">
        <f>IFERROR(__xludf.DUMMYFUNCTION("""COMPUTED_VALUE"""),"01-38-08-52C")</f>
        <v>01-38-08-52C</v>
      </c>
      <c r="B1141" s="36" t="str">
        <f>IFERROR(__xludf.DUMMYFUNCTION("""COMPUTED_VALUE"""),"")</f>
        <v/>
      </c>
      <c r="C1141" s="36" t="str">
        <f>IFERROR(__xludf.DUMMYFUNCTION("""COMPUTED_VALUE"""),"")</f>
        <v/>
      </c>
      <c r="D1141" s="36" t="str">
        <f>IFERROR(__xludf.DUMMYFUNCTION("""COMPUTED_VALUE"""),"")</f>
        <v/>
      </c>
      <c r="E1141" s="36" t="str">
        <f>IFERROR(__xludf.DUMMYFUNCTION("""COMPUTED_VALUE"""),"04-21-13-454")</f>
        <v>04-21-13-454</v>
      </c>
      <c r="F1141" s="36"/>
      <c r="G1141" s="36" t="str">
        <f>IFERROR(__xludf.DUMMYFUNCTION("""COMPUTED_VALUE"""),"El Cano y Entre Ríos")</f>
        <v>El Cano y Entre Ríos</v>
      </c>
      <c r="H1141" s="36" t="str">
        <f>IFERROR(__xludf.DUMMYFUNCTION("""COMPUTED_VALUE"""),"")</f>
        <v/>
      </c>
    </row>
    <row r="1142">
      <c r="A1142" s="36" t="str">
        <f>IFERROR(__xludf.DUMMYFUNCTION("""COMPUTED_VALUE"""),"01-38-08-52D")</f>
        <v>01-38-08-52D</v>
      </c>
      <c r="B1142" s="36" t="str">
        <f>IFERROR(__xludf.DUMMYFUNCTION("""COMPUTED_VALUE"""),"")</f>
        <v/>
      </c>
      <c r="C1142" s="36" t="str">
        <f>IFERROR(__xludf.DUMMYFUNCTION("""COMPUTED_VALUE"""),"")</f>
        <v/>
      </c>
      <c r="D1142" s="36" t="str">
        <f>IFERROR(__xludf.DUMMYFUNCTION("""COMPUTED_VALUE"""),"")</f>
        <v/>
      </c>
      <c r="E1142" s="36" t="str">
        <f>IFERROR(__xludf.DUMMYFUNCTION("""COMPUTED_VALUE"""),"04-22-13-203")</f>
        <v>04-22-13-203</v>
      </c>
      <c r="F1142" s="36"/>
      <c r="G1142" s="36" t="str">
        <f>IFERROR(__xludf.DUMMYFUNCTION("""COMPUTED_VALUE"""),"El Cano y Gral. Acha")</f>
        <v>El Cano y Gral. Acha</v>
      </c>
      <c r="H1142" s="36" t="str">
        <f>IFERROR(__xludf.DUMMYFUNCTION("""COMPUTED_VALUE"""),"")</f>
        <v/>
      </c>
    </row>
    <row r="1143">
      <c r="A1143" s="36" t="str">
        <f>IFERROR(__xludf.DUMMYFUNCTION("""COMPUTED_VALUE"""),"01-38-08-52E")</f>
        <v>01-38-08-52E</v>
      </c>
      <c r="B1143" s="36" t="str">
        <f>IFERROR(__xludf.DUMMYFUNCTION("""COMPUTED_VALUE"""),"")</f>
        <v/>
      </c>
      <c r="C1143" s="36" t="str">
        <f>IFERROR(__xludf.DUMMYFUNCTION("""COMPUTED_VALUE"""),"")</f>
        <v/>
      </c>
      <c r="D1143" s="36" t="str">
        <f>IFERROR(__xludf.DUMMYFUNCTION("""COMPUTED_VALUE"""),"")</f>
        <v/>
      </c>
      <c r="E1143" s="36" t="str">
        <f>IFERROR(__xludf.DUMMYFUNCTION("""COMPUTED_VALUE"""),"04-21-13-452")</f>
        <v>04-21-13-452</v>
      </c>
      <c r="F1143" s="36"/>
      <c r="G1143" s="36" t="str">
        <f>IFERROR(__xludf.DUMMYFUNCTION("""COMPUTED_VALUE"""),"El Cano y José Sarmiento")</f>
        <v>El Cano y José Sarmiento</v>
      </c>
      <c r="H1143" s="36" t="str">
        <f>IFERROR(__xludf.DUMMYFUNCTION("""COMPUTED_VALUE"""),"")</f>
        <v/>
      </c>
    </row>
    <row r="1144">
      <c r="A1144" s="36" t="str">
        <f>IFERROR(__xludf.DUMMYFUNCTION("""COMPUTED_VALUE"""),"01-38-08-66")</f>
        <v>01-38-08-66</v>
      </c>
      <c r="B1144" s="36" t="str">
        <f>IFERROR(__xludf.DUMMYFUNCTION("""COMPUTED_VALUE"""),"")</f>
        <v/>
      </c>
      <c r="C1144" s="36" t="str">
        <f>IFERROR(__xludf.DUMMYFUNCTION("""COMPUTED_VALUE"""),"")</f>
        <v/>
      </c>
      <c r="D1144" s="36" t="str">
        <f>IFERROR(__xludf.DUMMYFUNCTION("""COMPUTED_VALUE"""),"")</f>
        <v/>
      </c>
      <c r="E1144" s="36" t="str">
        <f>IFERROR(__xludf.DUMMYFUNCTION("""COMPUTED_VALUE"""),"04-22-13-204")</f>
        <v>04-22-13-204</v>
      </c>
      <c r="F1144" s="36"/>
      <c r="G1144" s="36" t="str">
        <f>IFERROR(__xludf.DUMMYFUNCTION("""COMPUTED_VALUE"""),"El Cano y Pergamino")</f>
        <v>El Cano y Pergamino</v>
      </c>
      <c r="H1144" s="36" t="str">
        <f>IFERROR(__xludf.DUMMYFUNCTION("""COMPUTED_VALUE"""),"")</f>
        <v/>
      </c>
    </row>
    <row r="1145">
      <c r="A1145" s="36" t="str">
        <f>IFERROR(__xludf.DUMMYFUNCTION("""COMPUTED_VALUE"""),"01-38-08-66A")</f>
        <v>01-38-08-66A</v>
      </c>
      <c r="B1145" s="36" t="str">
        <f>IFERROR(__xludf.DUMMYFUNCTION("""COMPUTED_VALUE"""),"")</f>
        <v/>
      </c>
      <c r="C1145" s="36" t="str">
        <f>IFERROR(__xludf.DUMMYFUNCTION("""COMPUTED_VALUE"""),"")</f>
        <v/>
      </c>
      <c r="D1145" s="36" t="str">
        <f>IFERROR(__xludf.DUMMYFUNCTION("""COMPUTED_VALUE"""),"")</f>
        <v/>
      </c>
      <c r="E1145" s="36" t="str">
        <f>IFERROR(__xludf.DUMMYFUNCTION("""COMPUTED_VALUE"""),"02-24-05-64")</f>
        <v>02-24-05-64</v>
      </c>
      <c r="F1145" s="36"/>
      <c r="G1145" s="36" t="str">
        <f>IFERROR(__xludf.DUMMYFUNCTION("""COMPUTED_VALUE"""),"El Ceibo y Costa Canal")</f>
        <v>El Ceibo y Costa Canal</v>
      </c>
      <c r="H1145" s="36" t="str">
        <f>IFERROR(__xludf.DUMMYFUNCTION("""COMPUTED_VALUE"""),"")</f>
        <v/>
      </c>
    </row>
    <row r="1146">
      <c r="A1146" s="36" t="str">
        <f>IFERROR(__xludf.DUMMYFUNCTION("""COMPUTED_VALUE"""),"01-38-08-67")</f>
        <v>01-38-08-67</v>
      </c>
      <c r="B1146" s="36" t="str">
        <f>IFERROR(__xludf.DUMMYFUNCTION("""COMPUTED_VALUE"""),"")</f>
        <v/>
      </c>
      <c r="C1146" s="36" t="str">
        <f>IFERROR(__xludf.DUMMYFUNCTION("""COMPUTED_VALUE"""),"")</f>
        <v/>
      </c>
      <c r="D1146" s="36" t="str">
        <f>IFERROR(__xludf.DUMMYFUNCTION("""COMPUTED_VALUE"""),"")</f>
        <v/>
      </c>
      <c r="E1146" s="36" t="str">
        <f>IFERROR(__xludf.DUMMYFUNCTION("""COMPUTED_VALUE"""),"02-24-05-62")</f>
        <v>02-24-05-62</v>
      </c>
      <c r="F1146" s="36"/>
      <c r="G1146" s="36" t="str">
        <f>IFERROR(__xludf.DUMMYFUNCTION("""COMPUTED_VALUE"""),"El Ceibo y Los Almendros")</f>
        <v>El Ceibo y Los Almendros</v>
      </c>
      <c r="H1146" s="36" t="str">
        <f>IFERROR(__xludf.DUMMYFUNCTION("""COMPUTED_VALUE"""),"")</f>
        <v/>
      </c>
    </row>
    <row r="1147">
      <c r="A1147" s="36" t="str">
        <f>IFERROR(__xludf.DUMMYFUNCTION("""COMPUTED_VALUE"""),"01-38-08-68")</f>
        <v>01-38-08-68</v>
      </c>
      <c r="B1147" s="36" t="str">
        <f>IFERROR(__xludf.DUMMYFUNCTION("""COMPUTED_VALUE"""),"")</f>
        <v/>
      </c>
      <c r="C1147" s="36" t="str">
        <f>IFERROR(__xludf.DUMMYFUNCTION("""COMPUTED_VALUE"""),"")</f>
        <v/>
      </c>
      <c r="D1147" s="36" t="str">
        <f>IFERROR(__xludf.DUMMYFUNCTION("""COMPUTED_VALUE"""),"")</f>
        <v/>
      </c>
      <c r="E1147" s="36" t="str">
        <f>IFERROR(__xludf.DUMMYFUNCTION("""COMPUTED_VALUE"""),"08-32-01-17")</f>
        <v>08-32-01-17</v>
      </c>
      <c r="F1147" s="36"/>
      <c r="G1147" s="36" t="str">
        <f>IFERROR(__xludf.DUMMYFUNCTION("""COMPUTED_VALUE"""),"El Domador y Av. N. Benavídez")</f>
        <v>El Domador y Av. N. Benavídez</v>
      </c>
      <c r="H1147" s="36" t="str">
        <f>IFERROR(__xludf.DUMMYFUNCTION("""COMPUTED_VALUE"""),"")</f>
        <v/>
      </c>
    </row>
    <row r="1148">
      <c r="A1148" s="36" t="str">
        <f>IFERROR(__xludf.DUMMYFUNCTION("""COMPUTED_VALUE"""),"01-38-08-69")</f>
        <v>01-38-08-69</v>
      </c>
      <c r="B1148" s="36" t="str">
        <f>IFERROR(__xludf.DUMMYFUNCTION("""COMPUTED_VALUE"""),"")</f>
        <v/>
      </c>
      <c r="C1148" s="36" t="str">
        <f>IFERROR(__xludf.DUMMYFUNCTION("""COMPUTED_VALUE"""),"")</f>
        <v/>
      </c>
      <c r="D1148" s="36" t="str">
        <f>IFERROR(__xludf.DUMMYFUNCTION("""COMPUTED_VALUE"""),"")</f>
        <v/>
      </c>
      <c r="E1148" s="36" t="str">
        <f>IFERROR(__xludf.DUMMYFUNCTION("""COMPUTED_VALUE"""),"03-48-10-5A")</f>
        <v>03-48-10-5A</v>
      </c>
      <c r="F1148" s="36"/>
      <c r="G1148" s="36" t="str">
        <f>IFERROR(__xludf.DUMMYFUNCTION("""COMPUTED_VALUE"""),"El Jacarandá y los Nogales")</f>
        <v>El Jacarandá y los Nogales</v>
      </c>
      <c r="H1148" s="36" t="str">
        <f>IFERROR(__xludf.DUMMYFUNCTION("""COMPUTED_VALUE"""),"")</f>
        <v/>
      </c>
    </row>
    <row r="1149">
      <c r="A1149" s="36" t="str">
        <f>IFERROR(__xludf.DUMMYFUNCTION("""COMPUTED_VALUE"""),"01-38-08-70")</f>
        <v>01-38-08-70</v>
      </c>
      <c r="B1149" s="36" t="str">
        <f>IFERROR(__xludf.DUMMYFUNCTION("""COMPUTED_VALUE"""),"")</f>
        <v/>
      </c>
      <c r="C1149" s="36" t="str">
        <f>IFERROR(__xludf.DUMMYFUNCTION("""COMPUTED_VALUE"""),"")</f>
        <v/>
      </c>
      <c r="D1149" s="36" t="str">
        <f>IFERROR(__xludf.DUMMYFUNCTION("""COMPUTED_VALUE"""),"")</f>
        <v/>
      </c>
      <c r="E1149" s="36" t="str">
        <f>IFERROR(__xludf.DUMMYFUNCTION("""COMPUTED_VALUE"""),"08-34-01-26A")</f>
        <v>08-34-01-26A</v>
      </c>
      <c r="F1149" s="36"/>
      <c r="G1149" s="36" t="str">
        <f>IFERROR(__xludf.DUMMYFUNCTION("""COMPUTED_VALUE"""),"El Sembrador y Dominguito N")</f>
        <v>El Sembrador y Dominguito N</v>
      </c>
      <c r="H1149" s="36" t="str">
        <f>IFERROR(__xludf.DUMMYFUNCTION("""COMPUTED_VALUE"""),"")</f>
        <v/>
      </c>
    </row>
    <row r="1150">
      <c r="A1150" s="36" t="str">
        <f>IFERROR(__xludf.DUMMYFUNCTION("""COMPUTED_VALUE"""),"01-38-08-71")</f>
        <v>01-38-08-71</v>
      </c>
      <c r="B1150" s="36" t="str">
        <f>IFERROR(__xludf.DUMMYFUNCTION("""COMPUTED_VALUE"""),"")</f>
        <v/>
      </c>
      <c r="C1150" s="36" t="str">
        <f>IFERROR(__xludf.DUMMYFUNCTION("""COMPUTED_VALUE"""),"")</f>
        <v/>
      </c>
      <c r="D1150" s="36" t="str">
        <f>IFERROR(__xludf.DUMMYFUNCTION("""COMPUTED_VALUE"""),"")</f>
        <v/>
      </c>
      <c r="E1150" s="36" t="str">
        <f>IFERROR(__xludf.DUMMYFUNCTION("""COMPUTED_VALUE"""),"08-34-01-26B")</f>
        <v>08-34-01-26B</v>
      </c>
      <c r="F1150" s="36"/>
      <c r="G1150" s="36" t="str">
        <f>IFERROR(__xludf.DUMMYFUNCTION("""COMPUTED_VALUE"""),"El Sembrador y Dominguito S")</f>
        <v>El Sembrador y Dominguito S</v>
      </c>
      <c r="H1150" s="36" t="str">
        <f>IFERROR(__xludf.DUMMYFUNCTION("""COMPUTED_VALUE"""),"")</f>
        <v/>
      </c>
    </row>
    <row r="1151">
      <c r="A1151" s="36" t="str">
        <f>IFERROR(__xludf.DUMMYFUNCTION("""COMPUTED_VALUE"""),"01-38-08-71A")</f>
        <v>01-38-08-71A</v>
      </c>
      <c r="B1151" s="36" t="str">
        <f>IFERROR(__xludf.DUMMYFUNCTION("""COMPUTED_VALUE"""),"")</f>
        <v/>
      </c>
      <c r="C1151" s="36" t="str">
        <f>IFERROR(__xludf.DUMMYFUNCTION("""COMPUTED_VALUE"""),"")</f>
        <v/>
      </c>
      <c r="D1151" s="36" t="str">
        <f>IFERROR(__xludf.DUMMYFUNCTION("""COMPUTED_VALUE"""),"")</f>
        <v/>
      </c>
      <c r="E1151" s="36" t="str">
        <f>IFERROR(__xludf.DUMMYFUNCTION("""COMPUTED_VALUE"""),"08-34-01-23")</f>
        <v>08-34-01-23</v>
      </c>
      <c r="F1151" s="36"/>
      <c r="G1151" s="36" t="str">
        <f>IFERROR(__xludf.DUMMYFUNCTION("""COMPUTED_VALUE"""),"El Sembrador y El Cosechero")</f>
        <v>El Sembrador y El Cosechero</v>
      </c>
      <c r="H1151" s="36" t="str">
        <f>IFERROR(__xludf.DUMMYFUNCTION("""COMPUTED_VALUE"""),"")</f>
        <v/>
      </c>
    </row>
    <row r="1152">
      <c r="A1152" s="36" t="str">
        <f>IFERROR(__xludf.DUMMYFUNCTION("""COMPUTED_VALUE"""),"01-39-08-127B")</f>
        <v>01-39-08-127B</v>
      </c>
      <c r="B1152" s="36" t="str">
        <f>IFERROR(__xludf.DUMMYFUNCTION("""COMPUTED_VALUE"""),"")</f>
        <v/>
      </c>
      <c r="C1152" s="36" t="str">
        <f>IFERROR(__xludf.DUMMYFUNCTION("""COMPUTED_VALUE"""),"")</f>
        <v/>
      </c>
      <c r="D1152" s="36" t="str">
        <f>IFERROR(__xludf.DUMMYFUNCTION("""COMPUTED_VALUE"""),"")</f>
        <v/>
      </c>
      <c r="E1152" s="36" t="str">
        <f>IFERROR(__xludf.DUMMYFUNCTION("""COMPUTED_VALUE"""),"08-32-01-22B")</f>
        <v>08-32-01-22B</v>
      </c>
      <c r="F1152" s="36"/>
      <c r="G1152" s="36" t="str">
        <f>IFERROR(__xludf.DUMMYFUNCTION("""COMPUTED_VALUE"""),"El Sembrador y El Domador N")</f>
        <v>El Sembrador y El Domador N</v>
      </c>
      <c r="H1152" s="36" t="str">
        <f>IFERROR(__xludf.DUMMYFUNCTION("""COMPUTED_VALUE"""),"")</f>
        <v/>
      </c>
    </row>
    <row r="1153">
      <c r="A1153" s="36" t="str">
        <f>IFERROR(__xludf.DUMMYFUNCTION("""COMPUTED_VALUE"""),"01-39-08-127C")</f>
        <v>01-39-08-127C</v>
      </c>
      <c r="B1153" s="36" t="str">
        <f>IFERROR(__xludf.DUMMYFUNCTION("""COMPUTED_VALUE"""),"")</f>
        <v/>
      </c>
      <c r="C1153" s="36" t="str">
        <f>IFERROR(__xludf.DUMMYFUNCTION("""COMPUTED_VALUE"""),"")</f>
        <v/>
      </c>
      <c r="D1153" s="36" t="str">
        <f>IFERROR(__xludf.DUMMYFUNCTION("""COMPUTED_VALUE"""),"")</f>
        <v/>
      </c>
      <c r="E1153" s="36" t="str">
        <f>IFERROR(__xludf.DUMMYFUNCTION("""COMPUTED_VALUE"""),"08-32-01-22A")</f>
        <v>08-32-01-22A</v>
      </c>
      <c r="F1153" s="36"/>
      <c r="G1153" s="36" t="str">
        <f>IFERROR(__xludf.DUMMYFUNCTION("""COMPUTED_VALUE"""),"El Sembrador y El Domador S")</f>
        <v>El Sembrador y El Domador S</v>
      </c>
      <c r="H1153" s="36" t="str">
        <f>IFERROR(__xludf.DUMMYFUNCTION("""COMPUTED_VALUE"""),"")</f>
        <v/>
      </c>
    </row>
    <row r="1154">
      <c r="A1154" s="36" t="str">
        <f>IFERROR(__xludf.DUMMYFUNCTION("""COMPUTED_VALUE"""),"01-39-08-127D")</f>
        <v>01-39-08-127D</v>
      </c>
      <c r="B1154" s="36" t="str">
        <f>IFERROR(__xludf.DUMMYFUNCTION("""COMPUTED_VALUE"""),"")</f>
        <v/>
      </c>
      <c r="C1154" s="36" t="str">
        <f>IFERROR(__xludf.DUMMYFUNCTION("""COMPUTED_VALUE"""),"")</f>
        <v/>
      </c>
      <c r="D1154" s="36" t="str">
        <f>IFERROR(__xludf.DUMMYFUNCTION("""COMPUTED_VALUE"""),"")</f>
        <v/>
      </c>
      <c r="E1154" s="36" t="str">
        <f>IFERROR(__xludf.DUMMYFUNCTION("""COMPUTED_VALUE"""),"08-34-01-30")</f>
        <v>08-34-01-30</v>
      </c>
      <c r="F1154" s="36"/>
      <c r="G1154" s="36" t="str">
        <f>IFERROR(__xludf.DUMMYFUNCTION("""COMPUTED_VALUE"""),"El Sembrador y J. Vidable")</f>
        <v>El Sembrador y J. Vidable</v>
      </c>
      <c r="H1154" s="36" t="str">
        <f>IFERROR(__xludf.DUMMYFUNCTION("""COMPUTED_VALUE"""),"")</f>
        <v/>
      </c>
    </row>
    <row r="1155">
      <c r="A1155" s="36" t="str">
        <f>IFERROR(__xludf.DUMMYFUNCTION("""COMPUTED_VALUE"""),"01-39-08-130")</f>
        <v>01-39-08-130</v>
      </c>
      <c r="B1155" s="36" t="str">
        <f>IFERROR(__xludf.DUMMYFUNCTION("""COMPUTED_VALUE"""),"")</f>
        <v/>
      </c>
      <c r="C1155" s="36" t="str">
        <f>IFERROR(__xludf.DUMMYFUNCTION("""COMPUTED_VALUE"""),"")</f>
        <v/>
      </c>
      <c r="D1155" s="36" t="str">
        <f>IFERROR(__xludf.DUMMYFUNCTION("""COMPUTED_VALUE"""),"")</f>
        <v/>
      </c>
      <c r="E1155" s="36" t="str">
        <f>IFERROR(__xludf.DUMMYFUNCTION("""COMPUTED_VALUE"""),"08-34-01-26")</f>
        <v>08-34-01-26</v>
      </c>
      <c r="F1155" s="36"/>
      <c r="G1155" s="36" t="str">
        <f>IFERROR(__xludf.DUMMYFUNCTION("""COMPUTED_VALUE"""),"El Sembrador y Mancini N")</f>
        <v>El Sembrador y Mancini N</v>
      </c>
      <c r="H1155" s="36" t="str">
        <f>IFERROR(__xludf.DUMMYFUNCTION("""COMPUTED_VALUE"""),"")</f>
        <v/>
      </c>
    </row>
    <row r="1156">
      <c r="A1156" s="36" t="str">
        <f>IFERROR(__xludf.DUMMYFUNCTION("""COMPUTED_VALUE"""),"01-39-08-131")</f>
        <v>01-39-08-131</v>
      </c>
      <c r="B1156" s="36" t="str">
        <f>IFERROR(__xludf.DUMMYFUNCTION("""COMPUTED_VALUE"""),"")</f>
        <v/>
      </c>
      <c r="C1156" s="36" t="str">
        <f>IFERROR(__xludf.DUMMYFUNCTION("""COMPUTED_VALUE"""),"")</f>
        <v/>
      </c>
      <c r="D1156" s="36" t="str">
        <f>IFERROR(__xludf.DUMMYFUNCTION("""COMPUTED_VALUE"""),"")</f>
        <v/>
      </c>
      <c r="E1156" s="36" t="str">
        <f>IFERROR(__xludf.DUMMYFUNCTION("""COMPUTED_VALUE"""),"08-34-01-25")</f>
        <v>08-34-01-25</v>
      </c>
      <c r="F1156" s="36"/>
      <c r="G1156" s="36" t="str">
        <f>IFERROR(__xludf.DUMMYFUNCTION("""COMPUTED_VALUE"""),"El Sembrador y Mancini S")</f>
        <v>El Sembrador y Mancini S</v>
      </c>
      <c r="H1156" s="36" t="str">
        <f>IFERROR(__xludf.DUMMYFUNCTION("""COMPUTED_VALUE"""),"")</f>
        <v/>
      </c>
    </row>
    <row r="1157">
      <c r="A1157" s="36" t="str">
        <f>IFERROR(__xludf.DUMMYFUNCTION("""COMPUTED_VALUE"""),"01-39-08-132")</f>
        <v>01-39-08-132</v>
      </c>
      <c r="B1157" s="36" t="str">
        <f>IFERROR(__xludf.DUMMYFUNCTION("""COMPUTED_VALUE"""),"")</f>
        <v/>
      </c>
      <c r="C1157" s="36" t="str">
        <f>IFERROR(__xludf.DUMMYFUNCTION("""COMPUTED_VALUE"""),"")</f>
        <v/>
      </c>
      <c r="D1157" s="36" t="str">
        <f>IFERROR(__xludf.DUMMYFUNCTION("""COMPUTED_VALUE"""),"")</f>
        <v/>
      </c>
      <c r="E1157" s="36" t="str">
        <f>IFERROR(__xludf.DUMMYFUNCTION("""COMPUTED_VALUE"""),"08-32-01-11C")</f>
        <v>08-32-01-11C</v>
      </c>
      <c r="F1157" s="36"/>
      <c r="G1157" s="36" t="str">
        <f>IFERROR(__xludf.DUMMYFUNCTION("""COMPUTED_VALUE"""),"El Sembrador y Rastreador Calivar ")</f>
        <v>El Sembrador y Rastreador Calivar </v>
      </c>
      <c r="H1157" s="36" t="str">
        <f>IFERROR(__xludf.DUMMYFUNCTION("""COMPUTED_VALUE"""),"")</f>
        <v/>
      </c>
    </row>
    <row r="1158">
      <c r="A1158" s="36" t="str">
        <f>IFERROR(__xludf.DUMMYFUNCTION("""COMPUTED_VALUE"""),"01-39-08-135")</f>
        <v>01-39-08-135</v>
      </c>
      <c r="B1158" s="36" t="str">
        <f>IFERROR(__xludf.DUMMYFUNCTION("""COMPUTED_VALUE"""),"")</f>
        <v/>
      </c>
      <c r="C1158" s="36" t="str">
        <f>IFERROR(__xludf.DUMMYFUNCTION("""COMPUTED_VALUE"""),"")</f>
        <v/>
      </c>
      <c r="D1158" s="36" t="str">
        <f>IFERROR(__xludf.DUMMYFUNCTION("""COMPUTED_VALUE"""),"")</f>
        <v/>
      </c>
      <c r="E1158" s="36" t="str">
        <f>IFERROR(__xludf.DUMMYFUNCTION("""COMPUTED_VALUE"""),"02-39-11-81D")</f>
        <v>02-39-11-81D</v>
      </c>
      <c r="F1158" s="36"/>
      <c r="G1158" s="36" t="str">
        <f>IFERROR(__xludf.DUMMYFUNCTION("""COMPUTED_VALUE"""),"Entrada a UNSJ")</f>
        <v>Entrada a UNSJ</v>
      </c>
      <c r="H1158" s="36" t="str">
        <f>IFERROR(__xludf.DUMMYFUNCTION("""COMPUTED_VALUE"""),"")</f>
        <v/>
      </c>
    </row>
    <row r="1159">
      <c r="A1159" s="36" t="str">
        <f>IFERROR(__xludf.DUMMYFUNCTION("""COMPUTED_VALUE"""),"01-39-08-52I")</f>
        <v>01-39-08-52I</v>
      </c>
      <c r="B1159" s="36" t="str">
        <f>IFERROR(__xludf.DUMMYFUNCTION("""COMPUTED_VALUE"""),"")</f>
        <v/>
      </c>
      <c r="C1159" s="36" t="str">
        <f>IFERROR(__xludf.DUMMYFUNCTION("""COMPUTED_VALUE"""),"")</f>
        <v/>
      </c>
      <c r="D1159" s="36" t="str">
        <f>IFERROR(__xludf.DUMMYFUNCTION("""COMPUTED_VALUE"""),"")</f>
        <v/>
      </c>
      <c r="E1159" s="36" t="str">
        <f>IFERROR(__xludf.DUMMYFUNCTION("""COMPUTED_VALUE"""),"02-46-11-12")</f>
        <v>02-46-11-12</v>
      </c>
      <c r="F1159" s="36"/>
      <c r="G1159" s="36" t="str">
        <f>IFERROR(__xludf.DUMMYFUNCTION("""COMPUTED_VALUE"""),"Esc. B° Nuevo Cuyo")</f>
        <v>Esc. B° Nuevo Cuyo</v>
      </c>
      <c r="H1159" s="36" t="str">
        <f>IFERROR(__xludf.DUMMYFUNCTION("""COMPUTED_VALUE"""),"")</f>
        <v/>
      </c>
    </row>
    <row r="1160">
      <c r="A1160" s="36" t="str">
        <f>IFERROR(__xludf.DUMMYFUNCTION("""COMPUTED_VALUE"""),"01-39-08-56")</f>
        <v>01-39-08-56</v>
      </c>
      <c r="B1160" s="36" t="str">
        <f>IFERROR(__xludf.DUMMYFUNCTION("""COMPUTED_VALUE"""),"")</f>
        <v/>
      </c>
      <c r="C1160" s="36" t="str">
        <f>IFERROR(__xludf.DUMMYFUNCTION("""COMPUTED_VALUE"""),"")</f>
        <v/>
      </c>
      <c r="D1160" s="36" t="str">
        <f>IFERROR(__xludf.DUMMYFUNCTION("""COMPUTED_VALUE"""),"")</f>
        <v/>
      </c>
      <c r="E1160" s="36" t="str">
        <f>IFERROR(__xludf.DUMMYFUNCTION("""COMPUTED_VALUE"""),"04-42-11-54A")</f>
        <v>04-42-11-54A</v>
      </c>
      <c r="F1160" s="36"/>
      <c r="G1160" s="36" t="str">
        <f>IFERROR(__xludf.DUMMYFUNCTION("""COMPUTED_VALUE"""),"Esc. B° Valle Grande Este")</f>
        <v>Esc. B° Valle Grande Este</v>
      </c>
      <c r="H1160" s="36" t="str">
        <f>IFERROR(__xludf.DUMMYFUNCTION("""COMPUTED_VALUE"""),"")</f>
        <v/>
      </c>
    </row>
    <row r="1161">
      <c r="A1161" s="36" t="str">
        <f>IFERROR(__xludf.DUMMYFUNCTION("""COMPUTED_VALUE"""),"01-39-08-57")</f>
        <v>01-39-08-57</v>
      </c>
      <c r="B1161" s="36" t="str">
        <f>IFERROR(__xludf.DUMMYFUNCTION("""COMPUTED_VALUE"""),"")</f>
        <v/>
      </c>
      <c r="C1161" s="36" t="str">
        <f>IFERROR(__xludf.DUMMYFUNCTION("""COMPUTED_VALUE"""),"")</f>
        <v/>
      </c>
      <c r="D1161" s="36" t="str">
        <f>IFERROR(__xludf.DUMMYFUNCTION("""COMPUTED_VALUE"""),"")</f>
        <v/>
      </c>
      <c r="E1161" s="36" t="str">
        <f>IFERROR(__xludf.DUMMYFUNCTION("""COMPUTED_VALUE"""),"04-42-11-54")</f>
        <v>04-42-11-54</v>
      </c>
      <c r="F1161" s="36"/>
      <c r="G1161" s="36" t="str">
        <f>IFERROR(__xludf.DUMMYFUNCTION("""COMPUTED_VALUE"""),"Esc. B° Valle Grande Oeste")</f>
        <v>Esc. B° Valle Grande Oeste</v>
      </c>
      <c r="H1161" s="36" t="str">
        <f>IFERROR(__xludf.DUMMYFUNCTION("""COMPUTED_VALUE"""),"")</f>
        <v/>
      </c>
    </row>
    <row r="1162">
      <c r="A1162" s="36" t="str">
        <f>IFERROR(__xludf.DUMMYFUNCTION("""COMPUTED_VALUE"""),"01-39-08-58")</f>
        <v>01-39-08-58</v>
      </c>
      <c r="B1162" s="36" t="str">
        <f>IFERROR(__xludf.DUMMYFUNCTION("""COMPUTED_VALUE"""),"")</f>
        <v/>
      </c>
      <c r="C1162" s="36" t="str">
        <f>IFERROR(__xludf.DUMMYFUNCTION("""COMPUTED_VALUE"""),"")</f>
        <v/>
      </c>
      <c r="D1162" s="36" t="str">
        <f>IFERROR(__xludf.DUMMYFUNCTION("""COMPUTED_VALUE"""),"")</f>
        <v/>
      </c>
      <c r="E1162" s="36" t="str">
        <f>IFERROR(__xludf.DUMMYFUNCTION("""COMPUTED_VALUE"""),"01-37-08-76")</f>
        <v>01-37-08-76</v>
      </c>
      <c r="F1162" s="36"/>
      <c r="G1162" s="36" t="str">
        <f>IFERROR(__xludf.DUMMYFUNCTION("""COMPUTED_VALUE"""),"Esc. Comercio Gral.Manuel Belgrano")</f>
        <v>Esc. Comercio Gral.Manuel Belgrano</v>
      </c>
      <c r="H1162" s="36" t="str">
        <f>IFERROR(__xludf.DUMMYFUNCTION("""COMPUTED_VALUE"""),"")</f>
        <v/>
      </c>
    </row>
    <row r="1163">
      <c r="A1163" s="36" t="str">
        <f>IFERROR(__xludf.DUMMYFUNCTION("""COMPUTED_VALUE"""),"01-39-08-59")</f>
        <v>01-39-08-59</v>
      </c>
      <c r="B1163" s="36" t="str">
        <f>IFERROR(__xludf.DUMMYFUNCTION("""COMPUTED_VALUE"""),"")</f>
        <v/>
      </c>
      <c r="C1163" s="36" t="str">
        <f>IFERROR(__xludf.DUMMYFUNCTION("""COMPUTED_VALUE"""),"")</f>
        <v/>
      </c>
      <c r="D1163" s="36" t="str">
        <f>IFERROR(__xludf.DUMMYFUNCTION("""COMPUTED_VALUE"""),"")</f>
        <v/>
      </c>
      <c r="E1163" s="36" t="str">
        <f>IFERROR(__xludf.DUMMYFUNCTION("""COMPUTED_VALUE"""),"04-38-11-117")</f>
        <v>04-38-11-117</v>
      </c>
      <c r="F1163" s="36"/>
      <c r="G1163" s="36" t="str">
        <f>IFERROR(__xludf.DUMMYFUNCTION("""COMPUTED_VALUE"""),"Esc. Cruce de Los Andes B° Piuquen")</f>
        <v>Esc. Cruce de Los Andes B° Piuquen</v>
      </c>
      <c r="H1163" s="36" t="str">
        <f>IFERROR(__xludf.DUMMYFUNCTION("""COMPUTED_VALUE"""),"")</f>
        <v/>
      </c>
    </row>
    <row r="1164">
      <c r="A1164" s="36" t="str">
        <f>IFERROR(__xludf.DUMMYFUNCTION("""COMPUTED_VALUE"""),"01-39-08-60")</f>
        <v>01-39-08-60</v>
      </c>
      <c r="B1164" s="36" t="str">
        <f>IFERROR(__xludf.DUMMYFUNCTION("""COMPUTED_VALUE"""),"")</f>
        <v/>
      </c>
      <c r="C1164" s="36" t="str">
        <f>IFERROR(__xludf.DUMMYFUNCTION("""COMPUTED_VALUE"""),"")</f>
        <v/>
      </c>
      <c r="D1164" s="36" t="str">
        <f>IFERROR(__xludf.DUMMYFUNCTION("""COMPUTED_VALUE"""),"")</f>
        <v/>
      </c>
      <c r="E1164" s="36" t="str">
        <f>IFERROR(__xludf.DUMMYFUNCTION("""COMPUTED_VALUE"""),"02-40-11-117A")</f>
        <v>02-40-11-117A</v>
      </c>
      <c r="F1164" s="36"/>
      <c r="G1164" s="36" t="str">
        <f>IFERROR(__xludf.DUMMYFUNCTION("""COMPUTED_VALUE"""),"Esc. Cruce de Los Andes Barrio Piuquen")</f>
        <v>Esc. Cruce de Los Andes Barrio Piuquen</v>
      </c>
      <c r="H1164" s="36" t="str">
        <f>IFERROR(__xludf.DUMMYFUNCTION("""COMPUTED_VALUE"""),"")</f>
        <v/>
      </c>
    </row>
    <row r="1165">
      <c r="A1165" s="36" t="str">
        <f>IFERROR(__xludf.DUMMYFUNCTION("""COMPUTED_VALUE"""),"01-39-08-61")</f>
        <v>01-39-08-61</v>
      </c>
      <c r="B1165" s="36" t="str">
        <f>IFERROR(__xludf.DUMMYFUNCTION("""COMPUTED_VALUE"""),"")</f>
        <v/>
      </c>
      <c r="C1165" s="36" t="str">
        <f>IFERROR(__xludf.DUMMYFUNCTION("""COMPUTED_VALUE"""),"")</f>
        <v/>
      </c>
      <c r="D1165" s="36" t="str">
        <f>IFERROR(__xludf.DUMMYFUNCTION("""COMPUTED_VALUE"""),"")</f>
        <v/>
      </c>
      <c r="E1165" s="36" t="str">
        <f>IFERROR(__xludf.DUMMYFUNCTION("""COMPUTED_VALUE"""),"08-36-02-83B")</f>
        <v>08-36-02-83B</v>
      </c>
      <c r="F1165" s="36"/>
      <c r="G1165" s="36" t="str">
        <f>IFERROR(__xludf.DUMMYFUNCTION("""COMPUTED_VALUE"""),"Esc. Enrique Pestalozzi E")</f>
        <v>Esc. Enrique Pestalozzi E</v>
      </c>
      <c r="H1165" s="36" t="str">
        <f>IFERROR(__xludf.DUMMYFUNCTION("""COMPUTED_VALUE"""),"")</f>
        <v/>
      </c>
    </row>
    <row r="1166">
      <c r="A1166" s="36" t="str">
        <f>IFERROR(__xludf.DUMMYFUNCTION("""COMPUTED_VALUE"""),"01-39-08-62")</f>
        <v>01-39-08-62</v>
      </c>
      <c r="B1166" s="36" t="str">
        <f>IFERROR(__xludf.DUMMYFUNCTION("""COMPUTED_VALUE"""),"")</f>
        <v/>
      </c>
      <c r="C1166" s="36" t="str">
        <f>IFERROR(__xludf.DUMMYFUNCTION("""COMPUTED_VALUE"""),"")</f>
        <v/>
      </c>
      <c r="D1166" s="36" t="str">
        <f>IFERROR(__xludf.DUMMYFUNCTION("""COMPUTED_VALUE"""),"")</f>
        <v/>
      </c>
      <c r="E1166" s="36" t="str">
        <f>IFERROR(__xludf.DUMMYFUNCTION("""COMPUTED_VALUE"""),"08-36-02-83A")</f>
        <v>08-36-02-83A</v>
      </c>
      <c r="F1166" s="36"/>
      <c r="G1166" s="36" t="str">
        <f>IFERROR(__xludf.DUMMYFUNCTION("""COMPUTED_VALUE"""),"Esc. Enrique Pestalozzi O")</f>
        <v>Esc. Enrique Pestalozzi O</v>
      </c>
      <c r="H1166" s="36" t="str">
        <f>IFERROR(__xludf.DUMMYFUNCTION("""COMPUTED_VALUE"""),"")</f>
        <v/>
      </c>
    </row>
    <row r="1167">
      <c r="A1167" s="36" t="str">
        <f>IFERROR(__xludf.DUMMYFUNCTION("""COMPUTED_VALUE"""),"01-39-08-63")</f>
        <v>01-39-08-63</v>
      </c>
      <c r="B1167" s="36" t="str">
        <f>IFERROR(__xludf.DUMMYFUNCTION("""COMPUTED_VALUE"""),"")</f>
        <v/>
      </c>
      <c r="C1167" s="36" t="str">
        <f>IFERROR(__xludf.DUMMYFUNCTION("""COMPUTED_VALUE"""),"")</f>
        <v/>
      </c>
      <c r="D1167" s="36" t="str">
        <f>IFERROR(__xludf.DUMMYFUNCTION("""COMPUTED_VALUE"""),"")</f>
        <v/>
      </c>
      <c r="E1167" s="36" t="str">
        <f>IFERROR(__xludf.DUMMYFUNCTION("""COMPUTED_VALUE"""),"08-44-03-34")</f>
        <v>08-44-03-34</v>
      </c>
      <c r="F1167" s="36"/>
      <c r="G1167" s="36" t="str">
        <f>IFERROR(__xludf.DUMMYFUNCTION("""COMPUTED_VALUE"""),"Esc. Ingenieros de San Juan E")</f>
        <v>Esc. Ingenieros de San Juan E</v>
      </c>
      <c r="H1167" s="36" t="str">
        <f>IFERROR(__xludf.DUMMYFUNCTION("""COMPUTED_VALUE"""),"")</f>
        <v/>
      </c>
    </row>
    <row r="1168">
      <c r="A1168" s="36" t="str">
        <f>IFERROR(__xludf.DUMMYFUNCTION("""COMPUTED_VALUE"""),"01-39-08-64")</f>
        <v>01-39-08-64</v>
      </c>
      <c r="B1168" s="36" t="str">
        <f>IFERROR(__xludf.DUMMYFUNCTION("""COMPUTED_VALUE"""),"")</f>
        <v/>
      </c>
      <c r="C1168" s="36" t="str">
        <f>IFERROR(__xludf.DUMMYFUNCTION("""COMPUTED_VALUE"""),"")</f>
        <v/>
      </c>
      <c r="D1168" s="36" t="str">
        <f>IFERROR(__xludf.DUMMYFUNCTION("""COMPUTED_VALUE"""),"")</f>
        <v/>
      </c>
      <c r="E1168" s="36" t="str">
        <f>IFERROR(__xludf.DUMMYFUNCTION("""COMPUTED_VALUE"""),"08-44-03-35")</f>
        <v>08-44-03-35</v>
      </c>
      <c r="F1168" s="36"/>
      <c r="G1168" s="36" t="str">
        <f>IFERROR(__xludf.DUMMYFUNCTION("""COMPUTED_VALUE"""),"Esc. Ingenieros de San Juan N")</f>
        <v>Esc. Ingenieros de San Juan N</v>
      </c>
      <c r="H1168" s="36" t="str">
        <f>IFERROR(__xludf.DUMMYFUNCTION("""COMPUTED_VALUE"""),"")</f>
        <v/>
      </c>
    </row>
    <row r="1169">
      <c r="A1169" s="36" t="str">
        <f>IFERROR(__xludf.DUMMYFUNCTION("""COMPUTED_VALUE"""),"01-39-08-65")</f>
        <v>01-39-08-65</v>
      </c>
      <c r="B1169" s="36" t="str">
        <f>IFERROR(__xludf.DUMMYFUNCTION("""COMPUTED_VALUE"""),"")</f>
        <v/>
      </c>
      <c r="C1169" s="36" t="str">
        <f>IFERROR(__xludf.DUMMYFUNCTION("""COMPUTED_VALUE"""),"")</f>
        <v/>
      </c>
      <c r="D1169" s="36" t="str">
        <f>IFERROR(__xludf.DUMMYFUNCTION("""COMPUTED_VALUE"""),"")</f>
        <v/>
      </c>
      <c r="E1169" s="36" t="str">
        <f>IFERROR(__xludf.DUMMYFUNCTION("""COMPUTED_VALUE"""),"08-44-03-43")</f>
        <v>08-44-03-43</v>
      </c>
      <c r="F1169" s="36"/>
      <c r="G1169" s="36" t="str">
        <f>IFERROR(__xludf.DUMMYFUNCTION("""COMPUTED_VALUE"""),"Esc. Policía Federal Argentina E")</f>
        <v>Esc. Policía Federal Argentina E</v>
      </c>
      <c r="H1169" s="36" t="str">
        <f>IFERROR(__xludf.DUMMYFUNCTION("""COMPUTED_VALUE"""),"")</f>
        <v/>
      </c>
    </row>
    <row r="1170">
      <c r="A1170" s="36" t="str">
        <f>IFERROR(__xludf.DUMMYFUNCTION("""COMPUTED_VALUE"""),"01-40-08-127")</f>
        <v>01-40-08-127</v>
      </c>
      <c r="B1170" s="36" t="str">
        <f>IFERROR(__xludf.DUMMYFUNCTION("""COMPUTED_VALUE"""),"")</f>
        <v/>
      </c>
      <c r="C1170" s="36" t="str">
        <f>IFERROR(__xludf.DUMMYFUNCTION("""COMPUTED_VALUE"""),"")</f>
        <v/>
      </c>
      <c r="D1170" s="36" t="str">
        <f>IFERROR(__xludf.DUMMYFUNCTION("""COMPUTED_VALUE"""),"")</f>
        <v/>
      </c>
      <c r="E1170" s="36" t="str">
        <f>IFERROR(__xludf.DUMMYFUNCTION("""COMPUTED_VALUE"""),"08-44-03-44")</f>
        <v>08-44-03-44</v>
      </c>
      <c r="F1170" s="36"/>
      <c r="G1170" s="36" t="str">
        <f>IFERROR(__xludf.DUMMYFUNCTION("""COMPUTED_VALUE"""),"Esc. Policía Federal Argentina O")</f>
        <v>Esc. Policía Federal Argentina O</v>
      </c>
      <c r="H1170" s="36" t="str">
        <f>IFERROR(__xludf.DUMMYFUNCTION("""COMPUTED_VALUE"""),"")</f>
        <v/>
      </c>
    </row>
    <row r="1171">
      <c r="A1171" s="36" t="str">
        <f>IFERROR(__xludf.DUMMYFUNCTION("""COMPUTED_VALUE"""),"01-40-08-127A")</f>
        <v>01-40-08-127A</v>
      </c>
      <c r="B1171" s="36" t="str">
        <f>IFERROR(__xludf.DUMMYFUNCTION("""COMPUTED_VALUE"""),"")</f>
        <v/>
      </c>
      <c r="C1171" s="36" t="str">
        <f>IFERROR(__xludf.DUMMYFUNCTION("""COMPUTED_VALUE"""),"")</f>
        <v/>
      </c>
      <c r="D1171" s="36" t="str">
        <f>IFERROR(__xludf.DUMMYFUNCTION("""COMPUTED_VALUE"""),"")</f>
        <v/>
      </c>
      <c r="E1171" s="36" t="str">
        <f>IFERROR(__xludf.DUMMYFUNCTION("""COMPUTED_VALUE"""),"01-39-08-62")</f>
        <v>01-39-08-62</v>
      </c>
      <c r="F1171" s="36"/>
      <c r="G1171" s="36" t="str">
        <f>IFERROR(__xludf.DUMMYFUNCTION("""COMPUTED_VALUE"""),"Escuela 25 de Mayo")</f>
        <v>Escuela 25 de Mayo</v>
      </c>
      <c r="H1171" s="36" t="str">
        <f>IFERROR(__xludf.DUMMYFUNCTION("""COMPUTED_VALUE"""),"")</f>
        <v/>
      </c>
    </row>
    <row r="1172">
      <c r="A1172" s="36" t="str">
        <f>IFERROR(__xludf.DUMMYFUNCTION("""COMPUTED_VALUE"""),"01-40-08-128")</f>
        <v>01-40-08-128</v>
      </c>
      <c r="B1172" s="36" t="str">
        <f>IFERROR(__xludf.DUMMYFUNCTION("""COMPUTED_VALUE"""),"")</f>
        <v/>
      </c>
      <c r="C1172" s="36" t="str">
        <f>IFERROR(__xludf.DUMMYFUNCTION("""COMPUTED_VALUE"""),"")</f>
        <v/>
      </c>
      <c r="D1172" s="36" t="str">
        <f>IFERROR(__xludf.DUMMYFUNCTION("""COMPUTED_VALUE"""),"")</f>
        <v/>
      </c>
      <c r="E1172" s="36" t="str">
        <f>IFERROR(__xludf.DUMMYFUNCTION("""COMPUTED_VALUE"""),"04-33-13-115A")</f>
        <v>04-33-13-115A</v>
      </c>
      <c r="F1172" s="36"/>
      <c r="G1172" s="36" t="str">
        <f>IFERROR(__xludf.DUMMYFUNCTION("""COMPUTED_VALUE"""),"Escuela Alas Argentinas
")</f>
        <v>Escuela Alas Argentinas
</v>
      </c>
      <c r="H1172" s="36" t="str">
        <f>IFERROR(__xludf.DUMMYFUNCTION("""COMPUTED_VALUE"""),"")</f>
        <v/>
      </c>
    </row>
    <row r="1173">
      <c r="A1173" s="36" t="str">
        <f>IFERROR(__xludf.DUMMYFUNCTION("""COMPUTED_VALUE"""),"01-40-08-129")</f>
        <v>01-40-08-129</v>
      </c>
      <c r="B1173" s="36" t="str">
        <f>IFERROR(__xludf.DUMMYFUNCTION("""COMPUTED_VALUE"""),"")</f>
        <v/>
      </c>
      <c r="C1173" s="36" t="str">
        <f>IFERROR(__xludf.DUMMYFUNCTION("""COMPUTED_VALUE"""),"")</f>
        <v/>
      </c>
      <c r="D1173" s="36" t="str">
        <f>IFERROR(__xludf.DUMMYFUNCTION("""COMPUTED_VALUE"""),"")</f>
        <v/>
      </c>
      <c r="E1173" s="36" t="str">
        <f>IFERROR(__xludf.DUMMYFUNCTION("""COMPUTED_VALUE"""),"04-45-12-78")</f>
        <v>04-45-12-78</v>
      </c>
      <c r="F1173" s="36"/>
      <c r="G1173" s="36" t="str">
        <f>IFERROR(__xludf.DUMMYFUNCTION("""COMPUTED_VALUE"""),"Escuela Alvear")</f>
        <v>Escuela Alvear</v>
      </c>
      <c r="H1173" s="36" t="str">
        <f>IFERROR(__xludf.DUMMYFUNCTION("""COMPUTED_VALUE"""),"")</f>
        <v/>
      </c>
    </row>
    <row r="1174">
      <c r="A1174" s="36" t="str">
        <f>IFERROR(__xludf.DUMMYFUNCTION("""COMPUTED_VALUE"""),"01-40-08-33C")</f>
        <v>01-40-08-33C</v>
      </c>
      <c r="B1174" s="36" t="str">
        <f>IFERROR(__xludf.DUMMYFUNCTION("""COMPUTED_VALUE"""),"")</f>
        <v/>
      </c>
      <c r="C1174" s="36" t="str">
        <f>IFERROR(__xludf.DUMMYFUNCTION("""COMPUTED_VALUE"""),"")</f>
        <v/>
      </c>
      <c r="D1174" s="36" t="str">
        <f>IFERROR(__xludf.DUMMYFUNCTION("""COMPUTED_VALUE"""),"")</f>
        <v/>
      </c>
      <c r="E1174" s="36" t="str">
        <f>IFERROR(__xludf.DUMMYFUNCTION("""COMPUTED_VALUE"""),"04-45-12-11")</f>
        <v>04-45-12-11</v>
      </c>
      <c r="F1174" s="36"/>
      <c r="G1174" s="36" t="str">
        <f>IFERROR(__xludf.DUMMYFUNCTION("""COMPUTED_VALUE"""),"Escuela Antonio Latorre")</f>
        <v>Escuela Antonio Latorre</v>
      </c>
      <c r="H1174" s="36" t="str">
        <f>IFERROR(__xludf.DUMMYFUNCTION("""COMPUTED_VALUE"""),"")</f>
        <v/>
      </c>
    </row>
    <row r="1175">
      <c r="A1175" s="36" t="str">
        <f>IFERROR(__xludf.DUMMYFUNCTION("""COMPUTED_VALUE"""),"01-40-08-33D")</f>
        <v>01-40-08-33D</v>
      </c>
      <c r="B1175" s="36" t="str">
        <f>IFERROR(__xludf.DUMMYFUNCTION("""COMPUTED_VALUE"""),"")</f>
        <v/>
      </c>
      <c r="C1175" s="36" t="str">
        <f>IFERROR(__xludf.DUMMYFUNCTION("""COMPUTED_VALUE"""),"")</f>
        <v/>
      </c>
      <c r="D1175" s="36" t="str">
        <f>IFERROR(__xludf.DUMMYFUNCTION("""COMPUTED_VALUE"""),"")</f>
        <v/>
      </c>
      <c r="E1175" s="36" t="str">
        <f>IFERROR(__xludf.DUMMYFUNCTION("""COMPUTED_VALUE"""),"08-34-01-42")</f>
        <v>08-34-01-42</v>
      </c>
      <c r="F1175" s="36"/>
      <c r="G1175" s="36" t="str">
        <f>IFERROR(__xludf.DUMMYFUNCTION("""COMPUTED_VALUE"""),"Escuela Arturo Illia")</f>
        <v>Escuela Arturo Illia</v>
      </c>
      <c r="H1175" s="36" t="str">
        <f>IFERROR(__xludf.DUMMYFUNCTION("""COMPUTED_VALUE"""),"")</f>
        <v/>
      </c>
    </row>
    <row r="1176">
      <c r="A1176" s="36" t="str">
        <f>IFERROR(__xludf.DUMMYFUNCTION("""COMPUTED_VALUE"""),"01-40-08-35A")</f>
        <v>01-40-08-35A</v>
      </c>
      <c r="B1176" s="36" t="str">
        <f>IFERROR(__xludf.DUMMYFUNCTION("""COMPUTED_VALUE"""),"")</f>
        <v/>
      </c>
      <c r="C1176" s="36" t="str">
        <f>IFERROR(__xludf.DUMMYFUNCTION("""COMPUTED_VALUE"""),"")</f>
        <v/>
      </c>
      <c r="D1176" s="36" t="str">
        <f>IFERROR(__xludf.DUMMYFUNCTION("""COMPUTED_VALUE"""),"")</f>
        <v/>
      </c>
      <c r="E1176" s="36" t="str">
        <f>IFERROR(__xludf.DUMMYFUNCTION("""COMPUTED_VALUE"""),"02-27-06-84")</f>
        <v>02-27-06-84</v>
      </c>
      <c r="F1176" s="36"/>
      <c r="G1176" s="36" t="str">
        <f>IFERROR(__xludf.DUMMYFUNCTION("""COMPUTED_VALUE"""),"Escuela B° Parque Rivadavia Norte")</f>
        <v>Escuela B° Parque Rivadavia Norte</v>
      </c>
      <c r="H1176" s="36" t="str">
        <f>IFERROR(__xludf.DUMMYFUNCTION("""COMPUTED_VALUE"""),"")</f>
        <v/>
      </c>
    </row>
    <row r="1177">
      <c r="A1177" s="36" t="str">
        <f>IFERROR(__xludf.DUMMYFUNCTION("""COMPUTED_VALUE"""),"01-40-08-36")</f>
        <v>01-40-08-36</v>
      </c>
      <c r="B1177" s="36" t="str">
        <f>IFERROR(__xludf.DUMMYFUNCTION("""COMPUTED_VALUE"""),"")</f>
        <v/>
      </c>
      <c r="C1177" s="36" t="str">
        <f>IFERROR(__xludf.DUMMYFUNCTION("""COMPUTED_VALUE"""),"")</f>
        <v/>
      </c>
      <c r="D1177" s="36" t="str">
        <f>IFERROR(__xludf.DUMMYFUNCTION("""COMPUTED_VALUE"""),"")</f>
        <v/>
      </c>
      <c r="E1177" s="36" t="str">
        <f>IFERROR(__xludf.DUMMYFUNCTION("""COMPUTED_VALUE"""),"04-42-11-53A")</f>
        <v>04-42-11-53A</v>
      </c>
      <c r="F1177" s="36"/>
      <c r="G1177" s="36" t="str">
        <f>IFERROR(__xludf.DUMMYFUNCTION("""COMPUTED_VALUE"""),"Escuela B° Valle Grande")</f>
        <v>Escuela B° Valle Grande</v>
      </c>
      <c r="H1177" s="36" t="str">
        <f>IFERROR(__xludf.DUMMYFUNCTION("""COMPUTED_VALUE"""),"")</f>
        <v/>
      </c>
    </row>
    <row r="1178">
      <c r="A1178" s="36" t="str">
        <f>IFERROR(__xludf.DUMMYFUNCTION("""COMPUTED_VALUE"""),"01-40-08-36A")</f>
        <v>01-40-08-36A</v>
      </c>
      <c r="B1178" s="36" t="str">
        <f>IFERROR(__xludf.DUMMYFUNCTION("""COMPUTED_VALUE"""),"")</f>
        <v/>
      </c>
      <c r="C1178" s="36" t="str">
        <f>IFERROR(__xludf.DUMMYFUNCTION("""COMPUTED_VALUE"""),"")</f>
        <v/>
      </c>
      <c r="D1178" s="36" t="str">
        <f>IFERROR(__xludf.DUMMYFUNCTION("""COMPUTED_VALUE"""),"")</f>
        <v/>
      </c>
      <c r="E1178" s="36" t="str">
        <f>IFERROR(__xludf.DUMMYFUNCTION("""COMPUTED_VALUE"""),"03-48-09-53")</f>
        <v>03-48-09-53</v>
      </c>
      <c r="F1178" s="36"/>
      <c r="G1178" s="36" t="str">
        <f>IFERROR(__xludf.DUMMYFUNCTION("""COMPUTED_VALUE"""),"Escuela Carlos Pellegrini")</f>
        <v>Escuela Carlos Pellegrini</v>
      </c>
      <c r="H1178" s="36" t="str">
        <f>IFERROR(__xludf.DUMMYFUNCTION("""COMPUTED_VALUE"""),"")</f>
        <v/>
      </c>
    </row>
    <row r="1179">
      <c r="A1179" s="36" t="str">
        <f>IFERROR(__xludf.DUMMYFUNCTION("""COMPUTED_VALUE"""),"01-40-08-37")</f>
        <v>01-40-08-37</v>
      </c>
      <c r="B1179" s="36" t="str">
        <f>IFERROR(__xludf.DUMMYFUNCTION("""COMPUTED_VALUE"""),"")</f>
        <v/>
      </c>
      <c r="C1179" s="36" t="str">
        <f>IFERROR(__xludf.DUMMYFUNCTION("""COMPUTED_VALUE"""),"")</f>
        <v/>
      </c>
      <c r="D1179" s="36" t="str">
        <f>IFERROR(__xludf.DUMMYFUNCTION("""COMPUTED_VALUE"""),"")</f>
        <v/>
      </c>
      <c r="E1179" s="36" t="str">
        <f>IFERROR(__xludf.DUMMYFUNCTION("""COMPUTED_VALUE"""),"04-22-14-49")</f>
        <v>04-22-14-49</v>
      </c>
      <c r="F1179" s="36"/>
      <c r="G1179" s="36" t="str">
        <f>IFERROR(__xludf.DUMMYFUNCTION("""COMPUTED_VALUE"""),"Escuela Cecilio Avila
")</f>
        <v>Escuela Cecilio Avila
</v>
      </c>
      <c r="H1179" s="36" t="str">
        <f>IFERROR(__xludf.DUMMYFUNCTION("""COMPUTED_VALUE"""),"")</f>
        <v/>
      </c>
    </row>
    <row r="1180">
      <c r="A1180" s="36" t="str">
        <f>IFERROR(__xludf.DUMMYFUNCTION("""COMPUTED_VALUE"""),"01-40-08-38")</f>
        <v>01-40-08-38</v>
      </c>
      <c r="B1180" s="36" t="str">
        <f>IFERROR(__xludf.DUMMYFUNCTION("""COMPUTED_VALUE"""),"")</f>
        <v/>
      </c>
      <c r="C1180" s="36" t="str">
        <f>IFERROR(__xludf.DUMMYFUNCTION("""COMPUTED_VALUE"""),"")</f>
        <v/>
      </c>
      <c r="D1180" s="36" t="str">
        <f>IFERROR(__xludf.DUMMYFUNCTION("""COMPUTED_VALUE"""),"")</f>
        <v/>
      </c>
      <c r="E1180" s="36" t="str">
        <f>IFERROR(__xludf.DUMMYFUNCTION("""COMPUTED_VALUE"""),"08-31-01-2")</f>
        <v>08-31-01-2</v>
      </c>
      <c r="F1180" s="36"/>
      <c r="G1180" s="36" t="str">
        <f>IFERROR(__xludf.DUMMYFUNCTION("""COMPUTED_VALUE"""),"Escuela de Policías")</f>
        <v>Escuela de Policías</v>
      </c>
      <c r="H1180" s="36" t="str">
        <f>IFERROR(__xludf.DUMMYFUNCTION("""COMPUTED_VALUE"""),"")</f>
        <v/>
      </c>
    </row>
    <row r="1181">
      <c r="A1181" s="36" t="str">
        <f>IFERROR(__xludf.DUMMYFUNCTION("""COMPUTED_VALUE"""),"01-40-08-38A")</f>
        <v>01-40-08-38A</v>
      </c>
      <c r="B1181" s="36" t="str">
        <f>IFERROR(__xludf.DUMMYFUNCTION("""COMPUTED_VALUE"""),"")</f>
        <v/>
      </c>
      <c r="C1181" s="36" t="str">
        <f>IFERROR(__xludf.DUMMYFUNCTION("""COMPUTED_VALUE"""),"")</f>
        <v/>
      </c>
      <c r="D1181" s="36" t="str">
        <f>IFERROR(__xludf.DUMMYFUNCTION("""COMPUTED_VALUE"""),"")</f>
        <v/>
      </c>
      <c r="E1181" s="36" t="str">
        <f>IFERROR(__xludf.DUMMYFUNCTION("""COMPUTED_VALUE"""),"04-44-12-3")</f>
        <v>04-44-12-3</v>
      </c>
      <c r="F1181" s="36"/>
      <c r="G1181" s="36" t="str">
        <f>IFERROR(__xludf.DUMMYFUNCTION("""COMPUTED_VALUE"""),"Escuela Dr. Pablo A. Ramella
")</f>
        <v>Escuela Dr. Pablo A. Ramella
</v>
      </c>
      <c r="H1181" s="36" t="str">
        <f>IFERROR(__xludf.DUMMYFUNCTION("""COMPUTED_VALUE"""),"")</f>
        <v/>
      </c>
    </row>
    <row r="1182">
      <c r="A1182" s="36" t="str">
        <f>IFERROR(__xludf.DUMMYFUNCTION("""COMPUTED_VALUE"""),"01-40-08-39")</f>
        <v>01-40-08-39</v>
      </c>
      <c r="B1182" s="36" t="str">
        <f>IFERROR(__xludf.DUMMYFUNCTION("""COMPUTED_VALUE"""),"")</f>
        <v/>
      </c>
      <c r="C1182" s="36" t="str">
        <f>IFERROR(__xludf.DUMMYFUNCTION("""COMPUTED_VALUE"""),"")</f>
        <v/>
      </c>
      <c r="D1182" s="36" t="str">
        <f>IFERROR(__xludf.DUMMYFUNCTION("""COMPUTED_VALUE"""),"")</f>
        <v/>
      </c>
      <c r="E1182" s="36" t="str">
        <f>IFERROR(__xludf.DUMMYFUNCTION("""COMPUTED_VALUE"""),"04-30-14-73")</f>
        <v>04-30-14-73</v>
      </c>
      <c r="F1182" s="36"/>
      <c r="G1182" s="36" t="str">
        <f>IFERROR(__xludf.DUMMYFUNCTION("""COMPUTED_VALUE"""),"Escuela Ejército de los Andes Este")</f>
        <v>Escuela Ejército de los Andes Este</v>
      </c>
      <c r="H1182" s="36" t="str">
        <f>IFERROR(__xludf.DUMMYFUNCTION("""COMPUTED_VALUE"""),"")</f>
        <v/>
      </c>
    </row>
    <row r="1183">
      <c r="A1183" s="36" t="str">
        <f>IFERROR(__xludf.DUMMYFUNCTION("""COMPUTED_VALUE"""),"01-40-08-53")</f>
        <v>01-40-08-53</v>
      </c>
      <c r="B1183" s="36" t="str">
        <f>IFERROR(__xludf.DUMMYFUNCTION("""COMPUTED_VALUE"""),"")</f>
        <v/>
      </c>
      <c r="C1183" s="36" t="str">
        <f>IFERROR(__xludf.DUMMYFUNCTION("""COMPUTED_VALUE"""),"")</f>
        <v/>
      </c>
      <c r="D1183" s="36" t="str">
        <f>IFERROR(__xludf.DUMMYFUNCTION("""COMPUTED_VALUE"""),"")</f>
        <v/>
      </c>
      <c r="E1183" s="36" t="str">
        <f>IFERROR(__xludf.DUMMYFUNCTION("""COMPUTED_VALUE"""),"04-30-14-74")</f>
        <v>04-30-14-74</v>
      </c>
      <c r="F1183" s="36"/>
      <c r="G1183" s="36" t="str">
        <f>IFERROR(__xludf.DUMMYFUNCTION("""COMPUTED_VALUE"""),"Escuela Ejército de los Andes Oeste")</f>
        <v>Escuela Ejército de los Andes Oeste</v>
      </c>
      <c r="H1183" s="36" t="str">
        <f>IFERROR(__xludf.DUMMYFUNCTION("""COMPUTED_VALUE"""),"")</f>
        <v/>
      </c>
    </row>
    <row r="1184">
      <c r="A1184" s="36" t="str">
        <f>IFERROR(__xludf.DUMMYFUNCTION("""COMPUTED_VALUE"""),"01-40-08-53A")</f>
        <v>01-40-08-53A</v>
      </c>
      <c r="B1184" s="36" t="str">
        <f>IFERROR(__xludf.DUMMYFUNCTION("""COMPUTED_VALUE"""),"")</f>
        <v/>
      </c>
      <c r="C1184" s="36" t="str">
        <f>IFERROR(__xludf.DUMMYFUNCTION("""COMPUTED_VALUE"""),"")</f>
        <v/>
      </c>
      <c r="D1184" s="36" t="str">
        <f>IFERROR(__xludf.DUMMYFUNCTION("""COMPUTED_VALUE"""),"")</f>
        <v/>
      </c>
      <c r="E1184" s="36" t="str">
        <f>IFERROR(__xludf.DUMMYFUNCTION("""COMPUTED_VALUE"""),"01-28-07-17")</f>
        <v>01-28-07-17</v>
      </c>
      <c r="F1184" s="36"/>
      <c r="G1184" s="36" t="str">
        <f>IFERROR(__xludf.DUMMYFUNCTION("""COMPUTED_VALUE"""),"Escuela Esteban Echeverría")</f>
        <v>Escuela Esteban Echeverría</v>
      </c>
      <c r="H1184" s="36" t="str">
        <f>IFERROR(__xludf.DUMMYFUNCTION("""COMPUTED_VALUE"""),"")</f>
        <v/>
      </c>
    </row>
    <row r="1185">
      <c r="A1185" s="36" t="str">
        <f>IFERROR(__xludf.DUMMYFUNCTION("""COMPUTED_VALUE"""),"01-40-08-54")</f>
        <v>01-40-08-54</v>
      </c>
      <c r="B1185" s="36" t="str">
        <f>IFERROR(__xludf.DUMMYFUNCTION("""COMPUTED_VALUE"""),"")</f>
        <v/>
      </c>
      <c r="C1185" s="36" t="str">
        <f>IFERROR(__xludf.DUMMYFUNCTION("""COMPUTED_VALUE"""),"")</f>
        <v/>
      </c>
      <c r="D1185" s="36" t="str">
        <f>IFERROR(__xludf.DUMMYFUNCTION("""COMPUTED_VALUE"""),"")</f>
        <v/>
      </c>
      <c r="E1185" s="36" t="str">
        <f>IFERROR(__xludf.DUMMYFUNCTION("""COMPUTED_VALUE"""),"04-35-12-15L")</f>
        <v>04-35-12-15L</v>
      </c>
      <c r="F1185" s="36"/>
      <c r="G1185" s="36" t="str">
        <f>IFERROR(__xludf.DUMMYFUNCTION("""COMPUTED_VALUE"""),"Escuela Eugenia Belin Sarmiento
")</f>
        <v>Escuela Eugenia Belin Sarmiento
</v>
      </c>
      <c r="H1185" s="36" t="str">
        <f>IFERROR(__xludf.DUMMYFUNCTION("""COMPUTED_VALUE"""),"")</f>
        <v/>
      </c>
    </row>
    <row r="1186">
      <c r="A1186" s="36" t="str">
        <f>IFERROR(__xludf.DUMMYFUNCTION("""COMPUTED_VALUE"""),"01-40-08-55")</f>
        <v>01-40-08-55</v>
      </c>
      <c r="B1186" s="36" t="str">
        <f>IFERROR(__xludf.DUMMYFUNCTION("""COMPUTED_VALUE"""),"")</f>
        <v/>
      </c>
      <c r="C1186" s="36" t="str">
        <f>IFERROR(__xludf.DUMMYFUNCTION("""COMPUTED_VALUE"""),"")</f>
        <v/>
      </c>
      <c r="D1186" s="36" t="str">
        <f>IFERROR(__xludf.DUMMYFUNCTION("""COMPUTED_VALUE"""),"")</f>
        <v/>
      </c>
      <c r="E1186" s="36" t="str">
        <f>IFERROR(__xludf.DUMMYFUNCTION("""COMPUTED_VALUE"""),"03-42-10-33A")</f>
        <v>03-42-10-33A</v>
      </c>
      <c r="F1186" s="36"/>
      <c r="G1186" s="36" t="str">
        <f>IFERROR(__xludf.DUMMYFUNCTION("""COMPUTED_VALUE"""),"Escuela Francisco de Villagra")</f>
        <v>Escuela Francisco de Villagra</v>
      </c>
      <c r="H1186" s="36" t="str">
        <f>IFERROR(__xludf.DUMMYFUNCTION("""COMPUTED_VALUE"""),"")</f>
        <v/>
      </c>
    </row>
    <row r="1187">
      <c r="A1187" s="36" t="str">
        <f>IFERROR(__xludf.DUMMYFUNCTION("""COMPUTED_VALUE"""),"01-40-08-55A")</f>
        <v>01-40-08-55A</v>
      </c>
      <c r="B1187" s="36" t="str">
        <f>IFERROR(__xludf.DUMMYFUNCTION("""COMPUTED_VALUE"""),"")</f>
        <v/>
      </c>
      <c r="C1187" s="36" t="str">
        <f>IFERROR(__xludf.DUMMYFUNCTION("""COMPUTED_VALUE"""),"")</f>
        <v/>
      </c>
      <c r="D1187" s="36" t="str">
        <f>IFERROR(__xludf.DUMMYFUNCTION("""COMPUTED_VALUE"""),"")</f>
        <v/>
      </c>
      <c r="E1187" s="36" t="str">
        <f>IFERROR(__xludf.DUMMYFUNCTION("""COMPUTED_VALUE"""),"01-52-08-30")</f>
        <v>01-52-08-30</v>
      </c>
      <c r="F1187" s="36"/>
      <c r="G1187" s="36" t="str">
        <f>IFERROR(__xludf.DUMMYFUNCTION("""COMPUTED_VALUE"""),"Escuela Industrial D. F. Sarmiento")</f>
        <v>Escuela Industrial D. F. Sarmiento</v>
      </c>
      <c r="H1187" s="36" t="str">
        <f>IFERROR(__xludf.DUMMYFUNCTION("""COMPUTED_VALUE"""),"")</f>
        <v/>
      </c>
    </row>
    <row r="1188">
      <c r="A1188" s="36" t="str">
        <f>IFERROR(__xludf.DUMMYFUNCTION("""COMPUTED_VALUE"""),"01-41-08-124A")</f>
        <v>01-41-08-124A</v>
      </c>
      <c r="B1188" s="36" t="str">
        <f>IFERROR(__xludf.DUMMYFUNCTION("""COMPUTED_VALUE"""),"")</f>
        <v/>
      </c>
      <c r="C1188" s="36" t="str">
        <f>IFERROR(__xludf.DUMMYFUNCTION("""COMPUTED_VALUE"""),"")</f>
        <v/>
      </c>
      <c r="D1188" s="36" t="str">
        <f>IFERROR(__xludf.DUMMYFUNCTION("""COMPUTED_VALUE"""),"")</f>
        <v/>
      </c>
      <c r="E1188" s="36" t="str">
        <f>IFERROR(__xludf.DUMMYFUNCTION("""COMPUTED_VALUE"""),"02-28-06-99A")</f>
        <v>02-28-06-99A</v>
      </c>
      <c r="F1188" s="36"/>
      <c r="G1188" s="36" t="str">
        <f>IFERROR(__xludf.DUMMYFUNCTION("""COMPUTED_VALUE"""),"Escuela José de Cupertino N")</f>
        <v>Escuela José de Cupertino N</v>
      </c>
      <c r="H1188" s="36" t="str">
        <f>IFERROR(__xludf.DUMMYFUNCTION("""COMPUTED_VALUE"""),"")</f>
        <v/>
      </c>
    </row>
    <row r="1189">
      <c r="A1189" s="36" t="str">
        <f>IFERROR(__xludf.DUMMYFUNCTION("""COMPUTED_VALUE"""),"01-41-08-125")</f>
        <v>01-41-08-125</v>
      </c>
      <c r="B1189" s="36" t="str">
        <f>IFERROR(__xludf.DUMMYFUNCTION("""COMPUTED_VALUE"""),"")</f>
        <v/>
      </c>
      <c r="C1189" s="36" t="str">
        <f>IFERROR(__xludf.DUMMYFUNCTION("""COMPUTED_VALUE"""),"")</f>
        <v/>
      </c>
      <c r="D1189" s="36" t="str">
        <f>IFERROR(__xludf.DUMMYFUNCTION("""COMPUTED_VALUE"""),"")</f>
        <v/>
      </c>
      <c r="E1189" s="36" t="str">
        <f>IFERROR(__xludf.DUMMYFUNCTION("""COMPUTED_VALUE"""),"02-28-06-99")</f>
        <v>02-28-06-99</v>
      </c>
      <c r="F1189" s="36"/>
      <c r="G1189" s="36" t="str">
        <f>IFERROR(__xludf.DUMMYFUNCTION("""COMPUTED_VALUE"""),"Escuela José de Cupertino S")</f>
        <v>Escuela José de Cupertino S</v>
      </c>
      <c r="H1189" s="36" t="str">
        <f>IFERROR(__xludf.DUMMYFUNCTION("""COMPUTED_VALUE"""),"")</f>
        <v/>
      </c>
    </row>
    <row r="1190">
      <c r="A1190" s="36" t="str">
        <f>IFERROR(__xludf.DUMMYFUNCTION("""COMPUTED_VALUE"""),"01-41-08-126")</f>
        <v>01-41-08-126</v>
      </c>
      <c r="B1190" s="36" t="str">
        <f>IFERROR(__xludf.DUMMYFUNCTION("""COMPUTED_VALUE"""),"")</f>
        <v/>
      </c>
      <c r="C1190" s="36" t="str">
        <f>IFERROR(__xludf.DUMMYFUNCTION("""COMPUTED_VALUE"""),"")</f>
        <v/>
      </c>
      <c r="D1190" s="36" t="str">
        <f>IFERROR(__xludf.DUMMYFUNCTION("""COMPUTED_VALUE"""),"")</f>
        <v/>
      </c>
      <c r="E1190" s="36" t="str">
        <f>IFERROR(__xludf.DUMMYFUNCTION("""COMPUTED_VALUE"""),"02-39-12-232")</f>
        <v>02-39-12-232</v>
      </c>
      <c r="F1190" s="36"/>
      <c r="G1190" s="36" t="str">
        <f>IFERROR(__xludf.DUMMYFUNCTION("""COMPUTED_VALUE"""),"Escuela Julia León ")</f>
        <v>Escuela Julia León </v>
      </c>
      <c r="H1190" s="36" t="str">
        <f>IFERROR(__xludf.DUMMYFUNCTION("""COMPUTED_VALUE"""),"")</f>
        <v/>
      </c>
    </row>
    <row r="1191">
      <c r="A1191" s="36" t="str">
        <f>IFERROR(__xludf.DUMMYFUNCTION("""COMPUTED_VALUE"""),"01-41-08-126A")</f>
        <v>01-41-08-126A</v>
      </c>
      <c r="B1191" s="36" t="str">
        <f>IFERROR(__xludf.DUMMYFUNCTION("""COMPUTED_VALUE"""),"")</f>
        <v/>
      </c>
      <c r="C1191" s="36" t="str">
        <f>IFERROR(__xludf.DUMMYFUNCTION("""COMPUTED_VALUE"""),"")</f>
        <v/>
      </c>
      <c r="D1191" s="36" t="str">
        <f>IFERROR(__xludf.DUMMYFUNCTION("""COMPUTED_VALUE"""),"")</f>
        <v/>
      </c>
      <c r="E1191" s="36" t="str">
        <f>IFERROR(__xludf.DUMMYFUNCTION("""COMPUTED_VALUE"""),"01-65-13-229")</f>
        <v>01-65-13-229</v>
      </c>
      <c r="F1191" s="36"/>
      <c r="G1191" s="36" t="str">
        <f>IFERROR(__xludf.DUMMYFUNCTION("""COMPUTED_VALUE"""),"Escuela Luis Braile")</f>
        <v>Escuela Luis Braile</v>
      </c>
      <c r="H1191" s="36" t="str">
        <f>IFERROR(__xludf.DUMMYFUNCTION("""COMPUTED_VALUE"""),"")</f>
        <v/>
      </c>
    </row>
    <row r="1192">
      <c r="A1192" s="36" t="str">
        <f>IFERROR(__xludf.DUMMYFUNCTION("""COMPUTED_VALUE"""),"01-41-08-126B")</f>
        <v>01-41-08-126B</v>
      </c>
      <c r="B1192" s="36" t="str">
        <f>IFERROR(__xludf.DUMMYFUNCTION("""COMPUTED_VALUE"""),"")</f>
        <v/>
      </c>
      <c r="C1192" s="36" t="str">
        <f>IFERROR(__xludf.DUMMYFUNCTION("""COMPUTED_VALUE"""),"")</f>
        <v/>
      </c>
      <c r="D1192" s="36" t="str">
        <f>IFERROR(__xludf.DUMMYFUNCTION("""COMPUTED_VALUE"""),"")</f>
        <v/>
      </c>
      <c r="E1192" s="36" t="str">
        <f>IFERROR(__xludf.DUMMYFUNCTION("""COMPUTED_VALUE"""),"03-30-10-65B")</f>
        <v>03-30-10-65B</v>
      </c>
      <c r="F1192" s="36"/>
      <c r="G1192" s="36" t="str">
        <f>IFERROR(__xludf.DUMMYFUNCTION("""COMPUTED_VALUE"""),"Escuela Necochea")</f>
        <v>Escuela Necochea</v>
      </c>
      <c r="H1192" s="36" t="str">
        <f>IFERROR(__xludf.DUMMYFUNCTION("""COMPUTED_VALUE"""),"")</f>
        <v/>
      </c>
    </row>
    <row r="1193">
      <c r="A1193" s="36" t="str">
        <f>IFERROR(__xludf.DUMMYFUNCTION("""COMPUTED_VALUE"""),"01-41-08-15")</f>
        <v>01-41-08-15</v>
      </c>
      <c r="B1193" s="36" t="str">
        <f>IFERROR(__xludf.DUMMYFUNCTION("""COMPUTED_VALUE"""),"")</f>
        <v/>
      </c>
      <c r="C1193" s="36" t="str">
        <f>IFERROR(__xludf.DUMMYFUNCTION("""COMPUTED_VALUE"""),"")</f>
        <v/>
      </c>
      <c r="D1193" s="36" t="str">
        <f>IFERROR(__xludf.DUMMYFUNCTION("""COMPUTED_VALUE"""),"")</f>
        <v/>
      </c>
      <c r="E1193" s="36" t="str">
        <f>IFERROR(__xludf.DUMMYFUNCTION("""COMPUTED_VALUE"""),"01-42-08-11A")</f>
        <v>01-42-08-11A</v>
      </c>
      <c r="F1193" s="36"/>
      <c r="G1193" s="36" t="str">
        <f>IFERROR(__xludf.DUMMYFUNCTION("""COMPUTED_VALUE"""),"Escuela Normal Sarmiento")</f>
        <v>Escuela Normal Sarmiento</v>
      </c>
      <c r="H1193" s="36" t="str">
        <f>IFERROR(__xludf.DUMMYFUNCTION("""COMPUTED_VALUE"""),"")</f>
        <v/>
      </c>
    </row>
    <row r="1194">
      <c r="A1194" s="36" t="str">
        <f>IFERROR(__xludf.DUMMYFUNCTION("""COMPUTED_VALUE"""),"01-41-08-16")</f>
        <v>01-41-08-16</v>
      </c>
      <c r="B1194" s="36" t="str">
        <f>IFERROR(__xludf.DUMMYFUNCTION("""COMPUTED_VALUE"""),"")</f>
        <v/>
      </c>
      <c r="C1194" s="36" t="str">
        <f>IFERROR(__xludf.DUMMYFUNCTION("""COMPUTED_VALUE"""),"")</f>
        <v/>
      </c>
      <c r="D1194" s="36" t="str">
        <f>IFERROR(__xludf.DUMMYFUNCTION("""COMPUTED_VALUE"""),"")</f>
        <v/>
      </c>
      <c r="E1194" s="36" t="str">
        <f>IFERROR(__xludf.DUMMYFUNCTION("""COMPUTED_VALUE"""),"01-53-09-7")</f>
        <v>01-53-09-7</v>
      </c>
      <c r="F1194" s="36"/>
      <c r="G1194" s="36" t="str">
        <f>IFERROR(__xludf.DUMMYFUNCTION("""COMPUTED_VALUE"""),"Escuela Normal Superior San Martín")</f>
        <v>Escuela Normal Superior San Martín</v>
      </c>
      <c r="H1194" s="36" t="str">
        <f>IFERROR(__xludf.DUMMYFUNCTION("""COMPUTED_VALUE"""),"")</f>
        <v/>
      </c>
    </row>
    <row r="1195">
      <c r="A1195" s="36" t="str">
        <f>IFERROR(__xludf.DUMMYFUNCTION("""COMPUTED_VALUE"""),"01-41-08-17")</f>
        <v>01-41-08-17</v>
      </c>
      <c r="B1195" s="36" t="str">
        <f>IFERROR(__xludf.DUMMYFUNCTION("""COMPUTED_VALUE"""),"")</f>
        <v/>
      </c>
      <c r="C1195" s="36" t="str">
        <f>IFERROR(__xludf.DUMMYFUNCTION("""COMPUTED_VALUE"""),"")</f>
        <v/>
      </c>
      <c r="D1195" s="36" t="str">
        <f>IFERROR(__xludf.DUMMYFUNCTION("""COMPUTED_VALUE"""),"")</f>
        <v/>
      </c>
      <c r="E1195" s="36" t="str">
        <f>IFERROR(__xludf.DUMMYFUNCTION("""COMPUTED_VALUE"""),"02-20-05-44")</f>
        <v>02-20-05-44</v>
      </c>
      <c r="F1195" s="36"/>
      <c r="G1195" s="36" t="str">
        <f>IFERROR(__xludf.DUMMYFUNCTION("""COMPUTED_VALUE"""),"Escuela Pedro De Márquez E")</f>
        <v>Escuela Pedro De Márquez E</v>
      </c>
      <c r="H1195" s="36" t="str">
        <f>IFERROR(__xludf.DUMMYFUNCTION("""COMPUTED_VALUE"""),"")</f>
        <v/>
      </c>
    </row>
    <row r="1196">
      <c r="A1196" s="36" t="str">
        <f>IFERROR(__xludf.DUMMYFUNCTION("""COMPUTED_VALUE"""),"01-41-08-33")</f>
        <v>01-41-08-33</v>
      </c>
      <c r="B1196" s="36" t="str">
        <f>IFERROR(__xludf.DUMMYFUNCTION("""COMPUTED_VALUE"""),"")</f>
        <v/>
      </c>
      <c r="C1196" s="36" t="str">
        <f>IFERROR(__xludf.DUMMYFUNCTION("""COMPUTED_VALUE"""),"")</f>
        <v/>
      </c>
      <c r="D1196" s="36" t="str">
        <f>IFERROR(__xludf.DUMMYFUNCTION("""COMPUTED_VALUE"""),"")</f>
        <v/>
      </c>
      <c r="E1196" s="36" t="str">
        <f>IFERROR(__xludf.DUMMYFUNCTION("""COMPUTED_VALUE"""),"02-20-05-43")</f>
        <v>02-20-05-43</v>
      </c>
      <c r="F1196" s="36"/>
      <c r="G1196" s="36" t="str">
        <f>IFERROR(__xludf.DUMMYFUNCTION("""COMPUTED_VALUE"""),"Escuela Pedro De Márquez O")</f>
        <v>Escuela Pedro De Márquez O</v>
      </c>
      <c r="H1196" s="36" t="str">
        <f>IFERROR(__xludf.DUMMYFUNCTION("""COMPUTED_VALUE"""),"")</f>
        <v/>
      </c>
    </row>
    <row r="1197">
      <c r="A1197" s="36" t="str">
        <f>IFERROR(__xludf.DUMMYFUNCTION("""COMPUTED_VALUE"""),"01-41-08-33A")</f>
        <v>01-41-08-33A</v>
      </c>
      <c r="B1197" s="36" t="str">
        <f>IFERROR(__xludf.DUMMYFUNCTION("""COMPUTED_VALUE"""),"")</f>
        <v/>
      </c>
      <c r="C1197" s="36" t="str">
        <f>IFERROR(__xludf.DUMMYFUNCTION("""COMPUTED_VALUE"""),"")</f>
        <v/>
      </c>
      <c r="D1197" s="36" t="str">
        <f>IFERROR(__xludf.DUMMYFUNCTION("""COMPUTED_VALUE"""),"")</f>
        <v/>
      </c>
      <c r="E1197" s="36" t="str">
        <f>IFERROR(__xludf.DUMMYFUNCTION("""COMPUTED_VALUE"""),"01-61-13-15")</f>
        <v>01-61-13-15</v>
      </c>
      <c r="F1197" s="36"/>
      <c r="G1197" s="36" t="str">
        <f>IFERROR(__xludf.DUMMYFUNCTION("""COMPUTED_VALUE"""),"Escuela Prov. de Santa Fe")</f>
        <v>Escuela Prov. de Santa Fe</v>
      </c>
      <c r="H1197" s="36" t="str">
        <f>IFERROR(__xludf.DUMMYFUNCTION("""COMPUTED_VALUE"""),"")</f>
        <v/>
      </c>
    </row>
    <row r="1198">
      <c r="A1198" s="36" t="str">
        <f>IFERROR(__xludf.DUMMYFUNCTION("""COMPUTED_VALUE"""),"01-41-08-33B")</f>
        <v>01-41-08-33B</v>
      </c>
      <c r="B1198" s="36" t="str">
        <f>IFERROR(__xludf.DUMMYFUNCTION("""COMPUTED_VALUE"""),"")</f>
        <v/>
      </c>
      <c r="C1198" s="36" t="str">
        <f>IFERROR(__xludf.DUMMYFUNCTION("""COMPUTED_VALUE"""),"")</f>
        <v/>
      </c>
      <c r="D1198" s="36" t="str">
        <f>IFERROR(__xludf.DUMMYFUNCTION("""COMPUTED_VALUE"""),"")</f>
        <v/>
      </c>
      <c r="E1198" s="36" t="str">
        <f>IFERROR(__xludf.DUMMYFUNCTION("""COMPUTED_VALUE"""),"01-50-07-52A")</f>
        <v>01-50-07-52A</v>
      </c>
      <c r="F1198" s="36"/>
      <c r="G1198" s="36" t="str">
        <f>IFERROR(__xludf.DUMMYFUNCTION("""COMPUTED_VALUE"""),"Escuela Provincia de Buenos Aires")</f>
        <v>Escuela Provincia de Buenos Aires</v>
      </c>
      <c r="H1198" s="36" t="str">
        <f>IFERROR(__xludf.DUMMYFUNCTION("""COMPUTED_VALUE"""),"")</f>
        <v/>
      </c>
    </row>
    <row r="1199">
      <c r="A1199" s="36" t="str">
        <f>IFERROR(__xludf.DUMMYFUNCTION("""COMPUTED_VALUE"""),"01-41-08-39A")</f>
        <v>01-41-08-39A</v>
      </c>
      <c r="B1199" s="36" t="str">
        <f>IFERROR(__xludf.DUMMYFUNCTION("""COMPUTED_VALUE"""),"")</f>
        <v/>
      </c>
      <c r="C1199" s="36" t="str">
        <f>IFERROR(__xludf.DUMMYFUNCTION("""COMPUTED_VALUE"""),"")</f>
        <v/>
      </c>
      <c r="D1199" s="36" t="str">
        <f>IFERROR(__xludf.DUMMYFUNCTION("""COMPUTED_VALUE"""),"")</f>
        <v/>
      </c>
      <c r="E1199" s="36" t="str">
        <f>IFERROR(__xludf.DUMMYFUNCTION("""COMPUTED_VALUE"""),"01-42-08-13")</f>
        <v>01-42-08-13</v>
      </c>
      <c r="F1199" s="36"/>
      <c r="G1199" s="36" t="str">
        <f>IFERROR(__xludf.DUMMYFUNCTION("""COMPUTED_VALUE"""),"Escuela Superior Sarmiento")</f>
        <v>Escuela Superior Sarmiento</v>
      </c>
      <c r="H1199" s="36" t="str">
        <f>IFERROR(__xludf.DUMMYFUNCTION("""COMPUTED_VALUE"""),"")</f>
        <v/>
      </c>
    </row>
    <row r="1200">
      <c r="A1200" s="36" t="str">
        <f>IFERROR(__xludf.DUMMYFUNCTION("""COMPUTED_VALUE"""),"01-41-08-40")</f>
        <v>01-41-08-40</v>
      </c>
      <c r="B1200" s="36" t="str">
        <f>IFERROR(__xludf.DUMMYFUNCTION("""COMPUTED_VALUE"""),"")</f>
        <v/>
      </c>
      <c r="C1200" s="36" t="str">
        <f>IFERROR(__xludf.DUMMYFUNCTION("""COMPUTED_VALUE"""),"")</f>
        <v/>
      </c>
      <c r="D1200" s="36" t="str">
        <f>IFERROR(__xludf.DUMMYFUNCTION("""COMPUTED_VALUE"""),"")</f>
        <v/>
      </c>
      <c r="E1200" s="36" t="str">
        <f>IFERROR(__xludf.DUMMYFUNCTION("""COMPUTED_VALUE"""),"01-44-07-253")</f>
        <v>01-44-07-253</v>
      </c>
      <c r="F1200" s="36"/>
      <c r="G1200" s="36" t="str">
        <f>IFERROR(__xludf.DUMMYFUNCTION("""COMPUTED_VALUE"""),"Escuela Técnica Obrero Argentino E")</f>
        <v>Escuela Técnica Obrero Argentino E</v>
      </c>
      <c r="H1200" s="36" t="str">
        <f>IFERROR(__xludf.DUMMYFUNCTION("""COMPUTED_VALUE"""),"")</f>
        <v/>
      </c>
    </row>
    <row r="1201">
      <c r="A1201" s="36" t="str">
        <f>IFERROR(__xludf.DUMMYFUNCTION("""COMPUTED_VALUE"""),"01-41-08-41")</f>
        <v>01-41-08-41</v>
      </c>
      <c r="B1201" s="36" t="str">
        <f>IFERROR(__xludf.DUMMYFUNCTION("""COMPUTED_VALUE"""),"")</f>
        <v/>
      </c>
      <c r="C1201" s="36" t="str">
        <f>IFERROR(__xludf.DUMMYFUNCTION("""COMPUTED_VALUE"""),"")</f>
        <v/>
      </c>
      <c r="D1201" s="36" t="str">
        <f>IFERROR(__xludf.DUMMYFUNCTION("""COMPUTED_VALUE"""),"")</f>
        <v/>
      </c>
      <c r="E1201" s="36" t="str">
        <f>IFERROR(__xludf.DUMMYFUNCTION("""COMPUTED_VALUE"""),"01-45-07-252")</f>
        <v>01-45-07-252</v>
      </c>
      <c r="F1201" s="36"/>
      <c r="G1201" s="36" t="str">
        <f>IFERROR(__xludf.DUMMYFUNCTION("""COMPUTED_VALUE"""),"Escuela Técnica Obrero Argentino O")</f>
        <v>Escuela Técnica Obrero Argentino O</v>
      </c>
      <c r="H1201" s="36" t="str">
        <f>IFERROR(__xludf.DUMMYFUNCTION("""COMPUTED_VALUE"""),"")</f>
        <v/>
      </c>
    </row>
    <row r="1202">
      <c r="A1202" s="36" t="str">
        <f>IFERROR(__xludf.DUMMYFUNCTION("""COMPUTED_VALUE"""),"01-41-08-41A")</f>
        <v>01-41-08-41A</v>
      </c>
      <c r="B1202" s="36" t="str">
        <f>IFERROR(__xludf.DUMMYFUNCTION("""COMPUTED_VALUE"""),"")</f>
        <v/>
      </c>
      <c r="C1202" s="36" t="str">
        <f>IFERROR(__xludf.DUMMYFUNCTION("""COMPUTED_VALUE"""),"")</f>
        <v/>
      </c>
      <c r="D1202" s="36" t="str">
        <f>IFERROR(__xludf.DUMMYFUNCTION("""COMPUTED_VALUE"""),"")</f>
        <v/>
      </c>
      <c r="E1202" s="36" t="str">
        <f>IFERROR(__xludf.DUMMYFUNCTION("""COMPUTED_VALUE"""),"02-26-05-72")</f>
        <v>02-26-05-72</v>
      </c>
      <c r="F1202" s="36"/>
      <c r="G1202" s="36" t="str">
        <f>IFERROR(__xludf.DUMMYFUNCTION("""COMPUTED_VALUE"""),"Escuela Timoteo Maradona E")</f>
        <v>Escuela Timoteo Maradona E</v>
      </c>
      <c r="H1202" s="36" t="str">
        <f>IFERROR(__xludf.DUMMYFUNCTION("""COMPUTED_VALUE"""),"")</f>
        <v/>
      </c>
    </row>
    <row r="1203">
      <c r="A1203" s="36" t="str">
        <f>IFERROR(__xludf.DUMMYFUNCTION("""COMPUTED_VALUE"""),"01-41-08-41B")</f>
        <v>01-41-08-41B</v>
      </c>
      <c r="B1203" s="36" t="str">
        <f>IFERROR(__xludf.DUMMYFUNCTION("""COMPUTED_VALUE"""),"")</f>
        <v/>
      </c>
      <c r="C1203" s="36" t="str">
        <f>IFERROR(__xludf.DUMMYFUNCTION("""COMPUTED_VALUE"""),"")</f>
        <v/>
      </c>
      <c r="D1203" s="36" t="str">
        <f>IFERROR(__xludf.DUMMYFUNCTION("""COMPUTED_VALUE"""),"")</f>
        <v/>
      </c>
      <c r="E1203" s="36" t="str">
        <f>IFERROR(__xludf.DUMMYFUNCTION("""COMPUTED_VALUE"""),"02-32-05-71")</f>
        <v>02-32-05-71</v>
      </c>
      <c r="F1203" s="36"/>
      <c r="G1203" s="36" t="str">
        <f>IFERROR(__xludf.DUMMYFUNCTION("""COMPUTED_VALUE"""),"Escuela Timoteo Maradona O")</f>
        <v>Escuela Timoteo Maradona O</v>
      </c>
      <c r="H1203" s="36" t="str">
        <f>IFERROR(__xludf.DUMMYFUNCTION("""COMPUTED_VALUE"""),"")</f>
        <v/>
      </c>
    </row>
    <row r="1204">
      <c r="A1204" s="36" t="str">
        <f>IFERROR(__xludf.DUMMYFUNCTION("""COMPUTED_VALUE"""),"01-41-08-42")</f>
        <v>01-41-08-42</v>
      </c>
      <c r="B1204" s="36" t="str">
        <f>IFERROR(__xludf.DUMMYFUNCTION("""COMPUTED_VALUE"""),"")</f>
        <v/>
      </c>
      <c r="C1204" s="36" t="str">
        <f>IFERROR(__xludf.DUMMYFUNCTION("""COMPUTED_VALUE"""),"")</f>
        <v/>
      </c>
      <c r="D1204" s="36" t="str">
        <f>IFERROR(__xludf.DUMMYFUNCTION("""COMPUTED_VALUE"""),"")</f>
        <v/>
      </c>
      <c r="E1204" s="36" t="str">
        <f>IFERROR(__xludf.DUMMYFUNCTION("""COMPUTED_VALUE"""),"01-36-07-26")</f>
        <v>01-36-07-26</v>
      </c>
      <c r="F1204" s="36"/>
      <c r="G1204" s="36" t="str">
        <f>IFERROR(__xludf.DUMMYFUNCTION("""COMPUTED_VALUE"""),"España y Jorge Newbery")</f>
        <v>España y Jorge Newbery</v>
      </c>
      <c r="H1204" s="36" t="str">
        <f>IFERROR(__xludf.DUMMYFUNCTION("""COMPUTED_VALUE"""),"")</f>
        <v/>
      </c>
    </row>
    <row r="1205">
      <c r="A1205" s="36" t="str">
        <f>IFERROR(__xludf.DUMMYFUNCTION("""COMPUTED_VALUE"""),"01-41-08-42A")</f>
        <v>01-41-08-42A</v>
      </c>
      <c r="B1205" s="36" t="str">
        <f>IFERROR(__xludf.DUMMYFUNCTION("""COMPUTED_VALUE"""),"")</f>
        <v/>
      </c>
      <c r="C1205" s="36" t="str">
        <f>IFERROR(__xludf.DUMMYFUNCTION("""COMPUTED_VALUE"""),"")</f>
        <v/>
      </c>
      <c r="D1205" s="36" t="str">
        <f>IFERROR(__xludf.DUMMYFUNCTION("""COMPUTED_VALUE"""),"")</f>
        <v/>
      </c>
      <c r="E1205" s="36" t="str">
        <f>IFERROR(__xludf.DUMMYFUNCTION("""COMPUTED_VALUE"""),"01-36-07-36")</f>
        <v>01-36-07-36</v>
      </c>
      <c r="F1205" s="36"/>
      <c r="G1205" s="36" t="str">
        <f>IFERROR(__xludf.DUMMYFUNCTION("""COMPUTED_VALUE"""),"España y Pedro Echagüe")</f>
        <v>España y Pedro Echagüe</v>
      </c>
      <c r="H1205" s="36" t="str">
        <f>IFERROR(__xludf.DUMMYFUNCTION("""COMPUTED_VALUE"""),"")</f>
        <v/>
      </c>
    </row>
    <row r="1206">
      <c r="A1206" s="36" t="str">
        <f>IFERROR(__xludf.DUMMYFUNCTION("""COMPUTED_VALUE"""),"01-41-08-42B")</f>
        <v>01-41-08-42B</v>
      </c>
      <c r="B1206" s="36" t="str">
        <f>IFERROR(__xludf.DUMMYFUNCTION("""COMPUTED_VALUE"""),"")</f>
        <v/>
      </c>
      <c r="C1206" s="36" t="str">
        <f>IFERROR(__xludf.DUMMYFUNCTION("""COMPUTED_VALUE"""),"")</f>
        <v/>
      </c>
      <c r="D1206" s="36" t="str">
        <f>IFERROR(__xludf.DUMMYFUNCTION("""COMPUTED_VALUE"""),"")</f>
        <v/>
      </c>
      <c r="E1206" s="36" t="str">
        <f>IFERROR(__xludf.DUMMYFUNCTION("""COMPUTED_VALUE"""),"02-38-12-225")</f>
        <v>02-38-12-225</v>
      </c>
      <c r="F1206" s="36"/>
      <c r="G1206" s="36" t="str">
        <f>IFERROR(__xludf.DUMMYFUNCTION("""COMPUTED_VALUE"""),"Esquina C. Cabot y Fray Justo Sta M. O.")</f>
        <v>Esquina C. Cabot y Fray Justo Sta M. O.</v>
      </c>
      <c r="H1206" s="36" t="str">
        <f>IFERROR(__xludf.DUMMYFUNCTION("""COMPUTED_VALUE"""),"")</f>
        <v/>
      </c>
    </row>
    <row r="1207">
      <c r="A1207" s="36" t="str">
        <f>IFERROR(__xludf.DUMMYFUNCTION("""COMPUTED_VALUE"""),"01-41-08-43")</f>
        <v>01-41-08-43</v>
      </c>
      <c r="B1207" s="36" t="str">
        <f>IFERROR(__xludf.DUMMYFUNCTION("""COMPUTED_VALUE"""),"")</f>
        <v/>
      </c>
      <c r="C1207" s="36" t="str">
        <f>IFERROR(__xludf.DUMMYFUNCTION("""COMPUTED_VALUE"""),"")</f>
        <v/>
      </c>
      <c r="D1207" s="36" t="str">
        <f>IFERROR(__xludf.DUMMYFUNCTION("""COMPUTED_VALUE"""),"")</f>
        <v/>
      </c>
      <c r="E1207" s="36" t="str">
        <f>IFERROR(__xludf.DUMMYFUNCTION("""COMPUTED_VALUE"""),"02-38-12-218")</f>
        <v>02-38-12-218</v>
      </c>
      <c r="F1207" s="36"/>
      <c r="G1207" s="36" t="str">
        <f>IFERROR(__xludf.DUMMYFUNCTION("""COMPUTED_VALUE"""),"Esquina Comandante Cabot y B. Rivadavia")</f>
        <v>Esquina Comandante Cabot y B. Rivadavia</v>
      </c>
      <c r="H1207" s="36" t="str">
        <f>IFERROR(__xludf.DUMMYFUNCTION("""COMPUTED_VALUE"""),"")</f>
        <v/>
      </c>
    </row>
    <row r="1208">
      <c r="A1208" s="36" t="str">
        <f>IFERROR(__xludf.DUMMYFUNCTION("""COMPUTED_VALUE"""),"01-41-08-44")</f>
        <v>01-41-08-44</v>
      </c>
      <c r="B1208" s="36" t="str">
        <f>IFERROR(__xludf.DUMMYFUNCTION("""COMPUTED_VALUE"""),"")</f>
        <v/>
      </c>
      <c r="C1208" s="36" t="str">
        <f>IFERROR(__xludf.DUMMYFUNCTION("""COMPUTED_VALUE"""),"")</f>
        <v/>
      </c>
      <c r="D1208" s="36" t="str">
        <f>IFERROR(__xludf.DUMMYFUNCTION("""COMPUTED_VALUE"""),"")</f>
        <v/>
      </c>
      <c r="E1208" s="36" t="str">
        <f>IFERROR(__xludf.DUMMYFUNCTION("""COMPUTED_VALUE"""),"04-20-12-209")</f>
        <v>04-20-12-209</v>
      </c>
      <c r="F1208" s="36"/>
      <c r="G1208" s="36" t="str">
        <f>IFERROR(__xludf.DUMMYFUNCTION("""COMPUTED_VALUE"""),"Esquina Comandante Cabot y Urquiza")</f>
        <v>Esquina Comandante Cabot y Urquiza</v>
      </c>
      <c r="H1208" s="36" t="str">
        <f>IFERROR(__xludf.DUMMYFUNCTION("""COMPUTED_VALUE"""),"")</f>
        <v/>
      </c>
    </row>
    <row r="1209">
      <c r="A1209" s="36" t="str">
        <f>IFERROR(__xludf.DUMMYFUNCTION("""COMPUTED_VALUE"""),"01-41-08-50")</f>
        <v>01-41-08-50</v>
      </c>
      <c r="B1209" s="36" t="str">
        <f>IFERROR(__xludf.DUMMYFUNCTION("""COMPUTED_VALUE"""),"")</f>
        <v/>
      </c>
      <c r="C1209" s="36" t="str">
        <f>IFERROR(__xludf.DUMMYFUNCTION("""COMPUTED_VALUE"""),"")</f>
        <v/>
      </c>
      <c r="D1209" s="36" t="str">
        <f>IFERROR(__xludf.DUMMYFUNCTION("""COMPUTED_VALUE"""),"")</f>
        <v/>
      </c>
      <c r="E1209" s="36" t="str">
        <f>IFERROR(__xludf.DUMMYFUNCTION("""COMPUTED_VALUE"""),"02-39-12-243")</f>
        <v>02-39-12-243</v>
      </c>
      <c r="F1209" s="36"/>
      <c r="G1209" s="36" t="str">
        <f>IFERROR(__xludf.DUMMYFUNCTION("""COMPUTED_VALUE"""),"Esquina Meglioli y America")</f>
        <v>Esquina Meglioli y America</v>
      </c>
      <c r="H1209" s="36" t="str">
        <f>IFERROR(__xludf.DUMMYFUNCTION("""COMPUTED_VALUE"""),"")</f>
        <v/>
      </c>
    </row>
    <row r="1210">
      <c r="A1210" s="36" t="str">
        <f>IFERROR(__xludf.DUMMYFUNCTION("""COMPUTED_VALUE"""),"01-41-08-50A")</f>
        <v>01-41-08-50A</v>
      </c>
      <c r="B1210" s="36" t="str">
        <f>IFERROR(__xludf.DUMMYFUNCTION("""COMPUTED_VALUE"""),"")</f>
        <v/>
      </c>
      <c r="C1210" s="36" t="str">
        <f>IFERROR(__xludf.DUMMYFUNCTION("""COMPUTED_VALUE"""),"")</f>
        <v/>
      </c>
      <c r="D1210" s="36" t="str">
        <f>IFERROR(__xludf.DUMMYFUNCTION("""COMPUTED_VALUE"""),"")</f>
        <v/>
      </c>
      <c r="E1210" s="36" t="str">
        <f>IFERROR(__xludf.DUMMYFUNCTION("""COMPUTED_VALUE"""),"02-38-12-307")</f>
        <v>02-38-12-307</v>
      </c>
      <c r="F1210" s="36"/>
      <c r="G1210" s="36" t="str">
        <f>IFERROR(__xludf.DUMMYFUNCTION("""COMPUTED_VALUE"""),"Esquina Río Bamba y América")</f>
        <v>Esquina Río Bamba y América</v>
      </c>
      <c r="H1210" s="36" t="str">
        <f>IFERROR(__xludf.DUMMYFUNCTION("""COMPUTED_VALUE"""),"")</f>
        <v/>
      </c>
    </row>
    <row r="1211">
      <c r="A1211" s="36" t="str">
        <f>IFERROR(__xludf.DUMMYFUNCTION("""COMPUTED_VALUE"""),"01-42-08-10")</f>
        <v>01-42-08-10</v>
      </c>
      <c r="B1211" s="36" t="str">
        <f>IFERROR(__xludf.DUMMYFUNCTION("""COMPUTED_VALUE"""),"")</f>
        <v/>
      </c>
      <c r="C1211" s="36" t="str">
        <f>IFERROR(__xludf.DUMMYFUNCTION("""COMPUTED_VALUE"""),"")</f>
        <v/>
      </c>
      <c r="D1211" s="36" t="str">
        <f>IFERROR(__xludf.DUMMYFUNCTION("""COMPUTED_VALUE"""),"")</f>
        <v/>
      </c>
      <c r="E1211" s="36" t="str">
        <f>IFERROR(__xludf.DUMMYFUNCTION("""COMPUTED_VALUE"""),"02-38-12-239")</f>
        <v>02-38-12-239</v>
      </c>
      <c r="F1211" s="36"/>
      <c r="G1211" s="36" t="str">
        <f>IFERROR(__xludf.DUMMYFUNCTION("""COMPUTED_VALUE"""),"Esquina Río Bamba y Bolivia Norte")</f>
        <v>Esquina Río Bamba y Bolivia Norte</v>
      </c>
      <c r="H1211" s="36" t="str">
        <f>IFERROR(__xludf.DUMMYFUNCTION("""COMPUTED_VALUE"""),"")</f>
        <v/>
      </c>
    </row>
    <row r="1212">
      <c r="A1212" s="36" t="str">
        <f>IFERROR(__xludf.DUMMYFUNCTION("""COMPUTED_VALUE"""),"01-42-08-11")</f>
        <v>01-42-08-11</v>
      </c>
      <c r="B1212" s="36" t="str">
        <f>IFERROR(__xludf.DUMMYFUNCTION("""COMPUTED_VALUE"""),"")</f>
        <v/>
      </c>
      <c r="C1212" s="36" t="str">
        <f>IFERROR(__xludf.DUMMYFUNCTION("""COMPUTED_VALUE"""),"")</f>
        <v/>
      </c>
      <c r="D1212" s="36" t="str">
        <f>IFERROR(__xludf.DUMMYFUNCTION("""COMPUTED_VALUE"""),"")</f>
        <v/>
      </c>
      <c r="E1212" s="36" t="str">
        <f>IFERROR(__xludf.DUMMYFUNCTION("""COMPUTED_VALUE"""),"02-38-12-238")</f>
        <v>02-38-12-238</v>
      </c>
      <c r="F1212" s="36"/>
      <c r="G1212" s="36" t="str">
        <f>IFERROR(__xludf.DUMMYFUNCTION("""COMPUTED_VALUE"""),"Esquina Río Bamba y Bolivia Sur")</f>
        <v>Esquina Río Bamba y Bolivia Sur</v>
      </c>
      <c r="H1212" s="36" t="str">
        <f>IFERROR(__xludf.DUMMYFUNCTION("""COMPUTED_VALUE"""),"")</f>
        <v/>
      </c>
    </row>
    <row r="1213">
      <c r="A1213" s="36" t="str">
        <f>IFERROR(__xludf.DUMMYFUNCTION("""COMPUTED_VALUE"""),"01-42-08-11A")</f>
        <v>01-42-08-11A</v>
      </c>
      <c r="B1213" s="36" t="str">
        <f>IFERROR(__xludf.DUMMYFUNCTION("""COMPUTED_VALUE"""),"")</f>
        <v/>
      </c>
      <c r="C1213" s="36" t="str">
        <f>IFERROR(__xludf.DUMMYFUNCTION("""COMPUTED_VALUE"""),"")</f>
        <v/>
      </c>
      <c r="D1213" s="36" t="str">
        <f>IFERROR(__xludf.DUMMYFUNCTION("""COMPUTED_VALUE"""),"")</f>
        <v/>
      </c>
      <c r="E1213" s="36" t="str">
        <f>IFERROR(__xludf.DUMMYFUNCTION("""COMPUTED_VALUE"""),"02-38-12-309")</f>
        <v>02-38-12-309</v>
      </c>
      <c r="F1213" s="36"/>
      <c r="G1213" s="36" t="str">
        <f>IFERROR(__xludf.DUMMYFUNCTION("""COMPUTED_VALUE"""),"Esquina Río Bamba y Tulum")</f>
        <v>Esquina Río Bamba y Tulum</v>
      </c>
      <c r="H1213" s="36" t="str">
        <f>IFERROR(__xludf.DUMMYFUNCTION("""COMPUTED_VALUE"""),"")</f>
        <v/>
      </c>
    </row>
    <row r="1214">
      <c r="A1214" s="36" t="str">
        <f>IFERROR(__xludf.DUMMYFUNCTION("""COMPUTED_VALUE"""),"01-42-08-12")</f>
        <v>01-42-08-12</v>
      </c>
      <c r="B1214" s="36" t="str">
        <f>IFERROR(__xludf.DUMMYFUNCTION("""COMPUTED_VALUE"""),"")</f>
        <v/>
      </c>
      <c r="C1214" s="36" t="str">
        <f>IFERROR(__xludf.DUMMYFUNCTION("""COMPUTED_VALUE"""),"")</f>
        <v/>
      </c>
      <c r="D1214" s="36" t="str">
        <f>IFERROR(__xludf.DUMMYFUNCTION("""COMPUTED_VALUE"""),"")</f>
        <v/>
      </c>
      <c r="E1214" s="36" t="str">
        <f>IFERROR(__xludf.DUMMYFUNCTION("""COMPUTED_VALUE"""),"01-53-09-9A")</f>
        <v>01-53-09-9A</v>
      </c>
      <c r="F1214" s="36"/>
      <c r="G1214" s="36" t="str">
        <f>IFERROR(__xludf.DUMMYFUNCTION("""COMPUTED_VALUE"""),"Estación Terminal de Ómnibus")</f>
        <v>Estación Terminal de Ómnibus</v>
      </c>
      <c r="H1214" s="36" t="str">
        <f>IFERROR(__xludf.DUMMYFUNCTION("""COMPUTED_VALUE"""),"")</f>
        <v/>
      </c>
    </row>
    <row r="1215">
      <c r="A1215" s="36" t="str">
        <f>IFERROR(__xludf.DUMMYFUNCTION("""COMPUTED_VALUE"""),"01-42-08-122")</f>
        <v>01-42-08-122</v>
      </c>
      <c r="B1215" s="36" t="str">
        <f>IFERROR(__xludf.DUMMYFUNCTION("""COMPUTED_VALUE"""),"")</f>
        <v/>
      </c>
      <c r="C1215" s="36" t="str">
        <f>IFERROR(__xludf.DUMMYFUNCTION("""COMPUTED_VALUE"""),"")</f>
        <v/>
      </c>
      <c r="D1215" s="36" t="str">
        <f>IFERROR(__xludf.DUMMYFUNCTION("""COMPUTED_VALUE"""),"")</f>
        <v/>
      </c>
      <c r="E1215" s="36" t="str">
        <f>IFERROR(__xludf.DUMMYFUNCTION("""COMPUTED_VALUE"""),"04-46-12-8B")</f>
        <v>04-46-12-8B</v>
      </c>
      <c r="F1215" s="36"/>
      <c r="G1215" s="36" t="str">
        <f>IFERROR(__xludf.DUMMYFUNCTION("""COMPUTED_VALUE"""),"Estadio 12 De Octubre,Club Atletico Union")</f>
        <v>Estadio 12 De Octubre,Club Atletico Union</v>
      </c>
      <c r="H1215" s="36" t="str">
        <f>IFERROR(__xludf.DUMMYFUNCTION("""COMPUTED_VALUE"""),"")</f>
        <v/>
      </c>
    </row>
    <row r="1216">
      <c r="A1216" s="36" t="str">
        <f>IFERROR(__xludf.DUMMYFUNCTION("""COMPUTED_VALUE"""),"01-42-08-122A")</f>
        <v>01-42-08-122A</v>
      </c>
      <c r="B1216" s="36" t="str">
        <f>IFERROR(__xludf.DUMMYFUNCTION("""COMPUTED_VALUE"""),"")</f>
        <v/>
      </c>
      <c r="C1216" s="36" t="str">
        <f>IFERROR(__xludf.DUMMYFUNCTION("""COMPUTED_VALUE"""),"")</f>
        <v/>
      </c>
      <c r="D1216" s="36" t="str">
        <f>IFERROR(__xludf.DUMMYFUNCTION("""COMPUTED_VALUE"""),"")</f>
        <v/>
      </c>
      <c r="E1216" s="36" t="str">
        <f>IFERROR(__xludf.DUMMYFUNCTION("""COMPUTED_VALUE"""),"04-21-13-34")</f>
        <v>04-21-13-34</v>
      </c>
      <c r="F1216" s="36"/>
      <c r="G1216" s="36" t="str">
        <f>IFERROR(__xludf.DUMMYFUNCTION("""COMPUTED_VALUE"""),"Estados de Israel y Av. España")</f>
        <v>Estados de Israel y Av. España</v>
      </c>
      <c r="H1216" s="36" t="str">
        <f>IFERROR(__xludf.DUMMYFUNCTION("""COMPUTED_VALUE"""),"")</f>
        <v/>
      </c>
    </row>
    <row r="1217">
      <c r="A1217" s="36" t="str">
        <f>IFERROR(__xludf.DUMMYFUNCTION("""COMPUTED_VALUE"""),"01-42-08-122B")</f>
        <v>01-42-08-122B</v>
      </c>
      <c r="B1217" s="36" t="str">
        <f>IFERROR(__xludf.DUMMYFUNCTION("""COMPUTED_VALUE"""),"")</f>
        <v/>
      </c>
      <c r="C1217" s="36" t="str">
        <f>IFERROR(__xludf.DUMMYFUNCTION("""COMPUTED_VALUE"""),"")</f>
        <v/>
      </c>
      <c r="D1217" s="36" t="str">
        <f>IFERROR(__xludf.DUMMYFUNCTION("""COMPUTED_VALUE"""),"")</f>
        <v/>
      </c>
      <c r="E1217" s="36" t="str">
        <f>IFERROR(__xludf.DUMMYFUNCTION("""COMPUTED_VALUE"""),"01-54-14-12")</f>
        <v>01-54-14-12</v>
      </c>
      <c r="F1217" s="36"/>
      <c r="G1217" s="36" t="str">
        <f>IFERROR(__xludf.DUMMYFUNCTION("""COMPUTED_VALUE"""),"Estados Unidos y Baca")</f>
        <v>Estados Unidos y Baca</v>
      </c>
      <c r="H1217" s="36" t="str">
        <f>IFERROR(__xludf.DUMMYFUNCTION("""COMPUTED_VALUE"""),"")</f>
        <v/>
      </c>
    </row>
    <row r="1218">
      <c r="A1218" s="36" t="str">
        <f>IFERROR(__xludf.DUMMYFUNCTION("""COMPUTED_VALUE"""),"01-42-08-122C")</f>
        <v>01-42-08-122C</v>
      </c>
      <c r="B1218" s="36" t="str">
        <f>IFERROR(__xludf.DUMMYFUNCTION("""COMPUTED_VALUE"""),"")</f>
        <v/>
      </c>
      <c r="C1218" s="36" t="str">
        <f>IFERROR(__xludf.DUMMYFUNCTION("""COMPUTED_VALUE"""),"")</f>
        <v/>
      </c>
      <c r="D1218" s="36" t="str">
        <f>IFERROR(__xludf.DUMMYFUNCTION("""COMPUTED_VALUE"""),"")</f>
        <v/>
      </c>
      <c r="E1218" s="36" t="str">
        <f>IFERROR(__xludf.DUMMYFUNCTION("""COMPUTED_VALUE"""),"01-26-09-123")</f>
        <v>01-26-09-123</v>
      </c>
      <c r="F1218" s="36"/>
      <c r="G1218" s="36" t="str">
        <f>IFERROR(__xludf.DUMMYFUNCTION("""COMPUTED_VALUE"""),"Estados Unidos y Colombia")</f>
        <v>Estados Unidos y Colombia</v>
      </c>
      <c r="H1218" s="36" t="str">
        <f>IFERROR(__xludf.DUMMYFUNCTION("""COMPUTED_VALUE"""),"")</f>
        <v/>
      </c>
    </row>
    <row r="1219">
      <c r="A1219" s="36" t="str">
        <f>IFERROR(__xludf.DUMMYFUNCTION("""COMPUTED_VALUE"""),"01-42-08-122D")</f>
        <v>01-42-08-122D</v>
      </c>
      <c r="B1219" s="36" t="str">
        <f>IFERROR(__xludf.DUMMYFUNCTION("""COMPUTED_VALUE"""),"")</f>
        <v/>
      </c>
      <c r="C1219" s="36" t="str">
        <f>IFERROR(__xludf.DUMMYFUNCTION("""COMPUTED_VALUE"""),"")</f>
        <v/>
      </c>
      <c r="D1219" s="36" t="str">
        <f>IFERROR(__xludf.DUMMYFUNCTION("""COMPUTED_VALUE"""),"")</f>
        <v/>
      </c>
      <c r="E1219" s="36" t="str">
        <f>IFERROR(__xludf.DUMMYFUNCTION("""COMPUTED_VALUE"""),"04-22-14-42")</f>
        <v>04-22-14-42</v>
      </c>
      <c r="F1219" s="36"/>
      <c r="G1219" s="36" t="str">
        <f>IFERROR(__xludf.DUMMYFUNCTION("""COMPUTED_VALUE"""),"Estados Unidos y Eugenio Dojorti -N")</f>
        <v>Estados Unidos y Eugenio Dojorti -N</v>
      </c>
      <c r="H1219" s="36" t="str">
        <f>IFERROR(__xludf.DUMMYFUNCTION("""COMPUTED_VALUE"""),"")</f>
        <v/>
      </c>
    </row>
    <row r="1220">
      <c r="A1220" s="36" t="str">
        <f>IFERROR(__xludf.DUMMYFUNCTION("""COMPUTED_VALUE"""),"01-42-08-122E")</f>
        <v>01-42-08-122E</v>
      </c>
      <c r="B1220" s="36" t="str">
        <f>IFERROR(__xludf.DUMMYFUNCTION("""COMPUTED_VALUE"""),"")</f>
        <v/>
      </c>
      <c r="C1220" s="36" t="str">
        <f>IFERROR(__xludf.DUMMYFUNCTION("""COMPUTED_VALUE"""),"")</f>
        <v/>
      </c>
      <c r="D1220" s="36" t="str">
        <f>IFERROR(__xludf.DUMMYFUNCTION("""COMPUTED_VALUE"""),"")</f>
        <v/>
      </c>
      <c r="E1220" s="36" t="str">
        <f>IFERROR(__xludf.DUMMYFUNCTION("""COMPUTED_VALUE"""),"04-22-14-43")</f>
        <v>04-22-14-43</v>
      </c>
      <c r="F1220" s="36"/>
      <c r="G1220" s="36" t="str">
        <f>IFERROR(__xludf.DUMMYFUNCTION("""COMPUTED_VALUE"""),"Estados Unidos y Eugenio Dojorti -S")</f>
        <v>Estados Unidos y Eugenio Dojorti -S</v>
      </c>
      <c r="H1220" s="36" t="str">
        <f>IFERROR(__xludf.DUMMYFUNCTION("""COMPUTED_VALUE"""),"")</f>
        <v/>
      </c>
    </row>
    <row r="1221">
      <c r="A1221" s="36" t="str">
        <f>IFERROR(__xludf.DUMMYFUNCTION("""COMPUTED_VALUE"""),"01-42-08-123")</f>
        <v>01-42-08-123</v>
      </c>
      <c r="B1221" s="36" t="str">
        <f>IFERROR(__xludf.DUMMYFUNCTION("""COMPUTED_VALUE"""),"")</f>
        <v/>
      </c>
      <c r="C1221" s="36" t="str">
        <f>IFERROR(__xludf.DUMMYFUNCTION("""COMPUTED_VALUE"""),"")</f>
        <v/>
      </c>
      <c r="D1221" s="36" t="str">
        <f>IFERROR(__xludf.DUMMYFUNCTION("""COMPUTED_VALUE"""),"")</f>
        <v/>
      </c>
      <c r="E1221" s="36" t="str">
        <f>IFERROR(__xludf.DUMMYFUNCTION("""COMPUTED_VALUE"""),"04-30-14-71")</f>
        <v>04-30-14-71</v>
      </c>
      <c r="F1221" s="36"/>
      <c r="G1221" s="36" t="str">
        <f>IFERROR(__xludf.DUMMYFUNCTION("""COMPUTED_VALUE"""),"Estados Unidos y La Estación -N")</f>
        <v>Estados Unidos y La Estación -N</v>
      </c>
      <c r="H1221" s="36" t="str">
        <f>IFERROR(__xludf.DUMMYFUNCTION("""COMPUTED_VALUE"""),"")</f>
        <v/>
      </c>
    </row>
    <row r="1222">
      <c r="A1222" s="36" t="str">
        <f>IFERROR(__xludf.DUMMYFUNCTION("""COMPUTED_VALUE"""),"01-42-08-124")</f>
        <v>01-42-08-124</v>
      </c>
      <c r="B1222" s="36" t="str">
        <f>IFERROR(__xludf.DUMMYFUNCTION("""COMPUTED_VALUE"""),"")</f>
        <v/>
      </c>
      <c r="C1222" s="36" t="str">
        <f>IFERROR(__xludf.DUMMYFUNCTION("""COMPUTED_VALUE"""),"")</f>
        <v/>
      </c>
      <c r="D1222" s="36" t="str">
        <f>IFERROR(__xludf.DUMMYFUNCTION("""COMPUTED_VALUE"""),"")</f>
        <v/>
      </c>
      <c r="E1222" s="36" t="str">
        <f>IFERROR(__xludf.DUMMYFUNCTION("""COMPUTED_VALUE"""),"04-30-14-72")</f>
        <v>04-30-14-72</v>
      </c>
      <c r="F1222" s="36"/>
      <c r="G1222" s="36" t="str">
        <f>IFERROR(__xludf.DUMMYFUNCTION("""COMPUTED_VALUE"""),"Estados Unidos y La Estación -S")</f>
        <v>Estados Unidos y La Estación -S</v>
      </c>
      <c r="H1222" s="36" t="str">
        <f>IFERROR(__xludf.DUMMYFUNCTION("""COMPUTED_VALUE"""),"")</f>
        <v/>
      </c>
    </row>
    <row r="1223">
      <c r="A1223" s="36" t="str">
        <f>IFERROR(__xludf.DUMMYFUNCTION("""COMPUTED_VALUE"""),"01-42-08-13")</f>
        <v>01-42-08-13</v>
      </c>
      <c r="B1223" s="36" t="str">
        <f>IFERROR(__xludf.DUMMYFUNCTION("""COMPUTED_VALUE"""),"")</f>
        <v/>
      </c>
      <c r="C1223" s="36" t="str">
        <f>IFERROR(__xludf.DUMMYFUNCTION("""COMPUTED_VALUE"""),"")</f>
        <v/>
      </c>
      <c r="D1223" s="36" t="str">
        <f>IFERROR(__xludf.DUMMYFUNCTION("""COMPUTED_VALUE"""),"")</f>
        <v/>
      </c>
      <c r="E1223" s="36" t="str">
        <f>IFERROR(__xludf.DUMMYFUNCTION("""COMPUTED_VALUE"""),"01-54-14-16")</f>
        <v>01-54-14-16</v>
      </c>
      <c r="F1223" s="36"/>
      <c r="G1223" s="36" t="str">
        <f>IFERROR(__xludf.DUMMYFUNCTION("""COMPUTED_VALUE"""),"Estados Unidos y Mariano Moreno")</f>
        <v>Estados Unidos y Mariano Moreno</v>
      </c>
      <c r="H1223" s="36" t="str">
        <f>IFERROR(__xludf.DUMMYFUNCTION("""COMPUTED_VALUE"""),"")</f>
        <v/>
      </c>
    </row>
    <row r="1224">
      <c r="A1224" s="36" t="str">
        <f>IFERROR(__xludf.DUMMYFUNCTION("""COMPUTED_VALUE"""),"01-42-08-14")</f>
        <v>01-42-08-14</v>
      </c>
      <c r="B1224" s="36" t="str">
        <f>IFERROR(__xludf.DUMMYFUNCTION("""COMPUTED_VALUE"""),"")</f>
        <v/>
      </c>
      <c r="C1224" s="36" t="str">
        <f>IFERROR(__xludf.DUMMYFUNCTION("""COMPUTED_VALUE"""),"")</f>
        <v/>
      </c>
      <c r="D1224" s="36" t="str">
        <f>IFERROR(__xludf.DUMMYFUNCTION("""COMPUTED_VALUE"""),"")</f>
        <v/>
      </c>
      <c r="E1224" s="36" t="str">
        <f>IFERROR(__xludf.DUMMYFUNCTION("""COMPUTED_VALUE"""),"04-22-14-47")</f>
        <v>04-22-14-47</v>
      </c>
      <c r="F1224" s="36"/>
      <c r="G1224" s="36" t="str">
        <f>IFERROR(__xludf.DUMMYFUNCTION("""COMPUTED_VALUE"""),"Estados Unidos y Rodas")</f>
        <v>Estados Unidos y Rodas</v>
      </c>
      <c r="H1224" s="36" t="str">
        <f>IFERROR(__xludf.DUMMYFUNCTION("""COMPUTED_VALUE"""),"")</f>
        <v/>
      </c>
    </row>
    <row r="1225">
      <c r="A1225" s="36" t="str">
        <f>IFERROR(__xludf.DUMMYFUNCTION("""COMPUTED_VALUE"""),"01-42-08-9")</f>
        <v>01-42-08-9</v>
      </c>
      <c r="B1225" s="36" t="str">
        <f>IFERROR(__xludf.DUMMYFUNCTION("""COMPUTED_VALUE"""),"")</f>
        <v/>
      </c>
      <c r="C1225" s="36" t="str">
        <f>IFERROR(__xludf.DUMMYFUNCTION("""COMPUTED_VALUE"""),"")</f>
        <v/>
      </c>
      <c r="D1225" s="36" t="str">
        <f>IFERROR(__xludf.DUMMYFUNCTION("""COMPUTED_VALUE"""),"")</f>
        <v/>
      </c>
      <c r="E1225" s="36" t="str">
        <f>IFERROR(__xludf.DUMMYFUNCTION("""COMPUTED_VALUE"""),"04-22-14-44")</f>
        <v>04-22-14-44</v>
      </c>
      <c r="F1225" s="36"/>
      <c r="G1225" s="36" t="str">
        <f>IFERROR(__xludf.DUMMYFUNCTION("""COMPUTED_VALUE"""),"Estados Unidos y Rojo -N")</f>
        <v>Estados Unidos y Rojo -N</v>
      </c>
      <c r="H1225" s="36" t="str">
        <f>IFERROR(__xludf.DUMMYFUNCTION("""COMPUTED_VALUE"""),"")</f>
        <v/>
      </c>
    </row>
    <row r="1226">
      <c r="A1226" s="36" t="str">
        <f>IFERROR(__xludf.DUMMYFUNCTION("""COMPUTED_VALUE"""),"01-51-08-19")</f>
        <v>01-51-08-19</v>
      </c>
      <c r="B1226" s="36" t="str">
        <f>IFERROR(__xludf.DUMMYFUNCTION("""COMPUTED_VALUE"""),"")</f>
        <v/>
      </c>
      <c r="C1226" s="36" t="str">
        <f>IFERROR(__xludf.DUMMYFUNCTION("""COMPUTED_VALUE"""),"")</f>
        <v/>
      </c>
      <c r="D1226" s="36" t="str">
        <f>IFERROR(__xludf.DUMMYFUNCTION("""COMPUTED_VALUE"""),"")</f>
        <v/>
      </c>
      <c r="E1226" s="36" t="str">
        <f>IFERROR(__xludf.DUMMYFUNCTION("""COMPUTED_VALUE"""),"04-22-14-45")</f>
        <v>04-22-14-45</v>
      </c>
      <c r="F1226" s="36"/>
      <c r="G1226" s="36" t="str">
        <f>IFERROR(__xludf.DUMMYFUNCTION("""COMPUTED_VALUE"""),"Estados Unidos y Rojo -S")</f>
        <v>Estados Unidos y Rojo -S</v>
      </c>
      <c r="H1226" s="36" t="str">
        <f>IFERROR(__xludf.DUMMYFUNCTION("""COMPUTED_VALUE"""),"")</f>
        <v/>
      </c>
    </row>
    <row r="1227">
      <c r="A1227" s="36" t="str">
        <f>IFERROR(__xludf.DUMMYFUNCTION("""COMPUTED_VALUE"""),"01-51-08-19A")</f>
        <v>01-51-08-19A</v>
      </c>
      <c r="B1227" s="36" t="str">
        <f>IFERROR(__xludf.DUMMYFUNCTION("""COMPUTED_VALUE"""),"")</f>
        <v/>
      </c>
      <c r="C1227" s="36" t="str">
        <f>IFERROR(__xludf.DUMMYFUNCTION("""COMPUTED_VALUE"""),"")</f>
        <v/>
      </c>
      <c r="D1227" s="36" t="str">
        <f>IFERROR(__xludf.DUMMYFUNCTION("""COMPUTED_VALUE"""),"")</f>
        <v/>
      </c>
      <c r="E1227" s="36" t="str">
        <f>IFERROR(__xludf.DUMMYFUNCTION("""COMPUTED_VALUE"""),"01-64-14-26")</f>
        <v>01-64-14-26</v>
      </c>
      <c r="F1227" s="36"/>
      <c r="G1227" s="36" t="str">
        <f>IFERROR(__xludf.DUMMYFUNCTION("""COMPUTED_VALUE"""),"Estados Unidos y Villagra")</f>
        <v>Estados Unidos y Villagra</v>
      </c>
      <c r="H1227" s="36" t="str">
        <f>IFERROR(__xludf.DUMMYFUNCTION("""COMPUTED_VALUE"""),"")</f>
        <v/>
      </c>
    </row>
    <row r="1228">
      <c r="A1228" s="36" t="str">
        <f>IFERROR(__xludf.DUMMYFUNCTION("""COMPUTED_VALUE"""),"01-51-08-2")</f>
        <v>01-51-08-2</v>
      </c>
      <c r="B1228" s="36" t="str">
        <f>IFERROR(__xludf.DUMMYFUNCTION("""COMPUTED_VALUE"""),"")</f>
        <v/>
      </c>
      <c r="C1228" s="36" t="str">
        <f>IFERROR(__xludf.DUMMYFUNCTION("""COMPUTED_VALUE"""),"")</f>
        <v/>
      </c>
      <c r="D1228" s="36" t="str">
        <f>IFERROR(__xludf.DUMMYFUNCTION("""COMPUTED_VALUE"""),"")</f>
        <v/>
      </c>
      <c r="E1228" s="36" t="str">
        <f>IFERROR(__xludf.DUMMYFUNCTION("""COMPUTED_VALUE"""),"01-32-07-89")</f>
        <v>01-32-07-89</v>
      </c>
      <c r="F1228" s="36"/>
      <c r="G1228" s="36" t="str">
        <f>IFERROR(__xludf.DUMMYFUNCTION("""COMPUTED_VALUE"""),"Esteban Echevarría y Tacuarí")</f>
        <v>Esteban Echevarría y Tacuarí</v>
      </c>
      <c r="H1228" s="36" t="str">
        <f>IFERROR(__xludf.DUMMYFUNCTION("""COMPUTED_VALUE"""),"")</f>
        <v/>
      </c>
    </row>
    <row r="1229">
      <c r="A1229" s="36" t="str">
        <f>IFERROR(__xludf.DUMMYFUNCTION("""COMPUTED_VALUE"""),"01-51-08-20")</f>
        <v>01-51-08-20</v>
      </c>
      <c r="B1229" s="36" t="str">
        <f>IFERROR(__xludf.DUMMYFUNCTION("""COMPUTED_VALUE"""),"")</f>
        <v/>
      </c>
      <c r="C1229" s="36" t="str">
        <f>IFERROR(__xludf.DUMMYFUNCTION("""COMPUTED_VALUE"""),"")</f>
        <v/>
      </c>
      <c r="D1229" s="36" t="str">
        <f>IFERROR(__xludf.DUMMYFUNCTION("""COMPUTED_VALUE"""),"")</f>
        <v/>
      </c>
      <c r="E1229" s="36" t="str">
        <f>IFERROR(__xludf.DUMMYFUNCTION("""COMPUTED_VALUE"""),"02-38-12-278")</f>
        <v>02-38-12-278</v>
      </c>
      <c r="F1229" s="36"/>
      <c r="G1229" s="36" t="str">
        <f>IFERROR(__xludf.DUMMYFUNCTION("""COMPUTED_VALUE"""),"Esteban Echeverria y América")</f>
        <v>Esteban Echeverria y América</v>
      </c>
      <c r="H1229" s="36" t="str">
        <f>IFERROR(__xludf.DUMMYFUNCTION("""COMPUTED_VALUE"""),"")</f>
        <v/>
      </c>
    </row>
    <row r="1230">
      <c r="A1230" s="36" t="str">
        <f>IFERROR(__xludf.DUMMYFUNCTION("""COMPUTED_VALUE"""),"01-51-08-20A")</f>
        <v>01-51-08-20A</v>
      </c>
      <c r="B1230" s="36" t="str">
        <f>IFERROR(__xludf.DUMMYFUNCTION("""COMPUTED_VALUE"""),"")</f>
        <v/>
      </c>
      <c r="C1230" s="36" t="str">
        <f>IFERROR(__xludf.DUMMYFUNCTION("""COMPUTED_VALUE"""),"")</f>
        <v/>
      </c>
      <c r="D1230" s="36" t="str">
        <f>IFERROR(__xludf.DUMMYFUNCTION("""COMPUTED_VALUE"""),"")</f>
        <v/>
      </c>
      <c r="E1230" s="36" t="str">
        <f>IFERROR(__xludf.DUMMYFUNCTION("""COMPUTED_VALUE"""),"02-38-12-223A")</f>
        <v>02-38-12-223A</v>
      </c>
      <c r="F1230" s="36"/>
      <c r="G1230" s="36" t="str">
        <f>IFERROR(__xludf.DUMMYFUNCTION("""COMPUTED_VALUE"""),"Esteban Echeverria y Comandante Cabot")</f>
        <v>Esteban Echeverria y Comandante Cabot</v>
      </c>
      <c r="H1230" s="36" t="str">
        <f>IFERROR(__xludf.DUMMYFUNCTION("""COMPUTED_VALUE"""),"")</f>
        <v/>
      </c>
    </row>
    <row r="1231">
      <c r="A1231" s="36" t="str">
        <f>IFERROR(__xludf.DUMMYFUNCTION("""COMPUTED_VALUE"""),"01-51-08-20B")</f>
        <v>01-51-08-20B</v>
      </c>
      <c r="B1231" s="36" t="str">
        <f>IFERROR(__xludf.DUMMYFUNCTION("""COMPUTED_VALUE"""),"")</f>
        <v/>
      </c>
      <c r="C1231" s="36" t="str">
        <f>IFERROR(__xludf.DUMMYFUNCTION("""COMPUTED_VALUE"""),"")</f>
        <v/>
      </c>
      <c r="D1231" s="36" t="str">
        <f>IFERROR(__xludf.DUMMYFUNCTION("""COMPUTED_VALUE"""),"")</f>
        <v/>
      </c>
      <c r="E1231" s="36" t="str">
        <f>IFERROR(__xludf.DUMMYFUNCTION("""COMPUTED_VALUE"""),"01-32-07-183")</f>
        <v>01-32-07-183</v>
      </c>
      <c r="F1231" s="36"/>
      <c r="G1231" s="36" t="str">
        <f>IFERROR(__xludf.DUMMYFUNCTION("""COMPUTED_VALUE"""),"Esteban Echeverría y Flores")</f>
        <v>Esteban Echeverría y Flores</v>
      </c>
      <c r="H1231" s="36" t="str">
        <f>IFERROR(__xludf.DUMMYFUNCTION("""COMPUTED_VALUE"""),"")</f>
        <v/>
      </c>
    </row>
    <row r="1232">
      <c r="A1232" s="36" t="str">
        <f>IFERROR(__xludf.DUMMYFUNCTION("""COMPUTED_VALUE"""),"01-51-08-20C")</f>
        <v>01-51-08-20C</v>
      </c>
      <c r="B1232" s="36" t="str">
        <f>IFERROR(__xludf.DUMMYFUNCTION("""COMPUTED_VALUE"""),"")</f>
        <v/>
      </c>
      <c r="C1232" s="36" t="str">
        <f>IFERROR(__xludf.DUMMYFUNCTION("""COMPUTED_VALUE"""),"")</f>
        <v/>
      </c>
      <c r="D1232" s="36" t="str">
        <f>IFERROR(__xludf.DUMMYFUNCTION("""COMPUTED_VALUE"""),"")</f>
        <v/>
      </c>
      <c r="E1232" s="36" t="str">
        <f>IFERROR(__xludf.DUMMYFUNCTION("""COMPUTED_VALUE"""),"02-38-12-223")</f>
        <v>02-38-12-223</v>
      </c>
      <c r="F1232" s="36"/>
      <c r="G1232" s="36" t="str">
        <f>IFERROR(__xludf.DUMMYFUNCTION("""COMPUTED_VALUE"""),"Esteban Echeverria y Pasaje Echeverría O")</f>
        <v>Esteban Echeverria y Pasaje Echeverría O</v>
      </c>
      <c r="H1232" s="36" t="str">
        <f>IFERROR(__xludf.DUMMYFUNCTION("""COMPUTED_VALUE"""),"")</f>
        <v/>
      </c>
    </row>
    <row r="1233">
      <c r="A1233" s="36" t="str">
        <f>IFERROR(__xludf.DUMMYFUNCTION("""COMPUTED_VALUE"""),"01-51-08-21A")</f>
        <v>01-51-08-21A</v>
      </c>
      <c r="B1233" s="36" t="str">
        <f>IFERROR(__xludf.DUMMYFUNCTION("""COMPUTED_VALUE"""),"")</f>
        <v/>
      </c>
      <c r="C1233" s="36" t="str">
        <f>IFERROR(__xludf.DUMMYFUNCTION("""COMPUTED_VALUE"""),"")</f>
        <v/>
      </c>
      <c r="D1233" s="36" t="str">
        <f>IFERROR(__xludf.DUMMYFUNCTION("""COMPUTED_VALUE"""),"")</f>
        <v/>
      </c>
      <c r="E1233" s="36" t="str">
        <f>IFERROR(__xludf.DUMMYFUNCTION("""COMPUTED_VALUE"""),"01-32-07-88")</f>
        <v>01-32-07-88</v>
      </c>
      <c r="F1233" s="36"/>
      <c r="G1233" s="36" t="str">
        <f>IFERROR(__xludf.DUMMYFUNCTION("""COMPUTED_VALUE"""),"Esteban Echeverría y San Lorenzo")</f>
        <v>Esteban Echeverría y San Lorenzo</v>
      </c>
      <c r="H1233" s="36" t="str">
        <f>IFERROR(__xludf.DUMMYFUNCTION("""COMPUTED_VALUE"""),"")</f>
        <v/>
      </c>
    </row>
    <row r="1234">
      <c r="A1234" s="36" t="str">
        <f>IFERROR(__xludf.DUMMYFUNCTION("""COMPUTED_VALUE"""),"01-51-08-2A")</f>
        <v>01-51-08-2A</v>
      </c>
      <c r="B1234" s="36" t="str">
        <f>IFERROR(__xludf.DUMMYFUNCTION("""COMPUTED_VALUE"""),"")</f>
        <v/>
      </c>
      <c r="C1234" s="36" t="str">
        <f>IFERROR(__xludf.DUMMYFUNCTION("""COMPUTED_VALUE"""),"")</f>
        <v/>
      </c>
      <c r="D1234" s="36" t="str">
        <f>IFERROR(__xludf.DUMMYFUNCTION("""COMPUTED_VALUE"""),"")</f>
        <v/>
      </c>
      <c r="E1234" s="36" t="str">
        <f>IFERROR(__xludf.DUMMYFUNCTION("""COMPUTED_VALUE"""),"01-32-07-90")</f>
        <v>01-32-07-90</v>
      </c>
      <c r="F1234" s="36"/>
      <c r="G1234" s="36" t="str">
        <f>IFERROR(__xludf.DUMMYFUNCTION("""COMPUTED_VALUE"""),"Esteban Echeverría y Sargento Cabral")</f>
        <v>Esteban Echeverría y Sargento Cabral</v>
      </c>
      <c r="H1234" s="36" t="str">
        <f>IFERROR(__xludf.DUMMYFUNCTION("""COMPUTED_VALUE"""),"")</f>
        <v/>
      </c>
    </row>
    <row r="1235">
      <c r="A1235" s="36" t="str">
        <f>IFERROR(__xludf.DUMMYFUNCTION("""COMPUTED_VALUE"""),"01-51-08-2B")</f>
        <v>01-51-08-2B</v>
      </c>
      <c r="B1235" s="36" t="str">
        <f>IFERROR(__xludf.DUMMYFUNCTION("""COMPUTED_VALUE"""),"")</f>
        <v/>
      </c>
      <c r="C1235" s="36" t="str">
        <f>IFERROR(__xludf.DUMMYFUNCTION("""COMPUTED_VALUE"""),"")</f>
        <v/>
      </c>
      <c r="D1235" s="36" t="str">
        <f>IFERROR(__xludf.DUMMYFUNCTION("""COMPUTED_VALUE"""),"")</f>
        <v/>
      </c>
      <c r="E1235" s="36" t="str">
        <f>IFERROR(__xludf.DUMMYFUNCTION("""COMPUTED_VALUE"""),"01-31-07-151A")</f>
        <v>01-31-07-151A</v>
      </c>
      <c r="F1235" s="36"/>
      <c r="G1235" s="36" t="str">
        <f>IFERROR(__xludf.DUMMYFUNCTION("""COMPUTED_VALUE"""),"Eterna Llama Votiva")</f>
        <v>Eterna Llama Votiva</v>
      </c>
      <c r="H1235" s="36" t="str">
        <f>IFERROR(__xludf.DUMMYFUNCTION("""COMPUTED_VALUE"""),"")</f>
        <v/>
      </c>
    </row>
    <row r="1236">
      <c r="A1236" s="36" t="str">
        <f>IFERROR(__xludf.DUMMYFUNCTION("""COMPUTED_VALUE"""),"01-51-08-3")</f>
        <v>01-51-08-3</v>
      </c>
      <c r="B1236" s="36" t="str">
        <f>IFERROR(__xludf.DUMMYFUNCTION("""COMPUTED_VALUE"""),"")</f>
        <v/>
      </c>
      <c r="C1236" s="36" t="str">
        <f>IFERROR(__xludf.DUMMYFUNCTION("""COMPUTED_VALUE"""),"")</f>
        <v/>
      </c>
      <c r="D1236" s="36" t="str">
        <f>IFERROR(__xludf.DUMMYFUNCTION("""COMPUTED_VALUE"""),"")</f>
        <v/>
      </c>
      <c r="E1236" s="36" t="str">
        <f>IFERROR(__xludf.DUMMYFUNCTION("""COMPUTED_VALUE"""),"04-43-12-91A")</f>
        <v>04-43-12-91A</v>
      </c>
      <c r="F1236" s="36"/>
      <c r="G1236" s="36" t="str">
        <f>IFERROR(__xludf.DUMMYFUNCTION("""COMPUTED_VALUE"""),"Ex Camping Foecyt
")</f>
        <v>Ex Camping Foecyt
</v>
      </c>
      <c r="H1236" s="36" t="str">
        <f>IFERROR(__xludf.DUMMYFUNCTION("""COMPUTED_VALUE"""),"")</f>
        <v/>
      </c>
    </row>
    <row r="1237">
      <c r="A1237" s="36" t="str">
        <f>IFERROR(__xludf.DUMMYFUNCTION("""COMPUTED_VALUE"""),"01-51-08-3A")</f>
        <v>01-51-08-3A</v>
      </c>
      <c r="B1237" s="36" t="str">
        <f>IFERROR(__xludf.DUMMYFUNCTION("""COMPUTED_VALUE"""),"")</f>
        <v/>
      </c>
      <c r="C1237" s="36" t="str">
        <f>IFERROR(__xludf.DUMMYFUNCTION("""COMPUTED_VALUE"""),"")</f>
        <v/>
      </c>
      <c r="D1237" s="36" t="str">
        <f>IFERROR(__xludf.DUMMYFUNCTION("""COMPUTED_VALUE"""),"")</f>
        <v/>
      </c>
      <c r="E1237" s="36" t="str">
        <f>IFERROR(__xludf.DUMMYFUNCTION("""COMPUTED_VALUE"""),"04-46-13-81")</f>
        <v>04-46-13-81</v>
      </c>
      <c r="F1237" s="36"/>
      <c r="G1237" s="36" t="str">
        <f>IFERROR(__xludf.DUMMYFUNCTION("""COMPUTED_VALUE"""),"Ezpeleta y Gral. Godoy")</f>
        <v>Ezpeleta y Gral. Godoy</v>
      </c>
      <c r="H1237" s="36" t="str">
        <f>IFERROR(__xludf.DUMMYFUNCTION("""COMPUTED_VALUE"""),"")</f>
        <v/>
      </c>
    </row>
    <row r="1238">
      <c r="A1238" s="36" t="str">
        <f>IFERROR(__xludf.DUMMYFUNCTION("""COMPUTED_VALUE"""),"01-51-08-4")</f>
        <v>01-51-08-4</v>
      </c>
      <c r="B1238" s="36" t="str">
        <f>IFERROR(__xludf.DUMMYFUNCTION("""COMPUTED_VALUE"""),"")</f>
        <v/>
      </c>
      <c r="C1238" s="36" t="str">
        <f>IFERROR(__xludf.DUMMYFUNCTION("""COMPUTED_VALUE"""),"")</f>
        <v/>
      </c>
      <c r="D1238" s="36" t="str">
        <f>IFERROR(__xludf.DUMMYFUNCTION("""COMPUTED_VALUE"""),"")</f>
        <v/>
      </c>
      <c r="E1238" s="36" t="str">
        <f>IFERROR(__xludf.DUMMYFUNCTION("""COMPUTED_VALUE"""),"04-46-13-98")</f>
        <v>04-46-13-98</v>
      </c>
      <c r="F1238" s="36"/>
      <c r="G1238" s="36" t="str">
        <f>IFERROR(__xludf.DUMMYFUNCTION("""COMPUTED_VALUE"""),"Ezpeleta y Marcelo T. de Alvear")</f>
        <v>Ezpeleta y Marcelo T. de Alvear</v>
      </c>
      <c r="H1238" s="36" t="str">
        <f>IFERROR(__xludf.DUMMYFUNCTION("""COMPUTED_VALUE"""),"")</f>
        <v/>
      </c>
    </row>
    <row r="1239">
      <c r="A1239" s="36" t="str">
        <f>IFERROR(__xludf.DUMMYFUNCTION("""COMPUTED_VALUE"""),"01-51-08-5")</f>
        <v>01-51-08-5</v>
      </c>
      <c r="B1239" s="36" t="str">
        <f>IFERROR(__xludf.DUMMYFUNCTION("""COMPUTED_VALUE"""),"")</f>
        <v/>
      </c>
      <c r="C1239" s="36" t="str">
        <f>IFERROR(__xludf.DUMMYFUNCTION("""COMPUTED_VALUE"""),"")</f>
        <v/>
      </c>
      <c r="D1239" s="36" t="str">
        <f>IFERROR(__xludf.DUMMYFUNCTION("""COMPUTED_VALUE"""),"")</f>
        <v/>
      </c>
      <c r="E1239" s="36" t="str">
        <f>IFERROR(__xludf.DUMMYFUNCTION("""COMPUTED_VALUE"""),"04-46-13-97")</f>
        <v>04-46-13-97</v>
      </c>
      <c r="F1239" s="36"/>
      <c r="G1239" s="36" t="str">
        <f>IFERROR(__xludf.DUMMYFUNCTION("""COMPUTED_VALUE"""),"Ezpeleta y San Roque")</f>
        <v>Ezpeleta y San Roque</v>
      </c>
      <c r="H1239" s="36" t="str">
        <f>IFERROR(__xludf.DUMMYFUNCTION("""COMPUTED_VALUE"""),"")</f>
        <v/>
      </c>
    </row>
    <row r="1240">
      <c r="A1240" s="36" t="str">
        <f>IFERROR(__xludf.DUMMYFUNCTION("""COMPUTED_VALUE"""),"01-51-08-6")</f>
        <v>01-51-08-6</v>
      </c>
      <c r="B1240" s="36" t="str">
        <f>IFERROR(__xludf.DUMMYFUNCTION("""COMPUTED_VALUE"""),"")</f>
        <v/>
      </c>
      <c r="C1240" s="36" t="str">
        <f>IFERROR(__xludf.DUMMYFUNCTION("""COMPUTED_VALUE"""),"")</f>
        <v/>
      </c>
      <c r="D1240" s="36" t="str">
        <f>IFERROR(__xludf.DUMMYFUNCTION("""COMPUTED_VALUE"""),"")</f>
        <v/>
      </c>
      <c r="E1240" s="36" t="str">
        <f>IFERROR(__xludf.DUMMYFUNCTION("""COMPUTED_VALUE"""),"04-46-13-82")</f>
        <v>04-46-13-82</v>
      </c>
      <c r="F1240" s="36"/>
      <c r="G1240" s="36" t="str">
        <f>IFERROR(__xludf.DUMMYFUNCTION("""COMPUTED_VALUE"""),"Ezpeleta y Santa Rosa")</f>
        <v>Ezpeleta y Santa Rosa</v>
      </c>
      <c r="H1240" s="36" t="str">
        <f>IFERROR(__xludf.DUMMYFUNCTION("""COMPUTED_VALUE"""),"")</f>
        <v/>
      </c>
    </row>
    <row r="1241">
      <c r="A1241" s="36" t="str">
        <f>IFERROR(__xludf.DUMMYFUNCTION("""COMPUTED_VALUE"""),"01-51-08-7")</f>
        <v>01-51-08-7</v>
      </c>
      <c r="B1241" s="36" t="str">
        <f>IFERROR(__xludf.DUMMYFUNCTION("""COMPUTED_VALUE"""),"")</f>
        <v/>
      </c>
      <c r="C1241" s="36" t="str">
        <f>IFERROR(__xludf.DUMMYFUNCTION("""COMPUTED_VALUE"""),"")</f>
        <v/>
      </c>
      <c r="D1241" s="36" t="str">
        <f>IFERROR(__xludf.DUMMYFUNCTION("""COMPUTED_VALUE"""),"")</f>
        <v/>
      </c>
      <c r="E1241" s="36" t="str">
        <f>IFERROR(__xludf.DUMMYFUNCTION("""COMPUTED_VALUE"""),"01-43-07-143")</f>
        <v>01-43-07-143</v>
      </c>
      <c r="F1241" s="36"/>
      <c r="G1241" s="36" t="str">
        <f>IFERROR(__xludf.DUMMYFUNCTION("""COMPUTED_VALUE"""),"Facultad de Ingeniería")</f>
        <v>Facultad de Ingeniería</v>
      </c>
      <c r="H1241" s="36" t="str">
        <f>IFERROR(__xludf.DUMMYFUNCTION("""COMPUTED_VALUE"""),"")</f>
        <v/>
      </c>
    </row>
    <row r="1242">
      <c r="A1242" s="36" t="str">
        <f>IFERROR(__xludf.DUMMYFUNCTION("""COMPUTED_VALUE"""),"01-51-08-8")</f>
        <v>01-51-08-8</v>
      </c>
      <c r="B1242" s="36" t="str">
        <f>IFERROR(__xludf.DUMMYFUNCTION("""COMPUTED_VALUE"""),"")</f>
        <v/>
      </c>
      <c r="C1242" s="36" t="str">
        <f>IFERROR(__xludf.DUMMYFUNCTION("""COMPUTED_VALUE"""),"")</f>
        <v/>
      </c>
      <c r="D1242" s="36" t="str">
        <f>IFERROR(__xludf.DUMMYFUNCTION("""COMPUTED_VALUE"""),"")</f>
        <v/>
      </c>
      <c r="E1242" s="36" t="str">
        <f>IFERROR(__xludf.DUMMYFUNCTION("""COMPUTED_VALUE"""),"01-32-07-83")</f>
        <v>01-32-07-83</v>
      </c>
      <c r="F1242" s="36"/>
      <c r="G1242" s="36" t="str">
        <f>IFERROR(__xludf.DUMMYFUNCTION("""COMPUTED_VALUE"""),"Falucho y Adán Quiroga")</f>
        <v>Falucho y Adán Quiroga</v>
      </c>
      <c r="H1242" s="36" t="str">
        <f>IFERROR(__xludf.DUMMYFUNCTION("""COMPUTED_VALUE"""),"")</f>
        <v/>
      </c>
    </row>
    <row r="1243">
      <c r="A1243" s="36" t="str">
        <f>IFERROR(__xludf.DUMMYFUNCTION("""COMPUTED_VALUE"""),"01-51-08-8A")</f>
        <v>01-51-08-8A</v>
      </c>
      <c r="B1243" s="36" t="str">
        <f>IFERROR(__xludf.DUMMYFUNCTION("""COMPUTED_VALUE"""),"")</f>
        <v/>
      </c>
      <c r="C1243" s="36" t="str">
        <f>IFERROR(__xludf.DUMMYFUNCTION("""COMPUTED_VALUE"""),"")</f>
        <v/>
      </c>
      <c r="D1243" s="36" t="str">
        <f>IFERROR(__xludf.DUMMYFUNCTION("""COMPUTED_VALUE"""),"")</f>
        <v/>
      </c>
      <c r="E1243" s="36" t="str">
        <f>IFERROR(__xludf.DUMMYFUNCTION("""COMPUTED_VALUE"""),"01-28-08-82A")</f>
        <v>01-28-08-82A</v>
      </c>
      <c r="F1243" s="36"/>
      <c r="G1243" s="36" t="str">
        <f>IFERROR(__xludf.DUMMYFUNCTION("""COMPUTED_VALUE"""),"Falucho y Av. Alem")</f>
        <v>Falucho y Av. Alem</v>
      </c>
      <c r="H1243" s="36" t="str">
        <f>IFERROR(__xludf.DUMMYFUNCTION("""COMPUTED_VALUE"""),"")</f>
        <v/>
      </c>
    </row>
    <row r="1244">
      <c r="A1244" s="36" t="str">
        <f>IFERROR(__xludf.DUMMYFUNCTION("""COMPUTED_VALUE"""),"01-51-08-8B")</f>
        <v>01-51-08-8B</v>
      </c>
      <c r="B1244" s="36" t="str">
        <f>IFERROR(__xludf.DUMMYFUNCTION("""COMPUTED_VALUE"""),"")</f>
        <v/>
      </c>
      <c r="C1244" s="36" t="str">
        <f>IFERROR(__xludf.DUMMYFUNCTION("""COMPUTED_VALUE"""),"")</f>
        <v/>
      </c>
      <c r="D1244" s="36" t="str">
        <f>IFERROR(__xludf.DUMMYFUNCTION("""COMPUTED_VALUE"""),"")</f>
        <v/>
      </c>
      <c r="E1244" s="36" t="str">
        <f>IFERROR(__xludf.DUMMYFUNCTION("""COMPUTED_VALUE"""),"01-32-07-82")</f>
        <v>01-32-07-82</v>
      </c>
      <c r="F1244" s="36"/>
      <c r="G1244" s="36" t="str">
        <f>IFERROR(__xludf.DUMMYFUNCTION("""COMPUTED_VALUE"""),"Falucho y Camilo Rojo")</f>
        <v>Falucho y Camilo Rojo</v>
      </c>
      <c r="H1244" s="36" t="str">
        <f>IFERROR(__xludf.DUMMYFUNCTION("""COMPUTED_VALUE"""),"")</f>
        <v/>
      </c>
    </row>
    <row r="1245">
      <c r="A1245" s="36" t="str">
        <f>IFERROR(__xludf.DUMMYFUNCTION("""COMPUTED_VALUE"""),"01-52-08-18")</f>
        <v>01-52-08-18</v>
      </c>
      <c r="B1245" s="36" t="str">
        <f>IFERROR(__xludf.DUMMYFUNCTION("""COMPUTED_VALUE"""),"")</f>
        <v/>
      </c>
      <c r="C1245" s="36" t="str">
        <f>IFERROR(__xludf.DUMMYFUNCTION("""COMPUTED_VALUE"""),"")</f>
        <v/>
      </c>
      <c r="D1245" s="36" t="str">
        <f>IFERROR(__xludf.DUMMYFUNCTION("""COMPUTED_VALUE"""),"")</f>
        <v/>
      </c>
      <c r="E1245" s="36" t="str">
        <f>IFERROR(__xludf.DUMMYFUNCTION("""COMPUTED_VALUE"""),"01-28-08-85")</f>
        <v>01-28-08-85</v>
      </c>
      <c r="F1245" s="36"/>
      <c r="G1245" s="36" t="str">
        <f>IFERROR(__xludf.DUMMYFUNCTION("""COMPUTED_VALUE"""),"Falucho y Gral. Roca")</f>
        <v>Falucho y Gral. Roca</v>
      </c>
      <c r="H1245" s="36" t="str">
        <f>IFERROR(__xludf.DUMMYFUNCTION("""COMPUTED_VALUE"""),"")</f>
        <v/>
      </c>
    </row>
    <row r="1246">
      <c r="A1246" s="36" t="str">
        <f>IFERROR(__xludf.DUMMYFUNCTION("""COMPUTED_VALUE"""),"01-52-08-18A")</f>
        <v>01-52-08-18A</v>
      </c>
      <c r="B1246" s="36" t="str">
        <f>IFERROR(__xludf.DUMMYFUNCTION("""COMPUTED_VALUE"""),"")</f>
        <v/>
      </c>
      <c r="C1246" s="36" t="str">
        <f>IFERROR(__xludf.DUMMYFUNCTION("""COMPUTED_VALUE"""),"")</f>
        <v/>
      </c>
      <c r="D1246" s="36" t="str">
        <f>IFERROR(__xludf.DUMMYFUNCTION("""COMPUTED_VALUE"""),"")</f>
        <v/>
      </c>
      <c r="E1246" s="36" t="str">
        <f>IFERROR(__xludf.DUMMYFUNCTION("""COMPUTED_VALUE"""),"01-28-08-115")</f>
        <v>01-28-08-115</v>
      </c>
      <c r="F1246" s="36"/>
      <c r="G1246" s="36" t="str">
        <f>IFERROR(__xludf.DUMMYFUNCTION("""COMPUTED_VALUE"""),"Falucho y Mendoza N")</f>
        <v>Falucho y Mendoza N</v>
      </c>
      <c r="H1246" s="36" t="str">
        <f>IFERROR(__xludf.DUMMYFUNCTION("""COMPUTED_VALUE"""),"")</f>
        <v/>
      </c>
    </row>
    <row r="1247">
      <c r="A1247" s="36" t="str">
        <f>IFERROR(__xludf.DUMMYFUNCTION("""COMPUTED_VALUE"""),"01-52-08-21B")</f>
        <v>01-52-08-21B</v>
      </c>
      <c r="B1247" s="36" t="str">
        <f>IFERROR(__xludf.DUMMYFUNCTION("""COMPUTED_VALUE"""),"")</f>
        <v/>
      </c>
      <c r="C1247" s="36" t="str">
        <f>IFERROR(__xludf.DUMMYFUNCTION("""COMPUTED_VALUE"""),"")</f>
        <v/>
      </c>
      <c r="D1247" s="36" t="str">
        <f>IFERROR(__xludf.DUMMYFUNCTION("""COMPUTED_VALUE"""),"")</f>
        <v/>
      </c>
      <c r="E1247" s="36" t="str">
        <f>IFERROR(__xludf.DUMMYFUNCTION("""COMPUTED_VALUE"""),"01-28-08-116")</f>
        <v>01-28-08-116</v>
      </c>
      <c r="F1247" s="36"/>
      <c r="G1247" s="36" t="str">
        <f>IFERROR(__xludf.DUMMYFUNCTION("""COMPUTED_VALUE"""),"Falucho y Mendoza S")</f>
        <v>Falucho y Mendoza S</v>
      </c>
      <c r="H1247" s="36" t="str">
        <f>IFERROR(__xludf.DUMMYFUNCTION("""COMPUTED_VALUE"""),"")</f>
        <v/>
      </c>
    </row>
    <row r="1248">
      <c r="A1248" s="36" t="str">
        <f>IFERROR(__xludf.DUMMYFUNCTION("""COMPUTED_VALUE"""),"01-52-08-22")</f>
        <v>01-52-08-22</v>
      </c>
      <c r="B1248" s="36" t="str">
        <f>IFERROR(__xludf.DUMMYFUNCTION("""COMPUTED_VALUE"""),"")</f>
        <v/>
      </c>
      <c r="C1248" s="36" t="str">
        <f>IFERROR(__xludf.DUMMYFUNCTION("""COMPUTED_VALUE"""),"")</f>
        <v/>
      </c>
      <c r="D1248" s="36" t="str">
        <f>IFERROR(__xludf.DUMMYFUNCTION("""COMPUTED_VALUE"""),"")</f>
        <v/>
      </c>
      <c r="E1248" s="36" t="str">
        <f>IFERROR(__xludf.DUMMYFUNCTION("""COMPUTED_VALUE"""),"01-32-06-37A")</f>
        <v>01-32-06-37A</v>
      </c>
      <c r="F1248" s="36"/>
      <c r="G1248" s="36" t="str">
        <f>IFERROR(__xludf.DUMMYFUNCTION("""COMPUTED_VALUE"""),"Falucho y Sta. María de Oro")</f>
        <v>Falucho y Sta. María de Oro</v>
      </c>
      <c r="H1248" s="36" t="str">
        <f>IFERROR(__xludf.DUMMYFUNCTION("""COMPUTED_VALUE"""),"")</f>
        <v/>
      </c>
    </row>
    <row r="1249">
      <c r="A1249" s="36" t="str">
        <f>IFERROR(__xludf.DUMMYFUNCTION("""COMPUTED_VALUE"""),"01-52-08-22A")</f>
        <v>01-52-08-22A</v>
      </c>
      <c r="B1249" s="36" t="str">
        <f>IFERROR(__xludf.DUMMYFUNCTION("""COMPUTED_VALUE"""),"")</f>
        <v/>
      </c>
      <c r="C1249" s="36" t="str">
        <f>IFERROR(__xludf.DUMMYFUNCTION("""COMPUTED_VALUE"""),"")</f>
        <v/>
      </c>
      <c r="D1249" s="36" t="str">
        <f>IFERROR(__xludf.DUMMYFUNCTION("""COMPUTED_VALUE"""),"")</f>
        <v/>
      </c>
      <c r="E1249" s="36" t="str">
        <f>IFERROR(__xludf.DUMMYFUNCTION("""COMPUTED_VALUE"""),"02-32-11-98")</f>
        <v>02-32-11-98</v>
      </c>
      <c r="F1249" s="36"/>
      <c r="G1249" s="36" t="str">
        <f>IFERROR(__xludf.DUMMYFUNCTION("""COMPUTED_VALUE"""),"Favaloro y Colón")</f>
        <v>Favaloro y Colón</v>
      </c>
      <c r="H1249" s="36" t="str">
        <f>IFERROR(__xludf.DUMMYFUNCTION("""COMPUTED_VALUE"""),"")</f>
        <v/>
      </c>
    </row>
    <row r="1250">
      <c r="A1250" s="36" t="str">
        <f>IFERROR(__xludf.DUMMYFUNCTION("""COMPUTED_VALUE"""),"01-52-08-22B")</f>
        <v>01-52-08-22B</v>
      </c>
      <c r="B1250" s="36" t="str">
        <f>IFERROR(__xludf.DUMMYFUNCTION("""COMPUTED_VALUE"""),"")</f>
        <v/>
      </c>
      <c r="C1250" s="36" t="str">
        <f>IFERROR(__xludf.DUMMYFUNCTION("""COMPUTED_VALUE"""),"")</f>
        <v/>
      </c>
      <c r="D1250" s="36" t="str">
        <f>IFERROR(__xludf.DUMMYFUNCTION("""COMPUTED_VALUE"""),"")</f>
        <v/>
      </c>
      <c r="E1250" s="36" t="str">
        <f>IFERROR(__xludf.DUMMYFUNCTION("""COMPUTED_VALUE"""),"08-36-02-95")</f>
        <v>08-36-02-95</v>
      </c>
      <c r="F1250" s="36"/>
      <c r="G1250" s="36" t="str">
        <f>IFERROR(__xludf.DUMMYFUNCTION("""COMPUTED_VALUE"""),"Favaloro y Proyectada")</f>
        <v>Favaloro y Proyectada</v>
      </c>
      <c r="H1250" s="36" t="str">
        <f>IFERROR(__xludf.DUMMYFUNCTION("""COMPUTED_VALUE"""),"")</f>
        <v/>
      </c>
    </row>
    <row r="1251">
      <c r="A1251" s="36" t="str">
        <f>IFERROR(__xludf.DUMMYFUNCTION("""COMPUTED_VALUE"""),"01-52-08-23")</f>
        <v>01-52-08-23</v>
      </c>
      <c r="B1251" s="36" t="str">
        <f>IFERROR(__xludf.DUMMYFUNCTION("""COMPUTED_VALUE"""),"")</f>
        <v/>
      </c>
      <c r="C1251" s="36" t="str">
        <f>IFERROR(__xludf.DUMMYFUNCTION("""COMPUTED_VALUE"""),"")</f>
        <v/>
      </c>
      <c r="D1251" s="36" t="str">
        <f>IFERROR(__xludf.DUMMYFUNCTION("""COMPUTED_VALUE"""),"")</f>
        <v/>
      </c>
      <c r="E1251" s="36" t="str">
        <f>IFERROR(__xludf.DUMMYFUNCTION("""COMPUTED_VALUE"""),"04-45-12-48")</f>
        <v>04-45-12-48</v>
      </c>
      <c r="F1251" s="36"/>
      <c r="G1251" s="36" t="str">
        <f>IFERROR(__xludf.DUMMYFUNCTION("""COMPUTED_VALUE"""),"Felix Aguilar y Almamira")</f>
        <v>Felix Aguilar y Almamira</v>
      </c>
      <c r="H1251" s="36" t="str">
        <f>IFERROR(__xludf.DUMMYFUNCTION("""COMPUTED_VALUE"""),"")</f>
        <v/>
      </c>
    </row>
    <row r="1252">
      <c r="A1252" s="36" t="str">
        <f>IFERROR(__xludf.DUMMYFUNCTION("""COMPUTED_VALUE"""),"01-52-08-24")</f>
        <v>01-52-08-24</v>
      </c>
      <c r="B1252" s="36" t="str">
        <f>IFERROR(__xludf.DUMMYFUNCTION("""COMPUTED_VALUE"""),"")</f>
        <v/>
      </c>
      <c r="C1252" s="36" t="str">
        <f>IFERROR(__xludf.DUMMYFUNCTION("""COMPUTED_VALUE"""),"")</f>
        <v/>
      </c>
      <c r="D1252" s="36" t="str">
        <f>IFERROR(__xludf.DUMMYFUNCTION("""COMPUTED_VALUE"""),"")</f>
        <v/>
      </c>
      <c r="E1252" s="36" t="str">
        <f>IFERROR(__xludf.DUMMYFUNCTION("""COMPUTED_VALUE"""),"04-45-12-50")</f>
        <v>04-45-12-50</v>
      </c>
      <c r="F1252" s="36"/>
      <c r="G1252" s="36" t="str">
        <f>IFERROR(__xludf.DUMMYFUNCTION("""COMPUTED_VALUE"""),"Felix Aguilar y Carlos Gardel")</f>
        <v>Felix Aguilar y Carlos Gardel</v>
      </c>
      <c r="H1252" s="36" t="str">
        <f>IFERROR(__xludf.DUMMYFUNCTION("""COMPUTED_VALUE"""),"")</f>
        <v/>
      </c>
    </row>
    <row r="1253">
      <c r="A1253" s="36" t="str">
        <f>IFERROR(__xludf.DUMMYFUNCTION("""COMPUTED_VALUE"""),"01-52-08-25A")</f>
        <v>01-52-08-25A</v>
      </c>
      <c r="B1253" s="36" t="str">
        <f>IFERROR(__xludf.DUMMYFUNCTION("""COMPUTED_VALUE"""),"")</f>
        <v/>
      </c>
      <c r="C1253" s="36" t="str">
        <f>IFERROR(__xludf.DUMMYFUNCTION("""COMPUTED_VALUE"""),"")</f>
        <v/>
      </c>
      <c r="D1253" s="36" t="str">
        <f>IFERROR(__xludf.DUMMYFUNCTION("""COMPUTED_VALUE"""),"")</f>
        <v/>
      </c>
      <c r="E1253" s="36" t="str">
        <f>IFERROR(__xludf.DUMMYFUNCTION("""COMPUTED_VALUE"""),"04-45-12-52")</f>
        <v>04-45-12-52</v>
      </c>
      <c r="F1253" s="36"/>
      <c r="G1253" s="36" t="str">
        <f>IFERROR(__xludf.DUMMYFUNCTION("""COMPUTED_VALUE"""),"Felix Aguilar y Fernandez de Oro")</f>
        <v>Felix Aguilar y Fernandez de Oro</v>
      </c>
      <c r="H1253" s="36" t="str">
        <f>IFERROR(__xludf.DUMMYFUNCTION("""COMPUTED_VALUE"""),"")</f>
        <v/>
      </c>
    </row>
    <row r="1254">
      <c r="A1254" s="36" t="str">
        <f>IFERROR(__xludf.DUMMYFUNCTION("""COMPUTED_VALUE"""),"01-52-08-25B")</f>
        <v>01-52-08-25B</v>
      </c>
      <c r="B1254" s="36" t="str">
        <f>IFERROR(__xludf.DUMMYFUNCTION("""COMPUTED_VALUE"""),"")</f>
        <v/>
      </c>
      <c r="C1254" s="36" t="str">
        <f>IFERROR(__xludf.DUMMYFUNCTION("""COMPUTED_VALUE"""),"")</f>
        <v/>
      </c>
      <c r="D1254" s="36" t="str">
        <f>IFERROR(__xludf.DUMMYFUNCTION("""COMPUTED_VALUE"""),"")</f>
        <v/>
      </c>
      <c r="E1254" s="36" t="str">
        <f>IFERROR(__xludf.DUMMYFUNCTION("""COMPUTED_VALUE"""),"04-45-12-47")</f>
        <v>04-45-12-47</v>
      </c>
      <c r="F1254" s="36"/>
      <c r="G1254" s="36" t="str">
        <f>IFERROR(__xludf.DUMMYFUNCTION("""COMPUTED_VALUE"""),"Felix Aguilar y Fernandez de Oro I")</f>
        <v>Felix Aguilar y Fernandez de Oro I</v>
      </c>
      <c r="H1254" s="36" t="str">
        <f>IFERROR(__xludf.DUMMYFUNCTION("""COMPUTED_VALUE"""),"")</f>
        <v/>
      </c>
    </row>
    <row r="1255">
      <c r="A1255" s="36" t="str">
        <f>IFERROR(__xludf.DUMMYFUNCTION("""COMPUTED_VALUE"""),"01-52-08-25C")</f>
        <v>01-52-08-25C</v>
      </c>
      <c r="B1255" s="36" t="str">
        <f>IFERROR(__xludf.DUMMYFUNCTION("""COMPUTED_VALUE"""),"")</f>
        <v/>
      </c>
      <c r="C1255" s="36" t="str">
        <f>IFERROR(__xludf.DUMMYFUNCTION("""COMPUTED_VALUE"""),"")</f>
        <v/>
      </c>
      <c r="D1255" s="36" t="str">
        <f>IFERROR(__xludf.DUMMYFUNCTION("""COMPUTED_VALUE"""),"")</f>
        <v/>
      </c>
      <c r="E1255" s="36" t="str">
        <f>IFERROR(__xludf.DUMMYFUNCTION("""COMPUTED_VALUE"""),"04-45-12-51")</f>
        <v>04-45-12-51</v>
      </c>
      <c r="F1255" s="36"/>
      <c r="G1255" s="36" t="str">
        <f>IFERROR(__xludf.DUMMYFUNCTION("""COMPUTED_VALUE"""),"Felix Aguilar y Neuquén")</f>
        <v>Felix Aguilar y Neuquén</v>
      </c>
      <c r="H1255" s="36" t="str">
        <f>IFERROR(__xludf.DUMMYFUNCTION("""COMPUTED_VALUE"""),"")</f>
        <v/>
      </c>
    </row>
    <row r="1256">
      <c r="A1256" s="36" t="str">
        <f>IFERROR(__xludf.DUMMYFUNCTION("""COMPUTED_VALUE"""),"01-52-08-26")</f>
        <v>01-52-08-26</v>
      </c>
      <c r="B1256" s="36" t="str">
        <f>IFERROR(__xludf.DUMMYFUNCTION("""COMPUTED_VALUE"""),"")</f>
        <v/>
      </c>
      <c r="C1256" s="36" t="str">
        <f>IFERROR(__xludf.DUMMYFUNCTION("""COMPUTED_VALUE"""),"")</f>
        <v/>
      </c>
      <c r="D1256" s="36" t="str">
        <f>IFERROR(__xludf.DUMMYFUNCTION("""COMPUTED_VALUE"""),"")</f>
        <v/>
      </c>
      <c r="E1256" s="36" t="str">
        <f>IFERROR(__xludf.DUMMYFUNCTION("""COMPUTED_VALUE"""),"04-45-12-17B")</f>
        <v>04-45-12-17B</v>
      </c>
      <c r="F1256" s="36"/>
      <c r="G1256" s="36" t="str">
        <f>IFERROR(__xludf.DUMMYFUNCTION("""COMPUTED_VALUE"""),"Felix Aguilar y Rivadavia")</f>
        <v>Felix Aguilar y Rivadavia</v>
      </c>
      <c r="H1256" s="36" t="str">
        <f>IFERROR(__xludf.DUMMYFUNCTION("""COMPUTED_VALUE"""),"")</f>
        <v/>
      </c>
    </row>
    <row r="1257">
      <c r="A1257" s="36" t="str">
        <f>IFERROR(__xludf.DUMMYFUNCTION("""COMPUTED_VALUE"""),"01-52-08-30")</f>
        <v>01-52-08-30</v>
      </c>
      <c r="B1257" s="36" t="str">
        <f>IFERROR(__xludf.DUMMYFUNCTION("""COMPUTED_VALUE"""),"")</f>
        <v/>
      </c>
      <c r="C1257" s="36" t="str">
        <f>IFERROR(__xludf.DUMMYFUNCTION("""COMPUTED_VALUE"""),"")</f>
        <v/>
      </c>
      <c r="D1257" s="36" t="str">
        <f>IFERROR(__xludf.DUMMYFUNCTION("""COMPUTED_VALUE"""),"")</f>
        <v/>
      </c>
      <c r="E1257" s="36" t="str">
        <f>IFERROR(__xludf.DUMMYFUNCTION("""COMPUTED_VALUE"""),"04-45-12-53A")</f>
        <v>04-45-12-53A</v>
      </c>
      <c r="F1257" s="36"/>
      <c r="G1257" s="36" t="str">
        <f>IFERROR(__xludf.DUMMYFUNCTION("""COMPUTED_VALUE"""),"Felix Aguilar y Vidart")</f>
        <v>Felix Aguilar y Vidart</v>
      </c>
      <c r="H1257" s="36" t="str">
        <f>IFERROR(__xludf.DUMMYFUNCTION("""COMPUTED_VALUE"""),"")</f>
        <v/>
      </c>
    </row>
    <row r="1258">
      <c r="A1258" s="36" t="str">
        <f>IFERROR(__xludf.DUMMYFUNCTION("""COMPUTED_VALUE"""),"01-52-08-31")</f>
        <v>01-52-08-31</v>
      </c>
      <c r="B1258" s="36" t="str">
        <f>IFERROR(__xludf.DUMMYFUNCTION("""COMPUTED_VALUE"""),"")</f>
        <v/>
      </c>
      <c r="C1258" s="36" t="str">
        <f>IFERROR(__xludf.DUMMYFUNCTION("""COMPUTED_VALUE"""),"")</f>
        <v/>
      </c>
      <c r="D1258" s="36" t="str">
        <f>IFERROR(__xludf.DUMMYFUNCTION("""COMPUTED_VALUE"""),"")</f>
        <v/>
      </c>
      <c r="E1258" s="36" t="str">
        <f>IFERROR(__xludf.DUMMYFUNCTION("""COMPUTED_VALUE"""),"04-33-13-116B")</f>
        <v>04-33-13-116B</v>
      </c>
      <c r="F1258" s="36"/>
      <c r="G1258" s="36" t="str">
        <f>IFERROR(__xludf.DUMMYFUNCTION("""COMPUTED_VALUE"""),"Fermín Rodriguez y Av. Rawson")</f>
        <v>Fermín Rodriguez y Av. Rawson</v>
      </c>
      <c r="H1258" s="36" t="str">
        <f>IFERROR(__xludf.DUMMYFUNCTION("""COMPUTED_VALUE"""),"")</f>
        <v/>
      </c>
    </row>
    <row r="1259">
      <c r="A1259" s="36" t="str">
        <f>IFERROR(__xludf.DUMMYFUNCTION("""COMPUTED_VALUE"""),"01-52-08-32")</f>
        <v>01-52-08-32</v>
      </c>
      <c r="B1259" s="36" t="str">
        <f>IFERROR(__xludf.DUMMYFUNCTION("""COMPUTED_VALUE"""),"")</f>
        <v/>
      </c>
      <c r="C1259" s="36" t="str">
        <f>IFERROR(__xludf.DUMMYFUNCTION("""COMPUTED_VALUE"""),"")</f>
        <v/>
      </c>
      <c r="D1259" s="36" t="str">
        <f>IFERROR(__xludf.DUMMYFUNCTION("""COMPUTED_VALUE"""),"")</f>
        <v/>
      </c>
      <c r="E1259" s="36" t="str">
        <f>IFERROR(__xludf.DUMMYFUNCTION("""COMPUTED_VALUE"""),"08-23-04-12")</f>
        <v>08-23-04-12</v>
      </c>
      <c r="F1259" s="36"/>
      <c r="G1259" s="36" t="str">
        <f>IFERROR(__xludf.DUMMYFUNCTION("""COMPUTED_VALUE"""),"Fernández y Curva Casa N")</f>
        <v>Fernández y Curva Casa N</v>
      </c>
      <c r="H1259" s="36" t="str">
        <f>IFERROR(__xludf.DUMMYFUNCTION("""COMPUTED_VALUE"""),"")</f>
        <v/>
      </c>
    </row>
    <row r="1260">
      <c r="A1260" s="36" t="str">
        <f>IFERROR(__xludf.DUMMYFUNCTION("""COMPUTED_VALUE"""),"01-53-08-26A")</f>
        <v>01-53-08-26A</v>
      </c>
      <c r="B1260" s="36" t="str">
        <f>IFERROR(__xludf.DUMMYFUNCTION("""COMPUTED_VALUE"""),"")</f>
        <v/>
      </c>
      <c r="C1260" s="36" t="str">
        <f>IFERROR(__xludf.DUMMYFUNCTION("""COMPUTED_VALUE"""),"")</f>
        <v/>
      </c>
      <c r="D1260" s="36" t="str">
        <f>IFERROR(__xludf.DUMMYFUNCTION("""COMPUTED_VALUE"""),"")</f>
        <v/>
      </c>
      <c r="E1260" s="36" t="str">
        <f>IFERROR(__xludf.DUMMYFUNCTION("""COMPUTED_VALUE"""),"08-23-04-13")</f>
        <v>08-23-04-13</v>
      </c>
      <c r="F1260" s="36"/>
      <c r="G1260" s="36" t="str">
        <f>IFERROR(__xludf.DUMMYFUNCTION("""COMPUTED_VALUE"""),"Fernández y Curva Casa S")</f>
        <v>Fernández y Curva Casa S</v>
      </c>
      <c r="H1260" s="36" t="str">
        <f>IFERROR(__xludf.DUMMYFUNCTION("""COMPUTED_VALUE"""),"")</f>
        <v/>
      </c>
    </row>
    <row r="1261">
      <c r="A1261" s="36" t="str">
        <f>IFERROR(__xludf.DUMMYFUNCTION("""COMPUTED_VALUE"""),"01-53-08-26B")</f>
        <v>01-53-08-26B</v>
      </c>
      <c r="B1261" s="36" t="str">
        <f>IFERROR(__xludf.DUMMYFUNCTION("""COMPUTED_VALUE"""),"")</f>
        <v/>
      </c>
      <c r="C1261" s="36" t="str">
        <f>IFERROR(__xludf.DUMMYFUNCTION("""COMPUTED_VALUE"""),"")</f>
        <v/>
      </c>
      <c r="D1261" s="36" t="str">
        <f>IFERROR(__xludf.DUMMYFUNCTION("""COMPUTED_VALUE"""),"")</f>
        <v/>
      </c>
      <c r="E1261" s="36" t="str">
        <f>IFERROR(__xludf.DUMMYFUNCTION("""COMPUTED_VALUE"""),"08-23-04-14")</f>
        <v>08-23-04-14</v>
      </c>
      <c r="F1261" s="36"/>
      <c r="G1261" s="36" t="str">
        <f>IFERROR(__xludf.DUMMYFUNCTION("""COMPUTED_VALUE"""),"Fernández y Curva Norte N")</f>
        <v>Fernández y Curva Norte N</v>
      </c>
      <c r="H1261" s="36" t="str">
        <f>IFERROR(__xludf.DUMMYFUNCTION("""COMPUTED_VALUE"""),"")</f>
        <v/>
      </c>
    </row>
    <row r="1262">
      <c r="A1262" s="36" t="str">
        <f>IFERROR(__xludf.DUMMYFUNCTION("""COMPUTED_VALUE"""),"01-53-08-27")</f>
        <v>01-53-08-27</v>
      </c>
      <c r="B1262" s="36" t="str">
        <f>IFERROR(__xludf.DUMMYFUNCTION("""COMPUTED_VALUE"""),"")</f>
        <v/>
      </c>
      <c r="C1262" s="36" t="str">
        <f>IFERROR(__xludf.DUMMYFUNCTION("""COMPUTED_VALUE"""),"")</f>
        <v/>
      </c>
      <c r="D1262" s="36" t="str">
        <f>IFERROR(__xludf.DUMMYFUNCTION("""COMPUTED_VALUE"""),"")</f>
        <v/>
      </c>
      <c r="E1262" s="36" t="str">
        <f>IFERROR(__xludf.DUMMYFUNCTION("""COMPUTED_VALUE"""),"08-23-04-15")</f>
        <v>08-23-04-15</v>
      </c>
      <c r="F1262" s="36"/>
      <c r="G1262" s="36" t="str">
        <f>IFERROR(__xludf.DUMMYFUNCTION("""COMPUTED_VALUE"""),"Fernández y Curva Norte S")</f>
        <v>Fernández y Curva Norte S</v>
      </c>
      <c r="H1262" s="36" t="str">
        <f>IFERROR(__xludf.DUMMYFUNCTION("""COMPUTED_VALUE"""),"")</f>
        <v/>
      </c>
    </row>
    <row r="1263">
      <c r="A1263" s="36" t="str">
        <f>IFERROR(__xludf.DUMMYFUNCTION("""COMPUTED_VALUE"""),"01-53-08-28")</f>
        <v>01-53-08-28</v>
      </c>
      <c r="B1263" s="36" t="str">
        <f>IFERROR(__xludf.DUMMYFUNCTION("""COMPUTED_VALUE"""),"")</f>
        <v/>
      </c>
      <c r="C1263" s="36" t="str">
        <f>IFERROR(__xludf.DUMMYFUNCTION("""COMPUTED_VALUE"""),"")</f>
        <v/>
      </c>
      <c r="D1263" s="36" t="str">
        <f>IFERROR(__xludf.DUMMYFUNCTION("""COMPUTED_VALUE"""),"")</f>
        <v/>
      </c>
      <c r="E1263" s="36" t="str">
        <f>IFERROR(__xludf.DUMMYFUNCTION("""COMPUTED_VALUE"""),"08-23-04-16")</f>
        <v>08-23-04-16</v>
      </c>
      <c r="F1263" s="36"/>
      <c r="G1263" s="36" t="str">
        <f>IFERROR(__xludf.DUMMYFUNCTION("""COMPUTED_VALUE"""),"Fernández y Curva Sur N")</f>
        <v>Fernández y Curva Sur N</v>
      </c>
      <c r="H1263" s="36" t="str">
        <f>IFERROR(__xludf.DUMMYFUNCTION("""COMPUTED_VALUE"""),"")</f>
        <v/>
      </c>
    </row>
    <row r="1264">
      <c r="A1264" s="36" t="str">
        <f>IFERROR(__xludf.DUMMYFUNCTION("""COMPUTED_VALUE"""),"01-53-08-29")</f>
        <v>01-53-08-29</v>
      </c>
      <c r="B1264" s="36" t="str">
        <f>IFERROR(__xludf.DUMMYFUNCTION("""COMPUTED_VALUE"""),"")</f>
        <v/>
      </c>
      <c r="C1264" s="36" t="str">
        <f>IFERROR(__xludf.DUMMYFUNCTION("""COMPUTED_VALUE"""),"")</f>
        <v/>
      </c>
      <c r="D1264" s="36" t="str">
        <f>IFERROR(__xludf.DUMMYFUNCTION("""COMPUTED_VALUE"""),"")</f>
        <v/>
      </c>
      <c r="E1264" s="36" t="str">
        <f>IFERROR(__xludf.DUMMYFUNCTION("""COMPUTED_VALUE"""),"08-23-04-17")</f>
        <v>08-23-04-17</v>
      </c>
      <c r="F1264" s="36"/>
      <c r="G1264" s="36" t="str">
        <f>IFERROR(__xludf.DUMMYFUNCTION("""COMPUTED_VALUE"""),"Fernández y Curva Sur S")</f>
        <v>Fernández y Curva Sur S</v>
      </c>
      <c r="H1264" s="36" t="str">
        <f>IFERROR(__xludf.DUMMYFUNCTION("""COMPUTED_VALUE"""),"")</f>
        <v/>
      </c>
    </row>
    <row r="1265">
      <c r="A1265" s="36" t="str">
        <f>IFERROR(__xludf.DUMMYFUNCTION("""COMPUTED_VALUE"""),"01-53-08-30A")</f>
        <v>01-53-08-30A</v>
      </c>
      <c r="B1265" s="36" t="str">
        <f>IFERROR(__xludf.DUMMYFUNCTION("""COMPUTED_VALUE"""),"")</f>
        <v/>
      </c>
      <c r="C1265" s="36" t="str">
        <f>IFERROR(__xludf.DUMMYFUNCTION("""COMPUTED_VALUE"""),"")</f>
        <v/>
      </c>
      <c r="D1265" s="36" t="str">
        <f>IFERROR(__xludf.DUMMYFUNCTION("""COMPUTED_VALUE"""),"")</f>
        <v/>
      </c>
      <c r="E1265" s="36" t="str">
        <f>IFERROR(__xludf.DUMMYFUNCTION("""COMPUTED_VALUE"""),"08-24-04-10")</f>
        <v>08-24-04-10</v>
      </c>
      <c r="F1265" s="36"/>
      <c r="G1265" s="36" t="str">
        <f>IFERROR(__xludf.DUMMYFUNCTION("""COMPUTED_VALUE"""),"Fernández y Curva Tanque E")</f>
        <v>Fernández y Curva Tanque E</v>
      </c>
      <c r="H1265" s="36" t="str">
        <f>IFERROR(__xludf.DUMMYFUNCTION("""COMPUTED_VALUE"""),"")</f>
        <v/>
      </c>
    </row>
    <row r="1266">
      <c r="A1266" s="36" t="str">
        <f>IFERROR(__xludf.DUMMYFUNCTION("""COMPUTED_VALUE"""),"01-53-08-30B")</f>
        <v>01-53-08-30B</v>
      </c>
      <c r="B1266" s="36" t="str">
        <f>IFERROR(__xludf.DUMMYFUNCTION("""COMPUTED_VALUE"""),"")</f>
        <v/>
      </c>
      <c r="C1266" s="36" t="str">
        <f>IFERROR(__xludf.DUMMYFUNCTION("""COMPUTED_VALUE"""),"")</f>
        <v/>
      </c>
      <c r="D1266" s="36" t="str">
        <f>IFERROR(__xludf.DUMMYFUNCTION("""COMPUTED_VALUE"""),"")</f>
        <v/>
      </c>
      <c r="E1266" s="36" t="str">
        <f>IFERROR(__xludf.DUMMYFUNCTION("""COMPUTED_VALUE"""),"08-23-04-11")</f>
        <v>08-23-04-11</v>
      </c>
      <c r="F1266" s="36"/>
      <c r="G1266" s="36" t="str">
        <f>IFERROR(__xludf.DUMMYFUNCTION("""COMPUTED_VALUE"""),"Fernández y Curva Tanque O")</f>
        <v>Fernández y Curva Tanque O</v>
      </c>
      <c r="H1266" s="36" t="str">
        <f>IFERROR(__xludf.DUMMYFUNCTION("""COMPUTED_VALUE"""),"")</f>
        <v/>
      </c>
    </row>
    <row r="1267">
      <c r="A1267" s="36" t="str">
        <f>IFERROR(__xludf.DUMMYFUNCTION("""COMPUTED_VALUE"""),"01-53-08-34")</f>
        <v>01-53-08-34</v>
      </c>
      <c r="B1267" s="36" t="str">
        <f>IFERROR(__xludf.DUMMYFUNCTION("""COMPUTED_VALUE"""),"")</f>
        <v/>
      </c>
      <c r="C1267" s="36" t="str">
        <f>IFERROR(__xludf.DUMMYFUNCTION("""COMPUTED_VALUE"""),"")</f>
        <v/>
      </c>
      <c r="D1267" s="36" t="str">
        <f>IFERROR(__xludf.DUMMYFUNCTION("""COMPUTED_VALUE"""),"")</f>
        <v/>
      </c>
      <c r="E1267" s="36" t="str">
        <f>IFERROR(__xludf.DUMMYFUNCTION("""COMPUTED_VALUE"""),"08-24-04-7")</f>
        <v>08-24-04-7</v>
      </c>
      <c r="F1267" s="36"/>
      <c r="G1267" s="36" t="str">
        <f>IFERROR(__xludf.DUMMYFUNCTION("""COMPUTED_VALUE"""),"Fernández y Pelayes N")</f>
        <v>Fernández y Pelayes N</v>
      </c>
      <c r="H1267" s="36" t="str">
        <f>IFERROR(__xludf.DUMMYFUNCTION("""COMPUTED_VALUE"""),"")</f>
        <v/>
      </c>
    </row>
    <row r="1268">
      <c r="A1268" s="36" t="str">
        <f>IFERROR(__xludf.DUMMYFUNCTION("""COMPUTED_VALUE"""),"01-53-08-34A")</f>
        <v>01-53-08-34A</v>
      </c>
      <c r="B1268" s="36" t="str">
        <f>IFERROR(__xludf.DUMMYFUNCTION("""COMPUTED_VALUE"""),"")</f>
        <v/>
      </c>
      <c r="C1268" s="36" t="str">
        <f>IFERROR(__xludf.DUMMYFUNCTION("""COMPUTED_VALUE"""),"")</f>
        <v/>
      </c>
      <c r="D1268" s="36" t="str">
        <f>IFERROR(__xludf.DUMMYFUNCTION("""COMPUTED_VALUE"""),"")</f>
        <v/>
      </c>
      <c r="E1268" s="36" t="str">
        <f>IFERROR(__xludf.DUMMYFUNCTION("""COMPUTED_VALUE"""),"08-24-04-6")</f>
        <v>08-24-04-6</v>
      </c>
      <c r="F1268" s="36"/>
      <c r="G1268" s="36" t="str">
        <f>IFERROR(__xludf.DUMMYFUNCTION("""COMPUTED_VALUE"""),"Fernández y Pelayes S")</f>
        <v>Fernández y Pelayes S</v>
      </c>
      <c r="H1268" s="36" t="str">
        <f>IFERROR(__xludf.DUMMYFUNCTION("""COMPUTED_VALUE"""),"")</f>
        <v/>
      </c>
    </row>
    <row r="1269">
      <c r="A1269" s="36" t="str">
        <f>IFERROR(__xludf.DUMMYFUNCTION("""COMPUTED_VALUE"""),"01-53-08-35")</f>
        <v>01-53-08-35</v>
      </c>
      <c r="B1269" s="36" t="str">
        <f>IFERROR(__xludf.DUMMYFUNCTION("""COMPUTED_VALUE"""),"")</f>
        <v/>
      </c>
      <c r="C1269" s="36" t="str">
        <f>IFERROR(__xludf.DUMMYFUNCTION("""COMPUTED_VALUE"""),"")</f>
        <v/>
      </c>
      <c r="D1269" s="36" t="str">
        <f>IFERROR(__xludf.DUMMYFUNCTION("""COMPUTED_VALUE"""),"")</f>
        <v/>
      </c>
      <c r="E1269" s="36" t="str">
        <f>IFERROR(__xludf.DUMMYFUNCTION("""COMPUTED_VALUE"""),"08-24-04-8")</f>
        <v>08-24-04-8</v>
      </c>
      <c r="F1269" s="36"/>
      <c r="G1269" s="36" t="str">
        <f>IFERROR(__xludf.DUMMYFUNCTION("""COMPUTED_VALUE"""),"Fernández y Rodríguez E")</f>
        <v>Fernández y Rodríguez E</v>
      </c>
      <c r="H1269" s="36" t="str">
        <f>IFERROR(__xludf.DUMMYFUNCTION("""COMPUTED_VALUE"""),"")</f>
        <v/>
      </c>
    </row>
    <row r="1270">
      <c r="A1270" s="36" t="str">
        <f>IFERROR(__xludf.DUMMYFUNCTION("""COMPUTED_VALUE"""),"01-53-08-35B")</f>
        <v>01-53-08-35B</v>
      </c>
      <c r="B1270" s="36" t="str">
        <f>IFERROR(__xludf.DUMMYFUNCTION("""COMPUTED_VALUE"""),"")</f>
        <v/>
      </c>
      <c r="C1270" s="36" t="str">
        <f>IFERROR(__xludf.DUMMYFUNCTION("""COMPUTED_VALUE"""),"")</f>
        <v/>
      </c>
      <c r="D1270" s="36" t="str">
        <f>IFERROR(__xludf.DUMMYFUNCTION("""COMPUTED_VALUE"""),"")</f>
        <v/>
      </c>
      <c r="E1270" s="36" t="str">
        <f>IFERROR(__xludf.DUMMYFUNCTION("""COMPUTED_VALUE"""),"08-23-04-9")</f>
        <v>08-23-04-9</v>
      </c>
      <c r="F1270" s="36"/>
      <c r="G1270" s="36" t="str">
        <f>IFERROR(__xludf.DUMMYFUNCTION("""COMPUTED_VALUE"""),"Fernández y Rodríguez O")</f>
        <v>Fernández y Rodríguez O</v>
      </c>
      <c r="H1270" s="36" t="str">
        <f>IFERROR(__xludf.DUMMYFUNCTION("""COMPUTED_VALUE"""),"")</f>
        <v/>
      </c>
    </row>
    <row r="1271">
      <c r="A1271" s="36" t="str">
        <f>IFERROR(__xludf.DUMMYFUNCTION("""COMPUTED_VALUE"""),"01-55-08-21")</f>
        <v>01-55-08-21</v>
      </c>
      <c r="B1271" s="36" t="str">
        <f>IFERROR(__xludf.DUMMYFUNCTION("""COMPUTED_VALUE"""),"")</f>
        <v/>
      </c>
      <c r="C1271" s="36" t="str">
        <f>IFERROR(__xludf.DUMMYFUNCTION("""COMPUTED_VALUE"""),"")</f>
        <v/>
      </c>
      <c r="D1271" s="36" t="str">
        <f>IFERROR(__xludf.DUMMYFUNCTION("""COMPUTED_VALUE"""),"")</f>
        <v/>
      </c>
      <c r="E1271" s="36" t="str">
        <f>IFERROR(__xludf.DUMMYFUNCTION("""COMPUTED_VALUE"""),"04-26-14-156")</f>
        <v>04-26-14-156</v>
      </c>
      <c r="F1271" s="36"/>
      <c r="G1271" s="36" t="str">
        <f>IFERROR(__xludf.DUMMYFUNCTION("""COMPUTED_VALUE"""),"Florida y Calle Vieja E")</f>
        <v>Florida y Calle Vieja E</v>
      </c>
      <c r="H1271" s="36" t="str">
        <f>IFERROR(__xludf.DUMMYFUNCTION("""COMPUTED_VALUE"""),"")</f>
        <v/>
      </c>
    </row>
    <row r="1272">
      <c r="A1272" s="36" t="str">
        <f>IFERROR(__xludf.DUMMYFUNCTION("""COMPUTED_VALUE"""),"01-55-08-25")</f>
        <v>01-55-08-25</v>
      </c>
      <c r="B1272" s="36" t="str">
        <f>IFERROR(__xludf.DUMMYFUNCTION("""COMPUTED_VALUE"""),"")</f>
        <v/>
      </c>
      <c r="C1272" s="36" t="str">
        <f>IFERROR(__xludf.DUMMYFUNCTION("""COMPUTED_VALUE"""),"")</f>
        <v/>
      </c>
      <c r="D1272" s="36" t="str">
        <f>IFERROR(__xludf.DUMMYFUNCTION("""COMPUTED_VALUE"""),"")</f>
        <v/>
      </c>
      <c r="E1272" s="36" t="str">
        <f>IFERROR(__xludf.DUMMYFUNCTION("""COMPUTED_VALUE"""),"04-28-14-155")</f>
        <v>04-28-14-155</v>
      </c>
      <c r="F1272" s="36"/>
      <c r="G1272" s="36" t="str">
        <f>IFERROR(__xludf.DUMMYFUNCTION("""COMPUTED_VALUE"""),"Florida y Calle Vieja O")</f>
        <v>Florida y Calle Vieja O</v>
      </c>
      <c r="H1272" s="36" t="str">
        <f>IFERROR(__xludf.DUMMYFUNCTION("""COMPUTED_VALUE"""),"")</f>
        <v/>
      </c>
    </row>
    <row r="1273">
      <c r="A1273" s="36" t="str">
        <f>IFERROR(__xludf.DUMMYFUNCTION("""COMPUTED_VALUE"""),"01-56-08-1")</f>
        <v>01-56-08-1</v>
      </c>
      <c r="B1273" s="36" t="str">
        <f>IFERROR(__xludf.DUMMYFUNCTION("""COMPUTED_VALUE"""),"")</f>
        <v/>
      </c>
      <c r="C1273" s="36" t="str">
        <f>IFERROR(__xludf.DUMMYFUNCTION("""COMPUTED_VALUE"""),"")</f>
        <v/>
      </c>
      <c r="D1273" s="36" t="str">
        <f>IFERROR(__xludf.DUMMYFUNCTION("""COMPUTED_VALUE"""),"")</f>
        <v/>
      </c>
      <c r="E1273" s="36" t="str">
        <f>IFERROR(__xludf.DUMMYFUNCTION("""COMPUTED_VALUE"""),"04-24-14-152")</f>
        <v>04-24-14-152</v>
      </c>
      <c r="F1273" s="36"/>
      <c r="G1273" s="36" t="str">
        <f>IFERROR(__xludf.DUMMYFUNCTION("""COMPUTED_VALUE"""),"Florida y Castillo N")</f>
        <v>Florida y Castillo N</v>
      </c>
      <c r="H1273" s="36" t="str">
        <f>IFERROR(__xludf.DUMMYFUNCTION("""COMPUTED_VALUE"""),"")</f>
        <v/>
      </c>
    </row>
    <row r="1274">
      <c r="A1274" s="36" t="str">
        <f>IFERROR(__xludf.DUMMYFUNCTION("""COMPUTED_VALUE"""),"01-25-09-116H")</f>
        <v>01-25-09-116H</v>
      </c>
      <c r="B1274" s="36" t="str">
        <f>IFERROR(__xludf.DUMMYFUNCTION("""COMPUTED_VALUE"""),"")</f>
        <v/>
      </c>
      <c r="C1274" s="36" t="str">
        <f>IFERROR(__xludf.DUMMYFUNCTION("""COMPUTED_VALUE"""),"")</f>
        <v/>
      </c>
      <c r="D1274" s="36" t="str">
        <f>IFERROR(__xludf.DUMMYFUNCTION("""COMPUTED_VALUE"""),"")</f>
        <v/>
      </c>
      <c r="E1274" s="36" t="str">
        <f>IFERROR(__xludf.DUMMYFUNCTION("""COMPUTED_VALUE"""),"04-28-14-151")</f>
        <v>04-28-14-151</v>
      </c>
      <c r="F1274" s="36"/>
      <c r="G1274" s="36" t="str">
        <f>IFERROR(__xludf.DUMMYFUNCTION("""COMPUTED_VALUE"""),"Florida y Castillo S")</f>
        <v>Florida y Castillo S</v>
      </c>
      <c r="H1274" s="36" t="str">
        <f>IFERROR(__xludf.DUMMYFUNCTION("""COMPUTED_VALUE"""),"")</f>
        <v/>
      </c>
    </row>
    <row r="1275">
      <c r="A1275" s="36" t="str">
        <f>IFERROR(__xludf.DUMMYFUNCTION("""COMPUTED_VALUE"""),"01-25-09-116J")</f>
        <v>01-25-09-116J</v>
      </c>
      <c r="B1275" s="36" t="str">
        <f>IFERROR(__xludf.DUMMYFUNCTION("""COMPUTED_VALUE"""),"")</f>
        <v/>
      </c>
      <c r="C1275" s="36" t="str">
        <f>IFERROR(__xludf.DUMMYFUNCTION("""COMPUTED_VALUE"""),"")</f>
        <v/>
      </c>
      <c r="D1275" s="36" t="str">
        <f>IFERROR(__xludf.DUMMYFUNCTION("""COMPUTED_VALUE"""),"")</f>
        <v/>
      </c>
      <c r="E1275" s="36" t="str">
        <f>IFERROR(__xludf.DUMMYFUNCTION("""COMPUTED_VALUE"""),"04-28-14-149")</f>
        <v>04-28-14-149</v>
      </c>
      <c r="F1275" s="36"/>
      <c r="G1275" s="36" t="str">
        <f>IFERROR(__xludf.DUMMYFUNCTION("""COMPUTED_VALUE"""),"Florida y Cnel. Rivas -S")</f>
        <v>Florida y Cnel. Rivas -S</v>
      </c>
      <c r="H1275" s="36" t="str">
        <f>IFERROR(__xludf.DUMMYFUNCTION("""COMPUTED_VALUE"""),"")</f>
        <v/>
      </c>
    </row>
    <row r="1276">
      <c r="A1276" s="36" t="str">
        <f>IFERROR(__xludf.DUMMYFUNCTION("""COMPUTED_VALUE"""),"01-25-09-116L")</f>
        <v>01-25-09-116L</v>
      </c>
      <c r="B1276" s="36" t="str">
        <f>IFERROR(__xludf.DUMMYFUNCTION("""COMPUTED_VALUE"""),"")</f>
        <v/>
      </c>
      <c r="C1276" s="36" t="str">
        <f>IFERROR(__xludf.DUMMYFUNCTION("""COMPUTED_VALUE"""),"")</f>
        <v/>
      </c>
      <c r="D1276" s="36" t="str">
        <f>IFERROR(__xludf.DUMMYFUNCTION("""COMPUTED_VALUE"""),"")</f>
        <v/>
      </c>
      <c r="E1276" s="36" t="str">
        <f>IFERROR(__xludf.DUMMYFUNCTION("""COMPUTED_VALUE"""),"04-24-14-150")</f>
        <v>04-24-14-150</v>
      </c>
      <c r="F1276" s="36"/>
      <c r="G1276" s="36" t="str">
        <f>IFERROR(__xludf.DUMMYFUNCTION("""COMPUTED_VALUE"""),"Florida y Coronel Rivas -N")</f>
        <v>Florida y Coronel Rivas -N</v>
      </c>
      <c r="H1276" s="36" t="str">
        <f>IFERROR(__xludf.DUMMYFUNCTION("""COMPUTED_VALUE"""),"")</f>
        <v/>
      </c>
    </row>
    <row r="1277">
      <c r="A1277" s="36" t="str">
        <f>IFERROR(__xludf.DUMMYFUNCTION("""COMPUTED_VALUE"""),"01-25-09-238")</f>
        <v>01-25-09-238</v>
      </c>
      <c r="B1277" s="36" t="str">
        <f>IFERROR(__xludf.DUMMYFUNCTION("""COMPUTED_VALUE"""),"")</f>
        <v/>
      </c>
      <c r="C1277" s="36" t="str">
        <f>IFERROR(__xludf.DUMMYFUNCTION("""COMPUTED_VALUE"""),"")</f>
        <v/>
      </c>
      <c r="D1277" s="36" t="str">
        <f>IFERROR(__xludf.DUMMYFUNCTION("""COMPUTED_VALUE"""),"")</f>
        <v/>
      </c>
      <c r="E1277" s="36" t="str">
        <f>IFERROR(__xludf.DUMMYFUNCTION("""COMPUTED_VALUE"""),"04-24-14-153")</f>
        <v>04-24-14-153</v>
      </c>
      <c r="F1277" s="36"/>
      <c r="G1277" s="36" t="str">
        <f>IFERROR(__xludf.DUMMYFUNCTION("""COMPUTED_VALUE"""),"Florida y Lahoz N")</f>
        <v>Florida y Lahoz N</v>
      </c>
      <c r="H1277" s="36" t="str">
        <f>IFERROR(__xludf.DUMMYFUNCTION("""COMPUTED_VALUE"""),"")</f>
        <v/>
      </c>
    </row>
    <row r="1278">
      <c r="A1278" s="36" t="str">
        <f>IFERROR(__xludf.DUMMYFUNCTION("""COMPUTED_VALUE"""),"01-25-09-239")</f>
        <v>01-25-09-239</v>
      </c>
      <c r="B1278" s="36" t="str">
        <f>IFERROR(__xludf.DUMMYFUNCTION("""COMPUTED_VALUE"""),"")</f>
        <v/>
      </c>
      <c r="C1278" s="36" t="str">
        <f>IFERROR(__xludf.DUMMYFUNCTION("""COMPUTED_VALUE"""),"")</f>
        <v/>
      </c>
      <c r="D1278" s="36" t="str">
        <f>IFERROR(__xludf.DUMMYFUNCTION("""COMPUTED_VALUE"""),"")</f>
        <v/>
      </c>
      <c r="E1278" s="36" t="str">
        <f>IFERROR(__xludf.DUMMYFUNCTION("""COMPUTED_VALUE"""),"04-28-14-154")</f>
        <v>04-28-14-154</v>
      </c>
      <c r="F1278" s="36"/>
      <c r="G1278" s="36" t="str">
        <f>IFERROR(__xludf.DUMMYFUNCTION("""COMPUTED_VALUE"""),"Florida y Lahoz S")</f>
        <v>Florida y Lahoz S</v>
      </c>
      <c r="H1278" s="36" t="str">
        <f>IFERROR(__xludf.DUMMYFUNCTION("""COMPUTED_VALUE"""),"")</f>
        <v/>
      </c>
    </row>
    <row r="1279">
      <c r="A1279" s="36" t="str">
        <f>IFERROR(__xludf.DUMMYFUNCTION("""COMPUTED_VALUE"""),"01-25-09-240")</f>
        <v>01-25-09-240</v>
      </c>
      <c r="B1279" s="36" t="str">
        <f>IFERROR(__xludf.DUMMYFUNCTION("""COMPUTED_VALUE"""),"")</f>
        <v/>
      </c>
      <c r="C1279" s="36" t="str">
        <f>IFERROR(__xludf.DUMMYFUNCTION("""COMPUTED_VALUE"""),"")</f>
        <v/>
      </c>
      <c r="D1279" s="36" t="str">
        <f>IFERROR(__xludf.DUMMYFUNCTION("""COMPUTED_VALUE"""),"")</f>
        <v/>
      </c>
      <c r="E1279" s="36" t="str">
        <f>IFERROR(__xludf.DUMMYFUNCTION("""COMPUTED_VALUE"""),"04-43-12-86A")</f>
        <v>04-43-12-86A</v>
      </c>
      <c r="F1279" s="36"/>
      <c r="G1279" s="36" t="str">
        <f>IFERROR(__xludf.DUMMYFUNCTION("""COMPUTED_VALUE"""),"Fray Luis Beltrán y Tellez")</f>
        <v>Fray Luis Beltrán y Tellez</v>
      </c>
      <c r="H1279" s="36" t="str">
        <f>IFERROR(__xludf.DUMMYFUNCTION("""COMPUTED_VALUE"""),"")</f>
        <v/>
      </c>
    </row>
    <row r="1280">
      <c r="A1280" s="36" t="str">
        <f>IFERROR(__xludf.DUMMYFUNCTION("""COMPUTED_VALUE"""),"01-25-09-240A")</f>
        <v>01-25-09-240A</v>
      </c>
      <c r="B1280" s="36" t="str">
        <f>IFERROR(__xludf.DUMMYFUNCTION("""COMPUTED_VALUE"""),"")</f>
        <v/>
      </c>
      <c r="C1280" s="36" t="str">
        <f>IFERROR(__xludf.DUMMYFUNCTION("""COMPUTED_VALUE"""),"")</f>
        <v/>
      </c>
      <c r="D1280" s="36" t="str">
        <f>IFERROR(__xludf.DUMMYFUNCTION("""COMPUTED_VALUE"""),"")</f>
        <v/>
      </c>
      <c r="E1280" s="36" t="str">
        <f>IFERROR(__xludf.DUMMYFUNCTION("""COMPUTED_VALUE"""),"02-31-06-64")</f>
        <v>02-31-06-64</v>
      </c>
      <c r="F1280" s="36"/>
      <c r="G1280" s="36" t="str">
        <f>IFERROR(__xludf.DUMMYFUNCTION("""COMPUTED_VALUE"""),"Galeano y 21 de Setiembre")</f>
        <v>Galeano y 21 de Setiembre</v>
      </c>
      <c r="H1280" s="36" t="str">
        <f>IFERROR(__xludf.DUMMYFUNCTION("""COMPUTED_VALUE"""),"")</f>
        <v/>
      </c>
    </row>
    <row r="1281">
      <c r="A1281" s="36" t="str">
        <f>IFERROR(__xludf.DUMMYFUNCTION("""COMPUTED_VALUE"""),"01-25-09-241")</f>
        <v>01-25-09-241</v>
      </c>
      <c r="B1281" s="36" t="str">
        <f>IFERROR(__xludf.DUMMYFUNCTION("""COMPUTED_VALUE"""),"")</f>
        <v/>
      </c>
      <c r="C1281" s="36" t="str">
        <f>IFERROR(__xludf.DUMMYFUNCTION("""COMPUTED_VALUE"""),"")</f>
        <v/>
      </c>
      <c r="D1281" s="36" t="str">
        <f>IFERROR(__xludf.DUMMYFUNCTION("""COMPUTED_VALUE"""),"")</f>
        <v/>
      </c>
      <c r="E1281" s="36" t="str">
        <f>IFERROR(__xludf.DUMMYFUNCTION("""COMPUTED_VALUE"""),"02-34-05-41")</f>
        <v>02-34-05-41</v>
      </c>
      <c r="F1281" s="36"/>
      <c r="G1281" s="36" t="str">
        <f>IFERROR(__xludf.DUMMYFUNCTION("""COMPUTED_VALUE"""),"Galíndez y Av. Libertador ")</f>
        <v>Galíndez y Av. Libertador </v>
      </c>
      <c r="H1281" s="36" t="str">
        <f>IFERROR(__xludf.DUMMYFUNCTION("""COMPUTED_VALUE"""),"")</f>
        <v/>
      </c>
    </row>
    <row r="1282">
      <c r="A1282" s="36" t="str">
        <f>IFERROR(__xludf.DUMMYFUNCTION("""COMPUTED_VALUE"""),"01-25-09-244")</f>
        <v>01-25-09-244</v>
      </c>
      <c r="B1282" s="36" t="str">
        <f>IFERROR(__xludf.DUMMYFUNCTION("""COMPUTED_VALUE"""),"")</f>
        <v/>
      </c>
      <c r="C1282" s="36" t="str">
        <f>IFERROR(__xludf.DUMMYFUNCTION("""COMPUTED_VALUE"""),"")</f>
        <v/>
      </c>
      <c r="D1282" s="36" t="str">
        <f>IFERROR(__xludf.DUMMYFUNCTION("""COMPUTED_VALUE"""),"")</f>
        <v/>
      </c>
      <c r="E1282" s="36" t="str">
        <f>IFERROR(__xludf.DUMMYFUNCTION("""COMPUTED_VALUE"""),"02-20-05-45")</f>
        <v>02-20-05-45</v>
      </c>
      <c r="F1282" s="36"/>
      <c r="G1282" s="36" t="str">
        <f>IFERROR(__xludf.DUMMYFUNCTION("""COMPUTED_VALUE"""),"Galíndez y Enrique Godoy")</f>
        <v>Galíndez y Enrique Godoy</v>
      </c>
      <c r="H1282" s="36" t="str">
        <f>IFERROR(__xludf.DUMMYFUNCTION("""COMPUTED_VALUE"""),"")</f>
        <v/>
      </c>
    </row>
    <row r="1283">
      <c r="A1283" s="36" t="str">
        <f>IFERROR(__xludf.DUMMYFUNCTION("""COMPUTED_VALUE"""),"01-25-09-245")</f>
        <v>01-25-09-245</v>
      </c>
      <c r="B1283" s="36" t="str">
        <f>IFERROR(__xludf.DUMMYFUNCTION("""COMPUTED_VALUE"""),"")</f>
        <v/>
      </c>
      <c r="C1283" s="36" t="str">
        <f>IFERROR(__xludf.DUMMYFUNCTION("""COMPUTED_VALUE"""),"")</f>
        <v/>
      </c>
      <c r="D1283" s="36" t="str">
        <f>IFERROR(__xludf.DUMMYFUNCTION("""COMPUTED_VALUE"""),"")</f>
        <v/>
      </c>
      <c r="E1283" s="36" t="str">
        <f>IFERROR(__xludf.DUMMYFUNCTION("""COMPUTED_VALUE"""),"02-20-05-49")</f>
        <v>02-20-05-49</v>
      </c>
      <c r="F1283" s="36"/>
      <c r="G1283" s="36" t="str">
        <f>IFERROR(__xludf.DUMMYFUNCTION("""COMPUTED_VALUE"""),"Galíndez y Ruta del Sol")</f>
        <v>Galíndez y Ruta del Sol</v>
      </c>
      <c r="H1283" s="36" t="str">
        <f>IFERROR(__xludf.DUMMYFUNCTION("""COMPUTED_VALUE"""),"")</f>
        <v/>
      </c>
    </row>
    <row r="1284">
      <c r="A1284" s="36" t="str">
        <f>IFERROR(__xludf.DUMMYFUNCTION("""COMPUTED_VALUE"""),"01-25-09-247")</f>
        <v>01-25-09-247</v>
      </c>
      <c r="B1284" s="36" t="str">
        <f>IFERROR(__xludf.DUMMYFUNCTION("""COMPUTED_VALUE"""),"")</f>
        <v/>
      </c>
      <c r="C1284" s="36" t="str">
        <f>IFERROR(__xludf.DUMMYFUNCTION("""COMPUTED_VALUE"""),"")</f>
        <v/>
      </c>
      <c r="D1284" s="36" t="str">
        <f>IFERROR(__xludf.DUMMYFUNCTION("""COMPUTED_VALUE"""),"")</f>
        <v/>
      </c>
      <c r="E1284" s="36" t="str">
        <f>IFERROR(__xludf.DUMMYFUNCTION("""COMPUTED_VALUE"""),"04-32-13-426")</f>
        <v>04-32-13-426</v>
      </c>
      <c r="F1284" s="36"/>
      <c r="G1284" s="36" t="str">
        <f>IFERROR(__xludf.DUMMYFUNCTION("""COMPUTED_VALUE"""),"Gdor. Castro y Kirchner -N")</f>
        <v>Gdor. Castro y Kirchner -N</v>
      </c>
      <c r="H1284" s="36" t="str">
        <f>IFERROR(__xludf.DUMMYFUNCTION("""COMPUTED_VALUE"""),"")</f>
        <v/>
      </c>
    </row>
    <row r="1285">
      <c r="A1285" s="36" t="str">
        <f>IFERROR(__xludf.DUMMYFUNCTION("""COMPUTED_VALUE"""),"01-25-09-248")</f>
        <v>01-25-09-248</v>
      </c>
      <c r="B1285" s="36" t="str">
        <f>IFERROR(__xludf.DUMMYFUNCTION("""COMPUTED_VALUE"""),"")</f>
        <v/>
      </c>
      <c r="C1285" s="36" t="str">
        <f>IFERROR(__xludf.DUMMYFUNCTION("""COMPUTED_VALUE"""),"")</f>
        <v/>
      </c>
      <c r="D1285" s="36" t="str">
        <f>IFERROR(__xludf.DUMMYFUNCTION("""COMPUTED_VALUE"""),"")</f>
        <v/>
      </c>
      <c r="E1285" s="36" t="str">
        <f>IFERROR(__xludf.DUMMYFUNCTION("""COMPUTED_VALUE"""),"04-32-13-425")</f>
        <v>04-32-13-425</v>
      </c>
      <c r="F1285" s="36"/>
      <c r="G1285" s="36" t="str">
        <f>IFERROR(__xludf.DUMMYFUNCTION("""COMPUTED_VALUE"""),"Gdor. Castro y Kirchner -S")</f>
        <v>Gdor. Castro y Kirchner -S</v>
      </c>
      <c r="H1285" s="36" t="str">
        <f>IFERROR(__xludf.DUMMYFUNCTION("""COMPUTED_VALUE"""),"")</f>
        <v/>
      </c>
    </row>
    <row r="1286">
      <c r="A1286" s="36" t="str">
        <f>IFERROR(__xludf.DUMMYFUNCTION("""COMPUTED_VALUE"""),"01-25-09-249")</f>
        <v>01-25-09-249</v>
      </c>
      <c r="B1286" s="36" t="str">
        <f>IFERROR(__xludf.DUMMYFUNCTION("""COMPUTED_VALUE"""),"")</f>
        <v/>
      </c>
      <c r="C1286" s="36" t="str">
        <f>IFERROR(__xludf.DUMMYFUNCTION("""COMPUTED_VALUE"""),"")</f>
        <v/>
      </c>
      <c r="D1286" s="36" t="str">
        <f>IFERROR(__xludf.DUMMYFUNCTION("""COMPUTED_VALUE"""),"")</f>
        <v/>
      </c>
      <c r="E1286" s="36" t="str">
        <f>IFERROR(__xludf.DUMMYFUNCTION("""COMPUTED_VALUE"""),"04-32-13-427")</f>
        <v>04-32-13-427</v>
      </c>
      <c r="F1286" s="36"/>
      <c r="G1286" s="36" t="str">
        <f>IFERROR(__xludf.DUMMYFUNCTION("""COMPUTED_VALUE"""),"Gdor. Castro y Salvador del Carril")</f>
        <v>Gdor. Castro y Salvador del Carril</v>
      </c>
      <c r="H1286" s="36" t="str">
        <f>IFERROR(__xludf.DUMMYFUNCTION("""COMPUTED_VALUE"""),"")</f>
        <v/>
      </c>
    </row>
    <row r="1287">
      <c r="A1287" s="36" t="str">
        <f>IFERROR(__xludf.DUMMYFUNCTION("""COMPUTED_VALUE"""),"01-25-09-250")</f>
        <v>01-25-09-250</v>
      </c>
      <c r="B1287" s="36" t="str">
        <f>IFERROR(__xludf.DUMMYFUNCTION("""COMPUTED_VALUE"""),"")</f>
        <v/>
      </c>
      <c r="C1287" s="36" t="str">
        <f>IFERROR(__xludf.DUMMYFUNCTION("""COMPUTED_VALUE"""),"")</f>
        <v/>
      </c>
      <c r="D1287" s="36" t="str">
        <f>IFERROR(__xludf.DUMMYFUNCTION("""COMPUTED_VALUE"""),"")</f>
        <v/>
      </c>
      <c r="E1287" s="36" t="str">
        <f>IFERROR(__xludf.DUMMYFUNCTION("""COMPUTED_VALUE"""),"02-24-05-47")</f>
        <v>02-24-05-47</v>
      </c>
      <c r="F1287" s="36"/>
      <c r="G1287" s="36" t="str">
        <f>IFERROR(__xludf.DUMMYFUNCTION("""COMPUTED_VALUE"""),"Gendarmería Nacional Argentina  E")</f>
        <v>Gendarmería Nacional Argentina  E</v>
      </c>
      <c r="H1287" s="36" t="str">
        <f>IFERROR(__xludf.DUMMYFUNCTION("""COMPUTED_VALUE"""),"")</f>
        <v/>
      </c>
    </row>
    <row r="1288">
      <c r="A1288" s="36" t="str">
        <f>IFERROR(__xludf.DUMMYFUNCTION("""COMPUTED_VALUE"""),"01-25-09-250A")</f>
        <v>01-25-09-250A</v>
      </c>
      <c r="B1288" s="36" t="str">
        <f>IFERROR(__xludf.DUMMYFUNCTION("""COMPUTED_VALUE"""),"")</f>
        <v/>
      </c>
      <c r="C1288" s="36" t="str">
        <f>IFERROR(__xludf.DUMMYFUNCTION("""COMPUTED_VALUE"""),"")</f>
        <v/>
      </c>
      <c r="D1288" s="36" t="str">
        <f>IFERROR(__xludf.DUMMYFUNCTION("""COMPUTED_VALUE"""),"")</f>
        <v/>
      </c>
      <c r="E1288" s="36" t="str">
        <f>IFERROR(__xludf.DUMMYFUNCTION("""COMPUTED_VALUE"""),"02-20-05-46")</f>
        <v>02-20-05-46</v>
      </c>
      <c r="F1288" s="36"/>
      <c r="G1288" s="36" t="str">
        <f>IFERROR(__xludf.DUMMYFUNCTION("""COMPUTED_VALUE"""),"Gendarmería Nacional Argentina  N")</f>
        <v>Gendarmería Nacional Argentina  N</v>
      </c>
      <c r="H1288" s="36" t="str">
        <f>IFERROR(__xludf.DUMMYFUNCTION("""COMPUTED_VALUE"""),"")</f>
        <v/>
      </c>
    </row>
    <row r="1289">
      <c r="A1289" s="36" t="str">
        <f>IFERROR(__xludf.DUMMYFUNCTION("""COMPUTED_VALUE"""),"01-25-09-250B")</f>
        <v>01-25-09-250B</v>
      </c>
      <c r="B1289" s="36" t="str">
        <f>IFERROR(__xludf.DUMMYFUNCTION("""COMPUTED_VALUE"""),"")</f>
        <v/>
      </c>
      <c r="C1289" s="36" t="str">
        <f>IFERROR(__xludf.DUMMYFUNCTION("""COMPUTED_VALUE"""),"")</f>
        <v/>
      </c>
      <c r="D1289" s="36" t="str">
        <f>IFERROR(__xludf.DUMMYFUNCTION("""COMPUTED_VALUE"""),"")</f>
        <v/>
      </c>
      <c r="E1289" s="36" t="str">
        <f>IFERROR(__xludf.DUMMYFUNCTION("""COMPUTED_VALUE"""),"02-20-05-48")</f>
        <v>02-20-05-48</v>
      </c>
      <c r="F1289" s="36"/>
      <c r="G1289" s="36" t="str">
        <f>IFERROR(__xludf.DUMMYFUNCTION("""COMPUTED_VALUE"""),"Gendarmería Nacional Argentina  S")</f>
        <v>Gendarmería Nacional Argentina  S</v>
      </c>
      <c r="H1289" s="36" t="str">
        <f>IFERROR(__xludf.DUMMYFUNCTION("""COMPUTED_VALUE"""),"")</f>
        <v/>
      </c>
    </row>
    <row r="1290">
      <c r="A1290" s="36" t="str">
        <f>IFERROR(__xludf.DUMMYFUNCTION("""COMPUTED_VALUE"""),"01-25-09-250C")</f>
        <v>01-25-09-250C</v>
      </c>
      <c r="B1290" s="36" t="str">
        <f>IFERROR(__xludf.DUMMYFUNCTION("""COMPUTED_VALUE"""),"")</f>
        <v/>
      </c>
      <c r="C1290" s="36" t="str">
        <f>IFERROR(__xludf.DUMMYFUNCTION("""COMPUTED_VALUE"""),"")</f>
        <v/>
      </c>
      <c r="D1290" s="36" t="str">
        <f>IFERROR(__xludf.DUMMYFUNCTION("""COMPUTED_VALUE"""),"")</f>
        <v/>
      </c>
      <c r="E1290" s="36" t="str">
        <f>IFERROR(__xludf.DUMMYFUNCTION("""COMPUTED_VALUE"""),"04-43-12-89")</f>
        <v>04-43-12-89</v>
      </c>
      <c r="F1290" s="36"/>
      <c r="G1290" s="36" t="str">
        <f>IFERROR(__xludf.DUMMYFUNCTION("""COMPUTED_VALUE"""),"General Paz y Ansilta")</f>
        <v>General Paz y Ansilta</v>
      </c>
      <c r="H1290" s="36" t="str">
        <f>IFERROR(__xludf.DUMMYFUNCTION("""COMPUTED_VALUE"""),"")</f>
        <v/>
      </c>
    </row>
    <row r="1291">
      <c r="A1291" s="36" t="str">
        <f>IFERROR(__xludf.DUMMYFUNCTION("""COMPUTED_VALUE"""),"01-25-09-250D")</f>
        <v>01-25-09-250D</v>
      </c>
      <c r="B1291" s="36" t="str">
        <f>IFERROR(__xludf.DUMMYFUNCTION("""COMPUTED_VALUE"""),"")</f>
        <v/>
      </c>
      <c r="C1291" s="36" t="str">
        <f>IFERROR(__xludf.DUMMYFUNCTION("""COMPUTED_VALUE"""),"")</f>
        <v/>
      </c>
      <c r="D1291" s="36" t="str">
        <f>IFERROR(__xludf.DUMMYFUNCTION("""COMPUTED_VALUE"""),"")</f>
        <v/>
      </c>
      <c r="E1291" s="36" t="str">
        <f>IFERROR(__xludf.DUMMYFUNCTION("""COMPUTED_VALUE"""),"04-43-12-91")</f>
        <v>04-43-12-91</v>
      </c>
      <c r="F1291" s="36"/>
      <c r="G1291" s="36" t="str">
        <f>IFERROR(__xludf.DUMMYFUNCTION("""COMPUTED_VALUE"""),"General Paz y Don Segundo Sombra")</f>
        <v>General Paz y Don Segundo Sombra</v>
      </c>
      <c r="H1291" s="36" t="str">
        <f>IFERROR(__xludf.DUMMYFUNCTION("""COMPUTED_VALUE"""),"")</f>
        <v/>
      </c>
    </row>
    <row r="1292">
      <c r="A1292" s="36" t="str">
        <f>IFERROR(__xludf.DUMMYFUNCTION("""COMPUTED_VALUE"""),"01-25-09-250E")</f>
        <v>01-25-09-250E</v>
      </c>
      <c r="B1292" s="36" t="str">
        <f>IFERROR(__xludf.DUMMYFUNCTION("""COMPUTED_VALUE"""),"")</f>
        <v/>
      </c>
      <c r="C1292" s="36" t="str">
        <f>IFERROR(__xludf.DUMMYFUNCTION("""COMPUTED_VALUE"""),"")</f>
        <v/>
      </c>
      <c r="D1292" s="36" t="str">
        <f>IFERROR(__xludf.DUMMYFUNCTION("""COMPUTED_VALUE"""),"")</f>
        <v/>
      </c>
      <c r="E1292" s="36" t="str">
        <f>IFERROR(__xludf.DUMMYFUNCTION("""COMPUTED_VALUE"""),"01-50-07-52")</f>
        <v>01-50-07-52</v>
      </c>
      <c r="F1292" s="36"/>
      <c r="G1292" s="36" t="str">
        <f>IFERROR(__xludf.DUMMYFUNCTION("""COMPUTED_VALUE"""),"General Paz y Las Heras")</f>
        <v>General Paz y Las Heras</v>
      </c>
      <c r="H1292" s="36" t="str">
        <f>IFERROR(__xludf.DUMMYFUNCTION("""COMPUTED_VALUE"""),"")</f>
        <v/>
      </c>
    </row>
    <row r="1293">
      <c r="A1293" s="36" t="str">
        <f>IFERROR(__xludf.DUMMYFUNCTION("""COMPUTED_VALUE"""),"01-26-09-116A")</f>
        <v>01-26-09-116A</v>
      </c>
      <c r="B1293" s="36" t="str">
        <f>IFERROR(__xludf.DUMMYFUNCTION("""COMPUTED_VALUE"""),"")</f>
        <v/>
      </c>
      <c r="C1293" s="36" t="str">
        <f>IFERROR(__xludf.DUMMYFUNCTION("""COMPUTED_VALUE"""),"")</f>
        <v/>
      </c>
      <c r="D1293" s="36" t="str">
        <f>IFERROR(__xludf.DUMMYFUNCTION("""COMPUTED_VALUE"""),"")</f>
        <v/>
      </c>
      <c r="E1293" s="36" t="str">
        <f>IFERROR(__xludf.DUMMYFUNCTION("""COMPUTED_VALUE"""),"01-48-12-325A")</f>
        <v>01-48-12-325A</v>
      </c>
      <c r="F1293" s="36"/>
      <c r="G1293" s="36" t="str">
        <f>IFERROR(__xludf.DUMMYFUNCTION("""COMPUTED_VALUE"""),"General Paz y Paula Albarracín")</f>
        <v>General Paz y Paula Albarracín</v>
      </c>
      <c r="H1293" s="36" t="str">
        <f>IFERROR(__xludf.DUMMYFUNCTION("""COMPUTED_VALUE"""),"")</f>
        <v/>
      </c>
    </row>
    <row r="1294">
      <c r="A1294" s="36" t="str">
        <f>IFERROR(__xludf.DUMMYFUNCTION("""COMPUTED_VALUE"""),"01-26-09-116C")</f>
        <v>01-26-09-116C</v>
      </c>
      <c r="B1294" s="36" t="str">
        <f>IFERROR(__xludf.DUMMYFUNCTION("""COMPUTED_VALUE"""),"")</f>
        <v/>
      </c>
      <c r="C1294" s="36" t="str">
        <f>IFERROR(__xludf.DUMMYFUNCTION("""COMPUTED_VALUE"""),"")</f>
        <v/>
      </c>
      <c r="D1294" s="36" t="str">
        <f>IFERROR(__xludf.DUMMYFUNCTION("""COMPUTED_VALUE"""),"")</f>
        <v/>
      </c>
      <c r="E1294" s="36" t="str">
        <f>IFERROR(__xludf.DUMMYFUNCTION("""COMPUTED_VALUE"""),"01-50-07-46A")</f>
        <v>01-50-07-46A</v>
      </c>
      <c r="F1294" s="36"/>
      <c r="G1294" s="36" t="str">
        <f>IFERROR(__xludf.DUMMYFUNCTION("""COMPUTED_VALUE"""),"General Paz y Salta")</f>
        <v>General Paz y Salta</v>
      </c>
      <c r="H1294" s="36" t="str">
        <f>IFERROR(__xludf.DUMMYFUNCTION("""COMPUTED_VALUE"""),"")</f>
        <v/>
      </c>
    </row>
    <row r="1295">
      <c r="A1295" s="36" t="str">
        <f>IFERROR(__xludf.DUMMYFUNCTION("""COMPUTED_VALUE"""),"01-26-09-116F")</f>
        <v>01-26-09-116F</v>
      </c>
      <c r="B1295" s="36" t="str">
        <f>IFERROR(__xludf.DUMMYFUNCTION("""COMPUTED_VALUE"""),"")</f>
        <v/>
      </c>
      <c r="C1295" s="36" t="str">
        <f>IFERROR(__xludf.DUMMYFUNCTION("""COMPUTED_VALUE"""),"")</f>
        <v/>
      </c>
      <c r="D1295" s="36" t="str">
        <f>IFERROR(__xludf.DUMMYFUNCTION("""COMPUTED_VALUE"""),"")</f>
        <v/>
      </c>
      <c r="E1295" s="36" t="str">
        <f>IFERROR(__xludf.DUMMYFUNCTION("""COMPUTED_VALUE"""),"01-58-07-79C")</f>
        <v>01-58-07-79C</v>
      </c>
      <c r="F1295" s="36"/>
      <c r="G1295" s="36" t="str">
        <f>IFERROR(__xludf.DUMMYFUNCTION("""COMPUTED_VALUE"""),"General Paz y Urquiza")</f>
        <v>General Paz y Urquiza</v>
      </c>
      <c r="H1295" s="36" t="str">
        <f>IFERROR(__xludf.DUMMYFUNCTION("""COMPUTED_VALUE"""),"")</f>
        <v/>
      </c>
    </row>
    <row r="1296">
      <c r="A1296" s="36" t="str">
        <f>IFERROR(__xludf.DUMMYFUNCTION("""COMPUTED_VALUE"""),"01-26-09-120")</f>
        <v>01-26-09-120</v>
      </c>
      <c r="B1296" s="36" t="str">
        <f>IFERROR(__xludf.DUMMYFUNCTION("""COMPUTED_VALUE"""),"")</f>
        <v/>
      </c>
      <c r="C1296" s="36" t="str">
        <f>IFERROR(__xludf.DUMMYFUNCTION("""COMPUTED_VALUE"""),"")</f>
        <v/>
      </c>
      <c r="D1296" s="36" t="str">
        <f>IFERROR(__xludf.DUMMYFUNCTION("""COMPUTED_VALUE"""),"")</f>
        <v/>
      </c>
      <c r="E1296" s="36" t="str">
        <f>IFERROR(__xludf.DUMMYFUNCTION("""COMPUTED_VALUE"""),"02-36-06-30A")</f>
        <v>02-36-06-30A</v>
      </c>
      <c r="F1296" s="36"/>
      <c r="G1296" s="36" t="str">
        <f>IFERROR(__xludf.DUMMYFUNCTION("""COMPUTED_VALUE"""),"Gómez y Av. Libertador")</f>
        <v>Gómez y Av. Libertador</v>
      </c>
      <c r="H1296" s="36" t="str">
        <f>IFERROR(__xludf.DUMMYFUNCTION("""COMPUTED_VALUE"""),"")</f>
        <v/>
      </c>
    </row>
    <row r="1297">
      <c r="A1297" s="36" t="str">
        <f>IFERROR(__xludf.DUMMYFUNCTION("""COMPUTED_VALUE"""),"01-26-09-121")</f>
        <v>01-26-09-121</v>
      </c>
      <c r="B1297" s="36" t="str">
        <f>IFERROR(__xludf.DUMMYFUNCTION("""COMPUTED_VALUE"""),"")</f>
        <v/>
      </c>
      <c r="C1297" s="36" t="str">
        <f>IFERROR(__xludf.DUMMYFUNCTION("""COMPUTED_VALUE"""),"")</f>
        <v/>
      </c>
      <c r="D1297" s="36" t="str">
        <f>IFERROR(__xludf.DUMMYFUNCTION("""COMPUTED_VALUE"""),"")</f>
        <v/>
      </c>
      <c r="E1297" s="36" t="str">
        <f>IFERROR(__xludf.DUMMYFUNCTION("""COMPUTED_VALUE"""),"02-36-06-30C")</f>
        <v>02-36-06-30C</v>
      </c>
      <c r="F1297" s="36"/>
      <c r="G1297" s="36" t="str">
        <f>IFERROR(__xludf.DUMMYFUNCTION("""COMPUTED_VALUE"""),"Gómez y Gendarme Argentino E")</f>
        <v>Gómez y Gendarme Argentino E</v>
      </c>
      <c r="H1297" s="36" t="str">
        <f>IFERROR(__xludf.DUMMYFUNCTION("""COMPUTED_VALUE"""),"")</f>
        <v/>
      </c>
    </row>
    <row r="1298">
      <c r="A1298" s="36" t="str">
        <f>IFERROR(__xludf.DUMMYFUNCTION("""COMPUTED_VALUE"""),"01-26-09-122")</f>
        <v>01-26-09-122</v>
      </c>
      <c r="B1298" s="36" t="str">
        <f>IFERROR(__xludf.DUMMYFUNCTION("""COMPUTED_VALUE"""),"")</f>
        <v/>
      </c>
      <c r="C1298" s="36" t="str">
        <f>IFERROR(__xludf.DUMMYFUNCTION("""COMPUTED_VALUE"""),"")</f>
        <v/>
      </c>
      <c r="D1298" s="36" t="str">
        <f>IFERROR(__xludf.DUMMYFUNCTION("""COMPUTED_VALUE"""),"")</f>
        <v/>
      </c>
      <c r="E1298" s="36" t="str">
        <f>IFERROR(__xludf.DUMMYFUNCTION("""COMPUTED_VALUE"""),"02-36-06-30B")</f>
        <v>02-36-06-30B</v>
      </c>
      <c r="F1298" s="36"/>
      <c r="G1298" s="36" t="str">
        <f>IFERROR(__xludf.DUMMYFUNCTION("""COMPUTED_VALUE"""),"Gómez y Gendarme Argentino O")</f>
        <v>Gómez y Gendarme Argentino O</v>
      </c>
      <c r="H1298" s="36" t="str">
        <f>IFERROR(__xludf.DUMMYFUNCTION("""COMPUTED_VALUE"""),"")</f>
        <v/>
      </c>
    </row>
    <row r="1299">
      <c r="A1299" s="36" t="str">
        <f>IFERROR(__xludf.DUMMYFUNCTION("""COMPUTED_VALUE"""),"01-26-09-123")</f>
        <v>01-26-09-123</v>
      </c>
      <c r="B1299" s="36" t="str">
        <f>IFERROR(__xludf.DUMMYFUNCTION("""COMPUTED_VALUE"""),"")</f>
        <v/>
      </c>
      <c r="C1299" s="36" t="str">
        <f>IFERROR(__xludf.DUMMYFUNCTION("""COMPUTED_VALUE"""),"")</f>
        <v/>
      </c>
      <c r="D1299" s="36" t="str">
        <f>IFERROR(__xludf.DUMMYFUNCTION("""COMPUTED_VALUE"""),"")</f>
        <v/>
      </c>
      <c r="E1299" s="36" t="str">
        <f>IFERROR(__xludf.DUMMYFUNCTION("""COMPUTED_VALUE"""),"02-36-06-26A")</f>
        <v>02-36-06-26A</v>
      </c>
      <c r="F1299" s="36"/>
      <c r="G1299" s="36" t="str">
        <f>IFERROR(__xludf.DUMMYFUNCTION("""COMPUTED_VALUE"""),"Gómez y Sancasanni")</f>
        <v>Gómez y Sancasanni</v>
      </c>
      <c r="H1299" s="36" t="str">
        <f>IFERROR(__xludf.DUMMYFUNCTION("""COMPUTED_VALUE"""),"")</f>
        <v/>
      </c>
    </row>
    <row r="1300">
      <c r="A1300" s="36" t="str">
        <f>IFERROR(__xludf.DUMMYFUNCTION("""COMPUTED_VALUE"""),"01-26-09-205")</f>
        <v>01-26-09-205</v>
      </c>
      <c r="B1300" s="36" t="str">
        <f>IFERROR(__xludf.DUMMYFUNCTION("""COMPUTED_VALUE"""),"")</f>
        <v/>
      </c>
      <c r="C1300" s="36" t="str">
        <f>IFERROR(__xludf.DUMMYFUNCTION("""COMPUTED_VALUE"""),"")</f>
        <v/>
      </c>
      <c r="D1300" s="36" t="str">
        <f>IFERROR(__xludf.DUMMYFUNCTION("""COMPUTED_VALUE"""),"")</f>
        <v/>
      </c>
      <c r="E1300" s="36" t="str">
        <f>IFERROR(__xludf.DUMMYFUNCTION("""COMPUTED_VALUE"""),"03-49-10-8B")</f>
        <v>03-49-10-8B</v>
      </c>
      <c r="F1300" s="36"/>
      <c r="G1300" s="36" t="str">
        <f>IFERROR(__xludf.DUMMYFUNCTION("""COMPUTED_VALUE"""),"Gorriti y Lencinas")</f>
        <v>Gorriti y Lencinas</v>
      </c>
      <c r="H1300" s="36" t="str">
        <f>IFERROR(__xludf.DUMMYFUNCTION("""COMPUTED_VALUE"""),"")</f>
        <v/>
      </c>
    </row>
    <row r="1301">
      <c r="A1301" s="36" t="str">
        <f>IFERROR(__xludf.DUMMYFUNCTION("""COMPUTED_VALUE"""),"01-26-09-250F")</f>
        <v>01-26-09-250F</v>
      </c>
      <c r="B1301" s="36" t="str">
        <f>IFERROR(__xludf.DUMMYFUNCTION("""COMPUTED_VALUE"""),"")</f>
        <v/>
      </c>
      <c r="C1301" s="36" t="str">
        <f>IFERROR(__xludf.DUMMYFUNCTION("""COMPUTED_VALUE"""),"")</f>
        <v/>
      </c>
      <c r="D1301" s="36" t="str">
        <f>IFERROR(__xludf.DUMMYFUNCTION("""COMPUTED_VALUE"""),"")</f>
        <v/>
      </c>
      <c r="E1301" s="36" t="str">
        <f>IFERROR(__xludf.DUMMYFUNCTION("""COMPUTED_VALUE"""),"03-48-10-7")</f>
        <v>03-48-10-7</v>
      </c>
      <c r="F1301" s="36"/>
      <c r="G1301" s="36" t="str">
        <f>IFERROR(__xludf.DUMMYFUNCTION("""COMPUTED_VALUE"""),"Gorriti y Los Nogales")</f>
        <v>Gorriti y Los Nogales</v>
      </c>
      <c r="H1301" s="36" t="str">
        <f>IFERROR(__xludf.DUMMYFUNCTION("""COMPUTED_VALUE"""),"")</f>
        <v/>
      </c>
    </row>
    <row r="1302">
      <c r="A1302" s="36" t="str">
        <f>IFERROR(__xludf.DUMMYFUNCTION("""COMPUTED_VALUE"""),"01-26-09-250G")</f>
        <v>01-26-09-250G</v>
      </c>
      <c r="B1302" s="36" t="str">
        <f>IFERROR(__xludf.DUMMYFUNCTION("""COMPUTED_VALUE"""),"")</f>
        <v/>
      </c>
      <c r="C1302" s="36" t="str">
        <f>IFERROR(__xludf.DUMMYFUNCTION("""COMPUTED_VALUE"""),"")</f>
        <v/>
      </c>
      <c r="D1302" s="36" t="str">
        <f>IFERROR(__xludf.DUMMYFUNCTION("""COMPUTED_VALUE"""),"")</f>
        <v/>
      </c>
      <c r="E1302" s="36" t="str">
        <f>IFERROR(__xludf.DUMMYFUNCTION("""COMPUTED_VALUE"""),"03-48-10-8A")</f>
        <v>03-48-10-8A</v>
      </c>
      <c r="F1302" s="36"/>
      <c r="G1302" s="36" t="str">
        <f>IFERROR(__xludf.DUMMYFUNCTION("""COMPUTED_VALUE"""),"Gorriti y Loteo Los Solares Este")</f>
        <v>Gorriti y Loteo Los Solares Este</v>
      </c>
      <c r="H1302" s="36" t="str">
        <f>IFERROR(__xludf.DUMMYFUNCTION("""COMPUTED_VALUE"""),"")</f>
        <v/>
      </c>
    </row>
    <row r="1303">
      <c r="A1303" s="36" t="str">
        <f>IFERROR(__xludf.DUMMYFUNCTION("""COMPUTED_VALUE"""),"01-26-09-250H")</f>
        <v>01-26-09-250H</v>
      </c>
      <c r="B1303" s="36" t="str">
        <f>IFERROR(__xludf.DUMMYFUNCTION("""COMPUTED_VALUE"""),"")</f>
        <v/>
      </c>
      <c r="C1303" s="36" t="str">
        <f>IFERROR(__xludf.DUMMYFUNCTION("""COMPUTED_VALUE"""),"")</f>
        <v/>
      </c>
      <c r="D1303" s="36" t="str">
        <f>IFERROR(__xludf.DUMMYFUNCTION("""COMPUTED_VALUE"""),"")</f>
        <v/>
      </c>
      <c r="E1303" s="36" t="str">
        <f>IFERROR(__xludf.DUMMYFUNCTION("""COMPUTED_VALUE"""),"03-49-10-8")</f>
        <v>03-49-10-8</v>
      </c>
      <c r="F1303" s="36"/>
      <c r="G1303" s="36" t="str">
        <f>IFERROR(__xludf.DUMMYFUNCTION("""COMPUTED_VALUE"""),"Gorriti y Loteo Los Solares Oeste")</f>
        <v>Gorriti y Loteo Los Solares Oeste</v>
      </c>
      <c r="H1303" s="36" t="str">
        <f>IFERROR(__xludf.DUMMYFUNCTION("""COMPUTED_VALUE"""),"")</f>
        <v/>
      </c>
    </row>
    <row r="1304">
      <c r="A1304" s="36" t="str">
        <f>IFERROR(__xludf.DUMMYFUNCTION("""COMPUTED_VALUE"""),"01-26-09-250I")</f>
        <v>01-26-09-250I</v>
      </c>
      <c r="B1304" s="36" t="str">
        <f>IFERROR(__xludf.DUMMYFUNCTION("""COMPUTED_VALUE"""),"")</f>
        <v/>
      </c>
      <c r="C1304" s="36" t="str">
        <f>IFERROR(__xludf.DUMMYFUNCTION("""COMPUTED_VALUE"""),"")</f>
        <v/>
      </c>
      <c r="D1304" s="36" t="str">
        <f>IFERROR(__xludf.DUMMYFUNCTION("""COMPUTED_VALUE"""),"")</f>
        <v/>
      </c>
      <c r="E1304" s="36" t="str">
        <f>IFERROR(__xludf.DUMMYFUNCTION("""COMPUTED_VALUE"""),"04-48-14-114")</f>
        <v>04-48-14-114</v>
      </c>
      <c r="F1304" s="36"/>
      <c r="G1304" s="36" t="str">
        <f>IFERROR(__xludf.DUMMYFUNCTION("""COMPUTED_VALUE"""),"Gral. Acha - Club SEC N")</f>
        <v>Gral. Acha - Club SEC N</v>
      </c>
      <c r="H1304" s="36" t="str">
        <f>IFERROR(__xludf.DUMMYFUNCTION("""COMPUTED_VALUE"""),"")</f>
        <v/>
      </c>
    </row>
    <row r="1305">
      <c r="A1305" s="36" t="str">
        <f>IFERROR(__xludf.DUMMYFUNCTION("""COMPUTED_VALUE"""),"01-26-09-250J")</f>
        <v>01-26-09-250J</v>
      </c>
      <c r="B1305" s="36" t="str">
        <f>IFERROR(__xludf.DUMMYFUNCTION("""COMPUTED_VALUE"""),"")</f>
        <v/>
      </c>
      <c r="C1305" s="36" t="str">
        <f>IFERROR(__xludf.DUMMYFUNCTION("""COMPUTED_VALUE"""),"")</f>
        <v/>
      </c>
      <c r="D1305" s="36" t="str">
        <f>IFERROR(__xludf.DUMMYFUNCTION("""COMPUTED_VALUE"""),"")</f>
        <v/>
      </c>
      <c r="E1305" s="36" t="str">
        <f>IFERROR(__xludf.DUMMYFUNCTION("""COMPUTED_VALUE"""),"04-30-14-113")</f>
        <v>04-30-14-113</v>
      </c>
      <c r="F1305" s="36"/>
      <c r="G1305" s="36" t="str">
        <f>IFERROR(__xludf.DUMMYFUNCTION("""COMPUTED_VALUE"""),"Gral. Acha - Club SEC S")</f>
        <v>Gral. Acha - Club SEC S</v>
      </c>
      <c r="H1305" s="36" t="str">
        <f>IFERROR(__xludf.DUMMYFUNCTION("""COMPUTED_VALUE"""),"")</f>
        <v/>
      </c>
    </row>
    <row r="1306">
      <c r="A1306" s="36" t="str">
        <f>IFERROR(__xludf.DUMMYFUNCTION("""COMPUTED_VALUE"""),"01-26-09-250K")</f>
        <v>01-26-09-250K</v>
      </c>
      <c r="B1306" s="36" t="str">
        <f>IFERROR(__xludf.DUMMYFUNCTION("""COMPUTED_VALUE"""),"")</f>
        <v/>
      </c>
      <c r="C1306" s="36" t="str">
        <f>IFERROR(__xludf.DUMMYFUNCTION("""COMPUTED_VALUE"""),"")</f>
        <v/>
      </c>
      <c r="D1306" s="36" t="str">
        <f>IFERROR(__xludf.DUMMYFUNCTION("""COMPUTED_VALUE"""),"")</f>
        <v/>
      </c>
      <c r="E1306" s="36" t="str">
        <f>IFERROR(__xludf.DUMMYFUNCTION("""COMPUTED_VALUE"""),"04-48-14-133")</f>
        <v>04-48-14-133</v>
      </c>
      <c r="F1306" s="36"/>
      <c r="G1306" s="36" t="str">
        <f>IFERROR(__xludf.DUMMYFUNCTION("""COMPUTED_VALUE"""),"Gral. Acha en Industria Cerámica ")</f>
        <v>Gral. Acha en Industria Cerámica </v>
      </c>
      <c r="H1306" s="36" t="str">
        <f>IFERROR(__xludf.DUMMYFUNCTION("""COMPUTED_VALUE"""),"")</f>
        <v/>
      </c>
    </row>
    <row r="1307">
      <c r="A1307" s="36" t="str">
        <f>IFERROR(__xludf.DUMMYFUNCTION("""COMPUTED_VALUE"""),"01-39-09-124")</f>
        <v>01-39-09-124</v>
      </c>
      <c r="B1307" s="36" t="str">
        <f>IFERROR(__xludf.DUMMYFUNCTION("""COMPUTED_VALUE"""),"")</f>
        <v/>
      </c>
      <c r="C1307" s="36" t="str">
        <f>IFERROR(__xludf.DUMMYFUNCTION("""COMPUTED_VALUE"""),"")</f>
        <v/>
      </c>
      <c r="D1307" s="36" t="str">
        <f>IFERROR(__xludf.DUMMYFUNCTION("""COMPUTED_VALUE"""),"")</f>
        <v/>
      </c>
      <c r="E1307" s="36" t="str">
        <f>IFERROR(__xludf.DUMMYFUNCTION("""COMPUTED_VALUE"""),"01-55-08-21")</f>
        <v>01-55-08-21</v>
      </c>
      <c r="F1307" s="36"/>
      <c r="G1307" s="36" t="str">
        <f>IFERROR(__xludf.DUMMYFUNCTION("""COMPUTED_VALUE"""),"Gral. Acha y 9 de Julio")</f>
        <v>Gral. Acha y 9 de Julio</v>
      </c>
      <c r="H1307" s="36" t="str">
        <f>IFERROR(__xludf.DUMMYFUNCTION("""COMPUTED_VALUE"""),"")</f>
        <v/>
      </c>
    </row>
    <row r="1308">
      <c r="A1308" s="36" t="str">
        <f>IFERROR(__xludf.DUMMYFUNCTION("""COMPUTED_VALUE"""),"01-39-09-125")</f>
        <v>01-39-09-125</v>
      </c>
      <c r="B1308" s="36" t="str">
        <f>IFERROR(__xludf.DUMMYFUNCTION("""COMPUTED_VALUE"""),"")</f>
        <v/>
      </c>
      <c r="C1308" s="36" t="str">
        <f>IFERROR(__xludf.DUMMYFUNCTION("""COMPUTED_VALUE"""),"")</f>
        <v/>
      </c>
      <c r="D1308" s="36" t="str">
        <f>IFERROR(__xludf.DUMMYFUNCTION("""COMPUTED_VALUE"""),"")</f>
        <v/>
      </c>
      <c r="E1308" s="36" t="str">
        <f>IFERROR(__xludf.DUMMYFUNCTION("""COMPUTED_VALUE"""),"01-62-13-190")</f>
        <v>01-62-13-190</v>
      </c>
      <c r="F1308" s="36"/>
      <c r="G1308" s="36" t="str">
        <f>IFERROR(__xludf.DUMMYFUNCTION("""COMPUTED_VALUE"""),"Gral. Acha y Abraham Tapia")</f>
        <v>Gral. Acha y Abraham Tapia</v>
      </c>
      <c r="H1308" s="36" t="str">
        <f>IFERROR(__xludf.DUMMYFUNCTION("""COMPUTED_VALUE"""),"")</f>
        <v/>
      </c>
    </row>
    <row r="1309">
      <c r="A1309" s="36" t="str">
        <f>IFERROR(__xludf.DUMMYFUNCTION("""COMPUTED_VALUE"""),"01-39-09-126")</f>
        <v>01-39-09-126</v>
      </c>
      <c r="B1309" s="36" t="str">
        <f>IFERROR(__xludf.DUMMYFUNCTION("""COMPUTED_VALUE"""),"")</f>
        <v/>
      </c>
      <c r="C1309" s="36" t="str">
        <f>IFERROR(__xludf.DUMMYFUNCTION("""COMPUTED_VALUE"""),"")</f>
        <v/>
      </c>
      <c r="D1309" s="36" t="str">
        <f>IFERROR(__xludf.DUMMYFUNCTION("""COMPUTED_VALUE"""),"")</f>
        <v/>
      </c>
      <c r="E1309" s="36" t="str">
        <f>IFERROR(__xludf.DUMMYFUNCTION("""COMPUTED_VALUE"""),"04-48-14-112")</f>
        <v>04-48-14-112</v>
      </c>
      <c r="F1309" s="36"/>
      <c r="G1309" s="36" t="str">
        <f>IFERROR(__xludf.DUMMYFUNCTION("""COMPUTED_VALUE"""),"Gral. Acha y Agustín Gómez N")</f>
        <v>Gral. Acha y Agustín Gómez N</v>
      </c>
      <c r="H1309" s="36" t="str">
        <f>IFERROR(__xludf.DUMMYFUNCTION("""COMPUTED_VALUE"""),"")</f>
        <v/>
      </c>
    </row>
    <row r="1310">
      <c r="A1310" s="36" t="str">
        <f>IFERROR(__xludf.DUMMYFUNCTION("""COMPUTED_VALUE"""),"01-39-09-127")</f>
        <v>01-39-09-127</v>
      </c>
      <c r="B1310" s="36" t="str">
        <f>IFERROR(__xludf.DUMMYFUNCTION("""COMPUTED_VALUE"""),"")</f>
        <v/>
      </c>
      <c r="C1310" s="36" t="str">
        <f>IFERROR(__xludf.DUMMYFUNCTION("""COMPUTED_VALUE"""),"")</f>
        <v/>
      </c>
      <c r="D1310" s="36" t="str">
        <f>IFERROR(__xludf.DUMMYFUNCTION("""COMPUTED_VALUE"""),"")</f>
        <v/>
      </c>
      <c r="E1310" s="36" t="str">
        <f>IFERROR(__xludf.DUMMYFUNCTION("""COMPUTED_VALUE"""),"04-50-14-109")</f>
        <v>04-50-14-109</v>
      </c>
      <c r="F1310" s="36"/>
      <c r="G1310" s="36" t="str">
        <f>IFERROR(__xludf.DUMMYFUNCTION("""COMPUTED_VALUE"""),"Gral. Acha y Agustín Gómez S")</f>
        <v>Gral. Acha y Agustín Gómez S</v>
      </c>
      <c r="H1310" s="36" t="str">
        <f>IFERROR(__xludf.DUMMYFUNCTION("""COMPUTED_VALUE"""),"")</f>
        <v/>
      </c>
    </row>
    <row r="1311">
      <c r="A1311" s="36" t="str">
        <f>IFERROR(__xludf.DUMMYFUNCTION("""COMPUTED_VALUE"""),"01-39-09-128")</f>
        <v>01-39-09-128</v>
      </c>
      <c r="B1311" s="36" t="str">
        <f>IFERROR(__xludf.DUMMYFUNCTION("""COMPUTED_VALUE"""),"")</f>
        <v/>
      </c>
      <c r="C1311" s="36" t="str">
        <f>IFERROR(__xludf.DUMMYFUNCTION("""COMPUTED_VALUE"""),"")</f>
        <v/>
      </c>
      <c r="D1311" s="36" t="str">
        <f>IFERROR(__xludf.DUMMYFUNCTION("""COMPUTED_VALUE"""),"")</f>
        <v/>
      </c>
      <c r="E1311" s="36" t="str">
        <f>IFERROR(__xludf.DUMMYFUNCTION("""COMPUTED_VALUE"""),"04-30-14-115")</f>
        <v>04-30-14-115</v>
      </c>
      <c r="F1311" s="36"/>
      <c r="G1311" s="36" t="str">
        <f>IFERROR(__xludf.DUMMYFUNCTION("""COMPUTED_VALUE"""),"Gral. Acha y Borcosque")</f>
        <v>Gral. Acha y Borcosque</v>
      </c>
      <c r="H1311" s="36" t="str">
        <f>IFERROR(__xludf.DUMMYFUNCTION("""COMPUTED_VALUE"""),"")</f>
        <v/>
      </c>
    </row>
    <row r="1312">
      <c r="A1312" s="36" t="str">
        <f>IFERROR(__xludf.DUMMYFUNCTION("""COMPUTED_VALUE"""),"01-39-09-129")</f>
        <v>01-39-09-129</v>
      </c>
      <c r="B1312" s="36" t="str">
        <f>IFERROR(__xludf.DUMMYFUNCTION("""COMPUTED_VALUE"""),"")</f>
        <v/>
      </c>
      <c r="C1312" s="36" t="str">
        <f>IFERROR(__xludf.DUMMYFUNCTION("""COMPUTED_VALUE"""),"")</f>
        <v/>
      </c>
      <c r="D1312" s="36" t="str">
        <f>IFERROR(__xludf.DUMMYFUNCTION("""COMPUTED_VALUE"""),"")</f>
        <v/>
      </c>
      <c r="E1312" s="36" t="str">
        <f>IFERROR(__xludf.DUMMYFUNCTION("""COMPUTED_VALUE"""),"01-38-08-68")</f>
        <v>01-38-08-68</v>
      </c>
      <c r="F1312" s="36"/>
      <c r="G1312" s="36" t="str">
        <f>IFERROR(__xludf.DUMMYFUNCTION("""COMPUTED_VALUE"""),"Gral. Acha y Cereceto")</f>
        <v>Gral. Acha y Cereceto</v>
      </c>
      <c r="H1312" s="36" t="str">
        <f>IFERROR(__xludf.DUMMYFUNCTION("""COMPUTED_VALUE"""),"")</f>
        <v/>
      </c>
    </row>
    <row r="1313">
      <c r="A1313" s="36" t="str">
        <f>IFERROR(__xludf.DUMMYFUNCTION("""COMPUTED_VALUE"""),"01-39-09-130")</f>
        <v>01-39-09-130</v>
      </c>
      <c r="B1313" s="36" t="str">
        <f>IFERROR(__xludf.DUMMYFUNCTION("""COMPUTED_VALUE"""),"")</f>
        <v/>
      </c>
      <c r="C1313" s="36" t="str">
        <f>IFERROR(__xludf.DUMMYFUNCTION("""COMPUTED_VALUE"""),"")</f>
        <v/>
      </c>
      <c r="D1313" s="36" t="str">
        <f>IFERROR(__xludf.DUMMYFUNCTION("""COMPUTED_VALUE"""),"")</f>
        <v/>
      </c>
      <c r="E1313" s="36" t="str">
        <f>IFERROR(__xludf.DUMMYFUNCTION("""COMPUTED_VALUE"""),"01-38-08-70")</f>
        <v>01-38-08-70</v>
      </c>
      <c r="F1313" s="36"/>
      <c r="G1313" s="36" t="str">
        <f>IFERROR(__xludf.DUMMYFUNCTION("""COMPUTED_VALUE"""),"Gral. Acha y Chile")</f>
        <v>Gral. Acha y Chile</v>
      </c>
      <c r="H1313" s="36" t="str">
        <f>IFERROR(__xludf.DUMMYFUNCTION("""COMPUTED_VALUE"""),"")</f>
        <v/>
      </c>
    </row>
    <row r="1314">
      <c r="A1314" s="36" t="str">
        <f>IFERROR(__xludf.DUMMYFUNCTION("""COMPUTED_VALUE"""),"01-39-09-131")</f>
        <v>01-39-09-131</v>
      </c>
      <c r="B1314" s="36" t="str">
        <f>IFERROR(__xludf.DUMMYFUNCTION("""COMPUTED_VALUE"""),"")</f>
        <v/>
      </c>
      <c r="C1314" s="36" t="str">
        <f>IFERROR(__xludf.DUMMYFUNCTION("""COMPUTED_VALUE"""),"")</f>
        <v/>
      </c>
      <c r="D1314" s="36" t="str">
        <f>IFERROR(__xludf.DUMMYFUNCTION("""COMPUTED_VALUE"""),"")</f>
        <v/>
      </c>
      <c r="E1314" s="36" t="str">
        <f>IFERROR(__xludf.DUMMYFUNCTION("""COMPUTED_VALUE"""),"04-22-13-457")</f>
        <v>04-22-13-457</v>
      </c>
      <c r="F1314" s="36"/>
      <c r="G1314" s="36" t="str">
        <f>IFERROR(__xludf.DUMMYFUNCTION("""COMPUTED_VALUE"""),"Gral. Acha y Cisneros")</f>
        <v>Gral. Acha y Cisneros</v>
      </c>
      <c r="H1314" s="36" t="str">
        <f>IFERROR(__xludf.DUMMYFUNCTION("""COMPUTED_VALUE"""),"")</f>
        <v/>
      </c>
    </row>
    <row r="1315">
      <c r="A1315" s="36" t="str">
        <f>IFERROR(__xludf.DUMMYFUNCTION("""COMPUTED_VALUE"""),"01-39-09-132")</f>
        <v>01-39-09-132</v>
      </c>
      <c r="B1315" s="36" t="str">
        <f>IFERROR(__xludf.DUMMYFUNCTION("""COMPUTED_VALUE"""),"")</f>
        <v/>
      </c>
      <c r="C1315" s="36" t="str">
        <f>IFERROR(__xludf.DUMMYFUNCTION("""COMPUTED_VALUE"""),"")</f>
        <v/>
      </c>
      <c r="D1315" s="36" t="str">
        <f>IFERROR(__xludf.DUMMYFUNCTION("""COMPUTED_VALUE"""),"")</f>
        <v/>
      </c>
      <c r="E1315" s="36" t="str">
        <f>IFERROR(__xludf.DUMMYFUNCTION("""COMPUTED_VALUE"""),"04-21-13-201")</f>
        <v>04-21-13-201</v>
      </c>
      <c r="F1315" s="36"/>
      <c r="G1315" s="36" t="str">
        <f>IFERROR(__xludf.DUMMYFUNCTION("""COMPUTED_VALUE"""),"Gral. Acha y Comandante Cabot -S")</f>
        <v>Gral. Acha y Comandante Cabot -S</v>
      </c>
      <c r="H1315" s="36" t="str">
        <f>IFERROR(__xludf.DUMMYFUNCTION("""COMPUTED_VALUE"""),"")</f>
        <v/>
      </c>
    </row>
    <row r="1316">
      <c r="A1316" s="36" t="str">
        <f>IFERROR(__xludf.DUMMYFUNCTION("""COMPUTED_VALUE"""),"01-39-09-133")</f>
        <v>01-39-09-133</v>
      </c>
      <c r="B1316" s="36" t="str">
        <f>IFERROR(__xludf.DUMMYFUNCTION("""COMPUTED_VALUE"""),"")</f>
        <v/>
      </c>
      <c r="C1316" s="36" t="str">
        <f>IFERROR(__xludf.DUMMYFUNCTION("""COMPUTED_VALUE"""),"")</f>
        <v/>
      </c>
      <c r="D1316" s="36" t="str">
        <f>IFERROR(__xludf.DUMMYFUNCTION("""COMPUTED_VALUE"""),"")</f>
        <v/>
      </c>
      <c r="E1316" s="36" t="str">
        <f>IFERROR(__xludf.DUMMYFUNCTION("""COMPUTED_VALUE"""),"01-52-08-22A")</f>
        <v>01-52-08-22A</v>
      </c>
      <c r="F1316" s="36"/>
      <c r="G1316" s="36" t="str">
        <f>IFERROR(__xludf.DUMMYFUNCTION("""COMPUTED_VALUE"""),"Gral. Acha y Córdoba ")</f>
        <v>Gral. Acha y Córdoba </v>
      </c>
      <c r="H1316" s="36" t="str">
        <f>IFERROR(__xludf.DUMMYFUNCTION("""COMPUTED_VALUE"""),"")</f>
        <v/>
      </c>
    </row>
    <row r="1317">
      <c r="A1317" s="36" t="str">
        <f>IFERROR(__xludf.DUMMYFUNCTION("""COMPUTED_VALUE"""),"01-39-09-135X")</f>
        <v>01-39-09-135X</v>
      </c>
      <c r="B1317" s="36" t="str">
        <f>IFERROR(__xludf.DUMMYFUNCTION("""COMPUTED_VALUE"""),"")</f>
        <v/>
      </c>
      <c r="C1317" s="36" t="str">
        <f>IFERROR(__xludf.DUMMYFUNCTION("""COMPUTED_VALUE"""),"")</f>
        <v/>
      </c>
      <c r="D1317" s="36" t="str">
        <f>IFERROR(__xludf.DUMMYFUNCTION("""COMPUTED_VALUE"""),"")</f>
        <v/>
      </c>
      <c r="E1317" s="36" t="str">
        <f>IFERROR(__xludf.DUMMYFUNCTION("""COMPUTED_VALUE"""),"01-52-08-22")</f>
        <v>01-52-08-22</v>
      </c>
      <c r="F1317" s="36"/>
      <c r="G1317" s="36" t="str">
        <f>IFERROR(__xludf.DUMMYFUNCTION("""COMPUTED_VALUE"""),"Gral. Acha y Córdoba -S")</f>
        <v>Gral. Acha y Córdoba -S</v>
      </c>
      <c r="H1317" s="36" t="str">
        <f>IFERROR(__xludf.DUMMYFUNCTION("""COMPUTED_VALUE"""),"")</f>
        <v/>
      </c>
    </row>
    <row r="1318">
      <c r="A1318" s="36" t="str">
        <f>IFERROR(__xludf.DUMMYFUNCTION("""COMPUTED_VALUE"""),"01-39-09-152")</f>
        <v>01-39-09-152</v>
      </c>
      <c r="B1318" s="36" t="str">
        <f>IFERROR(__xludf.DUMMYFUNCTION("""COMPUTED_VALUE"""),"")</f>
        <v/>
      </c>
      <c r="C1318" s="36" t="str">
        <f>IFERROR(__xludf.DUMMYFUNCTION("""COMPUTED_VALUE"""),"")</f>
        <v/>
      </c>
      <c r="D1318" s="36" t="str">
        <f>IFERROR(__xludf.DUMMYFUNCTION("""COMPUTED_VALUE"""),"")</f>
        <v/>
      </c>
      <c r="E1318" s="36" t="str">
        <f>IFERROR(__xludf.DUMMYFUNCTION("""COMPUTED_VALUE"""),"04-22-13-445")</f>
        <v>04-22-13-445</v>
      </c>
      <c r="F1318" s="36"/>
      <c r="G1318" s="36" t="str">
        <f>IFERROR(__xludf.DUMMYFUNCTION("""COMPUTED_VALUE"""),"Gral. Acha y El Baqueano")</f>
        <v>Gral. Acha y El Baqueano</v>
      </c>
      <c r="H1318" s="36" t="str">
        <f>IFERROR(__xludf.DUMMYFUNCTION("""COMPUTED_VALUE"""),"")</f>
        <v/>
      </c>
    </row>
    <row r="1319">
      <c r="A1319" s="36" t="str">
        <f>IFERROR(__xludf.DUMMYFUNCTION("""COMPUTED_VALUE"""),"01-39-09-154A")</f>
        <v>01-39-09-154A</v>
      </c>
      <c r="B1319" s="36" t="str">
        <f>IFERROR(__xludf.DUMMYFUNCTION("""COMPUTED_VALUE"""),"")</f>
        <v/>
      </c>
      <c r="C1319" s="36" t="str">
        <f>IFERROR(__xludf.DUMMYFUNCTION("""COMPUTED_VALUE"""),"")</f>
        <v/>
      </c>
      <c r="D1319" s="36" t="str">
        <f>IFERROR(__xludf.DUMMYFUNCTION("""COMPUTED_VALUE"""),"")</f>
        <v/>
      </c>
      <c r="E1319" s="36" t="str">
        <f>IFERROR(__xludf.DUMMYFUNCTION("""COMPUTED_VALUE"""),"04-22-13-455")</f>
        <v>04-22-13-455</v>
      </c>
      <c r="F1319" s="36"/>
      <c r="G1319" s="36" t="str">
        <f>IFERROR(__xludf.DUMMYFUNCTION("""COMPUTED_VALUE"""),"Gral. Acha y El Cano")</f>
        <v>Gral. Acha y El Cano</v>
      </c>
      <c r="H1319" s="36" t="str">
        <f>IFERROR(__xludf.DUMMYFUNCTION("""COMPUTED_VALUE"""),"")</f>
        <v/>
      </c>
    </row>
    <row r="1320">
      <c r="A1320" s="36" t="str">
        <f>IFERROR(__xludf.DUMMYFUNCTION("""COMPUTED_VALUE"""),"01-40-09-1")</f>
        <v>01-40-09-1</v>
      </c>
      <c r="B1320" s="36" t="str">
        <f>IFERROR(__xludf.DUMMYFUNCTION("""COMPUTED_VALUE"""),"")</f>
        <v/>
      </c>
      <c r="C1320" s="36" t="str">
        <f>IFERROR(__xludf.DUMMYFUNCTION("""COMPUTED_VALUE"""),"")</f>
        <v/>
      </c>
      <c r="D1320" s="36" t="str">
        <f>IFERROR(__xludf.DUMMYFUNCTION("""COMPUTED_VALUE"""),"")</f>
        <v/>
      </c>
      <c r="E1320" s="36" t="str">
        <f>IFERROR(__xludf.DUMMYFUNCTION("""COMPUTED_VALUE"""),"01-62-13-61")</f>
        <v>01-62-13-61</v>
      </c>
      <c r="F1320" s="36"/>
      <c r="G1320" s="36" t="str">
        <f>IFERROR(__xludf.DUMMYFUNCTION("""COMPUTED_VALUE"""),"Gral. Acha y Fray Mamerto Esquiú")</f>
        <v>Gral. Acha y Fray Mamerto Esquiú</v>
      </c>
      <c r="H1320" s="36" t="str">
        <f>IFERROR(__xludf.DUMMYFUNCTION("""COMPUTED_VALUE"""),"")</f>
        <v/>
      </c>
    </row>
    <row r="1321">
      <c r="A1321" s="36" t="str">
        <f>IFERROR(__xludf.DUMMYFUNCTION("""COMPUTED_VALUE"""),"01-40-09-10")</f>
        <v>01-40-09-10</v>
      </c>
      <c r="B1321" s="36" t="str">
        <f>IFERROR(__xludf.DUMMYFUNCTION("""COMPUTED_VALUE"""),"")</f>
        <v/>
      </c>
      <c r="C1321" s="36" t="str">
        <f>IFERROR(__xludf.DUMMYFUNCTION("""COMPUTED_VALUE"""),"")</f>
        <v/>
      </c>
      <c r="D1321" s="36" t="str">
        <f>IFERROR(__xludf.DUMMYFUNCTION("""COMPUTED_VALUE"""),"")</f>
        <v/>
      </c>
      <c r="E1321" s="36" t="str">
        <f>IFERROR(__xludf.DUMMYFUNCTION("""COMPUTED_VALUE"""),"04-22-13-458")</f>
        <v>04-22-13-458</v>
      </c>
      <c r="F1321" s="36"/>
      <c r="G1321" s="36" t="str">
        <f>IFERROR(__xludf.DUMMYFUNCTION("""COMPUTED_VALUE"""),"Gral. Acha y Gral. Roca")</f>
        <v>Gral. Acha y Gral. Roca</v>
      </c>
      <c r="H1321" s="36" t="str">
        <f>IFERROR(__xludf.DUMMYFUNCTION("""COMPUTED_VALUE"""),"")</f>
        <v/>
      </c>
    </row>
    <row r="1322">
      <c r="A1322" s="36" t="str">
        <f>IFERROR(__xludf.DUMMYFUNCTION("""COMPUTED_VALUE"""),"01-40-09-11x")</f>
        <v>01-40-09-11x</v>
      </c>
      <c r="B1322" s="36" t="str">
        <f>IFERROR(__xludf.DUMMYFUNCTION("""COMPUTED_VALUE"""),"")</f>
        <v/>
      </c>
      <c r="C1322" s="36" t="str">
        <f>IFERROR(__xludf.DUMMYFUNCTION("""COMPUTED_VALUE"""),"")</f>
        <v/>
      </c>
      <c r="D1322" s="36" t="str">
        <f>IFERROR(__xludf.DUMMYFUNCTION("""COMPUTED_VALUE"""),"")</f>
        <v/>
      </c>
      <c r="E1322" s="36" t="str">
        <f>IFERROR(__xludf.DUMMYFUNCTION("""COMPUTED_VALUE"""),"01-27-08-134")</f>
        <v>01-27-08-134</v>
      </c>
      <c r="F1322" s="36"/>
      <c r="G1322" s="36" t="str">
        <f>IFERROR(__xludf.DUMMYFUNCTION("""COMPUTED_VALUE"""),"Gral. Acha y Juan Jufré")</f>
        <v>Gral. Acha y Juan Jufré</v>
      </c>
      <c r="H1322" s="36" t="str">
        <f>IFERROR(__xludf.DUMMYFUNCTION("""COMPUTED_VALUE"""),"NOMBRE")</f>
        <v>NOMBRE</v>
      </c>
    </row>
    <row r="1323">
      <c r="A1323" s="36" t="str">
        <f>IFERROR(__xludf.DUMMYFUNCTION("""COMPUTED_VALUE"""),"01-40-09-13")</f>
        <v>01-40-09-13</v>
      </c>
      <c r="B1323" s="36" t="str">
        <f>IFERROR(__xludf.DUMMYFUNCTION("""COMPUTED_VALUE"""),"")</f>
        <v/>
      </c>
      <c r="C1323" s="36" t="str">
        <f>IFERROR(__xludf.DUMMYFUNCTION("""COMPUTED_VALUE"""),"")</f>
        <v/>
      </c>
      <c r="D1323" s="36" t="str">
        <f>IFERROR(__xludf.DUMMYFUNCTION("""COMPUTED_VALUE"""),"")</f>
        <v/>
      </c>
      <c r="E1323" s="36" t="str">
        <f>IFERROR(__xludf.DUMMYFUNCTION("""COMPUTED_VALUE"""),"01-34-08-134")</f>
        <v>01-34-08-134</v>
      </c>
      <c r="F1323" s="36"/>
      <c r="G1323" s="36" t="str">
        <f>IFERROR(__xludf.DUMMYFUNCTION("""COMPUTED_VALUE"""),"Gral. Acha y Juan Jufré")</f>
        <v>Gral. Acha y Juan Jufré</v>
      </c>
      <c r="H1323" s="36" t="str">
        <f>IFERROR(__xludf.DUMMYFUNCTION("""COMPUTED_VALUE"""),"")</f>
        <v/>
      </c>
    </row>
    <row r="1324">
      <c r="A1324" s="36" t="str">
        <f>IFERROR(__xludf.DUMMYFUNCTION("""COMPUTED_VALUE"""),"01-40-09-134")</f>
        <v>01-40-09-134</v>
      </c>
      <c r="B1324" s="36" t="str">
        <f>IFERROR(__xludf.DUMMYFUNCTION("""COMPUTED_VALUE"""),"")</f>
        <v/>
      </c>
      <c r="C1324" s="36" t="str">
        <f>IFERROR(__xludf.DUMMYFUNCTION("""COMPUTED_VALUE"""),"")</f>
        <v/>
      </c>
      <c r="D1324" s="36" t="str">
        <f>IFERROR(__xludf.DUMMYFUNCTION("""COMPUTED_VALUE"""),"")</f>
        <v/>
      </c>
      <c r="E1324" s="36" t="str">
        <f>IFERROR(__xludf.DUMMYFUNCTION("""COMPUTED_VALUE"""),"01-65-13-196")</f>
        <v>01-65-13-196</v>
      </c>
      <c r="F1324" s="36"/>
      <c r="G1324" s="36" t="str">
        <f>IFERROR(__xludf.DUMMYFUNCTION("""COMPUTED_VALUE"""),"Gral. Acha y Lateral Sur -E")</f>
        <v>Gral. Acha y Lateral Sur -E</v>
      </c>
      <c r="H1324" s="36" t="str">
        <f>IFERROR(__xludf.DUMMYFUNCTION("""COMPUTED_VALUE"""),"")</f>
        <v/>
      </c>
    </row>
    <row r="1325">
      <c r="A1325" s="36" t="str">
        <f>IFERROR(__xludf.DUMMYFUNCTION("""COMPUTED_VALUE"""),"01-40-09-134B")</f>
        <v>01-40-09-134B</v>
      </c>
      <c r="B1325" s="36" t="str">
        <f>IFERROR(__xludf.DUMMYFUNCTION("""COMPUTED_VALUE"""),"")</f>
        <v/>
      </c>
      <c r="C1325" s="36" t="str">
        <f>IFERROR(__xludf.DUMMYFUNCTION("""COMPUTED_VALUE"""),"")</f>
        <v/>
      </c>
      <c r="D1325" s="36" t="str">
        <f>IFERROR(__xludf.DUMMYFUNCTION("""COMPUTED_VALUE"""),"")</f>
        <v/>
      </c>
      <c r="E1325" s="36" t="str">
        <f>IFERROR(__xludf.DUMMYFUNCTION("""COMPUTED_VALUE"""),"04-22-13-456")</f>
        <v>04-22-13-456</v>
      </c>
      <c r="F1325" s="36"/>
      <c r="G1325" s="36" t="str">
        <f>IFERROR(__xludf.DUMMYFUNCTION("""COMPUTED_VALUE"""),"Gral. Acha y Lavalle")</f>
        <v>Gral. Acha y Lavalle</v>
      </c>
      <c r="H1325" s="36" t="str">
        <f>IFERROR(__xludf.DUMMYFUNCTION("""COMPUTED_VALUE"""),"")</f>
        <v/>
      </c>
    </row>
    <row r="1326">
      <c r="A1326" s="36" t="str">
        <f>IFERROR(__xludf.DUMMYFUNCTION("""COMPUTED_VALUE"""),"01-40-09-136")</f>
        <v>01-40-09-136</v>
      </c>
      <c r="B1326" s="36" t="str">
        <f>IFERROR(__xludf.DUMMYFUNCTION("""COMPUTED_VALUE"""),"")</f>
        <v/>
      </c>
      <c r="C1326" s="36" t="str">
        <f>IFERROR(__xludf.DUMMYFUNCTION("""COMPUTED_VALUE"""),"")</f>
        <v/>
      </c>
      <c r="D1326" s="36" t="str">
        <f>IFERROR(__xludf.DUMMYFUNCTION("""COMPUTED_VALUE"""),"")</f>
        <v/>
      </c>
      <c r="E1326" s="36" t="str">
        <f>IFERROR(__xludf.DUMMYFUNCTION("""COMPUTED_VALUE"""),"04-22-13-200")</f>
        <v>04-22-13-200</v>
      </c>
      <c r="F1326" s="36"/>
      <c r="G1326" s="36" t="str">
        <f>IFERROR(__xludf.DUMMYFUNCTION("""COMPUTED_VALUE"""),"Gral. Acha y Los Cuyanos")</f>
        <v>Gral. Acha y Los Cuyanos</v>
      </c>
      <c r="H1326" s="36" t="str">
        <f>IFERROR(__xludf.DUMMYFUNCTION("""COMPUTED_VALUE"""),"")</f>
        <v/>
      </c>
    </row>
    <row r="1327">
      <c r="A1327" s="36" t="str">
        <f>IFERROR(__xludf.DUMMYFUNCTION("""COMPUTED_VALUE"""),"01-40-09-137")</f>
        <v>01-40-09-137</v>
      </c>
      <c r="B1327" s="36" t="str">
        <f>IFERROR(__xludf.DUMMYFUNCTION("""COMPUTED_VALUE"""),"")</f>
        <v/>
      </c>
      <c r="C1327" s="36" t="str">
        <f>IFERROR(__xludf.DUMMYFUNCTION("""COMPUTED_VALUE"""),"")</f>
        <v/>
      </c>
      <c r="D1327" s="36" t="str">
        <f>IFERROR(__xludf.DUMMYFUNCTION("""COMPUTED_VALUE"""),"")</f>
        <v/>
      </c>
      <c r="E1327" s="36" t="str">
        <f>IFERROR(__xludf.DUMMYFUNCTION("""COMPUTED_VALUE"""),"01-38-08-71")</f>
        <v>01-38-08-71</v>
      </c>
      <c r="F1327" s="36"/>
      <c r="G1327" s="36" t="str">
        <f>IFERROR(__xludf.DUMMYFUNCTION("""COMPUTED_VALUE"""),"Gral. Acha y Maipú")</f>
        <v>Gral. Acha y Maipú</v>
      </c>
      <c r="H1327" s="36" t="str">
        <f>IFERROR(__xludf.DUMMYFUNCTION("""COMPUTED_VALUE"""),"")</f>
        <v/>
      </c>
    </row>
    <row r="1328">
      <c r="A1328" s="36" t="str">
        <f>IFERROR(__xludf.DUMMYFUNCTION("""COMPUTED_VALUE"""),"01-40-09-138X")</f>
        <v>01-40-09-138X</v>
      </c>
      <c r="B1328" s="36" t="str">
        <f>IFERROR(__xludf.DUMMYFUNCTION("""COMPUTED_VALUE"""),"")</f>
        <v/>
      </c>
      <c r="C1328" s="36" t="str">
        <f>IFERROR(__xludf.DUMMYFUNCTION("""COMPUTED_VALUE"""),"")</f>
        <v/>
      </c>
      <c r="D1328" s="36" t="str">
        <f>IFERROR(__xludf.DUMMYFUNCTION("""COMPUTED_VALUE"""),"")</f>
        <v/>
      </c>
      <c r="E1328" s="36" t="str">
        <f>IFERROR(__xludf.DUMMYFUNCTION("""COMPUTED_VALUE"""),"04-30-14-130")</f>
        <v>04-30-14-130</v>
      </c>
      <c r="F1328" s="36"/>
      <c r="G1328" s="36" t="str">
        <f>IFERROR(__xludf.DUMMYFUNCTION("""COMPUTED_VALUE"""),"Gral. Acha y Manuel Quiroga Este")</f>
        <v>Gral. Acha y Manuel Quiroga Este</v>
      </c>
      <c r="H1328" s="36" t="str">
        <f>IFERROR(__xludf.DUMMYFUNCTION("""COMPUTED_VALUE"""),"")</f>
        <v/>
      </c>
    </row>
    <row r="1329">
      <c r="A1329" s="36" t="str">
        <f>IFERROR(__xludf.DUMMYFUNCTION("""COMPUTED_VALUE"""),"01-40-09-139X")</f>
        <v>01-40-09-139X</v>
      </c>
      <c r="B1329" s="36" t="str">
        <f>IFERROR(__xludf.DUMMYFUNCTION("""COMPUTED_VALUE"""),"")</f>
        <v/>
      </c>
      <c r="C1329" s="36" t="str">
        <f>IFERROR(__xludf.DUMMYFUNCTION("""COMPUTED_VALUE"""),"")</f>
        <v/>
      </c>
      <c r="D1329" s="36" t="str">
        <f>IFERROR(__xludf.DUMMYFUNCTION("""COMPUTED_VALUE"""),"")</f>
        <v/>
      </c>
      <c r="E1329" s="36" t="str">
        <f>IFERROR(__xludf.DUMMYFUNCTION("""COMPUTED_VALUE"""),"04-48-14-131")</f>
        <v>04-48-14-131</v>
      </c>
      <c r="F1329" s="36"/>
      <c r="G1329" s="36" t="str">
        <f>IFERROR(__xludf.DUMMYFUNCTION("""COMPUTED_VALUE"""),"Gral. Acha y Manuel Quiroga Oeste")</f>
        <v>Gral. Acha y Manuel Quiroga Oeste</v>
      </c>
      <c r="H1329" s="36" t="str">
        <f>IFERROR(__xludf.DUMMYFUNCTION("""COMPUTED_VALUE"""),"")</f>
        <v/>
      </c>
    </row>
    <row r="1330">
      <c r="A1330" s="36" t="str">
        <f>IFERROR(__xludf.DUMMYFUNCTION("""COMPUTED_VALUE"""),"01-40-09-13A")</f>
        <v>01-40-09-13A</v>
      </c>
      <c r="B1330" s="36" t="str">
        <f>IFERROR(__xludf.DUMMYFUNCTION("""COMPUTED_VALUE"""),"")</f>
        <v/>
      </c>
      <c r="C1330" s="36" t="str">
        <f>IFERROR(__xludf.DUMMYFUNCTION("""COMPUTED_VALUE"""),"")</f>
        <v/>
      </c>
      <c r="D1330" s="36" t="str">
        <f>IFERROR(__xludf.DUMMYFUNCTION("""COMPUTED_VALUE"""),"")</f>
        <v/>
      </c>
      <c r="E1330" s="36" t="str">
        <f>IFERROR(__xludf.DUMMYFUNCTION("""COMPUTED_VALUE"""),"01-62-13-60")</f>
        <v>01-62-13-60</v>
      </c>
      <c r="F1330" s="36"/>
      <c r="G1330" s="36" t="str">
        <f>IFERROR(__xludf.DUMMYFUNCTION("""COMPUTED_VALUE"""),"Gral. Acha y Mariano Moreno")</f>
        <v>Gral. Acha y Mariano Moreno</v>
      </c>
      <c r="H1330" s="36" t="str">
        <f>IFERROR(__xludf.DUMMYFUNCTION("""COMPUTED_VALUE"""),"")</f>
        <v/>
      </c>
    </row>
    <row r="1331">
      <c r="A1331" s="36" t="str">
        <f>IFERROR(__xludf.DUMMYFUNCTION("""COMPUTED_VALUE"""),"01-40-09-13B")</f>
        <v>01-40-09-13B</v>
      </c>
      <c r="B1331" s="36" t="str">
        <f>IFERROR(__xludf.DUMMYFUNCTION("""COMPUTED_VALUE"""),"")</f>
        <v/>
      </c>
      <c r="C1331" s="36" t="str">
        <f>IFERROR(__xludf.DUMMYFUNCTION("""COMPUTED_VALUE"""),"")</f>
        <v/>
      </c>
      <c r="D1331" s="36" t="str">
        <f>IFERROR(__xludf.DUMMYFUNCTION("""COMPUTED_VALUE"""),"")</f>
        <v/>
      </c>
      <c r="E1331" s="36" t="str">
        <f>IFERROR(__xludf.DUMMYFUNCTION("""COMPUTED_VALUE"""),"04-30-14-95")</f>
        <v>04-30-14-95</v>
      </c>
      <c r="F1331" s="36"/>
      <c r="G1331" s="36" t="str">
        <f>IFERROR(__xludf.DUMMYFUNCTION("""COMPUTED_VALUE"""),"Gral. Acha y Montevideo")</f>
        <v>Gral. Acha y Montevideo</v>
      </c>
      <c r="H1331" s="36" t="str">
        <f>IFERROR(__xludf.DUMMYFUNCTION("""COMPUTED_VALUE"""),"")</f>
        <v/>
      </c>
    </row>
    <row r="1332">
      <c r="A1332" s="36" t="str">
        <f>IFERROR(__xludf.DUMMYFUNCTION("""COMPUTED_VALUE"""),"01-40-09-140")</f>
        <v>01-40-09-140</v>
      </c>
      <c r="B1332" s="36" t="str">
        <f>IFERROR(__xludf.DUMMYFUNCTION("""COMPUTED_VALUE"""),"")</f>
        <v/>
      </c>
      <c r="C1332" s="36" t="str">
        <f>IFERROR(__xludf.DUMMYFUNCTION("""COMPUTED_VALUE"""),"")</f>
        <v/>
      </c>
      <c r="D1332" s="36" t="str">
        <f>IFERROR(__xludf.DUMMYFUNCTION("""COMPUTED_VALUE"""),"")</f>
        <v/>
      </c>
      <c r="E1332" s="36" t="str">
        <f>IFERROR(__xludf.DUMMYFUNCTION("""COMPUTED_VALUE"""),"04-22-13-199")</f>
        <v>04-22-13-199</v>
      </c>
      <c r="F1332" s="36"/>
      <c r="G1332" s="36" t="str">
        <f>IFERROR(__xludf.DUMMYFUNCTION("""COMPUTED_VALUE"""),"Gral. Acha y Nicanor Larraín")</f>
        <v>Gral. Acha y Nicanor Larraín</v>
      </c>
      <c r="H1332" s="36" t="str">
        <f>IFERROR(__xludf.DUMMYFUNCTION("""COMPUTED_VALUE"""),"")</f>
        <v/>
      </c>
    </row>
    <row r="1333">
      <c r="A1333" s="36" t="str">
        <f>IFERROR(__xludf.DUMMYFUNCTION("""COMPUTED_VALUE"""),"01-40-09-141X")</f>
        <v>01-40-09-141X</v>
      </c>
      <c r="B1333" s="36" t="str">
        <f>IFERROR(__xludf.DUMMYFUNCTION("""COMPUTED_VALUE"""),"")</f>
        <v/>
      </c>
      <c r="C1333" s="36" t="str">
        <f>IFERROR(__xludf.DUMMYFUNCTION("""COMPUTED_VALUE"""),"")</f>
        <v/>
      </c>
      <c r="D1333" s="36" t="str">
        <f>IFERROR(__xludf.DUMMYFUNCTION("""COMPUTED_VALUE"""),"")</f>
        <v/>
      </c>
      <c r="E1333" s="36" t="str">
        <f>IFERROR(__xludf.DUMMYFUNCTION("""COMPUTED_VALUE"""),"01-62-13-191")</f>
        <v>01-62-13-191</v>
      </c>
      <c r="F1333" s="36"/>
      <c r="G1333" s="36" t="str">
        <f>IFERROR(__xludf.DUMMYFUNCTION("""COMPUTED_VALUE"""),"Gral. Acha y Pedro de Valdivia")</f>
        <v>Gral. Acha y Pedro de Valdivia</v>
      </c>
      <c r="H1333" s="36" t="str">
        <f>IFERROR(__xludf.DUMMYFUNCTION("""COMPUTED_VALUE"""),"")</f>
        <v/>
      </c>
    </row>
    <row r="1334">
      <c r="A1334" s="36" t="str">
        <f>IFERROR(__xludf.DUMMYFUNCTION("""COMPUTED_VALUE"""),"01-40-09-142B")</f>
        <v>01-40-09-142B</v>
      </c>
      <c r="B1334" s="36" t="str">
        <f>IFERROR(__xludf.DUMMYFUNCTION("""COMPUTED_VALUE"""),"")</f>
        <v/>
      </c>
      <c r="C1334" s="36" t="str">
        <f>IFERROR(__xludf.DUMMYFUNCTION("""COMPUTED_VALUE"""),"")</f>
        <v/>
      </c>
      <c r="D1334" s="36" t="str">
        <f>IFERROR(__xludf.DUMMYFUNCTION("""COMPUTED_VALUE"""),"")</f>
        <v/>
      </c>
      <c r="E1334" s="36" t="str">
        <f>IFERROR(__xludf.DUMMYFUNCTION("""COMPUTED_VALUE"""),"01-41-08-50")</f>
        <v>01-41-08-50</v>
      </c>
      <c r="F1334" s="36"/>
      <c r="G1334" s="36" t="str">
        <f>IFERROR(__xludf.DUMMYFUNCTION("""COMPUTED_VALUE"""),"Gral. Acha y Pedro Echagüe")</f>
        <v>Gral. Acha y Pedro Echagüe</v>
      </c>
      <c r="H1334" s="36" t="str">
        <f>IFERROR(__xludf.DUMMYFUNCTION("""COMPUTED_VALUE"""),"")</f>
        <v/>
      </c>
    </row>
    <row r="1335">
      <c r="A1335" s="36" t="str">
        <f>IFERROR(__xludf.DUMMYFUNCTION("""COMPUTED_VALUE"""),"01-40-09-142C")</f>
        <v>01-40-09-142C</v>
      </c>
      <c r="B1335" s="36" t="str">
        <f>IFERROR(__xludf.DUMMYFUNCTION("""COMPUTED_VALUE"""),"")</f>
        <v/>
      </c>
      <c r="C1335" s="36" t="str">
        <f>IFERROR(__xludf.DUMMYFUNCTION("""COMPUTED_VALUE"""),"")</f>
        <v/>
      </c>
      <c r="D1335" s="36" t="str">
        <f>IFERROR(__xludf.DUMMYFUNCTION("""COMPUTED_VALUE"""),"")</f>
        <v/>
      </c>
      <c r="E1335" s="36" t="str">
        <f>IFERROR(__xludf.DUMMYFUNCTION("""COMPUTED_VALUE"""),"01-38-08-49")</f>
        <v>01-38-08-49</v>
      </c>
      <c r="F1335" s="36"/>
      <c r="G1335" s="36" t="str">
        <f>IFERROR(__xludf.DUMMYFUNCTION("""COMPUTED_VALUE"""),"Gral. Acha y Pedro Echagüe Chimbas")</f>
        <v>Gral. Acha y Pedro Echagüe Chimbas</v>
      </c>
      <c r="H1335" s="36" t="str">
        <f>IFERROR(__xludf.DUMMYFUNCTION("""COMPUTED_VALUE"""),"")</f>
        <v/>
      </c>
    </row>
    <row r="1336">
      <c r="A1336" s="36" t="str">
        <f>IFERROR(__xludf.DUMMYFUNCTION("""COMPUTED_VALUE"""),"01-40-09-2")</f>
        <v>01-40-09-2</v>
      </c>
      <c r="B1336" s="36" t="str">
        <f>IFERROR(__xludf.DUMMYFUNCTION("""COMPUTED_VALUE"""),"")</f>
        <v/>
      </c>
      <c r="C1336" s="36" t="str">
        <f>IFERROR(__xludf.DUMMYFUNCTION("""COMPUTED_VALUE"""),"")</f>
        <v/>
      </c>
      <c r="D1336" s="36" t="str">
        <f>IFERROR(__xludf.DUMMYFUNCTION("""COMPUTED_VALUE"""),"")</f>
        <v/>
      </c>
      <c r="E1336" s="36" t="str">
        <f>IFERROR(__xludf.DUMMYFUNCTION("""COMPUTED_VALUE"""),"04-30-14-98A")</f>
        <v>04-30-14-98A</v>
      </c>
      <c r="F1336" s="36"/>
      <c r="G1336" s="36" t="str">
        <f>IFERROR(__xludf.DUMMYFUNCTION("""COMPUTED_VALUE"""),"Gral. Acha y Progreso")</f>
        <v>Gral. Acha y Progreso</v>
      </c>
      <c r="H1336" s="36" t="str">
        <f>IFERROR(__xludf.DUMMYFUNCTION("""COMPUTED_VALUE"""),"")</f>
        <v/>
      </c>
    </row>
    <row r="1337">
      <c r="A1337" s="36" t="str">
        <f>IFERROR(__xludf.DUMMYFUNCTION("""COMPUTED_VALUE"""),"01-40-09-3")</f>
        <v>01-40-09-3</v>
      </c>
      <c r="B1337" s="36" t="str">
        <f>IFERROR(__xludf.DUMMYFUNCTION("""COMPUTED_VALUE"""),"")</f>
        <v/>
      </c>
      <c r="C1337" s="36" t="str">
        <f>IFERROR(__xludf.DUMMYFUNCTION("""COMPUTED_VALUE"""),"")</f>
        <v/>
      </c>
      <c r="D1337" s="36" t="str">
        <f>IFERROR(__xludf.DUMMYFUNCTION("""COMPUTED_VALUE"""),"")</f>
        <v/>
      </c>
      <c r="E1337" s="36" t="str">
        <f>IFERROR(__xludf.DUMMYFUNCTION("""COMPUTED_VALUE"""),"04-22-13-202")</f>
        <v>04-22-13-202</v>
      </c>
      <c r="F1337" s="36"/>
      <c r="G1337" s="36" t="str">
        <f>IFERROR(__xludf.DUMMYFUNCTION("""COMPUTED_VALUE"""),"Gral. Acha y Rio Bamba")</f>
        <v>Gral. Acha y Rio Bamba</v>
      </c>
      <c r="H1337" s="36" t="str">
        <f>IFERROR(__xludf.DUMMYFUNCTION("""COMPUTED_VALUE"""),"")</f>
        <v/>
      </c>
    </row>
    <row r="1338">
      <c r="A1338" s="36" t="str">
        <f>IFERROR(__xludf.DUMMYFUNCTION("""COMPUTED_VALUE"""),"01-40-09-3A")</f>
        <v>01-40-09-3A</v>
      </c>
      <c r="B1338" s="36" t="str">
        <f>IFERROR(__xludf.DUMMYFUNCTION("""COMPUTED_VALUE"""),"")</f>
        <v/>
      </c>
      <c r="C1338" s="36" t="str">
        <f>IFERROR(__xludf.DUMMYFUNCTION("""COMPUTED_VALUE"""),"")</f>
        <v/>
      </c>
      <c r="D1338" s="36" t="str">
        <f>IFERROR(__xludf.DUMMYFUNCTION("""COMPUTED_VALUE"""),"")</f>
        <v/>
      </c>
      <c r="E1338" s="36" t="str">
        <f>IFERROR(__xludf.DUMMYFUNCTION("""COMPUTED_VALUE"""),"01-65-13-194")</f>
        <v>01-65-13-194</v>
      </c>
      <c r="F1338" s="36"/>
      <c r="G1338" s="36" t="str">
        <f>IFERROR(__xludf.DUMMYFUNCTION("""COMPUTED_VALUE"""),"Gral. Acha y S. Sarasa")</f>
        <v>Gral. Acha y S. Sarasa</v>
      </c>
      <c r="H1338" s="36" t="str">
        <f>IFERROR(__xludf.DUMMYFUNCTION("""COMPUTED_VALUE"""),"")</f>
        <v/>
      </c>
    </row>
    <row r="1339">
      <c r="A1339" s="36" t="str">
        <f>IFERROR(__xludf.DUMMYFUNCTION("""COMPUTED_VALUE"""),"01-40-09-4")</f>
        <v>01-40-09-4</v>
      </c>
      <c r="B1339" s="36" t="str">
        <f>IFERROR(__xludf.DUMMYFUNCTION("""COMPUTED_VALUE"""),"")</f>
        <v/>
      </c>
      <c r="C1339" s="36" t="str">
        <f>IFERROR(__xludf.DUMMYFUNCTION("""COMPUTED_VALUE"""),"")</f>
        <v/>
      </c>
      <c r="D1339" s="36" t="str">
        <f>IFERROR(__xludf.DUMMYFUNCTION("""COMPUTED_VALUE"""),"")</f>
        <v/>
      </c>
      <c r="E1339" s="36" t="str">
        <f>IFERROR(__xludf.DUMMYFUNCTION("""COMPUTED_VALUE"""),"01-41-08-44")</f>
        <v>01-41-08-44</v>
      </c>
      <c r="F1339" s="36"/>
      <c r="G1339" s="36" t="str">
        <f>IFERROR(__xludf.DUMMYFUNCTION("""COMPUTED_VALUE"""),"Gral. Acha y San Luis")</f>
        <v>Gral. Acha y San Luis</v>
      </c>
      <c r="H1339" s="36" t="str">
        <f>IFERROR(__xludf.DUMMYFUNCTION("""COMPUTED_VALUE"""),"")</f>
        <v/>
      </c>
    </row>
    <row r="1340">
      <c r="A1340" s="36" t="str">
        <f>IFERROR(__xludf.DUMMYFUNCTION("""COMPUTED_VALUE"""),"01-40-09-4A")</f>
        <v>01-40-09-4A</v>
      </c>
      <c r="B1340" s="36" t="str">
        <f>IFERROR(__xludf.DUMMYFUNCTION("""COMPUTED_VALUE"""),"")</f>
        <v/>
      </c>
      <c r="C1340" s="36" t="str">
        <f>IFERROR(__xludf.DUMMYFUNCTION("""COMPUTED_VALUE"""),"")</f>
        <v/>
      </c>
      <c r="D1340" s="36" t="str">
        <f>IFERROR(__xludf.DUMMYFUNCTION("""COMPUTED_VALUE"""),"")</f>
        <v/>
      </c>
      <c r="E1340" s="36" t="str">
        <f>IFERROR(__xludf.DUMMYFUNCTION("""COMPUTED_VALUE"""),"04-30-14-117A")</f>
        <v>04-30-14-117A</v>
      </c>
      <c r="F1340" s="36"/>
      <c r="G1340" s="36" t="str">
        <f>IFERROR(__xludf.DUMMYFUNCTION("""COMPUTED_VALUE"""),"Gral. Acha y Tamberías E")</f>
        <v>Gral. Acha y Tamberías E</v>
      </c>
      <c r="H1340" s="36" t="str">
        <f>IFERROR(__xludf.DUMMYFUNCTION("""COMPUTED_VALUE"""),"")</f>
        <v/>
      </c>
    </row>
    <row r="1341">
      <c r="A1341" s="36" t="str">
        <f>IFERROR(__xludf.DUMMYFUNCTION("""COMPUTED_VALUE"""),"01-40-09-5x")</f>
        <v>01-40-09-5x</v>
      </c>
      <c r="B1341" s="36" t="str">
        <f>IFERROR(__xludf.DUMMYFUNCTION("""COMPUTED_VALUE"""),"")</f>
        <v/>
      </c>
      <c r="C1341" s="36" t="str">
        <f>IFERROR(__xludf.DUMMYFUNCTION("""COMPUTED_VALUE"""),"")</f>
        <v/>
      </c>
      <c r="D1341" s="36" t="str">
        <f>IFERROR(__xludf.DUMMYFUNCTION("""COMPUTED_VALUE"""),"")</f>
        <v/>
      </c>
      <c r="E1341" s="36" t="str">
        <f>IFERROR(__xludf.DUMMYFUNCTION("""COMPUTED_VALUE"""),"04-48-14-116A")</f>
        <v>04-48-14-116A</v>
      </c>
      <c r="F1341" s="36"/>
      <c r="G1341" s="36" t="str">
        <f>IFERROR(__xludf.DUMMYFUNCTION("""COMPUTED_VALUE"""),"Gral. Acha y Tamberías O")</f>
        <v>Gral. Acha y Tamberías O</v>
      </c>
      <c r="H1341" s="36" t="str">
        <f>IFERROR(__xludf.DUMMYFUNCTION("""COMPUTED_VALUE"""),"")</f>
        <v/>
      </c>
    </row>
    <row r="1342">
      <c r="A1342" s="36"/>
      <c r="B1342" s="36" t="str">
        <f>IFERROR(__xludf.DUMMYFUNCTION("""COMPUTED_VALUE"""),"LATITUD")</f>
        <v>LATITUD</v>
      </c>
      <c r="C1342" s="36" t="str">
        <f>IFERROR(__xludf.DUMMYFUNCTION("""COMPUTED_VALUE"""),"LONGITUD")</f>
        <v>LONGITUD</v>
      </c>
      <c r="D1342" s="36" t="str">
        <f>IFERROR(__xludf.DUMMYFUNCTION("""COMPUTED_VALUE"""),"")</f>
        <v/>
      </c>
      <c r="E1342" s="36" t="str">
        <f>IFERROR(__xludf.DUMMYFUNCTION("""COMPUTED_VALUE"""),"01-57-12-350")</f>
        <v>01-57-12-350</v>
      </c>
      <c r="F1342" s="36"/>
      <c r="G1342" s="36" t="str">
        <f>IFERROR(__xludf.DUMMYFUNCTION("""COMPUTED_VALUE"""),"Gral. Arenales y Las Heras")</f>
        <v>Gral. Arenales y Las Heras</v>
      </c>
      <c r="H1342" s="36" t="str">
        <f>IFERROR(__xludf.DUMMYFUNCTION("""COMPUTED_VALUE"""),"")</f>
        <v/>
      </c>
    </row>
    <row r="1343">
      <c r="A1343" s="36" t="str">
        <f>IFERROR(__xludf.DUMMYFUNCTION("""COMPUTED_VALUE"""),"01-53-09-12")</f>
        <v>01-53-09-12</v>
      </c>
      <c r="B1343" s="36" t="str">
        <f>IFERROR(__xludf.DUMMYFUNCTION("""COMPUTED_VALUE"""),"")</f>
        <v/>
      </c>
      <c r="C1343" s="36" t="str">
        <f>IFERROR(__xludf.DUMMYFUNCTION("""COMPUTED_VALUE"""),"")</f>
        <v/>
      </c>
      <c r="D1343" s="36" t="str">
        <f>IFERROR(__xludf.DUMMYFUNCTION("""COMPUTED_VALUE"""),"")</f>
        <v/>
      </c>
      <c r="E1343" s="36" t="str">
        <f>IFERROR(__xludf.DUMMYFUNCTION("""COMPUTED_VALUE"""),"01-58-12-349")</f>
        <v>01-58-12-349</v>
      </c>
      <c r="F1343" s="36"/>
      <c r="G1343" s="36" t="str">
        <f>IFERROR(__xludf.DUMMYFUNCTION("""COMPUTED_VALUE"""),"Gral. Arenales y Segundino Navarro Norte")</f>
        <v>Gral. Arenales y Segundino Navarro Norte</v>
      </c>
      <c r="H1343" s="36" t="str">
        <f>IFERROR(__xludf.DUMMYFUNCTION("""COMPUTED_VALUE"""),"")</f>
        <v/>
      </c>
    </row>
    <row r="1344">
      <c r="A1344" s="36" t="str">
        <f>IFERROR(__xludf.DUMMYFUNCTION("""COMPUTED_VALUE"""),"01-53-09-25")</f>
        <v>01-53-09-25</v>
      </c>
      <c r="B1344" s="36" t="str">
        <f>IFERROR(__xludf.DUMMYFUNCTION("""COMPUTED_VALUE"""),"")</f>
        <v/>
      </c>
      <c r="C1344" s="36" t="str">
        <f>IFERROR(__xludf.DUMMYFUNCTION("""COMPUTED_VALUE"""),"")</f>
        <v/>
      </c>
      <c r="D1344" s="36" t="str">
        <f>IFERROR(__xludf.DUMMYFUNCTION("""COMPUTED_VALUE"""),"")</f>
        <v/>
      </c>
      <c r="E1344" s="36" t="str">
        <f>IFERROR(__xludf.DUMMYFUNCTION("""COMPUTED_VALUE"""),"01-58-12-347")</f>
        <v>01-58-12-347</v>
      </c>
      <c r="F1344" s="36"/>
      <c r="G1344" s="36" t="str">
        <f>IFERROR(__xludf.DUMMYFUNCTION("""COMPUTED_VALUE"""),"Gral. Arenales y Segundino Navarro Sur")</f>
        <v>Gral. Arenales y Segundino Navarro Sur</v>
      </c>
      <c r="H1344" s="36" t="str">
        <f>IFERROR(__xludf.DUMMYFUNCTION("""COMPUTED_VALUE"""),"")</f>
        <v/>
      </c>
    </row>
    <row r="1345">
      <c r="A1345" s="36" t="str">
        <f>IFERROR(__xludf.DUMMYFUNCTION("""COMPUTED_VALUE"""),"01-53-09-27")</f>
        <v>01-53-09-27</v>
      </c>
      <c r="B1345" s="36" t="str">
        <f>IFERROR(__xludf.DUMMYFUNCTION("""COMPUTED_VALUE"""),"")</f>
        <v/>
      </c>
      <c r="C1345" s="36" t="str">
        <f>IFERROR(__xludf.DUMMYFUNCTION("""COMPUTED_VALUE"""),"")</f>
        <v/>
      </c>
      <c r="D1345" s="36" t="str">
        <f>IFERROR(__xludf.DUMMYFUNCTION("""COMPUTED_VALUE"""),"")</f>
        <v/>
      </c>
      <c r="E1345" s="36" t="str">
        <f>IFERROR(__xludf.DUMMYFUNCTION("""COMPUTED_VALUE"""),"01-58-12-345")</f>
        <v>01-58-12-345</v>
      </c>
      <c r="F1345" s="36"/>
      <c r="G1345" s="36" t="str">
        <f>IFERROR(__xludf.DUMMYFUNCTION("""COMPUTED_VALUE"""),"Gral. Arenales y Urquiza Norte")</f>
        <v>Gral. Arenales y Urquiza Norte</v>
      </c>
      <c r="H1345" s="36" t="str">
        <f>IFERROR(__xludf.DUMMYFUNCTION("""COMPUTED_VALUE"""),"")</f>
        <v/>
      </c>
    </row>
    <row r="1346">
      <c r="A1346" s="36" t="str">
        <f>IFERROR(__xludf.DUMMYFUNCTION("""COMPUTED_VALUE"""),"01-53-09-4")</f>
        <v>01-53-09-4</v>
      </c>
      <c r="B1346" s="36" t="str">
        <f>IFERROR(__xludf.DUMMYFUNCTION("""COMPUTED_VALUE"""),"")</f>
        <v/>
      </c>
      <c r="C1346" s="36" t="str">
        <f>IFERROR(__xludf.DUMMYFUNCTION("""COMPUTED_VALUE"""),"")</f>
        <v/>
      </c>
      <c r="D1346" s="36" t="str">
        <f>IFERROR(__xludf.DUMMYFUNCTION("""COMPUTED_VALUE"""),"")</f>
        <v/>
      </c>
      <c r="E1346" s="36" t="str">
        <f>IFERROR(__xludf.DUMMYFUNCTION("""COMPUTED_VALUE"""),"04-46-13-81A")</f>
        <v>04-46-13-81A</v>
      </c>
      <c r="F1346" s="36"/>
      <c r="G1346" s="36" t="str">
        <f>IFERROR(__xludf.DUMMYFUNCTION("""COMPUTED_VALUE"""),"Gral. Godoy y Ezpeleta")</f>
        <v>Gral. Godoy y Ezpeleta</v>
      </c>
      <c r="H1346" s="36" t="str">
        <f>IFERROR(__xludf.DUMMYFUNCTION("""COMPUTED_VALUE"""),"")</f>
        <v/>
      </c>
    </row>
    <row r="1347">
      <c r="A1347" s="36" t="str">
        <f>IFERROR(__xludf.DUMMYFUNCTION("""COMPUTED_VALUE"""),"01-53-09-5")</f>
        <v>01-53-09-5</v>
      </c>
      <c r="B1347" s="36" t="str">
        <f>IFERROR(__xludf.DUMMYFUNCTION("""COMPUTED_VALUE"""),"")</f>
        <v/>
      </c>
      <c r="C1347" s="36" t="str">
        <f>IFERROR(__xludf.DUMMYFUNCTION("""COMPUTED_VALUE"""),"")</f>
        <v/>
      </c>
      <c r="D1347" s="36" t="str">
        <f>IFERROR(__xludf.DUMMYFUNCTION("""COMPUTED_VALUE"""),"")</f>
        <v/>
      </c>
      <c r="E1347" s="36" t="str">
        <f>IFERROR(__xludf.DUMMYFUNCTION("""COMPUTED_VALUE"""),"01-58-07-79B")</f>
        <v>01-58-07-79B</v>
      </c>
      <c r="F1347" s="36"/>
      <c r="G1347" s="36" t="str">
        <f>IFERROR(__xludf.DUMMYFUNCTION("""COMPUTED_VALUE"""),"Gral. Paz y 9 de Julio")</f>
        <v>Gral. Paz y 9 de Julio</v>
      </c>
      <c r="H1347" s="36" t="str">
        <f>IFERROR(__xludf.DUMMYFUNCTION("""COMPUTED_VALUE"""),"")</f>
        <v/>
      </c>
    </row>
    <row r="1348">
      <c r="A1348" s="36" t="str">
        <f>IFERROR(__xludf.DUMMYFUNCTION("""COMPUTED_VALUE"""),"01-53-09-6")</f>
        <v>01-53-09-6</v>
      </c>
      <c r="B1348" s="36" t="str">
        <f>IFERROR(__xludf.DUMMYFUNCTION("""COMPUTED_VALUE"""),"")</f>
        <v/>
      </c>
      <c r="C1348" s="36" t="str">
        <f>IFERROR(__xludf.DUMMYFUNCTION("""COMPUTED_VALUE"""),"")</f>
        <v/>
      </c>
      <c r="D1348" s="36" t="str">
        <f>IFERROR(__xludf.DUMMYFUNCTION("""COMPUTED_VALUE"""),"")</f>
        <v/>
      </c>
      <c r="E1348" s="36" t="str">
        <f>IFERROR(__xludf.DUMMYFUNCTION("""COMPUTED_VALUE"""),"01-52-08-23")</f>
        <v>01-52-08-23</v>
      </c>
      <c r="F1348" s="36"/>
      <c r="G1348" s="36" t="str">
        <f>IFERROR(__xludf.DUMMYFUNCTION("""COMPUTED_VALUE"""),"Gral. Paz y Av. Rioja")</f>
        <v>Gral. Paz y Av. Rioja</v>
      </c>
      <c r="H1348" s="36" t="str">
        <f>IFERROR(__xludf.DUMMYFUNCTION("""COMPUTED_VALUE"""),"")</f>
        <v/>
      </c>
    </row>
    <row r="1349">
      <c r="A1349" s="36" t="str">
        <f>IFERROR(__xludf.DUMMYFUNCTION("""COMPUTED_VALUE"""),"01-53-09-7")</f>
        <v>01-53-09-7</v>
      </c>
      <c r="B1349" s="36" t="str">
        <f>IFERROR(__xludf.DUMMYFUNCTION("""COMPUTED_VALUE"""),"")</f>
        <v/>
      </c>
      <c r="C1349" s="36" t="str">
        <f>IFERROR(__xludf.DUMMYFUNCTION("""COMPUTED_VALUE"""),"")</f>
        <v/>
      </c>
      <c r="D1349" s="36" t="str">
        <f>IFERROR(__xludf.DUMMYFUNCTION("""COMPUTED_VALUE"""),"")</f>
        <v/>
      </c>
      <c r="E1349" s="36" t="str">
        <f>IFERROR(__xludf.DUMMYFUNCTION("""COMPUTED_VALUE"""),"01-52-08-26")</f>
        <v>01-52-08-26</v>
      </c>
      <c r="F1349" s="36"/>
      <c r="G1349" s="36" t="str">
        <f>IFERROR(__xludf.DUMMYFUNCTION("""COMPUTED_VALUE"""),"Gral. Paz y Caseros")</f>
        <v>Gral. Paz y Caseros</v>
      </c>
      <c r="H1349" s="36" t="str">
        <f>IFERROR(__xludf.DUMMYFUNCTION("""COMPUTED_VALUE"""),"")</f>
        <v/>
      </c>
    </row>
    <row r="1350">
      <c r="A1350" s="36" t="str">
        <f>IFERROR(__xludf.DUMMYFUNCTION("""COMPUTED_VALUE"""),"01-53-09-8")</f>
        <v>01-53-09-8</v>
      </c>
      <c r="B1350" s="36" t="str">
        <f>IFERROR(__xludf.DUMMYFUNCTION("""COMPUTED_VALUE"""),"")</f>
        <v/>
      </c>
      <c r="C1350" s="36" t="str">
        <f>IFERROR(__xludf.DUMMYFUNCTION("""COMPUTED_VALUE"""),"")</f>
        <v/>
      </c>
      <c r="D1350" s="36" t="str">
        <f>IFERROR(__xludf.DUMMYFUNCTION("""COMPUTED_VALUE"""),"")</f>
        <v/>
      </c>
      <c r="E1350" s="36" t="str">
        <f>IFERROR(__xludf.DUMMYFUNCTION("""COMPUTED_VALUE"""),"01-51-08-20C")</f>
        <v>01-51-08-20C</v>
      </c>
      <c r="F1350" s="36"/>
      <c r="G1350" s="36" t="str">
        <f>IFERROR(__xludf.DUMMYFUNCTION("""COMPUTED_VALUE"""),"Gral. Paz y Catamarca")</f>
        <v>Gral. Paz y Catamarca</v>
      </c>
      <c r="H1350" s="36" t="str">
        <f>IFERROR(__xludf.DUMMYFUNCTION("""COMPUTED_VALUE"""),"")</f>
        <v/>
      </c>
    </row>
    <row r="1351">
      <c r="A1351" s="36" t="str">
        <f>IFERROR(__xludf.DUMMYFUNCTION("""COMPUTED_VALUE"""),"01-53-09-9")</f>
        <v>01-53-09-9</v>
      </c>
      <c r="B1351" s="36" t="str">
        <f>IFERROR(__xludf.DUMMYFUNCTION("""COMPUTED_VALUE"""),"")</f>
        <v/>
      </c>
      <c r="C1351" s="36" t="str">
        <f>IFERROR(__xludf.DUMMYFUNCTION("""COMPUTED_VALUE"""),"")</f>
        <v/>
      </c>
      <c r="D1351" s="36" t="str">
        <f>IFERROR(__xludf.DUMMYFUNCTION("""COMPUTED_VALUE"""),"")</f>
        <v/>
      </c>
      <c r="E1351" s="36" t="str">
        <f>IFERROR(__xludf.DUMMYFUNCTION("""COMPUTED_VALUE"""),"01-52-08-21B")</f>
        <v>01-52-08-21B</v>
      </c>
      <c r="F1351" s="36"/>
      <c r="G1351" s="36" t="str">
        <f>IFERROR(__xludf.DUMMYFUNCTION("""COMPUTED_VALUE"""),"Gral. Paz y Gral. Acha")</f>
        <v>Gral. Paz y Gral. Acha</v>
      </c>
      <c r="H1351" s="36" t="str">
        <f>IFERROR(__xludf.DUMMYFUNCTION("""COMPUTED_VALUE"""),"")</f>
        <v/>
      </c>
    </row>
    <row r="1352">
      <c r="A1352" s="36" t="str">
        <f>IFERROR(__xludf.DUMMYFUNCTION("""COMPUTED_VALUE"""),"01-53-09-9A")</f>
        <v>01-53-09-9A</v>
      </c>
      <c r="B1352" s="36" t="str">
        <f>IFERROR(__xludf.DUMMYFUNCTION("""COMPUTED_VALUE"""),"")</f>
        <v/>
      </c>
      <c r="C1352" s="36" t="str">
        <f>IFERROR(__xludf.DUMMYFUNCTION("""COMPUTED_VALUE"""),"")</f>
        <v/>
      </c>
      <c r="D1352" s="36" t="str">
        <f>IFERROR(__xludf.DUMMYFUNCTION("""COMPUTED_VALUE"""),"")</f>
        <v/>
      </c>
      <c r="E1352" s="36" t="str">
        <f>IFERROR(__xludf.DUMMYFUNCTION("""COMPUTED_VALUE"""),"01-53-08-26A")</f>
        <v>01-53-08-26A</v>
      </c>
      <c r="F1352" s="36"/>
      <c r="G1352" s="36" t="str">
        <f>IFERROR(__xludf.DUMMYFUNCTION("""COMPUTED_VALUE"""),"Gral. Paz y Güemes")</f>
        <v>Gral. Paz y Güemes</v>
      </c>
      <c r="H1352" s="36" t="str">
        <f>IFERROR(__xludf.DUMMYFUNCTION("""COMPUTED_VALUE"""),"")</f>
        <v/>
      </c>
    </row>
    <row r="1353">
      <c r="A1353" s="36" t="str">
        <f>IFERROR(__xludf.DUMMYFUNCTION("""COMPUTED_VALUE"""),"01-54-09-32")</f>
        <v>01-54-09-32</v>
      </c>
      <c r="B1353" s="36" t="str">
        <f>IFERROR(__xludf.DUMMYFUNCTION("""COMPUTED_VALUE"""),"")</f>
        <v/>
      </c>
      <c r="C1353" s="36" t="str">
        <f>IFERROR(__xludf.DUMMYFUNCTION("""COMPUTED_VALUE"""),"")</f>
        <v/>
      </c>
      <c r="D1353" s="36" t="str">
        <f>IFERROR(__xludf.DUMMYFUNCTION("""COMPUTED_VALUE"""),"")</f>
        <v/>
      </c>
      <c r="E1353" s="36" t="str">
        <f>IFERROR(__xludf.DUMMYFUNCTION("""COMPUTED_VALUE"""),"01-58-07-79A")</f>
        <v>01-58-07-79A</v>
      </c>
      <c r="F1353" s="36"/>
      <c r="G1353" s="36" t="str">
        <f>IFERROR(__xludf.DUMMYFUNCTION("""COMPUTED_VALUE"""),"Gral. Paz y Hudson ")</f>
        <v>Gral. Paz y Hudson </v>
      </c>
      <c r="H1353" s="36" t="str">
        <f>IFERROR(__xludf.DUMMYFUNCTION("""COMPUTED_VALUE"""),"")</f>
        <v/>
      </c>
    </row>
    <row r="1354">
      <c r="A1354" s="36" t="str">
        <f>IFERROR(__xludf.DUMMYFUNCTION("""COMPUTED_VALUE"""),"03-20-09-109F")</f>
        <v>03-20-09-109F</v>
      </c>
      <c r="B1354" s="36" t="str">
        <f>IFERROR(__xludf.DUMMYFUNCTION("""COMPUTED_VALUE"""),"")</f>
        <v/>
      </c>
      <c r="C1354" s="36" t="str">
        <f>IFERROR(__xludf.DUMMYFUNCTION("""COMPUTED_VALUE"""),"")</f>
        <v/>
      </c>
      <c r="D1354" s="36" t="str">
        <f>IFERROR(__xludf.DUMMYFUNCTION("""COMPUTED_VALUE"""),"")</f>
        <v/>
      </c>
      <c r="E1354" s="36" t="str">
        <f>IFERROR(__xludf.DUMMYFUNCTION("""COMPUTED_VALUE"""),"01-51-08-20")</f>
        <v>01-51-08-20</v>
      </c>
      <c r="F1354" s="36"/>
      <c r="G1354" s="36" t="str">
        <f>IFERROR(__xludf.DUMMYFUNCTION("""COMPUTED_VALUE"""),"Gral. Paz y Mendoza")</f>
        <v>Gral. Paz y Mendoza</v>
      </c>
      <c r="H1354" s="36" t="str">
        <f>IFERROR(__xludf.DUMMYFUNCTION("""COMPUTED_VALUE"""),"")</f>
        <v/>
      </c>
    </row>
    <row r="1355">
      <c r="A1355" s="36" t="str">
        <f>IFERROR(__xludf.DUMMYFUNCTION("""COMPUTED_VALUE"""),"03-20-09-109I")</f>
        <v>03-20-09-109I</v>
      </c>
      <c r="B1355" s="36" t="str">
        <f>IFERROR(__xludf.DUMMYFUNCTION("""COMPUTED_VALUE"""),"")</f>
        <v/>
      </c>
      <c r="C1355" s="36" t="str">
        <f>IFERROR(__xludf.DUMMYFUNCTION("""COMPUTED_VALUE"""),"")</f>
        <v/>
      </c>
      <c r="D1355" s="36" t="str">
        <f>IFERROR(__xludf.DUMMYFUNCTION("""COMPUTED_VALUE"""),"")</f>
        <v/>
      </c>
      <c r="E1355" s="36" t="str">
        <f>IFERROR(__xludf.DUMMYFUNCTION("""COMPUTED_VALUE"""),"03-32-09-50A")</f>
        <v>03-32-09-50A</v>
      </c>
      <c r="F1355" s="36"/>
      <c r="G1355" s="36" t="str">
        <f>IFERROR(__xludf.DUMMYFUNCTION("""COMPUTED_VALUE"""),"Gral. Paz y Ramón Franco")</f>
        <v>Gral. Paz y Ramón Franco</v>
      </c>
      <c r="H1355" s="36" t="str">
        <f>IFERROR(__xludf.DUMMYFUNCTION("""COMPUTED_VALUE"""),"")</f>
        <v/>
      </c>
    </row>
    <row r="1356">
      <c r="A1356" s="36" t="str">
        <f>IFERROR(__xludf.DUMMYFUNCTION("""COMPUTED_VALUE"""),"03-20-09-109J")</f>
        <v>03-20-09-109J</v>
      </c>
      <c r="B1356" s="36" t="str">
        <f>IFERROR(__xludf.DUMMYFUNCTION("""COMPUTED_VALUE"""),"")</f>
        <v/>
      </c>
      <c r="C1356" s="36" t="str">
        <f>IFERROR(__xludf.DUMMYFUNCTION("""COMPUTED_VALUE"""),"")</f>
        <v/>
      </c>
      <c r="D1356" s="36" t="str">
        <f>IFERROR(__xludf.DUMMYFUNCTION("""COMPUTED_VALUE"""),"")</f>
        <v/>
      </c>
      <c r="E1356" s="36" t="str">
        <f>IFERROR(__xludf.DUMMYFUNCTION("""COMPUTED_VALUE"""),"01-51-08-20B")</f>
        <v>01-51-08-20B</v>
      </c>
      <c r="F1356" s="36"/>
      <c r="G1356" s="36" t="str">
        <f>IFERROR(__xludf.DUMMYFUNCTION("""COMPUTED_VALUE"""),"Gral. Paz y Sarmiento")</f>
        <v>Gral. Paz y Sarmiento</v>
      </c>
      <c r="H1356" s="36" t="str">
        <f>IFERROR(__xludf.DUMMYFUNCTION("""COMPUTED_VALUE"""),"")</f>
        <v/>
      </c>
    </row>
    <row r="1357">
      <c r="A1357" s="36" t="str">
        <f>IFERROR(__xludf.DUMMYFUNCTION("""COMPUTED_VALUE"""),"03-20-09-109K")</f>
        <v>03-20-09-109K</v>
      </c>
      <c r="B1357" s="36" t="str">
        <f>IFERROR(__xludf.DUMMYFUNCTION("""COMPUTED_VALUE"""),"")</f>
        <v/>
      </c>
      <c r="C1357" s="36" t="str">
        <f>IFERROR(__xludf.DUMMYFUNCTION("""COMPUTED_VALUE"""),"")</f>
        <v/>
      </c>
      <c r="D1357" s="36" t="str">
        <f>IFERROR(__xludf.DUMMYFUNCTION("""COMPUTED_VALUE"""),"")</f>
        <v/>
      </c>
      <c r="E1357" s="36" t="str">
        <f>IFERROR(__xludf.DUMMYFUNCTION("""COMPUTED_VALUE"""),"01-47-12-297")</f>
        <v>01-47-12-297</v>
      </c>
      <c r="F1357" s="36"/>
      <c r="G1357" s="36" t="str">
        <f>IFERROR(__xludf.DUMMYFUNCTION("""COMPUTED_VALUE"""),"Gral. Soler y Córdoba")</f>
        <v>Gral. Soler y Córdoba</v>
      </c>
      <c r="H1357" s="36" t="str">
        <f>IFERROR(__xludf.DUMMYFUNCTION("""COMPUTED_VALUE"""),"")</f>
        <v/>
      </c>
    </row>
    <row r="1358">
      <c r="A1358" s="36" t="str">
        <f>IFERROR(__xludf.DUMMYFUNCTION("""COMPUTED_VALUE"""),"03-20-09-109L")</f>
        <v>03-20-09-109L</v>
      </c>
      <c r="B1358" s="36" t="str">
        <f>IFERROR(__xludf.DUMMYFUNCTION("""COMPUTED_VALUE"""),"")</f>
        <v/>
      </c>
      <c r="C1358" s="36" t="str">
        <f>IFERROR(__xludf.DUMMYFUNCTION("""COMPUTED_VALUE"""),"")</f>
        <v/>
      </c>
      <c r="D1358" s="36" t="str">
        <f>IFERROR(__xludf.DUMMYFUNCTION("""COMPUTED_VALUE"""),"")</f>
        <v/>
      </c>
      <c r="E1358" s="36" t="str">
        <f>IFERROR(__xludf.DUMMYFUNCTION("""COMPUTED_VALUE"""),"02-29-07-109D")</f>
        <v>02-29-07-109D</v>
      </c>
      <c r="F1358" s="36"/>
      <c r="G1358" s="36" t="str">
        <f>IFERROR(__xludf.DUMMYFUNCTION("""COMPUTED_VALUE"""),"Granaderos y Balbín")</f>
        <v>Granaderos y Balbín</v>
      </c>
      <c r="H1358" s="36" t="str">
        <f>IFERROR(__xludf.DUMMYFUNCTION("""COMPUTED_VALUE"""),"")</f>
        <v/>
      </c>
    </row>
    <row r="1359">
      <c r="A1359" s="36" t="str">
        <f>IFERROR(__xludf.DUMMYFUNCTION("""COMPUTED_VALUE"""),"03-20-09-109Ñ")</f>
        <v>03-20-09-109Ñ</v>
      </c>
      <c r="B1359" s="36" t="str">
        <f>IFERROR(__xludf.DUMMYFUNCTION("""COMPUTED_VALUE"""),"")</f>
        <v/>
      </c>
      <c r="C1359" s="36" t="str">
        <f>IFERROR(__xludf.DUMMYFUNCTION("""COMPUTED_VALUE"""),"")</f>
        <v/>
      </c>
      <c r="D1359" s="36" t="str">
        <f>IFERROR(__xludf.DUMMYFUNCTION("""COMPUTED_VALUE"""),"")</f>
        <v/>
      </c>
      <c r="E1359" s="36" t="str">
        <f>IFERROR(__xludf.DUMMYFUNCTION("""COMPUTED_VALUE"""),"02-29-07-111")</f>
        <v>02-29-07-111</v>
      </c>
      <c r="F1359" s="36"/>
      <c r="G1359" s="36" t="str">
        <f>IFERROR(__xludf.DUMMYFUNCTION("""COMPUTED_VALUE"""),"Granaderos y Calle 942")</f>
        <v>Granaderos y Calle 942</v>
      </c>
      <c r="H1359" s="36" t="str">
        <f>IFERROR(__xludf.DUMMYFUNCTION("""COMPUTED_VALUE"""),"")</f>
        <v/>
      </c>
    </row>
    <row r="1360">
      <c r="A1360" s="36" t="str">
        <f>IFERROR(__xludf.DUMMYFUNCTION("""COMPUTED_VALUE"""),"03-20-09-116G")</f>
        <v>03-20-09-116G</v>
      </c>
      <c r="B1360" s="36" t="str">
        <f>IFERROR(__xludf.DUMMYFUNCTION("""COMPUTED_VALUE"""),"")</f>
        <v/>
      </c>
      <c r="C1360" s="36" t="str">
        <f>IFERROR(__xludf.DUMMYFUNCTION("""COMPUTED_VALUE"""),"")</f>
        <v/>
      </c>
      <c r="D1360" s="36" t="str">
        <f>IFERROR(__xludf.DUMMYFUNCTION("""COMPUTED_VALUE"""),"")</f>
        <v/>
      </c>
      <c r="E1360" s="36" t="str">
        <f>IFERROR(__xludf.DUMMYFUNCTION("""COMPUTED_VALUE"""),"02-29-07-109E")</f>
        <v>02-29-07-109E</v>
      </c>
      <c r="F1360" s="36"/>
      <c r="G1360" s="36" t="str">
        <f>IFERROR(__xludf.DUMMYFUNCTION("""COMPUTED_VALUE"""),"Granaderos y Calle Española")</f>
        <v>Granaderos y Calle Española</v>
      </c>
      <c r="H1360" s="36" t="str">
        <f>IFERROR(__xludf.DUMMYFUNCTION("""COMPUTED_VALUE"""),"")</f>
        <v/>
      </c>
    </row>
    <row r="1361">
      <c r="A1361" s="36" t="str">
        <f>IFERROR(__xludf.DUMMYFUNCTION("""COMPUTED_VALUE"""),"03-20-09-116I")</f>
        <v>03-20-09-116I</v>
      </c>
      <c r="B1361" s="36" t="str">
        <f>IFERROR(__xludf.DUMMYFUNCTION("""COMPUTED_VALUE"""),"")</f>
        <v/>
      </c>
      <c r="C1361" s="36" t="str">
        <f>IFERROR(__xludf.DUMMYFUNCTION("""COMPUTED_VALUE"""),"")</f>
        <v/>
      </c>
      <c r="D1361" s="36" t="str">
        <f>IFERROR(__xludf.DUMMYFUNCTION("""COMPUTED_VALUE"""),"")</f>
        <v/>
      </c>
      <c r="E1361" s="36" t="str">
        <f>IFERROR(__xludf.DUMMYFUNCTION("""COMPUTED_VALUE"""),"02-29-07-109F")</f>
        <v>02-29-07-109F</v>
      </c>
      <c r="F1361" s="36"/>
      <c r="G1361" s="36" t="str">
        <f>IFERROR(__xludf.DUMMYFUNCTION("""COMPUTED_VALUE"""),"Granaderos y Laprida")</f>
        <v>Granaderos y Laprida</v>
      </c>
      <c r="H1361" s="36" t="str">
        <f>IFERROR(__xludf.DUMMYFUNCTION("""COMPUTED_VALUE"""),"")</f>
        <v/>
      </c>
    </row>
    <row r="1362">
      <c r="A1362" s="36" t="str">
        <f>IFERROR(__xludf.DUMMYFUNCTION("""COMPUTED_VALUE"""),"03-20-09-116K")</f>
        <v>03-20-09-116K</v>
      </c>
      <c r="B1362" s="36" t="str">
        <f>IFERROR(__xludf.DUMMYFUNCTION("""COMPUTED_VALUE"""),"")</f>
        <v/>
      </c>
      <c r="C1362" s="36" t="str">
        <f>IFERROR(__xludf.DUMMYFUNCTION("""COMPUTED_VALUE"""),"")</f>
        <v/>
      </c>
      <c r="D1362" s="36" t="str">
        <f>IFERROR(__xludf.DUMMYFUNCTION("""COMPUTED_VALUE"""),"")</f>
        <v/>
      </c>
      <c r="E1362" s="36" t="str">
        <f>IFERROR(__xludf.DUMMYFUNCTION("""COMPUTED_VALUE"""),"02-29-07-109C")</f>
        <v>02-29-07-109C</v>
      </c>
      <c r="F1362" s="36"/>
      <c r="G1362" s="36" t="str">
        <f>IFERROR(__xludf.DUMMYFUNCTION("""COMPUTED_VALUE"""),"Granaderos y Larralde")</f>
        <v>Granaderos y Larralde</v>
      </c>
      <c r="H1362" s="36" t="str">
        <f>IFERROR(__xludf.DUMMYFUNCTION("""COMPUTED_VALUE"""),"")</f>
        <v/>
      </c>
    </row>
    <row r="1363">
      <c r="A1363" s="36" t="str">
        <f>IFERROR(__xludf.DUMMYFUNCTION("""COMPUTED_VALUE"""),"03-20-09-116M")</f>
        <v>03-20-09-116M</v>
      </c>
      <c r="B1363" s="36" t="str">
        <f>IFERROR(__xludf.DUMMYFUNCTION("""COMPUTED_VALUE"""),"")</f>
        <v/>
      </c>
      <c r="C1363" s="36" t="str">
        <f>IFERROR(__xludf.DUMMYFUNCTION("""COMPUTED_VALUE"""),"")</f>
        <v/>
      </c>
      <c r="D1363" s="36" t="str">
        <f>IFERROR(__xludf.DUMMYFUNCTION("""COMPUTED_VALUE"""),"")</f>
        <v/>
      </c>
      <c r="E1363" s="36" t="str">
        <f>IFERROR(__xludf.DUMMYFUNCTION("""COMPUTED_VALUE"""),"02-29-07-109")</f>
        <v>02-29-07-109</v>
      </c>
      <c r="F1363" s="36"/>
      <c r="G1363" s="36" t="str">
        <f>IFERROR(__xludf.DUMMYFUNCTION("""COMPUTED_VALUE"""),"Granaderos y Paula A. de Sarmiento")</f>
        <v>Granaderos y Paula A. de Sarmiento</v>
      </c>
      <c r="H1363" s="36" t="str">
        <f>IFERROR(__xludf.DUMMYFUNCTION("""COMPUTED_VALUE"""),"")</f>
        <v/>
      </c>
    </row>
    <row r="1364">
      <c r="A1364" s="36" t="str">
        <f>IFERROR(__xludf.DUMMYFUNCTION("""COMPUTED_VALUE"""),"03-20-09-116N")</f>
        <v>03-20-09-116N</v>
      </c>
      <c r="B1364" s="36" t="str">
        <f>IFERROR(__xludf.DUMMYFUNCTION("""COMPUTED_VALUE"""),"")</f>
        <v/>
      </c>
      <c r="C1364" s="36" t="str">
        <f>IFERROR(__xludf.DUMMYFUNCTION("""COMPUTED_VALUE"""),"")</f>
        <v/>
      </c>
      <c r="D1364" s="36" t="str">
        <f>IFERROR(__xludf.DUMMYFUNCTION("""COMPUTED_VALUE"""),"")</f>
        <v/>
      </c>
      <c r="E1364" s="36" t="str">
        <f>IFERROR(__xludf.DUMMYFUNCTION("""COMPUTED_VALUE"""),"02-29-07-110")</f>
        <v>02-29-07-110</v>
      </c>
      <c r="F1364" s="36"/>
      <c r="G1364" s="36" t="str">
        <f>IFERROR(__xludf.DUMMYFUNCTION("""COMPUTED_VALUE"""),"Granaderos y Plumerillo")</f>
        <v>Granaderos y Plumerillo</v>
      </c>
      <c r="H1364" s="36" t="str">
        <f>IFERROR(__xludf.DUMMYFUNCTION("""COMPUTED_VALUE"""),"")</f>
        <v/>
      </c>
    </row>
    <row r="1365">
      <c r="A1365" s="36" t="str">
        <f>IFERROR(__xludf.DUMMYFUNCTION("""COMPUTED_VALUE"""),"03-20-09-116Ñ")</f>
        <v>03-20-09-116Ñ</v>
      </c>
      <c r="B1365" s="36" t="str">
        <f>IFERROR(__xludf.DUMMYFUNCTION("""COMPUTED_VALUE"""),"")</f>
        <v/>
      </c>
      <c r="C1365" s="36" t="str">
        <f>IFERROR(__xludf.DUMMYFUNCTION("""COMPUTED_VALUE"""),"")</f>
        <v/>
      </c>
      <c r="D1365" s="36" t="str">
        <f>IFERROR(__xludf.DUMMYFUNCTION("""COMPUTED_VALUE"""),"")</f>
        <v/>
      </c>
      <c r="E1365" s="36" t="str">
        <f>IFERROR(__xludf.DUMMYFUNCTION("""COMPUTED_VALUE"""),"02-29-07-109B")</f>
        <v>02-29-07-109B</v>
      </c>
      <c r="F1365" s="36"/>
      <c r="G1365" s="36" t="str">
        <f>IFERROR(__xludf.DUMMYFUNCTION("""COMPUTED_VALUE"""),"Granaderos y Roque Carranza")</f>
        <v>Granaderos y Roque Carranza</v>
      </c>
      <c r="H1365" s="36" t="str">
        <f>IFERROR(__xludf.DUMMYFUNCTION("""COMPUTED_VALUE"""),"")</f>
        <v/>
      </c>
    </row>
    <row r="1366">
      <c r="A1366" s="36" t="str">
        <f>IFERROR(__xludf.DUMMYFUNCTION("""COMPUTED_VALUE"""),"03-20-09-116O")</f>
        <v>03-20-09-116O</v>
      </c>
      <c r="B1366" s="36" t="str">
        <f>IFERROR(__xludf.DUMMYFUNCTION("""COMPUTED_VALUE"""),"")</f>
        <v/>
      </c>
      <c r="C1366" s="36" t="str">
        <f>IFERROR(__xludf.DUMMYFUNCTION("""COMPUTED_VALUE"""),"")</f>
        <v/>
      </c>
      <c r="D1366" s="36" t="str">
        <f>IFERROR(__xludf.DUMMYFUNCTION("""COMPUTED_VALUE"""),"")</f>
        <v/>
      </c>
      <c r="E1366" s="36" t="str">
        <f>IFERROR(__xludf.DUMMYFUNCTION("""COMPUTED_VALUE"""),"02-29-07-112A")</f>
        <v>02-29-07-112A</v>
      </c>
      <c r="F1366" s="36"/>
      <c r="G1366" s="36" t="str">
        <f>IFERROR(__xludf.DUMMYFUNCTION("""COMPUTED_VALUE"""),"Granaderos y Sargento Cabral")</f>
        <v>Granaderos y Sargento Cabral</v>
      </c>
      <c r="H1366" s="36" t="str">
        <f>IFERROR(__xludf.DUMMYFUNCTION("""COMPUTED_VALUE"""),"")</f>
        <v/>
      </c>
    </row>
    <row r="1367">
      <c r="A1367" s="36" t="str">
        <f>IFERROR(__xludf.DUMMYFUNCTION("""COMPUTED_VALUE"""),"03-20-09-116P")</f>
        <v>03-20-09-116P</v>
      </c>
      <c r="B1367" s="36" t="str">
        <f>IFERROR(__xludf.DUMMYFUNCTION("""COMPUTED_VALUE"""),"")</f>
        <v/>
      </c>
      <c r="C1367" s="36" t="str">
        <f>IFERROR(__xludf.DUMMYFUNCTION("""COMPUTED_VALUE"""),"")</f>
        <v/>
      </c>
      <c r="D1367" s="36" t="str">
        <f>IFERROR(__xludf.DUMMYFUNCTION("""COMPUTED_VALUE"""),"")</f>
        <v/>
      </c>
      <c r="E1367" s="36" t="str">
        <f>IFERROR(__xludf.DUMMYFUNCTION("""COMPUTED_VALUE"""),"08-23-04-90A")</f>
        <v>08-23-04-90A</v>
      </c>
      <c r="F1367" s="36"/>
      <c r="G1367" s="36" t="str">
        <f>IFERROR(__xludf.DUMMYFUNCTION("""COMPUTED_VALUE"""),"Grecco y Av. N. Benavídez")</f>
        <v>Grecco y Av. N. Benavídez</v>
      </c>
      <c r="H1367" s="36" t="str">
        <f>IFERROR(__xludf.DUMMYFUNCTION("""COMPUTED_VALUE"""),"")</f>
        <v/>
      </c>
    </row>
    <row r="1368">
      <c r="A1368" s="36" t="str">
        <f>IFERROR(__xludf.DUMMYFUNCTION("""COMPUTED_VALUE"""),"03-20-09-116Q")</f>
        <v>03-20-09-116Q</v>
      </c>
      <c r="B1368" s="36" t="str">
        <f>IFERROR(__xludf.DUMMYFUNCTION("""COMPUTED_VALUE"""),"")</f>
        <v/>
      </c>
      <c r="C1368" s="36" t="str">
        <f>IFERROR(__xludf.DUMMYFUNCTION("""COMPUTED_VALUE"""),"")</f>
        <v/>
      </c>
      <c r="D1368" s="36" t="str">
        <f>IFERROR(__xludf.DUMMYFUNCTION("""COMPUTED_VALUE"""),"")</f>
        <v/>
      </c>
      <c r="E1368" s="36" t="str">
        <f>IFERROR(__xludf.DUMMYFUNCTION("""COMPUTED_VALUE"""),"08-23-04-89")</f>
        <v>08-23-04-89</v>
      </c>
      <c r="F1368" s="36"/>
      <c r="G1368" s="36" t="str">
        <f>IFERROR(__xludf.DUMMYFUNCTION("""COMPUTED_VALUE"""),"Grecco y Esmeralda E")</f>
        <v>Grecco y Esmeralda E</v>
      </c>
      <c r="H1368" s="36" t="str">
        <f>IFERROR(__xludf.DUMMYFUNCTION("""COMPUTED_VALUE"""),"")</f>
        <v/>
      </c>
    </row>
    <row r="1369">
      <c r="A1369" s="36" t="str">
        <f>IFERROR(__xludf.DUMMYFUNCTION("""COMPUTED_VALUE"""),"03-20-09-116R")</f>
        <v>03-20-09-116R</v>
      </c>
      <c r="B1369" s="36" t="str">
        <f>IFERROR(__xludf.DUMMYFUNCTION("""COMPUTED_VALUE"""),"")</f>
        <v/>
      </c>
      <c r="C1369" s="36" t="str">
        <f>IFERROR(__xludf.DUMMYFUNCTION("""COMPUTED_VALUE"""),"")</f>
        <v/>
      </c>
      <c r="D1369" s="36" t="str">
        <f>IFERROR(__xludf.DUMMYFUNCTION("""COMPUTED_VALUE"""),"")</f>
        <v/>
      </c>
      <c r="E1369" s="36" t="str">
        <f>IFERROR(__xludf.DUMMYFUNCTION("""COMPUTED_VALUE"""),"08-23-04-88")</f>
        <v>08-23-04-88</v>
      </c>
      <c r="F1369" s="36"/>
      <c r="G1369" s="36" t="str">
        <f>IFERROR(__xludf.DUMMYFUNCTION("""COMPUTED_VALUE"""),"Grecco y Esmeralda O")</f>
        <v>Grecco y Esmeralda O</v>
      </c>
      <c r="H1369" s="36" t="str">
        <f>IFERROR(__xludf.DUMMYFUNCTION("""COMPUTED_VALUE"""),"")</f>
        <v/>
      </c>
    </row>
    <row r="1370">
      <c r="A1370" s="36" t="str">
        <f>IFERROR(__xludf.DUMMYFUNCTION("""COMPUTED_VALUE"""),"03-20-09-116S")</f>
        <v>03-20-09-116S</v>
      </c>
      <c r="B1370" s="36" t="str">
        <f>IFERROR(__xludf.DUMMYFUNCTION("""COMPUTED_VALUE"""),"")</f>
        <v/>
      </c>
      <c r="C1370" s="36" t="str">
        <f>IFERROR(__xludf.DUMMYFUNCTION("""COMPUTED_VALUE"""),"")</f>
        <v/>
      </c>
      <c r="D1370" s="36" t="str">
        <f>IFERROR(__xludf.DUMMYFUNCTION("""COMPUTED_VALUE"""),"")</f>
        <v/>
      </c>
      <c r="E1370" s="36" t="str">
        <f>IFERROR(__xludf.DUMMYFUNCTION("""COMPUTED_VALUE"""),"08-23-04-87")</f>
        <v>08-23-04-87</v>
      </c>
      <c r="F1370" s="36"/>
      <c r="G1370" s="36" t="str">
        <f>IFERROR(__xludf.DUMMYFUNCTION("""COMPUTED_VALUE"""),"Grecco y Patagonia")</f>
        <v>Grecco y Patagonia</v>
      </c>
      <c r="H1370" s="36" t="str">
        <f>IFERROR(__xludf.DUMMYFUNCTION("""COMPUTED_VALUE"""),"")</f>
        <v/>
      </c>
    </row>
    <row r="1371">
      <c r="A1371" s="36" t="str">
        <f>IFERROR(__xludf.DUMMYFUNCTION("""COMPUTED_VALUE"""),"03-20-09-116T")</f>
        <v>03-20-09-116T</v>
      </c>
      <c r="B1371" s="36" t="str">
        <f>IFERROR(__xludf.DUMMYFUNCTION("""COMPUTED_VALUE"""),"")</f>
        <v/>
      </c>
      <c r="C1371" s="36" t="str">
        <f>IFERROR(__xludf.DUMMYFUNCTION("""COMPUTED_VALUE"""),"")</f>
        <v/>
      </c>
      <c r="D1371" s="36" t="str">
        <f>IFERROR(__xludf.DUMMYFUNCTION("""COMPUTED_VALUE"""),"")</f>
        <v/>
      </c>
      <c r="E1371" s="36" t="str">
        <f>IFERROR(__xludf.DUMMYFUNCTION("""COMPUTED_VALUE"""),"04-35-12-15B")</f>
        <v>04-35-12-15B</v>
      </c>
      <c r="F1371" s="36"/>
      <c r="G1371" s="36" t="str">
        <f>IFERROR(__xludf.DUMMYFUNCTION("""COMPUTED_VALUE"""),"Guayaquil y Andrade")</f>
        <v>Guayaquil y Andrade</v>
      </c>
      <c r="H1371" s="36" t="str">
        <f>IFERROR(__xludf.DUMMYFUNCTION("""COMPUTED_VALUE"""),"")</f>
        <v/>
      </c>
    </row>
    <row r="1372">
      <c r="A1372" s="36" t="str">
        <f>IFERROR(__xludf.DUMMYFUNCTION("""COMPUTED_VALUE"""),"03-20-09-116U")</f>
        <v>03-20-09-116U</v>
      </c>
      <c r="B1372" s="36" t="str">
        <f>IFERROR(__xludf.DUMMYFUNCTION("""COMPUTED_VALUE"""),"")</f>
        <v/>
      </c>
      <c r="C1372" s="36" t="str">
        <f>IFERROR(__xludf.DUMMYFUNCTION("""COMPUTED_VALUE"""),"")</f>
        <v/>
      </c>
      <c r="D1372" s="36" t="str">
        <f>IFERROR(__xludf.DUMMYFUNCTION("""COMPUTED_VALUE"""),"")</f>
        <v/>
      </c>
      <c r="E1372" s="36" t="str">
        <f>IFERROR(__xludf.DUMMYFUNCTION("""COMPUTED_VALUE"""),"04-35-12-15A")</f>
        <v>04-35-12-15A</v>
      </c>
      <c r="F1372" s="36"/>
      <c r="G1372" s="36" t="str">
        <f>IFERROR(__xludf.DUMMYFUNCTION("""COMPUTED_VALUE"""),"Guayaquil y Esmeralda")</f>
        <v>Guayaquil y Esmeralda</v>
      </c>
      <c r="H1372" s="36" t="str">
        <f>IFERROR(__xludf.DUMMYFUNCTION("""COMPUTED_VALUE"""),"")</f>
        <v/>
      </c>
    </row>
    <row r="1373">
      <c r="A1373" s="36" t="str">
        <f>IFERROR(__xludf.DUMMYFUNCTION("""COMPUTED_VALUE"""),"03-20-09-116V")</f>
        <v>03-20-09-116V</v>
      </c>
      <c r="B1373" s="36" t="str">
        <f>IFERROR(__xludf.DUMMYFUNCTION("""COMPUTED_VALUE"""),"")</f>
        <v/>
      </c>
      <c r="C1373" s="36" t="str">
        <f>IFERROR(__xludf.DUMMYFUNCTION("""COMPUTED_VALUE"""),"")</f>
        <v/>
      </c>
      <c r="D1373" s="36" t="str">
        <f>IFERROR(__xludf.DUMMYFUNCTION("""COMPUTED_VALUE"""),"")</f>
        <v/>
      </c>
      <c r="E1373" s="36" t="str">
        <f>IFERROR(__xludf.DUMMYFUNCTION("""COMPUTED_VALUE"""),"04-35-12-15D")</f>
        <v>04-35-12-15D</v>
      </c>
      <c r="F1373" s="36"/>
      <c r="G1373" s="36" t="str">
        <f>IFERROR(__xludf.DUMMYFUNCTION("""COMPUTED_VALUE"""),"Guayaquil y Radio Cooperativa")</f>
        <v>Guayaquil y Radio Cooperativa</v>
      </c>
      <c r="H1373" s="36" t="str">
        <f>IFERROR(__xludf.DUMMYFUNCTION("""COMPUTED_VALUE"""),"")</f>
        <v/>
      </c>
    </row>
    <row r="1374">
      <c r="A1374" s="36" t="str">
        <f>IFERROR(__xludf.DUMMYFUNCTION("""COMPUTED_VALUE"""),"03-20-09-116W")</f>
        <v>03-20-09-116W</v>
      </c>
      <c r="B1374" s="36" t="str">
        <f>IFERROR(__xludf.DUMMYFUNCTION("""COMPUTED_VALUE"""),"")</f>
        <v/>
      </c>
      <c r="C1374" s="36" t="str">
        <f>IFERROR(__xludf.DUMMYFUNCTION("""COMPUTED_VALUE"""),"")</f>
        <v/>
      </c>
      <c r="D1374" s="36" t="str">
        <f>IFERROR(__xludf.DUMMYFUNCTION("""COMPUTED_VALUE"""),"")</f>
        <v/>
      </c>
      <c r="E1374" s="36" t="str">
        <f>IFERROR(__xludf.DUMMYFUNCTION("""COMPUTED_VALUE"""),"04-35-12-15E")</f>
        <v>04-35-12-15E</v>
      </c>
      <c r="F1374" s="36"/>
      <c r="G1374" s="36" t="str">
        <f>IFERROR(__xludf.DUMMYFUNCTION("""COMPUTED_VALUE"""),"Guayaquil y Río de la Plata")</f>
        <v>Guayaquil y Río de la Plata</v>
      </c>
      <c r="H1374" s="36" t="str">
        <f>IFERROR(__xludf.DUMMYFUNCTION("""COMPUTED_VALUE"""),"")</f>
        <v/>
      </c>
    </row>
    <row r="1375">
      <c r="A1375" s="36" t="str">
        <f>IFERROR(__xludf.DUMMYFUNCTION("""COMPUTED_VALUE"""),"03-20-09-116Y")</f>
        <v>03-20-09-116Y</v>
      </c>
      <c r="B1375" s="36" t="str">
        <f>IFERROR(__xludf.DUMMYFUNCTION("""COMPUTED_VALUE"""),"")</f>
        <v/>
      </c>
      <c r="C1375" s="36" t="str">
        <f>IFERROR(__xludf.DUMMYFUNCTION("""COMPUTED_VALUE"""),"")</f>
        <v/>
      </c>
      <c r="D1375" s="36" t="str">
        <f>IFERROR(__xludf.DUMMYFUNCTION("""COMPUTED_VALUE"""),"")</f>
        <v/>
      </c>
      <c r="E1375" s="36" t="str">
        <f>IFERROR(__xludf.DUMMYFUNCTION("""COMPUTED_VALUE"""),"01-40-08-38A")</f>
        <v>01-40-08-38A</v>
      </c>
      <c r="F1375" s="36"/>
      <c r="G1375" s="36" t="str">
        <f>IFERROR(__xludf.DUMMYFUNCTION("""COMPUTED_VALUE"""),"Güemes y Av. Libertador")</f>
        <v>Güemes y Av. Libertador</v>
      </c>
      <c r="H1375" s="36" t="str">
        <f>IFERROR(__xludf.DUMMYFUNCTION("""COMPUTED_VALUE"""),"")</f>
        <v/>
      </c>
    </row>
    <row r="1376">
      <c r="A1376" s="36" t="str">
        <f>IFERROR(__xludf.DUMMYFUNCTION("""COMPUTED_VALUE"""),"03-20-09-211")</f>
        <v>03-20-09-211</v>
      </c>
      <c r="B1376" s="36" t="str">
        <f>IFERROR(__xludf.DUMMYFUNCTION("""COMPUTED_VALUE"""),"")</f>
        <v/>
      </c>
      <c r="C1376" s="36" t="str">
        <f>IFERROR(__xludf.DUMMYFUNCTION("""COMPUTED_VALUE"""),"")</f>
        <v/>
      </c>
      <c r="D1376" s="36" t="str">
        <f>IFERROR(__xludf.DUMMYFUNCTION("""COMPUTED_VALUE"""),"")</f>
        <v/>
      </c>
      <c r="E1376" s="36" t="str">
        <f>IFERROR(__xludf.DUMMYFUNCTION("""COMPUTED_VALUE"""),"01-55-13-256")</f>
        <v>01-55-13-256</v>
      </c>
      <c r="F1376" s="36"/>
      <c r="G1376" s="36" t="str">
        <f>IFERROR(__xludf.DUMMYFUNCTION("""COMPUTED_VALUE"""),"Güemes y Belgrano")</f>
        <v>Güemes y Belgrano</v>
      </c>
      <c r="H1376" s="36" t="str">
        <f>IFERROR(__xludf.DUMMYFUNCTION("""COMPUTED_VALUE"""),"NOMBRE")</f>
        <v>NOMBRE</v>
      </c>
    </row>
    <row r="1377">
      <c r="A1377" s="36" t="str">
        <f>IFERROR(__xludf.DUMMYFUNCTION("""COMPUTED_VALUE"""),"03-20-09-212")</f>
        <v>03-20-09-212</v>
      </c>
      <c r="B1377" s="36" t="str">
        <f>IFERROR(__xludf.DUMMYFUNCTION("""COMPUTED_VALUE"""),"")</f>
        <v/>
      </c>
      <c r="C1377" s="36" t="str">
        <f>IFERROR(__xludf.DUMMYFUNCTION("""COMPUTED_VALUE"""),"")</f>
        <v/>
      </c>
      <c r="D1377" s="36" t="str">
        <f>IFERROR(__xludf.DUMMYFUNCTION("""COMPUTED_VALUE"""),"")</f>
        <v/>
      </c>
      <c r="E1377" s="36" t="str">
        <f>IFERROR(__xludf.DUMMYFUNCTION("""COMPUTED_VALUE"""),"01-55-13-256")</f>
        <v>01-55-13-256</v>
      </c>
      <c r="F1377" s="36"/>
      <c r="G1377" s="36" t="str">
        <f>IFERROR(__xludf.DUMMYFUNCTION("""COMPUTED_VALUE"""),"Güemes y Belgrano")</f>
        <v>Güemes y Belgrano</v>
      </c>
      <c r="H1377" s="36" t="str">
        <f>IFERROR(__xludf.DUMMYFUNCTION("""COMPUTED_VALUE"""),"")</f>
        <v/>
      </c>
    </row>
    <row r="1378">
      <c r="A1378" s="36" t="str">
        <f>IFERROR(__xludf.DUMMYFUNCTION("""COMPUTED_VALUE"""),"03-20-09-213B")</f>
        <v>03-20-09-213B</v>
      </c>
      <c r="B1378" s="36" t="str">
        <f>IFERROR(__xludf.DUMMYFUNCTION("""COMPUTED_VALUE"""),"")</f>
        <v/>
      </c>
      <c r="C1378" s="36" t="str">
        <f>IFERROR(__xludf.DUMMYFUNCTION("""COMPUTED_VALUE"""),"")</f>
        <v/>
      </c>
      <c r="D1378" s="36" t="str">
        <f>IFERROR(__xludf.DUMMYFUNCTION("""COMPUTED_VALUE"""),"")</f>
        <v/>
      </c>
      <c r="E1378" s="36" t="str">
        <f>IFERROR(__xludf.DUMMYFUNCTION("""COMPUTED_VALUE"""),"01-55-13-258")</f>
        <v>01-55-13-258</v>
      </c>
      <c r="F1378" s="36"/>
      <c r="G1378" s="36" t="str">
        <f>IFERROR(__xludf.DUMMYFUNCTION("""COMPUTED_VALUE"""),"Güemes y Diag. Don Bosco -N")</f>
        <v>Güemes y Diag. Don Bosco -N</v>
      </c>
      <c r="H1378" s="36" t="str">
        <f>IFERROR(__xludf.DUMMYFUNCTION("""COMPUTED_VALUE"""),"")</f>
        <v/>
      </c>
    </row>
    <row r="1379">
      <c r="A1379" s="36" t="str">
        <f>IFERROR(__xludf.DUMMYFUNCTION("""COMPUTED_VALUE"""),"03-20-09-213D")</f>
        <v>03-20-09-213D</v>
      </c>
      <c r="B1379" s="36" t="str">
        <f>IFERROR(__xludf.DUMMYFUNCTION("""COMPUTED_VALUE"""),"")</f>
        <v/>
      </c>
      <c r="C1379" s="36" t="str">
        <f>IFERROR(__xludf.DUMMYFUNCTION("""COMPUTED_VALUE"""),"")</f>
        <v/>
      </c>
      <c r="D1379" s="36" t="str">
        <f>IFERROR(__xludf.DUMMYFUNCTION("""COMPUTED_VALUE"""),"")</f>
        <v/>
      </c>
      <c r="E1379" s="36" t="str">
        <f>IFERROR(__xludf.DUMMYFUNCTION("""COMPUTED_VALUE"""),"01-55-13-257")</f>
        <v>01-55-13-257</v>
      </c>
      <c r="F1379" s="36"/>
      <c r="G1379" s="36" t="str">
        <f>IFERROR(__xludf.DUMMYFUNCTION("""COMPUTED_VALUE"""),"Güemes y Diag. Don Bosco -S")</f>
        <v>Güemes y Diag. Don Bosco -S</v>
      </c>
      <c r="H1379" s="36" t="str">
        <f>IFERROR(__xludf.DUMMYFUNCTION("""COMPUTED_VALUE"""),"")</f>
        <v/>
      </c>
    </row>
    <row r="1380">
      <c r="A1380" s="36" t="str">
        <f>IFERROR(__xludf.DUMMYFUNCTION("""COMPUTED_VALUE"""),"03-20-09-213E")</f>
        <v>03-20-09-213E</v>
      </c>
      <c r="B1380" s="36" t="str">
        <f>IFERROR(__xludf.DUMMYFUNCTION("""COMPUTED_VALUE"""),"")</f>
        <v/>
      </c>
      <c r="C1380" s="36" t="str">
        <f>IFERROR(__xludf.DUMMYFUNCTION("""COMPUTED_VALUE"""),"")</f>
        <v/>
      </c>
      <c r="D1380" s="36" t="str">
        <f>IFERROR(__xludf.DUMMYFUNCTION("""COMPUTED_VALUE"""),"")</f>
        <v/>
      </c>
      <c r="E1380" s="36" t="str">
        <f>IFERROR(__xludf.DUMMYFUNCTION("""COMPUTED_VALUE"""),"01-62-13-251")</f>
        <v>01-62-13-251</v>
      </c>
      <c r="F1380" s="36"/>
      <c r="G1380" s="36" t="str">
        <f>IFERROR(__xludf.DUMMYFUNCTION("""COMPUTED_VALUE"""),"Güemes y Estrada")</f>
        <v>Güemes y Estrada</v>
      </c>
      <c r="H1380" s="36" t="str">
        <f>IFERROR(__xludf.DUMMYFUNCTION("""COMPUTED_VALUE"""),"NOMBRE")</f>
        <v>NOMBRE</v>
      </c>
    </row>
    <row r="1381">
      <c r="A1381" s="36" t="str">
        <f>IFERROR(__xludf.DUMMYFUNCTION("""COMPUTED_VALUE"""),"03-20-09-214")</f>
        <v>03-20-09-214</v>
      </c>
      <c r="B1381" s="36" t="str">
        <f>IFERROR(__xludf.DUMMYFUNCTION("""COMPUTED_VALUE"""),"")</f>
        <v/>
      </c>
      <c r="C1381" s="36" t="str">
        <f>IFERROR(__xludf.DUMMYFUNCTION("""COMPUTED_VALUE"""),"")</f>
        <v/>
      </c>
      <c r="D1381" s="36" t="str">
        <f>IFERROR(__xludf.DUMMYFUNCTION("""COMPUTED_VALUE"""),"")</f>
        <v/>
      </c>
      <c r="E1381" s="36" t="str">
        <f>IFERROR(__xludf.DUMMYFUNCTION("""COMPUTED_VALUE"""),"01-62-13-251")</f>
        <v>01-62-13-251</v>
      </c>
      <c r="F1381" s="36"/>
      <c r="G1381" s="36" t="str">
        <f>IFERROR(__xludf.DUMMYFUNCTION("""COMPUTED_VALUE"""),"Güemes y Estrada")</f>
        <v>Güemes y Estrada</v>
      </c>
      <c r="H1381" s="36" t="str">
        <f>IFERROR(__xludf.DUMMYFUNCTION("""COMPUTED_VALUE"""),"")</f>
        <v/>
      </c>
    </row>
    <row r="1382">
      <c r="A1382" s="36" t="str">
        <f>IFERROR(__xludf.DUMMYFUNCTION("""COMPUTED_VALUE"""),"03-20-09-215")</f>
        <v>03-20-09-215</v>
      </c>
      <c r="B1382" s="36" t="str">
        <f>IFERROR(__xludf.DUMMYFUNCTION("""COMPUTED_VALUE"""),"")</f>
        <v/>
      </c>
      <c r="C1382" s="36" t="str">
        <f>IFERROR(__xludf.DUMMYFUNCTION("""COMPUTED_VALUE"""),"")</f>
        <v/>
      </c>
      <c r="D1382" s="36" t="str">
        <f>IFERROR(__xludf.DUMMYFUNCTION("""COMPUTED_VALUE"""),"")</f>
        <v/>
      </c>
      <c r="E1382" s="36" t="str">
        <f>IFERROR(__xludf.DUMMYFUNCTION("""COMPUTED_VALUE"""),"01-62-13-252")</f>
        <v>01-62-13-252</v>
      </c>
      <c r="F1382" s="36"/>
      <c r="G1382" s="36" t="str">
        <f>IFERROR(__xludf.DUMMYFUNCTION("""COMPUTED_VALUE"""),"Güemes y Fray Mamerto Esquiú")</f>
        <v>Güemes y Fray Mamerto Esquiú</v>
      </c>
      <c r="H1382" s="36" t="str">
        <f>IFERROR(__xludf.DUMMYFUNCTION("""COMPUTED_VALUE"""),"NOMBRE")</f>
        <v>NOMBRE</v>
      </c>
    </row>
    <row r="1383">
      <c r="A1383" s="36" t="str">
        <f>IFERROR(__xludf.DUMMYFUNCTION("""COMPUTED_VALUE"""),"03-20-09-216")</f>
        <v>03-20-09-216</v>
      </c>
      <c r="B1383" s="36" t="str">
        <f>IFERROR(__xludf.DUMMYFUNCTION("""COMPUTED_VALUE"""),"")</f>
        <v/>
      </c>
      <c r="C1383" s="36" t="str">
        <f>IFERROR(__xludf.DUMMYFUNCTION("""COMPUTED_VALUE"""),"")</f>
        <v/>
      </c>
      <c r="D1383" s="36" t="str">
        <f>IFERROR(__xludf.DUMMYFUNCTION("""COMPUTED_VALUE"""),"")</f>
        <v/>
      </c>
      <c r="E1383" s="36" t="str">
        <f>IFERROR(__xludf.DUMMYFUNCTION("""COMPUTED_VALUE"""),"01-62-13-252")</f>
        <v>01-62-13-252</v>
      </c>
      <c r="F1383" s="36"/>
      <c r="G1383" s="36" t="str">
        <f>IFERROR(__xludf.DUMMYFUNCTION("""COMPUTED_VALUE"""),"Güemes y Fray Mamerto Esquiú")</f>
        <v>Güemes y Fray Mamerto Esquiú</v>
      </c>
      <c r="H1383" s="36" t="str">
        <f>IFERROR(__xludf.DUMMYFUNCTION("""COMPUTED_VALUE"""),"")</f>
        <v/>
      </c>
    </row>
    <row r="1384">
      <c r="A1384" s="36" t="str">
        <f>IFERROR(__xludf.DUMMYFUNCTION("""COMPUTED_VALUE"""),"03-20-09-217")</f>
        <v>03-20-09-217</v>
      </c>
      <c r="B1384" s="36" t="str">
        <f>IFERROR(__xludf.DUMMYFUNCTION("""COMPUTED_VALUE"""),"")</f>
        <v/>
      </c>
      <c r="C1384" s="36" t="str">
        <f>IFERROR(__xludf.DUMMYFUNCTION("""COMPUTED_VALUE"""),"")</f>
        <v/>
      </c>
      <c r="D1384" s="36" t="str">
        <f>IFERROR(__xludf.DUMMYFUNCTION("""COMPUTED_VALUE"""),"")</f>
        <v/>
      </c>
      <c r="E1384" s="36" t="str">
        <f>IFERROR(__xludf.DUMMYFUNCTION("""COMPUTED_VALUE"""),"01-55-13-254")</f>
        <v>01-55-13-254</v>
      </c>
      <c r="F1384" s="36"/>
      <c r="G1384" s="36" t="str">
        <f>IFERROR(__xludf.DUMMYFUNCTION("""COMPUTED_VALUE"""),"Güemes y Mariano Moreno")</f>
        <v>Güemes y Mariano Moreno</v>
      </c>
      <c r="H1384" s="36" t="str">
        <f>IFERROR(__xludf.DUMMYFUNCTION("""COMPUTED_VALUE"""),"NOMBRE")</f>
        <v>NOMBRE</v>
      </c>
    </row>
    <row r="1385">
      <c r="A1385" s="36" t="str">
        <f>IFERROR(__xludf.DUMMYFUNCTION("""COMPUTED_VALUE"""),"03-20-09-218")</f>
        <v>03-20-09-218</v>
      </c>
      <c r="B1385" s="36" t="str">
        <f>IFERROR(__xludf.DUMMYFUNCTION("""COMPUTED_VALUE"""),"")</f>
        <v/>
      </c>
      <c r="C1385" s="36" t="str">
        <f>IFERROR(__xludf.DUMMYFUNCTION("""COMPUTED_VALUE"""),"")</f>
        <v/>
      </c>
      <c r="D1385" s="36" t="str">
        <f>IFERROR(__xludf.DUMMYFUNCTION("""COMPUTED_VALUE"""),"")</f>
        <v/>
      </c>
      <c r="E1385" s="36" t="str">
        <f>IFERROR(__xludf.DUMMYFUNCTION("""COMPUTED_VALUE"""),"01-55-13-254")</f>
        <v>01-55-13-254</v>
      </c>
      <c r="F1385" s="36"/>
      <c r="G1385" s="36" t="str">
        <f>IFERROR(__xludf.DUMMYFUNCTION("""COMPUTED_VALUE"""),"Güemes y Mariano Moreno")</f>
        <v>Güemes y Mariano Moreno</v>
      </c>
      <c r="H1385" s="36" t="str">
        <f>IFERROR(__xludf.DUMMYFUNCTION("""COMPUTED_VALUE"""),"")</f>
        <v/>
      </c>
    </row>
    <row r="1386">
      <c r="A1386" s="36" t="str">
        <f>IFERROR(__xludf.DUMMYFUNCTION("""COMPUTED_VALUE"""),"03-20-09-219")</f>
        <v>03-20-09-219</v>
      </c>
      <c r="B1386" s="36" t="str">
        <f>IFERROR(__xludf.DUMMYFUNCTION("""COMPUTED_VALUE"""),"")</f>
        <v/>
      </c>
      <c r="C1386" s="36" t="str">
        <f>IFERROR(__xludf.DUMMYFUNCTION("""COMPUTED_VALUE"""),"")</f>
        <v/>
      </c>
      <c r="D1386" s="36" t="str">
        <f>IFERROR(__xludf.DUMMYFUNCTION("""COMPUTED_VALUE"""),"")</f>
        <v/>
      </c>
      <c r="E1386" s="36" t="str">
        <f>IFERROR(__xludf.DUMMYFUNCTION("""COMPUTED_VALUE"""),"01-62-13-253")</f>
        <v>01-62-13-253</v>
      </c>
      <c r="F1386" s="36"/>
      <c r="G1386" s="36" t="str">
        <f>IFERROR(__xludf.DUMMYFUNCTION("""COMPUTED_VALUE"""),"Güemes y O´Higgins")</f>
        <v>Güemes y O´Higgins</v>
      </c>
      <c r="H1386" s="36" t="str">
        <f>IFERROR(__xludf.DUMMYFUNCTION("""COMPUTED_VALUE"""),"NOMBRE")</f>
        <v>NOMBRE</v>
      </c>
    </row>
    <row r="1387">
      <c r="A1387" s="36" t="str">
        <f>IFERROR(__xludf.DUMMYFUNCTION("""COMPUTED_VALUE"""),"03-20-09-220")</f>
        <v>03-20-09-220</v>
      </c>
      <c r="B1387" s="36" t="str">
        <f>IFERROR(__xludf.DUMMYFUNCTION("""COMPUTED_VALUE"""),"")</f>
        <v/>
      </c>
      <c r="C1387" s="36" t="str">
        <f>IFERROR(__xludf.DUMMYFUNCTION("""COMPUTED_VALUE"""),"")</f>
        <v/>
      </c>
      <c r="D1387" s="36" t="str">
        <f>IFERROR(__xludf.DUMMYFUNCTION("""COMPUTED_VALUE"""),"")</f>
        <v/>
      </c>
      <c r="E1387" s="36" t="str">
        <f>IFERROR(__xludf.DUMMYFUNCTION("""COMPUTED_VALUE"""),"01-62-13-253")</f>
        <v>01-62-13-253</v>
      </c>
      <c r="F1387" s="36"/>
      <c r="G1387" s="36" t="str">
        <f>IFERROR(__xludf.DUMMYFUNCTION("""COMPUTED_VALUE"""),"Güemes y O´Higgins")</f>
        <v>Güemes y O´Higgins</v>
      </c>
      <c r="H1387" s="36" t="str">
        <f>IFERROR(__xludf.DUMMYFUNCTION("""COMPUTED_VALUE"""),"")</f>
        <v/>
      </c>
    </row>
    <row r="1388">
      <c r="A1388" s="36" t="str">
        <f>IFERROR(__xludf.DUMMYFUNCTION("""COMPUTED_VALUE"""),"03-20-09-221")</f>
        <v>03-20-09-221</v>
      </c>
      <c r="B1388" s="36" t="str">
        <f>IFERROR(__xludf.DUMMYFUNCTION("""COMPUTED_VALUE"""),"")</f>
        <v/>
      </c>
      <c r="C1388" s="36" t="str">
        <f>IFERROR(__xludf.DUMMYFUNCTION("""COMPUTED_VALUE"""),"")</f>
        <v/>
      </c>
      <c r="D1388" s="36" t="str">
        <f>IFERROR(__xludf.DUMMYFUNCTION("""COMPUTED_VALUE"""),"")</f>
        <v/>
      </c>
      <c r="E1388" s="36" t="str">
        <f>IFERROR(__xludf.DUMMYFUNCTION("""COMPUTED_VALUE"""),"01-40-08-33D")</f>
        <v>01-40-08-33D</v>
      </c>
      <c r="F1388" s="36"/>
      <c r="G1388" s="36" t="str">
        <f>IFERROR(__xludf.DUMMYFUNCTION("""COMPUTED_VALUE"""),"Güemes y Rivadavia")</f>
        <v>Güemes y Rivadavia</v>
      </c>
      <c r="H1388" s="36" t="str">
        <f>IFERROR(__xludf.DUMMYFUNCTION("""COMPUTED_VALUE"""),"")</f>
        <v/>
      </c>
    </row>
    <row r="1389">
      <c r="A1389" s="36" t="str">
        <f>IFERROR(__xludf.DUMMYFUNCTION("""COMPUTED_VALUE"""),"03-20-09-222")</f>
        <v>03-20-09-222</v>
      </c>
      <c r="B1389" s="36" t="str">
        <f>IFERROR(__xludf.DUMMYFUNCTION("""COMPUTED_VALUE"""),"")</f>
        <v/>
      </c>
      <c r="C1389" s="36" t="str">
        <f>IFERROR(__xludf.DUMMYFUNCTION("""COMPUTED_VALUE"""),"")</f>
        <v/>
      </c>
      <c r="D1389" s="36" t="str">
        <f>IFERROR(__xludf.DUMMYFUNCTION("""COMPUTED_VALUE"""),"")</f>
        <v/>
      </c>
      <c r="E1389" s="36" t="str">
        <f>IFERROR(__xludf.DUMMYFUNCTION("""COMPUTED_VALUE"""),"01-62-13-250")</f>
        <v>01-62-13-250</v>
      </c>
      <c r="F1389" s="36"/>
      <c r="G1389" s="36" t="str">
        <f>IFERROR(__xludf.DUMMYFUNCTION("""COMPUTED_VALUE"""),"Güemes y S. Sarasa -N")</f>
        <v>Güemes y S. Sarasa -N</v>
      </c>
      <c r="H1389" s="36" t="str">
        <f>IFERROR(__xludf.DUMMYFUNCTION("""COMPUTED_VALUE"""),"")</f>
        <v/>
      </c>
    </row>
    <row r="1390">
      <c r="A1390" s="36" t="str">
        <f>IFERROR(__xludf.DUMMYFUNCTION("""COMPUTED_VALUE"""),"03-20-09-223")</f>
        <v>03-20-09-223</v>
      </c>
      <c r="B1390" s="36" t="str">
        <f>IFERROR(__xludf.DUMMYFUNCTION("""COMPUTED_VALUE"""),"")</f>
        <v/>
      </c>
      <c r="C1390" s="36" t="str">
        <f>IFERROR(__xludf.DUMMYFUNCTION("""COMPUTED_VALUE"""),"")</f>
        <v/>
      </c>
      <c r="D1390" s="36" t="str">
        <f>IFERROR(__xludf.DUMMYFUNCTION("""COMPUTED_VALUE"""),"")</f>
        <v/>
      </c>
      <c r="E1390" s="36" t="str">
        <f>IFERROR(__xludf.DUMMYFUNCTION("""COMPUTED_VALUE"""),"01-62-13-250")</f>
        <v>01-62-13-250</v>
      </c>
      <c r="F1390" s="36"/>
      <c r="G1390" s="36" t="str">
        <f>IFERROR(__xludf.DUMMYFUNCTION("""COMPUTED_VALUE"""),"Güemes y Saturnino Sarasa -N")</f>
        <v>Güemes y Saturnino Sarasa -N</v>
      </c>
      <c r="H1390" s="36" t="str">
        <f>IFERROR(__xludf.DUMMYFUNCTION("""COMPUTED_VALUE"""),"")</f>
        <v/>
      </c>
    </row>
    <row r="1391">
      <c r="A1391" s="36" t="str">
        <f>IFERROR(__xludf.DUMMYFUNCTION("""COMPUTED_VALUE"""),"03-20-09-224")</f>
        <v>03-20-09-224</v>
      </c>
      <c r="B1391" s="36" t="str">
        <f>IFERROR(__xludf.DUMMYFUNCTION("""COMPUTED_VALUE"""),"")</f>
        <v/>
      </c>
      <c r="C1391" s="36" t="str">
        <f>IFERROR(__xludf.DUMMYFUNCTION("""COMPUTED_VALUE"""),"")</f>
        <v/>
      </c>
      <c r="D1391" s="36" t="str">
        <f>IFERROR(__xludf.DUMMYFUNCTION("""COMPUTED_VALUE"""),"")</f>
        <v/>
      </c>
      <c r="E1391" s="36" t="str">
        <f>IFERROR(__xludf.DUMMYFUNCTION("""COMPUTED_VALUE"""),"01-64-13-248")</f>
        <v>01-64-13-248</v>
      </c>
      <c r="F1391" s="36"/>
      <c r="G1391" s="36" t="str">
        <f>IFERROR(__xludf.DUMMYFUNCTION("""COMPUTED_VALUE"""),"Güemes y Saturnino Sarasa -S")</f>
        <v>Güemes y Saturnino Sarasa -S</v>
      </c>
      <c r="H1391" s="36" t="str">
        <f>IFERROR(__xludf.DUMMYFUNCTION("""COMPUTED_VALUE"""),"")</f>
        <v/>
      </c>
    </row>
    <row r="1392">
      <c r="A1392" s="36" t="str">
        <f>IFERROR(__xludf.DUMMYFUNCTION("""COMPUTED_VALUE"""),"03-20-09-225")</f>
        <v>03-20-09-225</v>
      </c>
      <c r="B1392" s="36" t="str">
        <f>IFERROR(__xludf.DUMMYFUNCTION("""COMPUTED_VALUE"""),"")</f>
        <v/>
      </c>
      <c r="C1392" s="36" t="str">
        <f>IFERROR(__xludf.DUMMYFUNCTION("""COMPUTED_VALUE"""),"")</f>
        <v/>
      </c>
      <c r="D1392" s="36" t="str">
        <f>IFERROR(__xludf.DUMMYFUNCTION("""COMPUTED_VALUE"""),"")</f>
        <v/>
      </c>
      <c r="E1392" s="36" t="str">
        <f>IFERROR(__xludf.DUMMYFUNCTION("""COMPUTED_VALUE"""),"01-64-13-248")</f>
        <v>01-64-13-248</v>
      </c>
      <c r="F1392" s="36"/>
      <c r="G1392" s="36" t="str">
        <f>IFERROR(__xludf.DUMMYFUNCTION("""COMPUTED_VALUE"""),"Güemes y Saturnino Sarasa S")</f>
        <v>Güemes y Saturnino Sarasa S</v>
      </c>
      <c r="H1392" s="36" t="str">
        <f>IFERROR(__xludf.DUMMYFUNCTION("""COMPUTED_VALUE"""),"")</f>
        <v/>
      </c>
    </row>
    <row r="1393">
      <c r="A1393" s="36" t="str">
        <f>IFERROR(__xludf.DUMMYFUNCTION("""COMPUTED_VALUE"""),"03-20-09-226")</f>
        <v>03-20-09-226</v>
      </c>
      <c r="B1393" s="36" t="str">
        <f>IFERROR(__xludf.DUMMYFUNCTION("""COMPUTED_VALUE"""),"")</f>
        <v/>
      </c>
      <c r="C1393" s="36" t="str">
        <f>IFERROR(__xludf.DUMMYFUNCTION("""COMPUTED_VALUE"""),"")</f>
        <v/>
      </c>
      <c r="D1393" s="36" t="str">
        <f>IFERROR(__xludf.DUMMYFUNCTION("""COMPUTED_VALUE"""),"")</f>
        <v/>
      </c>
      <c r="E1393" s="36" t="str">
        <f>IFERROR(__xludf.DUMMYFUNCTION("""COMPUTED_VALUE"""),"03-49-09-44")</f>
        <v>03-49-09-44</v>
      </c>
      <c r="F1393" s="36"/>
      <c r="G1393" s="36" t="str">
        <f>IFERROR(__xludf.DUMMYFUNCTION("""COMPUTED_VALUE"""),"H. Yrigoyen -S y J. M. del Carril")</f>
        <v>H. Yrigoyen -S y J. M. del Carril</v>
      </c>
      <c r="H1393" s="36" t="str">
        <f>IFERROR(__xludf.DUMMYFUNCTION("""COMPUTED_VALUE"""),"NOMBRE")</f>
        <v>NOMBRE</v>
      </c>
    </row>
    <row r="1394">
      <c r="A1394" s="36" t="str">
        <f>IFERROR(__xludf.DUMMYFUNCTION("""COMPUTED_VALUE"""),"03-20-09-227")</f>
        <v>03-20-09-227</v>
      </c>
      <c r="B1394" s="36" t="str">
        <f>IFERROR(__xludf.DUMMYFUNCTION("""COMPUTED_VALUE"""),"")</f>
        <v/>
      </c>
      <c r="C1394" s="36" t="str">
        <f>IFERROR(__xludf.DUMMYFUNCTION("""COMPUTED_VALUE"""),"")</f>
        <v/>
      </c>
      <c r="D1394" s="36" t="str">
        <f>IFERROR(__xludf.DUMMYFUNCTION("""COMPUTED_VALUE"""),"")</f>
        <v/>
      </c>
      <c r="E1394" s="36" t="str">
        <f>IFERROR(__xludf.DUMMYFUNCTION("""COMPUTED_VALUE"""),"03-49-09-45")</f>
        <v>03-49-09-45</v>
      </c>
      <c r="F1394" s="36"/>
      <c r="G1394" s="36" t="str">
        <f>IFERROR(__xludf.DUMMYFUNCTION("""COMPUTED_VALUE"""),"H. Yrigoyen -S y J. M. del Carril")</f>
        <v>H. Yrigoyen -S y J. M. del Carril</v>
      </c>
      <c r="H1394" s="36" t="str">
        <f>IFERROR(__xludf.DUMMYFUNCTION("""COMPUTED_VALUE"""),"")</f>
        <v/>
      </c>
    </row>
    <row r="1395">
      <c r="A1395" s="36" t="str">
        <f>IFERROR(__xludf.DUMMYFUNCTION("""COMPUTED_VALUE"""),"03-20-09-228")</f>
        <v>03-20-09-228</v>
      </c>
      <c r="B1395" s="36" t="str">
        <f>IFERROR(__xludf.DUMMYFUNCTION("""COMPUTED_VALUE"""),"")</f>
        <v/>
      </c>
      <c r="C1395" s="36" t="str">
        <f>IFERROR(__xludf.DUMMYFUNCTION("""COMPUTED_VALUE"""),"")</f>
        <v/>
      </c>
      <c r="D1395" s="36" t="str">
        <f>IFERROR(__xludf.DUMMYFUNCTION("""COMPUTED_VALUE"""),"")</f>
        <v/>
      </c>
      <c r="E1395" s="36" t="str">
        <f>IFERROR(__xludf.DUMMYFUNCTION("""COMPUTED_VALUE"""),"04-35-12-59")</f>
        <v>04-35-12-59</v>
      </c>
      <c r="F1395" s="36"/>
      <c r="G1395" s="36" t="str">
        <f>IFERROR(__xludf.DUMMYFUNCTION("""COMPUTED_VALUE"""),"H. Yrigoyen Este y Aguilar")</f>
        <v>H. Yrigoyen Este y Aguilar</v>
      </c>
      <c r="H1395" s="36" t="str">
        <f>IFERROR(__xludf.DUMMYFUNCTION("""COMPUTED_VALUE"""),"")</f>
        <v/>
      </c>
    </row>
    <row r="1396">
      <c r="A1396" s="36" t="str">
        <f>IFERROR(__xludf.DUMMYFUNCTION("""COMPUTED_VALUE"""),"03-20-09-229")</f>
        <v>03-20-09-229</v>
      </c>
      <c r="B1396" s="36" t="str">
        <f>IFERROR(__xludf.DUMMYFUNCTION("""COMPUTED_VALUE"""),"")</f>
        <v/>
      </c>
      <c r="C1396" s="36" t="str">
        <f>IFERROR(__xludf.DUMMYFUNCTION("""COMPUTED_VALUE"""),"")</f>
        <v/>
      </c>
      <c r="D1396" s="36" t="str">
        <f>IFERROR(__xludf.DUMMYFUNCTION("""COMPUTED_VALUE"""),"")</f>
        <v/>
      </c>
      <c r="E1396" s="36" t="str">
        <f>IFERROR(__xludf.DUMMYFUNCTION("""COMPUTED_VALUE"""),"04-35-12-66")</f>
        <v>04-35-12-66</v>
      </c>
      <c r="F1396" s="36"/>
      <c r="G1396" s="36" t="str">
        <f>IFERROR(__xludf.DUMMYFUNCTION("""COMPUTED_VALUE"""),"H. Yrigoyen Este y Fraternidad América")</f>
        <v>H. Yrigoyen Este y Fraternidad América</v>
      </c>
      <c r="H1396" s="36" t="str">
        <f>IFERROR(__xludf.DUMMYFUNCTION("""COMPUTED_VALUE"""),"")</f>
        <v/>
      </c>
    </row>
    <row r="1397">
      <c r="A1397" s="36" t="str">
        <f>IFERROR(__xludf.DUMMYFUNCTION("""COMPUTED_VALUE"""),"03-20-09-230")</f>
        <v>03-20-09-230</v>
      </c>
      <c r="B1397" s="36" t="str">
        <f>IFERROR(__xludf.DUMMYFUNCTION("""COMPUTED_VALUE"""),"")</f>
        <v/>
      </c>
      <c r="C1397" s="36" t="str">
        <f>IFERROR(__xludf.DUMMYFUNCTION("""COMPUTED_VALUE"""),"")</f>
        <v/>
      </c>
      <c r="D1397" s="36" t="str">
        <f>IFERROR(__xludf.DUMMYFUNCTION("""COMPUTED_VALUE"""),"")</f>
        <v/>
      </c>
      <c r="E1397" s="36" t="str">
        <f>IFERROR(__xludf.DUMMYFUNCTION("""COMPUTED_VALUE"""),"04-36-12-58")</f>
        <v>04-36-12-58</v>
      </c>
      <c r="F1397" s="36"/>
      <c r="G1397" s="36" t="str">
        <f>IFERROR(__xludf.DUMMYFUNCTION("""COMPUTED_VALUE"""),"H. Yrigoyen Oeste y Aguilar ")</f>
        <v>H. Yrigoyen Oeste y Aguilar </v>
      </c>
      <c r="H1397" s="36" t="str">
        <f>IFERROR(__xludf.DUMMYFUNCTION("""COMPUTED_VALUE"""),"")</f>
        <v/>
      </c>
    </row>
    <row r="1398">
      <c r="A1398" s="36" t="str">
        <f>IFERROR(__xludf.DUMMYFUNCTION("""COMPUTED_VALUE"""),"03-20-09-231")</f>
        <v>03-20-09-231</v>
      </c>
      <c r="B1398" s="36" t="str">
        <f>IFERROR(__xludf.DUMMYFUNCTION("""COMPUTED_VALUE"""),"")</f>
        <v/>
      </c>
      <c r="C1398" s="36" t="str">
        <f>IFERROR(__xludf.DUMMYFUNCTION("""COMPUTED_VALUE"""),"")</f>
        <v/>
      </c>
      <c r="D1398" s="36" t="str">
        <f>IFERROR(__xludf.DUMMYFUNCTION("""COMPUTED_VALUE"""),"")</f>
        <v/>
      </c>
      <c r="E1398" s="36" t="str">
        <f>IFERROR(__xludf.DUMMYFUNCTION("""COMPUTED_VALUE"""),"04-36-12-67")</f>
        <v>04-36-12-67</v>
      </c>
      <c r="F1398" s="36"/>
      <c r="G1398" s="36" t="str">
        <f>IFERROR(__xludf.DUMMYFUNCTION("""COMPUTED_VALUE"""),"H. Yrigoyen Oeste y Fraternidad América")</f>
        <v>H. Yrigoyen Oeste y Fraternidad América</v>
      </c>
      <c r="H1398" s="36" t="str">
        <f>IFERROR(__xludf.DUMMYFUNCTION("""COMPUTED_VALUE"""),"")</f>
        <v/>
      </c>
    </row>
    <row r="1399">
      <c r="A1399" s="36" t="str">
        <f>IFERROR(__xludf.DUMMYFUNCTION("""COMPUTED_VALUE"""),"03-20-09-232")</f>
        <v>03-20-09-232</v>
      </c>
      <c r="B1399" s="36" t="str">
        <f>IFERROR(__xludf.DUMMYFUNCTION("""COMPUTED_VALUE"""),"")</f>
        <v/>
      </c>
      <c r="C1399" s="36" t="str">
        <f>IFERROR(__xludf.DUMMYFUNCTION("""COMPUTED_VALUE"""),"")</f>
        <v/>
      </c>
      <c r="D1399" s="36" t="str">
        <f>IFERROR(__xludf.DUMMYFUNCTION("""COMPUTED_VALUE"""),"")</f>
        <v/>
      </c>
      <c r="E1399" s="36" t="str">
        <f>IFERROR(__xludf.DUMMYFUNCTION("""COMPUTED_VALUE"""),"03-48-09-52")</f>
        <v>03-48-09-52</v>
      </c>
      <c r="F1399" s="36"/>
      <c r="G1399" s="36" t="str">
        <f>IFERROR(__xludf.DUMMYFUNCTION("""COMPUTED_VALUE"""),"H. Yrigoyen y Amarfil")</f>
        <v>H. Yrigoyen y Amarfil</v>
      </c>
      <c r="H1399" s="36" t="str">
        <f>IFERROR(__xludf.DUMMYFUNCTION("""COMPUTED_VALUE"""),"")</f>
        <v/>
      </c>
    </row>
    <row r="1400">
      <c r="A1400" s="36" t="str">
        <f>IFERROR(__xludf.DUMMYFUNCTION("""COMPUTED_VALUE"""),"03-20-09-233")</f>
        <v>03-20-09-233</v>
      </c>
      <c r="B1400" s="36" t="str">
        <f>IFERROR(__xludf.DUMMYFUNCTION("""COMPUTED_VALUE"""),"")</f>
        <v/>
      </c>
      <c r="C1400" s="36" t="str">
        <f>IFERROR(__xludf.DUMMYFUNCTION("""COMPUTED_VALUE"""),"")</f>
        <v/>
      </c>
      <c r="D1400" s="36" t="str">
        <f>IFERROR(__xludf.DUMMYFUNCTION("""COMPUTED_VALUE"""),"")</f>
        <v/>
      </c>
      <c r="E1400" s="36" t="str">
        <f>IFERROR(__xludf.DUMMYFUNCTION("""COMPUTED_VALUE"""),"01-54-09-32")</f>
        <v>01-54-09-32</v>
      </c>
      <c r="F1400" s="36"/>
      <c r="G1400" s="36" t="str">
        <f>IFERROR(__xludf.DUMMYFUNCTION("""COMPUTED_VALUE"""),"H. Yrigoyen y Aristóbulo del Valle")</f>
        <v>H. Yrigoyen y Aristóbulo del Valle</v>
      </c>
      <c r="H1400" s="36" t="str">
        <f>IFERROR(__xludf.DUMMYFUNCTION("""COMPUTED_VALUE"""),"NOMBRE")</f>
        <v>NOMBRE</v>
      </c>
    </row>
    <row r="1401">
      <c r="A1401" s="36" t="str">
        <f>IFERROR(__xludf.DUMMYFUNCTION("""COMPUTED_VALUE"""),"03-20-09-234")</f>
        <v>03-20-09-234</v>
      </c>
      <c r="B1401" s="36" t="str">
        <f>IFERROR(__xludf.DUMMYFUNCTION("""COMPUTED_VALUE"""),"")</f>
        <v/>
      </c>
      <c r="C1401" s="36" t="str">
        <f>IFERROR(__xludf.DUMMYFUNCTION("""COMPUTED_VALUE"""),"")</f>
        <v/>
      </c>
      <c r="D1401" s="36" t="str">
        <f>IFERROR(__xludf.DUMMYFUNCTION("""COMPUTED_VALUE"""),"")</f>
        <v/>
      </c>
      <c r="E1401" s="36" t="str">
        <f>IFERROR(__xludf.DUMMYFUNCTION("""COMPUTED_VALUE"""),"03-32-09-31")</f>
        <v>03-32-09-31</v>
      </c>
      <c r="F1401" s="36"/>
      <c r="G1401" s="36" t="str">
        <f>IFERROR(__xludf.DUMMYFUNCTION("""COMPUTED_VALUE"""),"H. Yrigoyen y Aristóbulo del Valle")</f>
        <v>H. Yrigoyen y Aristóbulo del Valle</v>
      </c>
      <c r="H1401" s="36" t="str">
        <f>IFERROR(__xludf.DUMMYFUNCTION("""COMPUTED_VALUE"""),"")</f>
        <v/>
      </c>
    </row>
    <row r="1402">
      <c r="A1402" s="36" t="str">
        <f>IFERROR(__xludf.DUMMYFUNCTION("""COMPUTED_VALUE"""),"03-20-09-235")</f>
        <v>03-20-09-235</v>
      </c>
      <c r="B1402" s="36" t="str">
        <f>IFERROR(__xludf.DUMMYFUNCTION("""COMPUTED_VALUE"""),"")</f>
        <v/>
      </c>
      <c r="C1402" s="36" t="str">
        <f>IFERROR(__xludf.DUMMYFUNCTION("""COMPUTED_VALUE"""),"")</f>
        <v/>
      </c>
      <c r="D1402" s="36" t="str">
        <f>IFERROR(__xludf.DUMMYFUNCTION("""COMPUTED_VALUE"""),"")</f>
        <v/>
      </c>
      <c r="E1402" s="36" t="str">
        <f>IFERROR(__xludf.DUMMYFUNCTION("""COMPUTED_VALUE"""),"03-32-09-33")</f>
        <v>03-32-09-33</v>
      </c>
      <c r="F1402" s="36"/>
      <c r="G1402" s="36" t="str">
        <f>IFERROR(__xludf.DUMMYFUNCTION("""COMPUTED_VALUE"""),"H. Yrigoyen y Av. Argentina")</f>
        <v>H. Yrigoyen y Av. Argentina</v>
      </c>
      <c r="H1402" s="36" t="str">
        <f>IFERROR(__xludf.DUMMYFUNCTION("""COMPUTED_VALUE"""),"NOMBRE")</f>
        <v>NOMBRE</v>
      </c>
    </row>
    <row r="1403">
      <c r="A1403" s="36" t="str">
        <f>IFERROR(__xludf.DUMMYFUNCTION("""COMPUTED_VALUE"""),"03-20-09-236")</f>
        <v>03-20-09-236</v>
      </c>
      <c r="B1403" s="36" t="str">
        <f>IFERROR(__xludf.DUMMYFUNCTION("""COMPUTED_VALUE"""),"")</f>
        <v/>
      </c>
      <c r="C1403" s="36" t="str">
        <f>IFERROR(__xludf.DUMMYFUNCTION("""COMPUTED_VALUE"""),"")</f>
        <v/>
      </c>
      <c r="D1403" s="36" t="str">
        <f>IFERROR(__xludf.DUMMYFUNCTION("""COMPUTED_VALUE"""),"")</f>
        <v/>
      </c>
      <c r="E1403" s="36" t="str">
        <f>IFERROR(__xludf.DUMMYFUNCTION("""COMPUTED_VALUE"""),"03-49-09-34x")</f>
        <v>03-49-09-34x</v>
      </c>
      <c r="F1403" s="36"/>
      <c r="G1403" s="36" t="str">
        <f>IFERROR(__xludf.DUMMYFUNCTION("""COMPUTED_VALUE"""),"H. Yrigoyen y Av. Argentina")</f>
        <v>H. Yrigoyen y Av. Argentina</v>
      </c>
      <c r="H1403" s="36" t="str">
        <f>IFERROR(__xludf.DUMMYFUNCTION("""COMPUTED_VALUE"""),"")</f>
        <v/>
      </c>
    </row>
    <row r="1404">
      <c r="A1404" s="36" t="str">
        <f>IFERROR(__xludf.DUMMYFUNCTION("""COMPUTED_VALUE"""),"03-20-09-237")</f>
        <v>03-20-09-237</v>
      </c>
      <c r="B1404" s="36" t="str">
        <f>IFERROR(__xludf.DUMMYFUNCTION("""COMPUTED_VALUE"""),"")</f>
        <v/>
      </c>
      <c r="C1404" s="36" t="str">
        <f>IFERROR(__xludf.DUMMYFUNCTION("""COMPUTED_VALUE"""),"")</f>
        <v/>
      </c>
      <c r="D1404" s="36" t="str">
        <f>IFERROR(__xludf.DUMMYFUNCTION("""COMPUTED_VALUE"""),"")</f>
        <v/>
      </c>
      <c r="E1404" s="36" t="str">
        <f>IFERROR(__xludf.DUMMYFUNCTION("""COMPUTED_VALUE"""),"08-28-03-9B")</f>
        <v>08-28-03-9B</v>
      </c>
      <c r="F1404" s="36"/>
      <c r="G1404" s="36" t="str">
        <f>IFERROR(__xludf.DUMMYFUNCTION("""COMPUTED_VALUE"""),"H. Yrigoyen y Callejón Olmos")</f>
        <v>H. Yrigoyen y Callejón Olmos</v>
      </c>
      <c r="H1404" s="36" t="str">
        <f>IFERROR(__xludf.DUMMYFUNCTION("""COMPUTED_VALUE"""),"")</f>
        <v/>
      </c>
    </row>
    <row r="1405">
      <c r="A1405" s="36" t="str">
        <f>IFERROR(__xludf.DUMMYFUNCTION("""COMPUTED_VALUE"""),"03-20-09-241A")</f>
        <v>03-20-09-241A</v>
      </c>
      <c r="B1405" s="36" t="str">
        <f>IFERROR(__xludf.DUMMYFUNCTION("""COMPUTED_VALUE"""),"")</f>
        <v/>
      </c>
      <c r="C1405" s="36" t="str">
        <f>IFERROR(__xludf.DUMMYFUNCTION("""COMPUTED_VALUE"""),"")</f>
        <v/>
      </c>
      <c r="D1405" s="36" t="str">
        <f>IFERROR(__xludf.DUMMYFUNCTION("""COMPUTED_VALUE"""),"")</f>
        <v/>
      </c>
      <c r="E1405" s="36" t="str">
        <f>IFERROR(__xludf.DUMMYFUNCTION("""COMPUTED_VALUE"""),"08-28-03-9A")</f>
        <v>08-28-03-9A</v>
      </c>
      <c r="F1405" s="36"/>
      <c r="G1405" s="36" t="str">
        <f>IFERROR(__xludf.DUMMYFUNCTION("""COMPUTED_VALUE"""),"H. Yrigoyen y Entre Ríos")</f>
        <v>H. Yrigoyen y Entre Ríos</v>
      </c>
      <c r="H1405" s="36" t="str">
        <f>IFERROR(__xludf.DUMMYFUNCTION("""COMPUTED_VALUE"""),"")</f>
        <v/>
      </c>
    </row>
    <row r="1406">
      <c r="A1406" s="36" t="str">
        <f>IFERROR(__xludf.DUMMYFUNCTION("""COMPUTED_VALUE"""),"03-22-09-213")</f>
        <v>03-22-09-213</v>
      </c>
      <c r="B1406" s="36" t="str">
        <f>IFERROR(__xludf.DUMMYFUNCTION("""COMPUTED_VALUE"""),"")</f>
        <v/>
      </c>
      <c r="C1406" s="36" t="str">
        <f>IFERROR(__xludf.DUMMYFUNCTION("""COMPUTED_VALUE"""),"")</f>
        <v/>
      </c>
      <c r="D1406" s="36" t="str">
        <f>IFERROR(__xludf.DUMMYFUNCTION("""COMPUTED_VALUE"""),"")</f>
        <v/>
      </c>
      <c r="E1406" s="36" t="str">
        <f>IFERROR(__xludf.DUMMYFUNCTION("""COMPUTED_VALUE"""),"03-32-09-43")</f>
        <v>03-32-09-43</v>
      </c>
      <c r="F1406" s="36"/>
      <c r="G1406" s="36" t="str">
        <f>IFERROR(__xludf.DUMMYFUNCTION("""COMPUTED_VALUE"""),"H. Yrigoyen y J. M. del Carril")</f>
        <v>H. Yrigoyen y J. M. del Carril</v>
      </c>
      <c r="H1406" s="36" t="str">
        <f>IFERROR(__xludf.DUMMYFUNCTION("""COMPUTED_VALUE"""),"")</f>
        <v/>
      </c>
    </row>
    <row r="1407">
      <c r="A1407" s="36" t="str">
        <f>IFERROR(__xludf.DUMMYFUNCTION("""COMPUTED_VALUE"""),"03-22-09-213A")</f>
        <v>03-22-09-213A</v>
      </c>
      <c r="B1407" s="36" t="str">
        <f>IFERROR(__xludf.DUMMYFUNCTION("""COMPUTED_VALUE"""),"")</f>
        <v/>
      </c>
      <c r="C1407" s="36" t="str">
        <f>IFERROR(__xludf.DUMMYFUNCTION("""COMPUTED_VALUE"""),"")</f>
        <v/>
      </c>
      <c r="D1407" s="36" t="str">
        <f>IFERROR(__xludf.DUMMYFUNCTION("""COMPUTED_VALUE"""),"")</f>
        <v/>
      </c>
      <c r="E1407" s="36" t="str">
        <f>IFERROR(__xludf.DUMMYFUNCTION("""COMPUTED_VALUE"""),"04-36-12-63")</f>
        <v>04-36-12-63</v>
      </c>
      <c r="F1407" s="36"/>
      <c r="G1407" s="36" t="str">
        <f>IFERROR(__xludf.DUMMYFUNCTION("""COMPUTED_VALUE"""),"H. Yrigoyen y Juárez Celman")</f>
        <v>H. Yrigoyen y Juárez Celman</v>
      </c>
      <c r="H1407" s="36" t="str">
        <f>IFERROR(__xludf.DUMMYFUNCTION("""COMPUTED_VALUE"""),"")</f>
        <v/>
      </c>
    </row>
    <row r="1408">
      <c r="A1408" s="36" t="str">
        <f>IFERROR(__xludf.DUMMYFUNCTION("""COMPUTED_VALUE"""),"03-22-09-213C")</f>
        <v>03-22-09-213C</v>
      </c>
      <c r="B1408" s="36" t="str">
        <f>IFERROR(__xludf.DUMMYFUNCTION("""COMPUTED_VALUE"""),"")</f>
        <v/>
      </c>
      <c r="C1408" s="36" t="str">
        <f>IFERROR(__xludf.DUMMYFUNCTION("""COMPUTED_VALUE"""),"")</f>
        <v/>
      </c>
      <c r="D1408" s="36" t="str">
        <f>IFERROR(__xludf.DUMMYFUNCTION("""COMPUTED_VALUE"""),"")</f>
        <v/>
      </c>
      <c r="E1408" s="36" t="str">
        <f>IFERROR(__xludf.DUMMYFUNCTION("""COMPUTED_VALUE"""),"03-49-09-35")</f>
        <v>03-49-09-35</v>
      </c>
      <c r="F1408" s="36"/>
      <c r="G1408" s="36" t="str">
        <f>IFERROR(__xludf.DUMMYFUNCTION("""COMPUTED_VALUE"""),"H. Yrigoyen y Lat. Av. Circunvalación")</f>
        <v>H. Yrigoyen y Lat. Av. Circunvalación</v>
      </c>
      <c r="H1408" s="36" t="str">
        <f>IFERROR(__xludf.DUMMYFUNCTION("""COMPUTED_VALUE"""),"")</f>
        <v/>
      </c>
    </row>
    <row r="1409">
      <c r="A1409" s="36" t="str">
        <f>IFERROR(__xludf.DUMMYFUNCTION("""COMPUTED_VALUE"""),"03-30-09-107")</f>
        <v>03-30-09-107</v>
      </c>
      <c r="B1409" s="36" t="str">
        <f>IFERROR(__xludf.DUMMYFUNCTION("""COMPUTED_VALUE"""),"")</f>
        <v/>
      </c>
      <c r="C1409" s="36" t="str">
        <f>IFERROR(__xludf.DUMMYFUNCTION("""COMPUTED_VALUE"""),"")</f>
        <v/>
      </c>
      <c r="D1409" s="36" t="str">
        <f>IFERROR(__xludf.DUMMYFUNCTION("""COMPUTED_VALUE"""),"")</f>
        <v/>
      </c>
      <c r="E1409" s="36" t="str">
        <f>IFERROR(__xludf.DUMMYFUNCTION("""COMPUTED_VALUE"""),"03-32-09-47x")</f>
        <v>03-32-09-47x</v>
      </c>
      <c r="F1409" s="36"/>
      <c r="G1409" s="36" t="str">
        <f>IFERROR(__xludf.DUMMYFUNCTION("""COMPUTED_VALUE"""),"H. Yrigoyen y Los Arrayanes")</f>
        <v>H. Yrigoyen y Los Arrayanes</v>
      </c>
      <c r="H1409" s="36" t="str">
        <f>IFERROR(__xludf.DUMMYFUNCTION("""COMPUTED_VALUE"""),"")</f>
        <v/>
      </c>
    </row>
    <row r="1410">
      <c r="A1410" s="36" t="str">
        <f>IFERROR(__xludf.DUMMYFUNCTION("""COMPUTED_VALUE"""),"03-30-09-116X")</f>
        <v>03-30-09-116X</v>
      </c>
      <c r="B1410" s="36" t="str">
        <f>IFERROR(__xludf.DUMMYFUNCTION("""COMPUTED_VALUE"""),"")</f>
        <v/>
      </c>
      <c r="C1410" s="36" t="str">
        <f>IFERROR(__xludf.DUMMYFUNCTION("""COMPUTED_VALUE"""),"")</f>
        <v/>
      </c>
      <c r="D1410" s="36" t="str">
        <f>IFERROR(__xludf.DUMMYFUNCTION("""COMPUTED_VALUE"""),"")</f>
        <v/>
      </c>
      <c r="E1410" s="36" t="str">
        <f>IFERROR(__xludf.DUMMYFUNCTION("""COMPUTED_VALUE"""),"03-32-09-36")</f>
        <v>03-32-09-36</v>
      </c>
      <c r="F1410" s="36"/>
      <c r="G1410" s="36" t="str">
        <f>IFERROR(__xludf.DUMMYFUNCTION("""COMPUTED_VALUE"""),"H. Yrigoyen y Nueva España")</f>
        <v>H. Yrigoyen y Nueva España</v>
      </c>
      <c r="H1410" s="36" t="str">
        <f>IFERROR(__xludf.DUMMYFUNCTION("""COMPUTED_VALUE"""),"")</f>
        <v/>
      </c>
    </row>
    <row r="1411">
      <c r="A1411" s="36" t="str">
        <f>IFERROR(__xludf.DUMMYFUNCTION("""COMPUTED_VALUE"""),"03-30-09-116Z")</f>
        <v>03-30-09-116Z</v>
      </c>
      <c r="B1411" s="36" t="str">
        <f>IFERROR(__xludf.DUMMYFUNCTION("""COMPUTED_VALUE"""),"")</f>
        <v/>
      </c>
      <c r="C1411" s="36" t="str">
        <f>IFERROR(__xludf.DUMMYFUNCTION("""COMPUTED_VALUE"""),"")</f>
        <v/>
      </c>
      <c r="D1411" s="36" t="str">
        <f>IFERROR(__xludf.DUMMYFUNCTION("""COMPUTED_VALUE"""),"")</f>
        <v/>
      </c>
      <c r="E1411" s="36" t="str">
        <f>IFERROR(__xludf.DUMMYFUNCTION("""COMPUTED_VALUE"""),"03-49-09-49")</f>
        <v>03-49-09-49</v>
      </c>
      <c r="F1411" s="36"/>
      <c r="G1411" s="36" t="str">
        <f>IFERROR(__xludf.DUMMYFUNCTION("""COMPUTED_VALUE"""),"H. Yrigoyen y Ramón Franco")</f>
        <v>H. Yrigoyen y Ramón Franco</v>
      </c>
      <c r="H1411" s="36" t="str">
        <f>IFERROR(__xludf.DUMMYFUNCTION("""COMPUTED_VALUE"""),"")</f>
        <v/>
      </c>
    </row>
    <row r="1412">
      <c r="A1412" s="36" t="str">
        <f>IFERROR(__xludf.DUMMYFUNCTION("""COMPUTED_VALUE"""),"03-30-09-92")</f>
        <v>03-30-09-92</v>
      </c>
      <c r="B1412" s="36" t="str">
        <f>IFERROR(__xludf.DUMMYFUNCTION("""COMPUTED_VALUE"""),"")</f>
        <v/>
      </c>
      <c r="C1412" s="36" t="str">
        <f>IFERROR(__xludf.DUMMYFUNCTION("""COMPUTED_VALUE"""),"")</f>
        <v/>
      </c>
      <c r="D1412" s="36" t="str">
        <f>IFERROR(__xludf.DUMMYFUNCTION("""COMPUTED_VALUE"""),"")</f>
        <v/>
      </c>
      <c r="E1412" s="36" t="str">
        <f>IFERROR(__xludf.DUMMYFUNCTION("""COMPUTED_VALUE"""),"04-36-12-60")</f>
        <v>04-36-12-60</v>
      </c>
      <c r="F1412" s="36"/>
      <c r="G1412" s="36" t="str">
        <f>IFERROR(__xludf.DUMMYFUNCTION("""COMPUTED_VALUE"""),"H. Yrigoyen y Recabarren")</f>
        <v>H. Yrigoyen y Recabarren</v>
      </c>
      <c r="H1412" s="36" t="str">
        <f>IFERROR(__xludf.DUMMYFUNCTION("""COMPUTED_VALUE"""),"")</f>
        <v/>
      </c>
    </row>
    <row r="1413">
      <c r="A1413" s="36" t="str">
        <f>IFERROR(__xludf.DUMMYFUNCTION("""COMPUTED_VALUE"""),"03-31-09-100")</f>
        <v>03-31-09-100</v>
      </c>
      <c r="B1413" s="36" t="str">
        <f>IFERROR(__xludf.DUMMYFUNCTION("""COMPUTED_VALUE"""),"")</f>
        <v/>
      </c>
      <c r="C1413" s="36" t="str">
        <f>IFERROR(__xludf.DUMMYFUNCTION("""COMPUTED_VALUE"""),"")</f>
        <v/>
      </c>
      <c r="D1413" s="36" t="str">
        <f>IFERROR(__xludf.DUMMYFUNCTION("""COMPUTED_VALUE"""),"")</f>
        <v/>
      </c>
      <c r="E1413" s="36" t="str">
        <f>IFERROR(__xludf.DUMMYFUNCTION("""COMPUTED_VALUE"""),"04-36-12-68")</f>
        <v>04-36-12-68</v>
      </c>
      <c r="F1413" s="36"/>
      <c r="G1413" s="36" t="str">
        <f>IFERROR(__xludf.DUMMYFUNCTION("""COMPUTED_VALUE"""),"H. Yrigoyen y Rep. del Líbano")</f>
        <v>H. Yrigoyen y Rep. del Líbano</v>
      </c>
      <c r="H1413" s="36" t="str">
        <f>IFERROR(__xludf.DUMMYFUNCTION("""COMPUTED_VALUE"""),"")</f>
        <v/>
      </c>
    </row>
    <row r="1414">
      <c r="A1414" s="36" t="str">
        <f>IFERROR(__xludf.DUMMYFUNCTION("""COMPUTED_VALUE"""),"03-31-09-101")</f>
        <v>03-31-09-101</v>
      </c>
      <c r="B1414" s="36" t="str">
        <f>IFERROR(__xludf.DUMMYFUNCTION("""COMPUTED_VALUE"""),"")</f>
        <v/>
      </c>
      <c r="C1414" s="36" t="str">
        <f>IFERROR(__xludf.DUMMYFUNCTION("""COMPUTED_VALUE"""),"")</f>
        <v/>
      </c>
      <c r="D1414" s="36" t="str">
        <f>IFERROR(__xludf.DUMMYFUNCTION("""COMPUTED_VALUE"""),"")</f>
        <v/>
      </c>
      <c r="E1414" s="36" t="str">
        <f>IFERROR(__xludf.DUMMYFUNCTION("""COMPUTED_VALUE"""),"04-36-12-63A")</f>
        <v>04-36-12-63A</v>
      </c>
      <c r="F1414" s="36"/>
      <c r="G1414" s="36" t="str">
        <f>IFERROR(__xludf.DUMMYFUNCTION("""COMPUTED_VALUE"""),"H. Yrigoyen y Viña del Mar")</f>
        <v>H. Yrigoyen y Viña del Mar</v>
      </c>
      <c r="H1414" s="36" t="str">
        <f>IFERROR(__xludf.DUMMYFUNCTION("""COMPUTED_VALUE"""),"")</f>
        <v/>
      </c>
    </row>
    <row r="1415">
      <c r="A1415" s="36" t="str">
        <f>IFERROR(__xludf.DUMMYFUNCTION("""COMPUTED_VALUE"""),"03-31-09-102")</f>
        <v>03-31-09-102</v>
      </c>
      <c r="B1415" s="36" t="str">
        <f>IFERROR(__xludf.DUMMYFUNCTION("""COMPUTED_VALUE"""),"")</f>
        <v/>
      </c>
      <c r="C1415" s="36" t="str">
        <f>IFERROR(__xludf.DUMMYFUNCTION("""COMPUTED_VALUE"""),"")</f>
        <v/>
      </c>
      <c r="D1415" s="36" t="str">
        <f>IFERROR(__xludf.DUMMYFUNCTION("""COMPUTED_VALUE"""),"")</f>
        <v/>
      </c>
      <c r="E1415" s="36" t="str">
        <f>IFERROR(__xludf.DUMMYFUNCTION("""COMPUTED_VALUE"""),"02-38-12-282A")</f>
        <v>02-38-12-282A</v>
      </c>
      <c r="F1415" s="36"/>
      <c r="G1415" s="36" t="str">
        <f>IFERROR(__xludf.DUMMYFUNCTION("""COMPUTED_VALUE"""),"Hermógenes Ruiz Este y Morales")</f>
        <v>Hermógenes Ruiz Este y Morales</v>
      </c>
      <c r="H1415" s="36" t="str">
        <f>IFERROR(__xludf.DUMMYFUNCTION("""COMPUTED_VALUE"""),"")</f>
        <v/>
      </c>
    </row>
    <row r="1416">
      <c r="A1416" s="36" t="str">
        <f>IFERROR(__xludf.DUMMYFUNCTION("""COMPUTED_VALUE"""),"03-31-09-103")</f>
        <v>03-31-09-103</v>
      </c>
      <c r="B1416" s="36" t="str">
        <f>IFERROR(__xludf.DUMMYFUNCTION("""COMPUTED_VALUE"""),"")</f>
        <v/>
      </c>
      <c r="C1416" s="36" t="str">
        <f>IFERROR(__xludf.DUMMYFUNCTION("""COMPUTED_VALUE"""),"")</f>
        <v/>
      </c>
      <c r="D1416" s="36" t="str">
        <f>IFERROR(__xludf.DUMMYFUNCTION("""COMPUTED_VALUE"""),"")</f>
        <v/>
      </c>
      <c r="E1416" s="36" t="str">
        <f>IFERROR(__xludf.DUMMYFUNCTION("""COMPUTED_VALUE"""),"01-47-12-282B")</f>
        <v>01-47-12-282B</v>
      </c>
      <c r="F1416" s="36"/>
      <c r="G1416" s="36" t="str">
        <f>IFERROR(__xludf.DUMMYFUNCTION("""COMPUTED_VALUE"""),"Hermógenes Ruiz Oeste y Morales")</f>
        <v>Hermógenes Ruiz Oeste y Morales</v>
      </c>
      <c r="H1416" s="36" t="str">
        <f>IFERROR(__xludf.DUMMYFUNCTION("""COMPUTED_VALUE"""),"")</f>
        <v/>
      </c>
    </row>
    <row r="1417">
      <c r="A1417" s="36" t="str">
        <f>IFERROR(__xludf.DUMMYFUNCTION("""COMPUTED_VALUE"""),"03-31-09-104")</f>
        <v>03-31-09-104</v>
      </c>
      <c r="B1417" s="36" t="str">
        <f>IFERROR(__xludf.DUMMYFUNCTION("""COMPUTED_VALUE"""),"")</f>
        <v/>
      </c>
      <c r="C1417" s="36" t="str">
        <f>IFERROR(__xludf.DUMMYFUNCTION("""COMPUTED_VALUE"""),"")</f>
        <v/>
      </c>
      <c r="D1417" s="36" t="str">
        <f>IFERROR(__xludf.DUMMYFUNCTION("""COMPUTED_VALUE"""),"")</f>
        <v/>
      </c>
      <c r="E1417" s="36" t="str">
        <f>IFERROR(__xludf.DUMMYFUNCTION("""COMPUTED_VALUE"""),"01-48-12-285A")</f>
        <v>01-48-12-285A</v>
      </c>
      <c r="F1417" s="36"/>
      <c r="G1417" s="36" t="str">
        <f>IFERROR(__xludf.DUMMYFUNCTION("""COMPUTED_VALUE"""),"Hermógenes Ruiz y 9 de Julio")</f>
        <v>Hermógenes Ruiz y 9 de Julio</v>
      </c>
      <c r="H1417" s="36" t="str">
        <f>IFERROR(__xludf.DUMMYFUNCTION("""COMPUTED_VALUE"""),"")</f>
        <v/>
      </c>
    </row>
    <row r="1418">
      <c r="A1418" s="36" t="str">
        <f>IFERROR(__xludf.DUMMYFUNCTION("""COMPUTED_VALUE"""),"03-31-09-105")</f>
        <v>03-31-09-105</v>
      </c>
      <c r="B1418" s="36" t="str">
        <f>IFERROR(__xludf.DUMMYFUNCTION("""COMPUTED_VALUE"""),"")</f>
        <v/>
      </c>
      <c r="C1418" s="36" t="str">
        <f>IFERROR(__xludf.DUMMYFUNCTION("""COMPUTED_VALUE"""),"")</f>
        <v/>
      </c>
      <c r="D1418" s="36" t="str">
        <f>IFERROR(__xludf.DUMMYFUNCTION("""COMPUTED_VALUE"""),"")</f>
        <v/>
      </c>
      <c r="E1418" s="36" t="str">
        <f>IFERROR(__xludf.DUMMYFUNCTION("""COMPUTED_VALUE"""),"01-48-12-283")</f>
        <v>01-48-12-283</v>
      </c>
      <c r="F1418" s="36"/>
      <c r="G1418" s="36" t="str">
        <f>IFERROR(__xludf.DUMMYFUNCTION("""COMPUTED_VALUE"""),"Hermógenes Ruiz y 9 de Julio Este")</f>
        <v>Hermógenes Ruiz y 9 de Julio Este</v>
      </c>
      <c r="H1418" s="36" t="str">
        <f>IFERROR(__xludf.DUMMYFUNCTION("""COMPUTED_VALUE"""),"")</f>
        <v/>
      </c>
    </row>
    <row r="1419">
      <c r="A1419" s="36" t="str">
        <f>IFERROR(__xludf.DUMMYFUNCTION("""COMPUTED_VALUE"""),"03-31-09-106")</f>
        <v>03-31-09-106</v>
      </c>
      <c r="B1419" s="36" t="str">
        <f>IFERROR(__xludf.DUMMYFUNCTION("""COMPUTED_VALUE"""),"")</f>
        <v/>
      </c>
      <c r="C1419" s="36" t="str">
        <f>IFERROR(__xludf.DUMMYFUNCTION("""COMPUTED_VALUE"""),"")</f>
        <v/>
      </c>
      <c r="D1419" s="36" t="str">
        <f>IFERROR(__xludf.DUMMYFUNCTION("""COMPUTED_VALUE"""),"")</f>
        <v/>
      </c>
      <c r="E1419" s="36" t="str">
        <f>IFERROR(__xludf.DUMMYFUNCTION("""COMPUTED_VALUE"""),"01-47-12-284")</f>
        <v>01-47-12-284</v>
      </c>
      <c r="F1419" s="36"/>
      <c r="G1419" s="36" t="str">
        <f>IFERROR(__xludf.DUMMYFUNCTION("""COMPUTED_VALUE"""),"Hermógenes Ruiz y 9 de Julio Norte")</f>
        <v>Hermógenes Ruiz y 9 de Julio Norte</v>
      </c>
      <c r="H1419" s="36" t="str">
        <f>IFERROR(__xludf.DUMMYFUNCTION("""COMPUTED_VALUE"""),"")</f>
        <v/>
      </c>
    </row>
    <row r="1420">
      <c r="A1420" s="36" t="str">
        <f>IFERROR(__xludf.DUMMYFUNCTION("""COMPUTED_VALUE"""),"03-31-09-108")</f>
        <v>03-31-09-108</v>
      </c>
      <c r="B1420" s="36" t="str">
        <f>IFERROR(__xludf.DUMMYFUNCTION("""COMPUTED_VALUE"""),"")</f>
        <v/>
      </c>
      <c r="C1420" s="36" t="str">
        <f>IFERROR(__xludf.DUMMYFUNCTION("""COMPUTED_VALUE"""),"")</f>
        <v/>
      </c>
      <c r="D1420" s="36" t="str">
        <f>IFERROR(__xludf.DUMMYFUNCTION("""COMPUTED_VALUE"""),"")</f>
        <v/>
      </c>
      <c r="E1420" s="36" t="str">
        <f>IFERROR(__xludf.DUMMYFUNCTION("""COMPUTED_VALUE"""),"01-47-12-288")</f>
        <v>01-47-12-288</v>
      </c>
      <c r="F1420" s="36"/>
      <c r="G1420" s="36" t="str">
        <f>IFERROR(__xludf.DUMMYFUNCTION("""COMPUTED_VALUE"""),"Hermógenes Ruiz y 9 de Julio Sur")</f>
        <v>Hermógenes Ruiz y 9 de Julio Sur</v>
      </c>
      <c r="H1420" s="36" t="str">
        <f>IFERROR(__xludf.DUMMYFUNCTION("""COMPUTED_VALUE"""),"")</f>
        <v/>
      </c>
    </row>
    <row r="1421">
      <c r="A1421" s="36" t="str">
        <f>IFERROR(__xludf.DUMMYFUNCTION("""COMPUTED_VALUE"""),"03-31-09-109")</f>
        <v>03-31-09-109</v>
      </c>
      <c r="B1421" s="36" t="str">
        <f>IFERROR(__xludf.DUMMYFUNCTION("""COMPUTED_VALUE"""),"")</f>
        <v/>
      </c>
      <c r="C1421" s="36" t="str">
        <f>IFERROR(__xludf.DUMMYFUNCTION("""COMPUTED_VALUE"""),"")</f>
        <v/>
      </c>
      <c r="D1421" s="36" t="str">
        <f>IFERROR(__xludf.DUMMYFUNCTION("""COMPUTED_VALUE"""),"")</f>
        <v/>
      </c>
      <c r="E1421" s="36" t="str">
        <f>IFERROR(__xludf.DUMMYFUNCTION("""COMPUTED_VALUE"""),"02-38-12-282")</f>
        <v>02-38-12-282</v>
      </c>
      <c r="F1421" s="36"/>
      <c r="G1421" s="36" t="str">
        <f>IFERROR(__xludf.DUMMYFUNCTION("""COMPUTED_VALUE"""),"Hermógenes Ruiz y Arenales")</f>
        <v>Hermógenes Ruiz y Arenales</v>
      </c>
      <c r="H1421" s="36" t="str">
        <f>IFERROR(__xludf.DUMMYFUNCTION("""COMPUTED_VALUE"""),"")</f>
        <v/>
      </c>
    </row>
    <row r="1422">
      <c r="A1422" s="36" t="str">
        <f>IFERROR(__xludf.DUMMYFUNCTION("""COMPUTED_VALUE"""),"03-31-09-109A")</f>
        <v>03-31-09-109A</v>
      </c>
      <c r="B1422" s="36" t="str">
        <f>IFERROR(__xludf.DUMMYFUNCTION("""COMPUTED_VALUE"""),"")</f>
        <v/>
      </c>
      <c r="C1422" s="36" t="str">
        <f>IFERROR(__xludf.DUMMYFUNCTION("""COMPUTED_VALUE"""),"")</f>
        <v/>
      </c>
      <c r="D1422" s="36" t="str">
        <f>IFERROR(__xludf.DUMMYFUNCTION("""COMPUTED_VALUE"""),"")</f>
        <v/>
      </c>
      <c r="E1422" s="36" t="str">
        <f>IFERROR(__xludf.DUMMYFUNCTION("""COMPUTED_VALUE"""),"09-20-10-34B")</f>
        <v>09-20-10-34B</v>
      </c>
      <c r="F1422" s="36"/>
      <c r="G1422" s="36" t="str">
        <f>IFERROR(__xludf.DUMMYFUNCTION("""COMPUTED_VALUE"""),"Hernán Cortéz y Buenos Aires Este")</f>
        <v>Hernán Cortéz y Buenos Aires Este</v>
      </c>
      <c r="H1422" s="36" t="str">
        <f>IFERROR(__xludf.DUMMYFUNCTION("""COMPUTED_VALUE"""),"")</f>
        <v/>
      </c>
    </row>
    <row r="1423">
      <c r="A1423" s="36" t="str">
        <f>IFERROR(__xludf.DUMMYFUNCTION("""COMPUTED_VALUE"""),"03-31-09-109B")</f>
        <v>03-31-09-109B</v>
      </c>
      <c r="B1423" s="36" t="str">
        <f>IFERROR(__xludf.DUMMYFUNCTION("""COMPUTED_VALUE"""),"")</f>
        <v/>
      </c>
      <c r="C1423" s="36" t="str">
        <f>IFERROR(__xludf.DUMMYFUNCTION("""COMPUTED_VALUE"""),"")</f>
        <v/>
      </c>
      <c r="D1423" s="36" t="str">
        <f>IFERROR(__xludf.DUMMYFUNCTION("""COMPUTED_VALUE"""),"")</f>
        <v/>
      </c>
      <c r="E1423" s="36" t="str">
        <f>IFERROR(__xludf.DUMMYFUNCTION("""COMPUTED_VALUE"""),"03-42-10-34A")</f>
        <v>03-42-10-34A</v>
      </c>
      <c r="F1423" s="36"/>
      <c r="G1423" s="36" t="str">
        <f>IFERROR(__xludf.DUMMYFUNCTION("""COMPUTED_VALUE"""),"Hernán Cortéz y Buenos Aires Oeste")</f>
        <v>Hernán Cortéz y Buenos Aires Oeste</v>
      </c>
      <c r="H1423" s="36" t="str">
        <f>IFERROR(__xludf.DUMMYFUNCTION("""COMPUTED_VALUE"""),"")</f>
        <v/>
      </c>
    </row>
    <row r="1424">
      <c r="A1424" s="36" t="str">
        <f>IFERROR(__xludf.DUMMYFUNCTION("""COMPUTED_VALUE"""),"03-31-09-109C")</f>
        <v>03-31-09-109C</v>
      </c>
      <c r="B1424" s="36" t="str">
        <f>IFERROR(__xludf.DUMMYFUNCTION("""COMPUTED_VALUE"""),"")</f>
        <v/>
      </c>
      <c r="C1424" s="36" t="str">
        <f>IFERROR(__xludf.DUMMYFUNCTION("""COMPUTED_VALUE"""),"")</f>
        <v/>
      </c>
      <c r="D1424" s="36" t="str">
        <f>IFERROR(__xludf.DUMMYFUNCTION("""COMPUTED_VALUE"""),"")</f>
        <v/>
      </c>
      <c r="E1424" s="36" t="str">
        <f>IFERROR(__xludf.DUMMYFUNCTION("""COMPUTED_VALUE"""),"09-20-10-35B")</f>
        <v>09-20-10-35B</v>
      </c>
      <c r="F1424" s="36"/>
      <c r="G1424" s="36" t="str">
        <f>IFERROR(__xludf.DUMMYFUNCTION("""COMPUTED_VALUE"""),"Hernán Cortéz y Rodriguez Bustos")</f>
        <v>Hernán Cortéz y Rodriguez Bustos</v>
      </c>
      <c r="H1424" s="36" t="str">
        <f>IFERROR(__xludf.DUMMYFUNCTION("""COMPUTED_VALUE"""),"")</f>
        <v/>
      </c>
    </row>
    <row r="1425">
      <c r="A1425" s="36" t="str">
        <f>IFERROR(__xludf.DUMMYFUNCTION("""COMPUTED_VALUE"""),"03-31-09-109D")</f>
        <v>03-31-09-109D</v>
      </c>
      <c r="B1425" s="36" t="str">
        <f>IFERROR(__xludf.DUMMYFUNCTION("""COMPUTED_VALUE"""),"")</f>
        <v/>
      </c>
      <c r="C1425" s="36" t="str">
        <f>IFERROR(__xludf.DUMMYFUNCTION("""COMPUTED_VALUE"""),"")</f>
        <v/>
      </c>
      <c r="D1425" s="36" t="str">
        <f>IFERROR(__xludf.DUMMYFUNCTION("""COMPUTED_VALUE"""),"")</f>
        <v/>
      </c>
      <c r="E1425" s="36" t="str">
        <f>IFERROR(__xludf.DUMMYFUNCTION("""COMPUTED_VALUE"""),"03-42-10-35A")</f>
        <v>03-42-10-35A</v>
      </c>
      <c r="F1425" s="36"/>
      <c r="G1425" s="36" t="str">
        <f>IFERROR(__xludf.DUMMYFUNCTION("""COMPUTED_VALUE"""),"Hernán Cortéz y Talcahuano")</f>
        <v>Hernán Cortéz y Talcahuano</v>
      </c>
      <c r="H1425" s="36" t="str">
        <f>IFERROR(__xludf.DUMMYFUNCTION("""COMPUTED_VALUE"""),"")</f>
        <v/>
      </c>
    </row>
    <row r="1426">
      <c r="A1426" s="36" t="str">
        <f>IFERROR(__xludf.DUMMYFUNCTION("""COMPUTED_VALUE"""),"03-31-09-109E")</f>
        <v>03-31-09-109E</v>
      </c>
      <c r="B1426" s="36" t="str">
        <f>IFERROR(__xludf.DUMMYFUNCTION("""COMPUTED_VALUE"""),"")</f>
        <v/>
      </c>
      <c r="C1426" s="36" t="str">
        <f>IFERROR(__xludf.DUMMYFUNCTION("""COMPUTED_VALUE"""),"")</f>
        <v/>
      </c>
      <c r="D1426" s="36" t="str">
        <f>IFERROR(__xludf.DUMMYFUNCTION("""COMPUTED_VALUE"""),"")</f>
        <v/>
      </c>
      <c r="E1426" s="36" t="str">
        <f>IFERROR(__xludf.DUMMYFUNCTION("""COMPUTED_VALUE"""),"03-47-10-125B")</f>
        <v>03-47-10-125B</v>
      </c>
      <c r="F1426" s="36"/>
      <c r="G1426" s="36" t="str">
        <f>IFERROR(__xludf.DUMMYFUNCTION("""COMPUTED_VALUE"""),"Hipólito Yrigoyen e/ Roca y Av Sarmiento Norte")</f>
        <v>Hipólito Yrigoyen e/ Roca y Av Sarmiento Norte</v>
      </c>
      <c r="H1426" s="36" t="str">
        <f>IFERROR(__xludf.DUMMYFUNCTION("""COMPUTED_VALUE"""),"")</f>
        <v/>
      </c>
    </row>
    <row r="1427">
      <c r="A1427" s="36" t="str">
        <f>IFERROR(__xludf.DUMMYFUNCTION("""COMPUTED_VALUE"""),"03-31-09-109G")</f>
        <v>03-31-09-109G</v>
      </c>
      <c r="B1427" s="36" t="str">
        <f>IFERROR(__xludf.DUMMYFUNCTION("""COMPUTED_VALUE"""),"")</f>
        <v/>
      </c>
      <c r="C1427" s="36" t="str">
        <f>IFERROR(__xludf.DUMMYFUNCTION("""COMPUTED_VALUE"""),"")</f>
        <v/>
      </c>
      <c r="D1427" s="36" t="str">
        <f>IFERROR(__xludf.DUMMYFUNCTION("""COMPUTED_VALUE"""),"")</f>
        <v/>
      </c>
      <c r="E1427" s="36" t="str">
        <f>IFERROR(__xludf.DUMMYFUNCTION("""COMPUTED_VALUE"""),"03-47-10-125A")</f>
        <v>03-47-10-125A</v>
      </c>
      <c r="F1427" s="36"/>
      <c r="G1427" s="36" t="str">
        <f>IFERROR(__xludf.DUMMYFUNCTION("""COMPUTED_VALUE"""),"Hipólito Yrigoyen e/ Roca y Av Sarmiento Sur")</f>
        <v>Hipólito Yrigoyen e/ Roca y Av Sarmiento Sur</v>
      </c>
      <c r="H1427" s="36" t="str">
        <f>IFERROR(__xludf.DUMMYFUNCTION("""COMPUTED_VALUE"""),"")</f>
        <v/>
      </c>
    </row>
    <row r="1428">
      <c r="A1428" s="36" t="str">
        <f>IFERROR(__xludf.DUMMYFUNCTION("""COMPUTED_VALUE"""),"03-31-09-109H")</f>
        <v>03-31-09-109H</v>
      </c>
      <c r="B1428" s="36" t="str">
        <f>IFERROR(__xludf.DUMMYFUNCTION("""COMPUTED_VALUE"""),"")</f>
        <v/>
      </c>
      <c r="C1428" s="36" t="str">
        <f>IFERROR(__xludf.DUMMYFUNCTION("""COMPUTED_VALUE"""),"")</f>
        <v/>
      </c>
      <c r="D1428" s="36" t="str">
        <f>IFERROR(__xludf.DUMMYFUNCTION("""COMPUTED_VALUE"""),"")</f>
        <v/>
      </c>
      <c r="E1428" s="36" t="str">
        <f>IFERROR(__xludf.DUMMYFUNCTION("""COMPUTED_VALUE"""),"03-48-10-126D")</f>
        <v>03-48-10-126D</v>
      </c>
      <c r="F1428" s="36"/>
      <c r="G1428" s="36" t="str">
        <f>IFERROR(__xludf.DUMMYFUNCTION("""COMPUTED_VALUE"""),"Hipólito Yrigoyen e/ Roca y Quiroga Norte")</f>
        <v>Hipólito Yrigoyen e/ Roca y Quiroga Norte</v>
      </c>
      <c r="H1428" s="36" t="str">
        <f>IFERROR(__xludf.DUMMYFUNCTION("""COMPUTED_VALUE"""),"")</f>
        <v/>
      </c>
    </row>
    <row r="1429">
      <c r="A1429" s="36" t="str">
        <f>IFERROR(__xludf.DUMMYFUNCTION("""COMPUTED_VALUE"""),"03-31-09-109M")</f>
        <v>03-31-09-109M</v>
      </c>
      <c r="B1429" s="36" t="str">
        <f>IFERROR(__xludf.DUMMYFUNCTION("""COMPUTED_VALUE"""),"")</f>
        <v/>
      </c>
      <c r="C1429" s="36" t="str">
        <f>IFERROR(__xludf.DUMMYFUNCTION("""COMPUTED_VALUE"""),"")</f>
        <v/>
      </c>
      <c r="D1429" s="36" t="str">
        <f>IFERROR(__xludf.DUMMYFUNCTION("""COMPUTED_VALUE"""),"")</f>
        <v/>
      </c>
      <c r="E1429" s="36" t="str">
        <f>IFERROR(__xludf.DUMMYFUNCTION("""COMPUTED_VALUE"""),"03-48-10-126C")</f>
        <v>03-48-10-126C</v>
      </c>
      <c r="F1429" s="36"/>
      <c r="G1429" s="36" t="str">
        <f>IFERROR(__xludf.DUMMYFUNCTION("""COMPUTED_VALUE"""),"Hipólito Yrigoyen e/ Roca y Quiroga Sur")</f>
        <v>Hipólito Yrigoyen e/ Roca y Quiroga Sur</v>
      </c>
      <c r="H1429" s="36" t="str">
        <f>IFERROR(__xludf.DUMMYFUNCTION("""COMPUTED_VALUE"""),"")</f>
        <v/>
      </c>
    </row>
    <row r="1430">
      <c r="A1430" s="36" t="str">
        <f>IFERROR(__xludf.DUMMYFUNCTION("""COMPUTED_VALUE"""),"03-31-09-109N")</f>
        <v>03-31-09-109N</v>
      </c>
      <c r="B1430" s="36" t="str">
        <f>IFERROR(__xludf.DUMMYFUNCTION("""COMPUTED_VALUE"""),"")</f>
        <v/>
      </c>
      <c r="C1430" s="36" t="str">
        <f>IFERROR(__xludf.DUMMYFUNCTION("""COMPUTED_VALUE"""),"")</f>
        <v/>
      </c>
      <c r="D1430" s="36" t="str">
        <f>IFERROR(__xludf.DUMMYFUNCTION("""COMPUTED_VALUE"""),"")</f>
        <v/>
      </c>
      <c r="E1430" s="36" t="str">
        <f>IFERROR(__xludf.DUMMYFUNCTION("""COMPUTED_VALUE"""),"03-50-10-116A")</f>
        <v>03-50-10-116A</v>
      </c>
      <c r="F1430" s="36"/>
      <c r="G1430" s="36" t="str">
        <f>IFERROR(__xludf.DUMMYFUNCTION("""COMPUTED_VALUE"""),"Hipólito Yrigoyen e/ Ruta 20 y 12 de Octubre N")</f>
        <v>Hipólito Yrigoyen e/ Ruta 20 y 12 de Octubre N</v>
      </c>
      <c r="H1430" s="36" t="str">
        <f>IFERROR(__xludf.DUMMYFUNCTION("""COMPUTED_VALUE"""),"")</f>
        <v/>
      </c>
    </row>
    <row r="1431">
      <c r="A1431" s="36" t="str">
        <f>IFERROR(__xludf.DUMMYFUNCTION("""COMPUTED_VALUE"""),"03-31-09-110")</f>
        <v>03-31-09-110</v>
      </c>
      <c r="B1431" s="36" t="str">
        <f>IFERROR(__xludf.DUMMYFUNCTION("""COMPUTED_VALUE"""),"")</f>
        <v/>
      </c>
      <c r="C1431" s="36" t="str">
        <f>IFERROR(__xludf.DUMMYFUNCTION("""COMPUTED_VALUE"""),"")</f>
        <v/>
      </c>
      <c r="D1431" s="36" t="str">
        <f>IFERROR(__xludf.DUMMYFUNCTION("""COMPUTED_VALUE"""),"")</f>
        <v/>
      </c>
      <c r="E1431" s="36" t="str">
        <f>IFERROR(__xludf.DUMMYFUNCTION("""COMPUTED_VALUE"""),"03-50-10-116B")</f>
        <v>03-50-10-116B</v>
      </c>
      <c r="F1431" s="36"/>
      <c r="G1431" s="36" t="str">
        <f>IFERROR(__xludf.DUMMYFUNCTION("""COMPUTED_VALUE"""),"Hipólito Yrigoyen e/ Ruta 20 y 12 de Octubre S")</f>
        <v>Hipólito Yrigoyen e/ Ruta 20 y 12 de Octubre S</v>
      </c>
      <c r="H1431" s="36" t="str">
        <f>IFERROR(__xludf.DUMMYFUNCTION("""COMPUTED_VALUE"""),"")</f>
        <v/>
      </c>
    </row>
    <row r="1432">
      <c r="A1432" s="36" t="str">
        <f>IFERROR(__xludf.DUMMYFUNCTION("""COMPUTED_VALUE"""),"03-31-09-111")</f>
        <v>03-31-09-111</v>
      </c>
      <c r="B1432" s="36" t="str">
        <f>IFERROR(__xludf.DUMMYFUNCTION("""COMPUTED_VALUE"""),"")</f>
        <v/>
      </c>
      <c r="C1432" s="36" t="str">
        <f>IFERROR(__xludf.DUMMYFUNCTION("""COMPUTED_VALUE"""),"")</f>
        <v/>
      </c>
      <c r="D1432" s="36" t="str">
        <f>IFERROR(__xludf.DUMMYFUNCTION("""COMPUTED_VALUE"""),"")</f>
        <v/>
      </c>
      <c r="E1432" s="36" t="str">
        <f>IFERROR(__xludf.DUMMYFUNCTION("""COMPUTED_VALUE"""),"01-47-12-249")</f>
        <v>01-47-12-249</v>
      </c>
      <c r="F1432" s="36"/>
      <c r="G1432" s="36" t="str">
        <f>IFERROR(__xludf.DUMMYFUNCTION("""COMPUTED_VALUE"""),"HIpólito Yrigoyen Este")</f>
        <v>HIpólito Yrigoyen Este</v>
      </c>
      <c r="H1432" s="36" t="str">
        <f>IFERROR(__xludf.DUMMYFUNCTION("""COMPUTED_VALUE"""),"")</f>
        <v/>
      </c>
    </row>
    <row r="1433">
      <c r="A1433" s="36" t="str">
        <f>IFERROR(__xludf.DUMMYFUNCTION("""COMPUTED_VALUE"""),"03-31-09-112")</f>
        <v>03-31-09-112</v>
      </c>
      <c r="B1433" s="36" t="str">
        <f>IFERROR(__xludf.DUMMYFUNCTION("""COMPUTED_VALUE"""),"")</f>
        <v/>
      </c>
      <c r="C1433" s="36" t="str">
        <f>IFERROR(__xludf.DUMMYFUNCTION("""COMPUTED_VALUE"""),"")</f>
        <v/>
      </c>
      <c r="D1433" s="36" t="str">
        <f>IFERROR(__xludf.DUMMYFUNCTION("""COMPUTED_VALUE"""),"")</f>
        <v/>
      </c>
      <c r="E1433" s="36" t="str">
        <f>IFERROR(__xludf.DUMMYFUNCTION("""COMPUTED_VALUE"""),"01-47-12-255")</f>
        <v>01-47-12-255</v>
      </c>
      <c r="F1433" s="36"/>
      <c r="G1433" s="36" t="str">
        <f>IFERROR(__xludf.DUMMYFUNCTION("""COMPUTED_VALUE"""),"Hipólito Yrigoyen Este y Balcarce")</f>
        <v>Hipólito Yrigoyen Este y Balcarce</v>
      </c>
      <c r="H1433" s="36" t="str">
        <f>IFERROR(__xludf.DUMMYFUNCTION("""COMPUTED_VALUE"""),"")</f>
        <v/>
      </c>
    </row>
    <row r="1434">
      <c r="A1434" s="36" t="str">
        <f>IFERROR(__xludf.DUMMYFUNCTION("""COMPUTED_VALUE"""),"03-31-09-113")</f>
        <v>03-31-09-113</v>
      </c>
      <c r="B1434" s="36" t="str">
        <f>IFERROR(__xludf.DUMMYFUNCTION("""COMPUTED_VALUE"""),"")</f>
        <v/>
      </c>
      <c r="C1434" s="36" t="str">
        <f>IFERROR(__xludf.DUMMYFUNCTION("""COMPUTED_VALUE"""),"")</f>
        <v/>
      </c>
      <c r="D1434" s="36" t="str">
        <f>IFERROR(__xludf.DUMMYFUNCTION("""COMPUTED_VALUE"""),"")</f>
        <v/>
      </c>
      <c r="E1434" s="36" t="str">
        <f>IFERROR(__xludf.DUMMYFUNCTION("""COMPUTED_VALUE"""),"01-46-12-258")</f>
        <v>01-46-12-258</v>
      </c>
      <c r="F1434" s="36"/>
      <c r="G1434" s="36" t="str">
        <f>IFERROR(__xludf.DUMMYFUNCTION("""COMPUTED_VALUE"""),"Hipólito Yrigoyen Este y Pueyrredón")</f>
        <v>Hipólito Yrigoyen Este y Pueyrredón</v>
      </c>
      <c r="H1434" s="36" t="str">
        <f>IFERROR(__xludf.DUMMYFUNCTION("""COMPUTED_VALUE"""),"")</f>
        <v/>
      </c>
    </row>
    <row r="1435">
      <c r="A1435" s="36" t="str">
        <f>IFERROR(__xludf.DUMMYFUNCTION("""COMPUTED_VALUE"""),"03-31-09-114")</f>
        <v>03-31-09-114</v>
      </c>
      <c r="B1435" s="36" t="str">
        <f>IFERROR(__xludf.DUMMYFUNCTION("""COMPUTED_VALUE"""),"")</f>
        <v/>
      </c>
      <c r="C1435" s="36" t="str">
        <f>IFERROR(__xludf.DUMMYFUNCTION("""COMPUTED_VALUE"""),"")</f>
        <v/>
      </c>
      <c r="D1435" s="36" t="str">
        <f>IFERROR(__xludf.DUMMYFUNCTION("""COMPUTED_VALUE"""),"")</f>
        <v/>
      </c>
      <c r="E1435" s="36" t="str">
        <f>IFERROR(__xludf.DUMMYFUNCTION("""COMPUTED_VALUE"""),"01-47-12-253")</f>
        <v>01-47-12-253</v>
      </c>
      <c r="F1435" s="36"/>
      <c r="G1435" s="36" t="str">
        <f>IFERROR(__xludf.DUMMYFUNCTION("""COMPUTED_VALUE"""),"Hipólito Yrigoyen Este y Santa Fe")</f>
        <v>Hipólito Yrigoyen Este y Santa Fe</v>
      </c>
      <c r="H1435" s="36" t="str">
        <f>IFERROR(__xludf.DUMMYFUNCTION("""COMPUTED_VALUE"""),"")</f>
        <v/>
      </c>
    </row>
    <row r="1436">
      <c r="A1436" s="36" t="str">
        <f>IFERROR(__xludf.DUMMYFUNCTION("""COMPUTED_VALUE"""),"03-31-09-115")</f>
        <v>03-31-09-115</v>
      </c>
      <c r="B1436" s="36" t="str">
        <f>IFERROR(__xludf.DUMMYFUNCTION("""COMPUTED_VALUE"""),"")</f>
        <v/>
      </c>
      <c r="C1436" s="36" t="str">
        <f>IFERROR(__xludf.DUMMYFUNCTION("""COMPUTED_VALUE"""),"")</f>
        <v/>
      </c>
      <c r="D1436" s="36" t="str">
        <f>IFERROR(__xludf.DUMMYFUNCTION("""COMPUTED_VALUE"""),"")</f>
        <v/>
      </c>
      <c r="E1436" s="36" t="str">
        <f>IFERROR(__xludf.DUMMYFUNCTION("""COMPUTED_VALUE"""),"02-39-12-256")</f>
        <v>02-39-12-256</v>
      </c>
      <c r="F1436" s="36"/>
      <c r="G1436" s="36" t="str">
        <f>IFERROR(__xludf.DUMMYFUNCTION("""COMPUTED_VALUE"""),"Hipólito Yrigoyen Oeste y Balcarce")</f>
        <v>Hipólito Yrigoyen Oeste y Balcarce</v>
      </c>
      <c r="H1436" s="36" t="str">
        <f>IFERROR(__xludf.DUMMYFUNCTION("""COMPUTED_VALUE"""),"")</f>
        <v/>
      </c>
    </row>
    <row r="1437">
      <c r="A1437" s="36" t="str">
        <f>IFERROR(__xludf.DUMMYFUNCTION("""COMPUTED_VALUE"""),"03-31-09-116")</f>
        <v>03-31-09-116</v>
      </c>
      <c r="B1437" s="36" t="str">
        <f>IFERROR(__xludf.DUMMYFUNCTION("""COMPUTED_VALUE"""),"")</f>
        <v/>
      </c>
      <c r="C1437" s="36" t="str">
        <f>IFERROR(__xludf.DUMMYFUNCTION("""COMPUTED_VALUE"""),"")</f>
        <v/>
      </c>
      <c r="D1437" s="36" t="str">
        <f>IFERROR(__xludf.DUMMYFUNCTION("""COMPUTED_VALUE"""),"")</f>
        <v/>
      </c>
      <c r="E1437" s="36" t="str">
        <f>IFERROR(__xludf.DUMMYFUNCTION("""COMPUTED_VALUE"""),"02-37-12-259")</f>
        <v>02-37-12-259</v>
      </c>
      <c r="F1437" s="36"/>
      <c r="G1437" s="36" t="str">
        <f>IFERROR(__xludf.DUMMYFUNCTION("""COMPUTED_VALUE"""),"Hipólito Yrigoyen Oeste y Pueyrredón")</f>
        <v>Hipólito Yrigoyen Oeste y Pueyrredón</v>
      </c>
      <c r="H1437" s="36" t="str">
        <f>IFERROR(__xludf.DUMMYFUNCTION("""COMPUTED_VALUE"""),"")</f>
        <v/>
      </c>
    </row>
    <row r="1438">
      <c r="A1438" s="36" t="str">
        <f>IFERROR(__xludf.DUMMYFUNCTION("""COMPUTED_VALUE"""),"03-31-09-116B")</f>
        <v>03-31-09-116B</v>
      </c>
      <c r="B1438" s="36" t="str">
        <f>IFERROR(__xludf.DUMMYFUNCTION("""COMPUTED_VALUE"""),"")</f>
        <v/>
      </c>
      <c r="C1438" s="36" t="str">
        <f>IFERROR(__xludf.DUMMYFUNCTION("""COMPUTED_VALUE"""),"")</f>
        <v/>
      </c>
      <c r="D1438" s="36" t="str">
        <f>IFERROR(__xludf.DUMMYFUNCTION("""COMPUTED_VALUE"""),"")</f>
        <v/>
      </c>
      <c r="E1438" s="36" t="str">
        <f>IFERROR(__xludf.DUMMYFUNCTION("""COMPUTED_VALUE"""),"02-39-12-254")</f>
        <v>02-39-12-254</v>
      </c>
      <c r="F1438" s="36"/>
      <c r="G1438" s="36" t="str">
        <f>IFERROR(__xludf.DUMMYFUNCTION("""COMPUTED_VALUE"""),"Hipólito Yrigoyen Oeste y Santa Fe")</f>
        <v>Hipólito Yrigoyen Oeste y Santa Fe</v>
      </c>
      <c r="H1438" s="36" t="str">
        <f>IFERROR(__xludf.DUMMYFUNCTION("""COMPUTED_VALUE"""),"")</f>
        <v/>
      </c>
    </row>
    <row r="1439">
      <c r="A1439" s="36" t="str">
        <f>IFERROR(__xludf.DUMMYFUNCTION("""COMPUTED_VALUE"""),"03-31-09-116D")</f>
        <v>03-31-09-116D</v>
      </c>
      <c r="B1439" s="36" t="str">
        <f>IFERROR(__xludf.DUMMYFUNCTION("""COMPUTED_VALUE"""),"")</f>
        <v/>
      </c>
      <c r="C1439" s="36" t="str">
        <f>IFERROR(__xludf.DUMMYFUNCTION("""COMPUTED_VALUE"""),"")</f>
        <v/>
      </c>
      <c r="D1439" s="36" t="str">
        <f>IFERROR(__xludf.DUMMYFUNCTION("""COMPUTED_VALUE"""),"")</f>
        <v/>
      </c>
      <c r="E1439" s="36" t="str">
        <f>IFERROR(__xludf.DUMMYFUNCTION("""COMPUTED_VALUE"""),"03-50-10-115B")</f>
        <v>03-50-10-115B</v>
      </c>
      <c r="F1439" s="36"/>
      <c r="G1439" s="36" t="str">
        <f>IFERROR(__xludf.DUMMYFUNCTION("""COMPUTED_VALUE"""),"Hipólito Yrigoyen y 12 de Octubre Norte")</f>
        <v>Hipólito Yrigoyen y 12 de Octubre Norte</v>
      </c>
      <c r="H1439" s="36" t="str">
        <f>IFERROR(__xludf.DUMMYFUNCTION("""COMPUTED_VALUE"""),"")</f>
        <v/>
      </c>
    </row>
    <row r="1440">
      <c r="A1440" s="36" t="str">
        <f>IFERROR(__xludf.DUMMYFUNCTION("""COMPUTED_VALUE"""),"03-31-09-116E")</f>
        <v>03-31-09-116E</v>
      </c>
      <c r="B1440" s="36" t="str">
        <f>IFERROR(__xludf.DUMMYFUNCTION("""COMPUTED_VALUE"""),"")</f>
        <v/>
      </c>
      <c r="C1440" s="36" t="str">
        <f>IFERROR(__xludf.DUMMYFUNCTION("""COMPUTED_VALUE"""),"")</f>
        <v/>
      </c>
      <c r="D1440" s="36" t="str">
        <f>IFERROR(__xludf.DUMMYFUNCTION("""COMPUTED_VALUE"""),"")</f>
        <v/>
      </c>
      <c r="E1440" s="36" t="str">
        <f>IFERROR(__xludf.DUMMYFUNCTION("""COMPUTED_VALUE"""),"03-50-10-115A")</f>
        <v>03-50-10-115A</v>
      </c>
      <c r="F1440" s="36"/>
      <c r="G1440" s="36" t="str">
        <f>IFERROR(__xludf.DUMMYFUNCTION("""COMPUTED_VALUE"""),"Hipólito Yrigoyen y 12 de Octubre Sur")</f>
        <v>Hipólito Yrigoyen y 12 de Octubre Sur</v>
      </c>
      <c r="H1440" s="36" t="str">
        <f>IFERROR(__xludf.DUMMYFUNCTION("""COMPUTED_VALUE"""),"")</f>
        <v/>
      </c>
    </row>
    <row r="1441">
      <c r="A1441" s="36" t="str">
        <f>IFERROR(__xludf.DUMMYFUNCTION("""COMPUTED_VALUE"""),"03-31-09-117")</f>
        <v>03-31-09-117</v>
      </c>
      <c r="B1441" s="36" t="str">
        <f>IFERROR(__xludf.DUMMYFUNCTION("""COMPUTED_VALUE"""),"")</f>
        <v/>
      </c>
      <c r="C1441" s="36" t="str">
        <f>IFERROR(__xludf.DUMMYFUNCTION("""COMPUTED_VALUE"""),"")</f>
        <v/>
      </c>
      <c r="D1441" s="36" t="str">
        <f>IFERROR(__xludf.DUMMYFUNCTION("""COMPUTED_VALUE"""),"")</f>
        <v/>
      </c>
      <c r="E1441" s="36" t="str">
        <f>IFERROR(__xludf.DUMMYFUNCTION("""COMPUTED_VALUE"""),"03-46-10-113B")</f>
        <v>03-46-10-113B</v>
      </c>
      <c r="F1441" s="36"/>
      <c r="G1441" s="36" t="str">
        <f>IFERROR(__xludf.DUMMYFUNCTION("""COMPUTED_VALUE"""),"Hipólito Yrigoyen y 21 de Febrero Norte")</f>
        <v>Hipólito Yrigoyen y 21 de Febrero Norte</v>
      </c>
      <c r="H1441" s="36" t="str">
        <f>IFERROR(__xludf.DUMMYFUNCTION("""COMPUTED_VALUE"""),"")</f>
        <v/>
      </c>
    </row>
    <row r="1442">
      <c r="A1442" s="36" t="str">
        <f>IFERROR(__xludf.DUMMYFUNCTION("""COMPUTED_VALUE"""),"03-31-09-142")</f>
        <v>03-31-09-142</v>
      </c>
      <c r="B1442" s="36" t="str">
        <f>IFERROR(__xludf.DUMMYFUNCTION("""COMPUTED_VALUE"""),"")</f>
        <v/>
      </c>
      <c r="C1442" s="36" t="str">
        <f>IFERROR(__xludf.DUMMYFUNCTION("""COMPUTED_VALUE"""),"")</f>
        <v/>
      </c>
      <c r="D1442" s="36" t="str">
        <f>IFERROR(__xludf.DUMMYFUNCTION("""COMPUTED_VALUE"""),"")</f>
        <v/>
      </c>
      <c r="E1442" s="36" t="str">
        <f>IFERROR(__xludf.DUMMYFUNCTION("""COMPUTED_VALUE"""),"03-46-10-113A")</f>
        <v>03-46-10-113A</v>
      </c>
      <c r="F1442" s="36"/>
      <c r="G1442" s="36" t="str">
        <f>IFERROR(__xludf.DUMMYFUNCTION("""COMPUTED_VALUE"""),"Hipólito Yrigoyen y 21 de Febrero Sur")</f>
        <v>Hipólito Yrigoyen y 21 de Febrero Sur</v>
      </c>
      <c r="H1442" s="36" t="str">
        <f>IFERROR(__xludf.DUMMYFUNCTION("""COMPUTED_VALUE"""),"")</f>
        <v/>
      </c>
    </row>
    <row r="1443">
      <c r="A1443" s="36" t="str">
        <f>IFERROR(__xludf.DUMMYFUNCTION("""COMPUTED_VALUE"""),"03-31-09-142D")</f>
        <v>03-31-09-142D</v>
      </c>
      <c r="B1443" s="36" t="str">
        <f>IFERROR(__xludf.DUMMYFUNCTION("""COMPUTED_VALUE"""),"")</f>
        <v/>
      </c>
      <c r="C1443" s="36" t="str">
        <f>IFERROR(__xludf.DUMMYFUNCTION("""COMPUTED_VALUE"""),"")</f>
        <v/>
      </c>
      <c r="D1443" s="36" t="str">
        <f>IFERROR(__xludf.DUMMYFUNCTION("""COMPUTED_VALUE"""),"")</f>
        <v/>
      </c>
      <c r="E1443" s="36" t="str">
        <f>IFERROR(__xludf.DUMMYFUNCTION("""COMPUTED_VALUE"""),"04-43-12-82A")</f>
        <v>04-43-12-82A</v>
      </c>
      <c r="F1443" s="36"/>
      <c r="G1443" s="36" t="str">
        <f>IFERROR(__xludf.DUMMYFUNCTION("""COMPUTED_VALUE"""),"Hipólito Yrigoyen y Agustín Gomez")</f>
        <v>Hipólito Yrigoyen y Agustín Gomez</v>
      </c>
      <c r="H1443" s="36" t="str">
        <f>IFERROR(__xludf.DUMMYFUNCTION("""COMPUTED_VALUE"""),"")</f>
        <v/>
      </c>
    </row>
    <row r="1444">
      <c r="A1444" s="36" t="str">
        <f>IFERROR(__xludf.DUMMYFUNCTION("""COMPUTED_VALUE"""),"03-31-09-142E")</f>
        <v>03-31-09-142E</v>
      </c>
      <c r="B1444" s="36" t="str">
        <f>IFERROR(__xludf.DUMMYFUNCTION("""COMPUTED_VALUE"""),"")</f>
        <v/>
      </c>
      <c r="C1444" s="36" t="str">
        <f>IFERROR(__xludf.DUMMYFUNCTION("""COMPUTED_VALUE"""),"")</f>
        <v/>
      </c>
      <c r="D1444" s="36" t="str">
        <f>IFERROR(__xludf.DUMMYFUNCTION("""COMPUTED_VALUE"""),"")</f>
        <v/>
      </c>
      <c r="E1444" s="36" t="str">
        <f>IFERROR(__xludf.DUMMYFUNCTION("""COMPUTED_VALUE"""),"02-39-12-247")</f>
        <v>02-39-12-247</v>
      </c>
      <c r="F1444" s="36"/>
      <c r="G1444" s="36" t="str">
        <f>IFERROR(__xludf.DUMMYFUNCTION("""COMPUTED_VALUE"""),"Hipólito Yrigoyen y Arenales")</f>
        <v>Hipólito Yrigoyen y Arenales</v>
      </c>
      <c r="H1444" s="36" t="str">
        <f>IFERROR(__xludf.DUMMYFUNCTION("""COMPUTED_VALUE"""),"")</f>
        <v/>
      </c>
    </row>
    <row r="1445">
      <c r="A1445" s="36" t="str">
        <f>IFERROR(__xludf.DUMMYFUNCTION("""COMPUTED_VALUE"""),"03-31-09-144")</f>
        <v>03-31-09-144</v>
      </c>
      <c r="B1445" s="36" t="str">
        <f>IFERROR(__xludf.DUMMYFUNCTION("""COMPUTED_VALUE"""),"")</f>
        <v/>
      </c>
      <c r="C1445" s="36" t="str">
        <f>IFERROR(__xludf.DUMMYFUNCTION("""COMPUTED_VALUE"""),"")</f>
        <v/>
      </c>
      <c r="D1445" s="36" t="str">
        <f>IFERROR(__xludf.DUMMYFUNCTION("""COMPUTED_VALUE"""),"")</f>
        <v/>
      </c>
      <c r="E1445" s="36" t="str">
        <f>IFERROR(__xludf.DUMMYFUNCTION("""COMPUTED_VALUE"""),"03-47-10-124A")</f>
        <v>03-47-10-124A</v>
      </c>
      <c r="F1445" s="36"/>
      <c r="G1445" s="36" t="str">
        <f>IFERROR(__xludf.DUMMYFUNCTION("""COMPUTED_VALUE"""),"Hipólito Yrigoyen y Av Sarmiento")</f>
        <v>Hipólito Yrigoyen y Av Sarmiento</v>
      </c>
      <c r="H1445" s="36" t="str">
        <f>IFERROR(__xludf.DUMMYFUNCTION("""COMPUTED_VALUE"""),"")</f>
        <v/>
      </c>
    </row>
    <row r="1446">
      <c r="A1446" s="36" t="str">
        <f>IFERROR(__xludf.DUMMYFUNCTION("""COMPUTED_VALUE"""),"03-31-09-145")</f>
        <v>03-31-09-145</v>
      </c>
      <c r="B1446" s="36" t="str">
        <f>IFERROR(__xludf.DUMMYFUNCTION("""COMPUTED_VALUE"""),"")</f>
        <v/>
      </c>
      <c r="C1446" s="36" t="str">
        <f>IFERROR(__xludf.DUMMYFUNCTION("""COMPUTED_VALUE"""),"")</f>
        <v/>
      </c>
      <c r="D1446" s="36" t="str">
        <f>IFERROR(__xludf.DUMMYFUNCTION("""COMPUTED_VALUE"""),"")</f>
        <v/>
      </c>
      <c r="E1446" s="36" t="str">
        <f>IFERROR(__xludf.DUMMYFUNCTION("""COMPUTED_VALUE"""),"03-46-10-112")</f>
        <v>03-46-10-112</v>
      </c>
      <c r="F1446" s="36"/>
      <c r="G1446" s="36" t="str">
        <f>IFERROR(__xludf.DUMMYFUNCTION("""COMPUTED_VALUE"""),"Hipólito Yrigoyen y Balcarce")</f>
        <v>Hipólito Yrigoyen y Balcarce</v>
      </c>
      <c r="H1446" s="36" t="str">
        <f>IFERROR(__xludf.DUMMYFUNCTION("""COMPUTED_VALUE"""),"")</f>
        <v/>
      </c>
    </row>
    <row r="1447">
      <c r="A1447" s="36" t="str">
        <f>IFERROR(__xludf.DUMMYFUNCTION("""COMPUTED_VALUE"""),"03-31-09-146")</f>
        <v>03-31-09-146</v>
      </c>
      <c r="B1447" s="36" t="str">
        <f>IFERROR(__xludf.DUMMYFUNCTION("""COMPUTED_VALUE"""),"")</f>
        <v/>
      </c>
      <c r="C1447" s="36" t="str">
        <f>IFERROR(__xludf.DUMMYFUNCTION("""COMPUTED_VALUE"""),"")</f>
        <v/>
      </c>
      <c r="D1447" s="36" t="str">
        <f>IFERROR(__xludf.DUMMYFUNCTION("""COMPUTED_VALUE"""),"")</f>
        <v/>
      </c>
      <c r="E1447" s="36" t="str">
        <f>IFERROR(__xludf.DUMMYFUNCTION("""COMPUTED_VALUE"""),"03-46-10-118B")</f>
        <v>03-46-10-118B</v>
      </c>
      <c r="F1447" s="36"/>
      <c r="G1447" s="36" t="str">
        <f>IFERROR(__xludf.DUMMYFUNCTION("""COMPUTED_VALUE"""),"Hipólito Yrigoyen y Belgrano Norte")</f>
        <v>Hipólito Yrigoyen y Belgrano Norte</v>
      </c>
      <c r="H1447" s="36" t="str">
        <f>IFERROR(__xludf.DUMMYFUNCTION("""COMPUTED_VALUE"""),"")</f>
        <v/>
      </c>
    </row>
    <row r="1448">
      <c r="A1448" s="36" t="str">
        <f>IFERROR(__xludf.DUMMYFUNCTION("""COMPUTED_VALUE"""),"03-31-09-146A")</f>
        <v>03-31-09-146A</v>
      </c>
      <c r="B1448" s="36" t="str">
        <f>IFERROR(__xludf.DUMMYFUNCTION("""COMPUTED_VALUE"""),"")</f>
        <v/>
      </c>
      <c r="C1448" s="36" t="str">
        <f>IFERROR(__xludf.DUMMYFUNCTION("""COMPUTED_VALUE"""),"")</f>
        <v/>
      </c>
      <c r="D1448" s="36" t="str">
        <f>IFERROR(__xludf.DUMMYFUNCTION("""COMPUTED_VALUE"""),"")</f>
        <v/>
      </c>
      <c r="E1448" s="36" t="str">
        <f>IFERROR(__xludf.DUMMYFUNCTION("""COMPUTED_VALUE"""),"03-47-10-118A")</f>
        <v>03-47-10-118A</v>
      </c>
      <c r="F1448" s="36"/>
      <c r="G1448" s="36" t="str">
        <f>IFERROR(__xludf.DUMMYFUNCTION("""COMPUTED_VALUE"""),"Hipólito Yrigoyen y Belgrano Sur")</f>
        <v>Hipólito Yrigoyen y Belgrano Sur</v>
      </c>
      <c r="H1448" s="36" t="str">
        <f>IFERROR(__xludf.DUMMYFUNCTION("""COMPUTED_VALUE"""),"")</f>
        <v/>
      </c>
    </row>
    <row r="1449">
      <c r="A1449" s="36" t="str">
        <f>IFERROR(__xludf.DUMMYFUNCTION("""COMPUTED_VALUE"""),"03-31-09-147")</f>
        <v>03-31-09-147</v>
      </c>
      <c r="B1449" s="36" t="str">
        <f>IFERROR(__xludf.DUMMYFUNCTION("""COMPUTED_VALUE"""),"")</f>
        <v/>
      </c>
      <c r="C1449" s="36" t="str">
        <f>IFERROR(__xludf.DUMMYFUNCTION("""COMPUTED_VALUE"""),"")</f>
        <v/>
      </c>
      <c r="D1449" s="36" t="str">
        <f>IFERROR(__xludf.DUMMYFUNCTION("""COMPUTED_VALUE"""),"")</f>
        <v/>
      </c>
      <c r="E1449" s="36" t="str">
        <f>IFERROR(__xludf.DUMMYFUNCTION("""COMPUTED_VALUE"""),"04-44-12-83")</f>
        <v>04-44-12-83</v>
      </c>
      <c r="F1449" s="36"/>
      <c r="G1449" s="36" t="str">
        <f>IFERROR(__xludf.DUMMYFUNCTION("""COMPUTED_VALUE"""),"Hipólito Yrigoyen y Bv. Sarmiento Este")</f>
        <v>Hipólito Yrigoyen y Bv. Sarmiento Este</v>
      </c>
      <c r="H1449" s="36" t="str">
        <f>IFERROR(__xludf.DUMMYFUNCTION("""COMPUTED_VALUE"""),"")</f>
        <v/>
      </c>
    </row>
    <row r="1450">
      <c r="A1450" s="36" t="str">
        <f>IFERROR(__xludf.DUMMYFUNCTION("""COMPUTED_VALUE"""),"03-31-09-148")</f>
        <v>03-31-09-148</v>
      </c>
      <c r="B1450" s="36" t="str">
        <f>IFERROR(__xludf.DUMMYFUNCTION("""COMPUTED_VALUE"""),"")</f>
        <v/>
      </c>
      <c r="C1450" s="36" t="str">
        <f>IFERROR(__xludf.DUMMYFUNCTION("""COMPUTED_VALUE"""),"")</f>
        <v/>
      </c>
      <c r="D1450" s="36" t="str">
        <f>IFERROR(__xludf.DUMMYFUNCTION("""COMPUTED_VALUE"""),"")</f>
        <v/>
      </c>
      <c r="E1450" s="36" t="str">
        <f>IFERROR(__xludf.DUMMYFUNCTION("""COMPUTED_VALUE"""),"04-43-12-84")</f>
        <v>04-43-12-84</v>
      </c>
      <c r="F1450" s="36"/>
      <c r="G1450" s="36" t="str">
        <f>IFERROR(__xludf.DUMMYFUNCTION("""COMPUTED_VALUE"""),"Hipólito Yrigoyen y Bv. Sarmiento Oeste")</f>
        <v>Hipólito Yrigoyen y Bv. Sarmiento Oeste</v>
      </c>
      <c r="H1450" s="36" t="str">
        <f>IFERROR(__xludf.DUMMYFUNCTION("""COMPUTED_VALUE"""),"")</f>
        <v/>
      </c>
    </row>
    <row r="1451">
      <c r="A1451" s="36" t="str">
        <f>IFERROR(__xludf.DUMMYFUNCTION("""COMPUTED_VALUE"""),"03-31-09-149")</f>
        <v>03-31-09-149</v>
      </c>
      <c r="B1451" s="36" t="str">
        <f>IFERROR(__xludf.DUMMYFUNCTION("""COMPUTED_VALUE"""),"")</f>
        <v/>
      </c>
      <c r="C1451" s="36" t="str">
        <f>IFERROR(__xludf.DUMMYFUNCTION("""COMPUTED_VALUE"""),"")</f>
        <v/>
      </c>
      <c r="D1451" s="36" t="str">
        <f>IFERROR(__xludf.DUMMYFUNCTION("""COMPUTED_VALUE"""),"")</f>
        <v/>
      </c>
      <c r="E1451" s="36" t="str">
        <f>IFERROR(__xludf.DUMMYFUNCTION("""COMPUTED_VALUE"""),"01-33-06-18")</f>
        <v>01-33-06-18</v>
      </c>
      <c r="F1451" s="36"/>
      <c r="G1451" s="36" t="str">
        <f>IFERROR(__xludf.DUMMYFUNCTION("""COMPUTED_VALUE"""),"Hipólito Yrigoyen y Cornelio Saavedra")</f>
        <v>Hipólito Yrigoyen y Cornelio Saavedra</v>
      </c>
      <c r="H1451" s="36" t="str">
        <f>IFERROR(__xludf.DUMMYFUNCTION("""COMPUTED_VALUE"""),"")</f>
        <v/>
      </c>
    </row>
    <row r="1452">
      <c r="A1452" s="36" t="str">
        <f>IFERROR(__xludf.DUMMYFUNCTION("""COMPUTED_VALUE"""),"03-31-09-150")</f>
        <v>03-31-09-150</v>
      </c>
      <c r="B1452" s="36" t="str">
        <f>IFERROR(__xludf.DUMMYFUNCTION("""COMPUTED_VALUE"""),"")</f>
        <v/>
      </c>
      <c r="C1452" s="36" t="str">
        <f>IFERROR(__xludf.DUMMYFUNCTION("""COMPUTED_VALUE"""),"")</f>
        <v/>
      </c>
      <c r="D1452" s="36" t="str">
        <f>IFERROR(__xludf.DUMMYFUNCTION("""COMPUTED_VALUE"""),"")</f>
        <v/>
      </c>
      <c r="E1452" s="36" t="str">
        <f>IFERROR(__xludf.DUMMYFUNCTION("""COMPUTED_VALUE"""),"04-44-12-85")</f>
        <v>04-44-12-85</v>
      </c>
      <c r="F1452" s="36"/>
      <c r="G1452" s="36" t="str">
        <f>IFERROR(__xludf.DUMMYFUNCTION("""COMPUTED_VALUE"""),"Hipólito Yrigoyen y General Paz Este")</f>
        <v>Hipólito Yrigoyen y General Paz Este</v>
      </c>
      <c r="H1452" s="36" t="str">
        <f>IFERROR(__xludf.DUMMYFUNCTION("""COMPUTED_VALUE"""),"")</f>
        <v/>
      </c>
    </row>
    <row r="1453">
      <c r="A1453" s="36" t="str">
        <f>IFERROR(__xludf.DUMMYFUNCTION("""COMPUTED_VALUE"""),"03-31-09-151")</f>
        <v>03-31-09-151</v>
      </c>
      <c r="B1453" s="36" t="str">
        <f>IFERROR(__xludf.DUMMYFUNCTION("""COMPUTED_VALUE"""),"")</f>
        <v/>
      </c>
      <c r="C1453" s="36" t="str">
        <f>IFERROR(__xludf.DUMMYFUNCTION("""COMPUTED_VALUE"""),"")</f>
        <v/>
      </c>
      <c r="D1453" s="36" t="str">
        <f>IFERROR(__xludf.DUMMYFUNCTION("""COMPUTED_VALUE"""),"")</f>
        <v/>
      </c>
      <c r="E1453" s="36" t="str">
        <f>IFERROR(__xludf.DUMMYFUNCTION("""COMPUTED_VALUE"""),"04-43-12-86")</f>
        <v>04-43-12-86</v>
      </c>
      <c r="F1453" s="36"/>
      <c r="G1453" s="36" t="str">
        <f>IFERROR(__xludf.DUMMYFUNCTION("""COMPUTED_VALUE"""),"Hipólito Yrigoyen y General Paz Oeste")</f>
        <v>Hipólito Yrigoyen y General Paz Oeste</v>
      </c>
      <c r="H1453" s="36" t="str">
        <f>IFERROR(__xludf.DUMMYFUNCTION("""COMPUTED_VALUE"""),"")</f>
        <v/>
      </c>
    </row>
    <row r="1454">
      <c r="A1454" s="36" t="str">
        <f>IFERROR(__xludf.DUMMYFUNCTION("""COMPUTED_VALUE"""),"03-31-09-153")</f>
        <v>03-31-09-153</v>
      </c>
      <c r="B1454" s="36" t="str">
        <f>IFERROR(__xludf.DUMMYFUNCTION("""COMPUTED_VALUE"""),"")</f>
        <v/>
      </c>
      <c r="C1454" s="36" t="str">
        <f>IFERROR(__xludf.DUMMYFUNCTION("""COMPUTED_VALUE"""),"")</f>
        <v/>
      </c>
      <c r="D1454" s="36" t="str">
        <f>IFERROR(__xludf.DUMMYFUNCTION("""COMPUTED_VALUE"""),"")</f>
        <v/>
      </c>
      <c r="E1454" s="36" t="str">
        <f>IFERROR(__xludf.DUMMYFUNCTION("""COMPUTED_VALUE"""),"04-35-12-61")</f>
        <v>04-35-12-61</v>
      </c>
      <c r="F1454" s="36"/>
      <c r="G1454" s="36" t="str">
        <f>IFERROR(__xludf.DUMMYFUNCTION("""COMPUTED_VALUE"""),"Hipólito Yrigoyen y J.Celman Norte")</f>
        <v>Hipólito Yrigoyen y J.Celman Norte</v>
      </c>
      <c r="H1454" s="36" t="str">
        <f>IFERROR(__xludf.DUMMYFUNCTION("""COMPUTED_VALUE"""),"")</f>
        <v/>
      </c>
    </row>
    <row r="1455">
      <c r="A1455" s="36" t="str">
        <f>IFERROR(__xludf.DUMMYFUNCTION("""COMPUTED_VALUE"""),"03-31-09-154")</f>
        <v>03-31-09-154</v>
      </c>
      <c r="B1455" s="36" t="str">
        <f>IFERROR(__xludf.DUMMYFUNCTION("""COMPUTED_VALUE"""),"")</f>
        <v/>
      </c>
      <c r="C1455" s="36" t="str">
        <f>IFERROR(__xludf.DUMMYFUNCTION("""COMPUTED_VALUE"""),"")</f>
        <v/>
      </c>
      <c r="D1455" s="36" t="str">
        <f>IFERROR(__xludf.DUMMYFUNCTION("""COMPUTED_VALUE"""),"")</f>
        <v/>
      </c>
      <c r="E1455" s="36" t="str">
        <f>IFERROR(__xludf.DUMMYFUNCTION("""COMPUTED_VALUE"""),"04-35-12-61A")</f>
        <v>04-35-12-61A</v>
      </c>
      <c r="F1455" s="36"/>
      <c r="G1455" s="36" t="str">
        <f>IFERROR(__xludf.DUMMYFUNCTION("""COMPUTED_VALUE"""),"Hipólito Yrigoyen y J.Celman Sur")</f>
        <v>Hipólito Yrigoyen y J.Celman Sur</v>
      </c>
      <c r="H1455" s="36" t="str">
        <f>IFERROR(__xludf.DUMMYFUNCTION("""COMPUTED_VALUE"""),"")</f>
        <v/>
      </c>
    </row>
    <row r="1456">
      <c r="A1456" s="36" t="str">
        <f>IFERROR(__xludf.DUMMYFUNCTION("""COMPUTED_VALUE"""),"03-31-09-205")</f>
        <v>03-31-09-205</v>
      </c>
      <c r="B1456" s="36" t="str">
        <f>IFERROR(__xludf.DUMMYFUNCTION("""COMPUTED_VALUE"""),"")</f>
        <v/>
      </c>
      <c r="C1456" s="36" t="str">
        <f>IFERROR(__xludf.DUMMYFUNCTION("""COMPUTED_VALUE"""),"")</f>
        <v/>
      </c>
      <c r="D1456" s="36" t="str">
        <f>IFERROR(__xludf.DUMMYFUNCTION("""COMPUTED_VALUE"""),"")</f>
        <v/>
      </c>
      <c r="E1456" s="36" t="str">
        <f>IFERROR(__xludf.DUMMYFUNCTION("""COMPUTED_VALUE"""),"04-44-12-89")</f>
        <v>04-44-12-89</v>
      </c>
      <c r="F1456" s="36"/>
      <c r="G1456" s="36" t="str">
        <f>IFERROR(__xludf.DUMMYFUNCTION("""COMPUTED_VALUE"""),"Hipólito Yrigoyen y Juan José Paso Este")</f>
        <v>Hipólito Yrigoyen y Juan José Paso Este</v>
      </c>
      <c r="H1456" s="36" t="str">
        <f>IFERROR(__xludf.DUMMYFUNCTION("""COMPUTED_VALUE"""),"")</f>
        <v/>
      </c>
    </row>
    <row r="1457">
      <c r="A1457" s="36" t="str">
        <f>IFERROR(__xludf.DUMMYFUNCTION("""COMPUTED_VALUE"""),"03-31-09-80")</f>
        <v>03-31-09-80</v>
      </c>
      <c r="B1457" s="36" t="str">
        <f>IFERROR(__xludf.DUMMYFUNCTION("""COMPUTED_VALUE"""),"")</f>
        <v/>
      </c>
      <c r="C1457" s="36" t="str">
        <f>IFERROR(__xludf.DUMMYFUNCTION("""COMPUTED_VALUE"""),"")</f>
        <v/>
      </c>
      <c r="D1457" s="36" t="str">
        <f>IFERROR(__xludf.DUMMYFUNCTION("""COMPUTED_VALUE"""),"")</f>
        <v/>
      </c>
      <c r="E1457" s="36" t="str">
        <f>IFERROR(__xludf.DUMMYFUNCTION("""COMPUTED_VALUE"""),"04-43-12-90")</f>
        <v>04-43-12-90</v>
      </c>
      <c r="F1457" s="36"/>
      <c r="G1457" s="36" t="str">
        <f>IFERROR(__xludf.DUMMYFUNCTION("""COMPUTED_VALUE"""),"Hipólito Yrigoyen y Juan José Paso Oeste")</f>
        <v>Hipólito Yrigoyen y Juan José Paso Oeste</v>
      </c>
      <c r="H1457" s="36" t="str">
        <f>IFERROR(__xludf.DUMMYFUNCTION("""COMPUTED_VALUE"""),"")</f>
        <v/>
      </c>
    </row>
    <row r="1458">
      <c r="A1458" s="36" t="str">
        <f>IFERROR(__xludf.DUMMYFUNCTION("""COMPUTED_VALUE"""),"03-31-09-93")</f>
        <v>03-31-09-93</v>
      </c>
      <c r="B1458" s="36" t="str">
        <f>IFERROR(__xludf.DUMMYFUNCTION("""COMPUTED_VALUE"""),"")</f>
        <v/>
      </c>
      <c r="C1458" s="36" t="str">
        <f>IFERROR(__xludf.DUMMYFUNCTION("""COMPUTED_VALUE"""),"")</f>
        <v/>
      </c>
      <c r="D1458" s="36" t="str">
        <f>IFERROR(__xludf.DUMMYFUNCTION("""COMPUTED_VALUE"""),"")</f>
        <v/>
      </c>
      <c r="E1458" s="36" t="str">
        <f>IFERROR(__xludf.DUMMYFUNCTION("""COMPUTED_VALUE"""),"02-37-06-17A")</f>
        <v>02-37-06-17A</v>
      </c>
      <c r="F1458" s="36"/>
      <c r="G1458" s="36" t="str">
        <f>IFERROR(__xludf.DUMMYFUNCTION("""COMPUTED_VALUE"""),"Hipólito Yrigoyen y Juana Manso")</f>
        <v>Hipólito Yrigoyen y Juana Manso</v>
      </c>
      <c r="H1458" s="36" t="str">
        <f>IFERROR(__xludf.DUMMYFUNCTION("""COMPUTED_VALUE"""),"")</f>
        <v/>
      </c>
    </row>
    <row r="1459">
      <c r="A1459" s="36" t="str">
        <f>IFERROR(__xludf.DUMMYFUNCTION("""COMPUTED_VALUE"""),"03-31-09-94")</f>
        <v>03-31-09-94</v>
      </c>
      <c r="B1459" s="36" t="str">
        <f>IFERROR(__xludf.DUMMYFUNCTION("""COMPUTED_VALUE"""),"")</f>
        <v/>
      </c>
      <c r="C1459" s="36" t="str">
        <f>IFERROR(__xludf.DUMMYFUNCTION("""COMPUTED_VALUE"""),"")</f>
        <v/>
      </c>
      <c r="D1459" s="36" t="str">
        <f>IFERROR(__xludf.DUMMYFUNCTION("""COMPUTED_VALUE"""),"")</f>
        <v/>
      </c>
      <c r="E1459" s="36" t="str">
        <f>IFERROR(__xludf.DUMMYFUNCTION("""COMPUTED_VALUE"""),"04-35-12-62")</f>
        <v>04-35-12-62</v>
      </c>
      <c r="F1459" s="36"/>
      <c r="G1459" s="36" t="str">
        <f>IFERROR(__xludf.DUMMYFUNCTION("""COMPUTED_VALUE"""),"Hipólito Yrigoyen y Juárez Celman")</f>
        <v>Hipólito Yrigoyen y Juárez Celman</v>
      </c>
      <c r="H1459" s="36" t="str">
        <f>IFERROR(__xludf.DUMMYFUNCTION("""COMPUTED_VALUE"""),"")</f>
        <v/>
      </c>
    </row>
    <row r="1460">
      <c r="A1460" s="36" t="str">
        <f>IFERROR(__xludf.DUMMYFUNCTION("""COMPUTED_VALUE"""),"03-31-09-95")</f>
        <v>03-31-09-95</v>
      </c>
      <c r="B1460" s="36" t="str">
        <f>IFERROR(__xludf.DUMMYFUNCTION("""COMPUTED_VALUE"""),"")</f>
        <v/>
      </c>
      <c r="C1460" s="36" t="str">
        <f>IFERROR(__xludf.DUMMYFUNCTION("""COMPUTED_VALUE"""),"")</f>
        <v/>
      </c>
      <c r="D1460" s="36" t="str">
        <f>IFERROR(__xludf.DUMMYFUNCTION("""COMPUTED_VALUE"""),"")</f>
        <v/>
      </c>
      <c r="E1460" s="36" t="str">
        <f>IFERROR(__xludf.DUMMYFUNCTION("""COMPUTED_VALUE"""),"02-38-12-233")</f>
        <v>02-38-12-233</v>
      </c>
      <c r="F1460" s="36"/>
      <c r="G1460" s="36" t="str">
        <f>IFERROR(__xludf.DUMMYFUNCTION("""COMPUTED_VALUE"""),"Hipolito Yrigoyen y Luis Pasteur")</f>
        <v>Hipolito Yrigoyen y Luis Pasteur</v>
      </c>
      <c r="H1460" s="36" t="str">
        <f>IFERROR(__xludf.DUMMYFUNCTION("""COMPUTED_VALUE"""),"")</f>
        <v/>
      </c>
    </row>
    <row r="1461">
      <c r="A1461" s="36" t="str">
        <f>IFERROR(__xludf.DUMMYFUNCTION("""COMPUTED_VALUE"""),"03-31-09-96")</f>
        <v>03-31-09-96</v>
      </c>
      <c r="B1461" s="36" t="str">
        <f>IFERROR(__xludf.DUMMYFUNCTION("""COMPUTED_VALUE"""),"")</f>
        <v/>
      </c>
      <c r="C1461" s="36" t="str">
        <f>IFERROR(__xludf.DUMMYFUNCTION("""COMPUTED_VALUE"""),"")</f>
        <v/>
      </c>
      <c r="D1461" s="36" t="str">
        <f>IFERROR(__xludf.DUMMYFUNCTION("""COMPUTED_VALUE"""),"")</f>
        <v/>
      </c>
      <c r="E1461" s="36" t="str">
        <f>IFERROR(__xludf.DUMMYFUNCTION("""COMPUTED_VALUE"""),"08-21-02-45")</f>
        <v>08-21-02-45</v>
      </c>
      <c r="F1461" s="36"/>
      <c r="G1461" s="36" t="str">
        <f>IFERROR(__xludf.DUMMYFUNCTION("""COMPUTED_VALUE"""),"Hipólito Yrigoyen y Maradona O")</f>
        <v>Hipólito Yrigoyen y Maradona O</v>
      </c>
      <c r="H1461" s="36" t="str">
        <f>IFERROR(__xludf.DUMMYFUNCTION("""COMPUTED_VALUE"""),"")</f>
        <v/>
      </c>
    </row>
    <row r="1462">
      <c r="A1462" s="36" t="str">
        <f>IFERROR(__xludf.DUMMYFUNCTION("""COMPUTED_VALUE"""),"03-31-09-97")</f>
        <v>03-31-09-97</v>
      </c>
      <c r="B1462" s="36" t="str">
        <f>IFERROR(__xludf.DUMMYFUNCTION("""COMPUTED_VALUE"""),"")</f>
        <v/>
      </c>
      <c r="C1462" s="36" t="str">
        <f>IFERROR(__xludf.DUMMYFUNCTION("""COMPUTED_VALUE"""),"")</f>
        <v/>
      </c>
      <c r="D1462" s="36" t="str">
        <f>IFERROR(__xludf.DUMMYFUNCTION("""COMPUTED_VALUE"""),"")</f>
        <v/>
      </c>
      <c r="E1462" s="36" t="str">
        <f>IFERROR(__xludf.DUMMYFUNCTION("""COMPUTED_VALUE"""),"08-21-02-44")</f>
        <v>08-21-02-44</v>
      </c>
      <c r="F1462" s="36"/>
      <c r="G1462" s="36" t="str">
        <f>IFERROR(__xludf.DUMMYFUNCTION("""COMPUTED_VALUE"""),"Hipólito Yrigoyen y Maradona S")</f>
        <v>Hipólito Yrigoyen y Maradona S</v>
      </c>
      <c r="H1462" s="36" t="str">
        <f>IFERROR(__xludf.DUMMYFUNCTION("""COMPUTED_VALUE"""),"")</f>
        <v/>
      </c>
    </row>
    <row r="1463">
      <c r="A1463" s="36" t="str">
        <f>IFERROR(__xludf.DUMMYFUNCTION("""COMPUTED_VALUE"""),"03-31-09-98")</f>
        <v>03-31-09-98</v>
      </c>
      <c r="B1463" s="36" t="str">
        <f>IFERROR(__xludf.DUMMYFUNCTION("""COMPUTED_VALUE"""),"")</f>
        <v/>
      </c>
      <c r="C1463" s="36" t="str">
        <f>IFERROR(__xludf.DUMMYFUNCTION("""COMPUTED_VALUE"""),"")</f>
        <v/>
      </c>
      <c r="D1463" s="36" t="str">
        <f>IFERROR(__xludf.DUMMYFUNCTION("""COMPUTED_VALUE"""),"")</f>
        <v/>
      </c>
      <c r="E1463" s="36" t="str">
        <f>IFERROR(__xludf.DUMMYFUNCTION("""COMPUTED_VALUE"""),"03-46-10-120B")</f>
        <v>03-46-10-120B</v>
      </c>
      <c r="F1463" s="36"/>
      <c r="G1463" s="36" t="str">
        <f>IFERROR(__xludf.DUMMYFUNCTION("""COMPUTED_VALUE"""),"Hipólito Yrigoyen y Periodistas Sanjuaninos Norte")</f>
        <v>Hipólito Yrigoyen y Periodistas Sanjuaninos Norte</v>
      </c>
      <c r="H1463" s="36" t="str">
        <f>IFERROR(__xludf.DUMMYFUNCTION("""COMPUTED_VALUE"""),"")</f>
        <v/>
      </c>
    </row>
    <row r="1464">
      <c r="A1464" s="36" t="str">
        <f>IFERROR(__xludf.DUMMYFUNCTION("""COMPUTED_VALUE"""),"03-31-09-99")</f>
        <v>03-31-09-99</v>
      </c>
      <c r="B1464" s="36" t="str">
        <f>IFERROR(__xludf.DUMMYFUNCTION("""COMPUTED_VALUE"""),"")</f>
        <v/>
      </c>
      <c r="C1464" s="36" t="str">
        <f>IFERROR(__xludf.DUMMYFUNCTION("""COMPUTED_VALUE"""),"")</f>
        <v/>
      </c>
      <c r="D1464" s="36" t="str">
        <f>IFERROR(__xludf.DUMMYFUNCTION("""COMPUTED_VALUE"""),"")</f>
        <v/>
      </c>
      <c r="E1464" s="36" t="str">
        <f>IFERROR(__xludf.DUMMYFUNCTION("""COMPUTED_VALUE"""),"03-47-10-120A")</f>
        <v>03-47-10-120A</v>
      </c>
      <c r="F1464" s="36"/>
      <c r="G1464" s="36" t="str">
        <f>IFERROR(__xludf.DUMMYFUNCTION("""COMPUTED_VALUE"""),"Hipólito Yrigoyen y Periodistas Sanjuaninos Sur")</f>
        <v>Hipólito Yrigoyen y Periodistas Sanjuaninos Sur</v>
      </c>
      <c r="H1464" s="36" t="str">
        <f>IFERROR(__xludf.DUMMYFUNCTION("""COMPUTED_VALUE"""),"")</f>
        <v/>
      </c>
    </row>
    <row r="1465">
      <c r="A1465" s="36" t="str">
        <f>IFERROR(__xludf.DUMMYFUNCTION("""COMPUTED_VALUE"""),"03-32-09-142A")</f>
        <v>03-32-09-142A</v>
      </c>
      <c r="B1465" s="36" t="str">
        <f>IFERROR(__xludf.DUMMYFUNCTION("""COMPUTED_VALUE"""),"")</f>
        <v/>
      </c>
      <c r="C1465" s="36" t="str">
        <f>IFERROR(__xludf.DUMMYFUNCTION("""COMPUTED_VALUE"""),"")</f>
        <v/>
      </c>
      <c r="D1465" s="36" t="str">
        <f>IFERROR(__xludf.DUMMYFUNCTION("""COMPUTED_VALUE"""),"")</f>
        <v/>
      </c>
      <c r="E1465" s="36" t="str">
        <f>IFERROR(__xludf.DUMMYFUNCTION("""COMPUTED_VALUE"""),"04-44-12-87")</f>
        <v>04-44-12-87</v>
      </c>
      <c r="F1465" s="36"/>
      <c r="G1465" s="36" t="str">
        <f>IFERROR(__xludf.DUMMYFUNCTION("""COMPUTED_VALUE"""),"Hipólito Yrigoyen y Proyectada Este")</f>
        <v>Hipólito Yrigoyen y Proyectada Este</v>
      </c>
      <c r="H1465" s="36" t="str">
        <f>IFERROR(__xludf.DUMMYFUNCTION("""COMPUTED_VALUE"""),"")</f>
        <v/>
      </c>
    </row>
    <row r="1466">
      <c r="A1466" s="36" t="str">
        <f>IFERROR(__xludf.DUMMYFUNCTION("""COMPUTED_VALUE"""),"03-32-09-143X")</f>
        <v>03-32-09-143X</v>
      </c>
      <c r="B1466" s="36" t="str">
        <f>IFERROR(__xludf.DUMMYFUNCTION("""COMPUTED_VALUE"""),"")</f>
        <v/>
      </c>
      <c r="C1466" s="36" t="str">
        <f>IFERROR(__xludf.DUMMYFUNCTION("""COMPUTED_VALUE"""),"")</f>
        <v/>
      </c>
      <c r="D1466" s="36" t="str">
        <f>IFERROR(__xludf.DUMMYFUNCTION("""COMPUTED_VALUE"""),"")</f>
        <v/>
      </c>
      <c r="E1466" s="36" t="str">
        <f>IFERROR(__xludf.DUMMYFUNCTION("""COMPUTED_VALUE"""),"04-43-12-88")</f>
        <v>04-43-12-88</v>
      </c>
      <c r="F1466" s="36"/>
      <c r="G1466" s="36" t="str">
        <f>IFERROR(__xludf.DUMMYFUNCTION("""COMPUTED_VALUE"""),"Hipólito Yrigoyen y Proyectada Oeste")</f>
        <v>Hipólito Yrigoyen y Proyectada Oeste</v>
      </c>
      <c r="H1466" s="36" t="str">
        <f>IFERROR(__xludf.DUMMYFUNCTION("""COMPUTED_VALUE"""),"")</f>
        <v/>
      </c>
    </row>
    <row r="1467">
      <c r="A1467" s="36" t="str">
        <f>IFERROR(__xludf.DUMMYFUNCTION("""COMPUTED_VALUE"""),"03-32-09-19")</f>
        <v>03-32-09-19</v>
      </c>
      <c r="B1467" s="36" t="str">
        <f>IFERROR(__xludf.DUMMYFUNCTION("""COMPUTED_VALUE"""),"")</f>
        <v/>
      </c>
      <c r="C1467" s="36" t="str">
        <f>IFERROR(__xludf.DUMMYFUNCTION("""COMPUTED_VALUE"""),"")</f>
        <v/>
      </c>
      <c r="D1467" s="36" t="str">
        <f>IFERROR(__xludf.DUMMYFUNCTION("""COMPUTED_VALUE"""),"")</f>
        <v/>
      </c>
      <c r="E1467" s="36" t="str">
        <f>IFERROR(__xludf.DUMMYFUNCTION("""COMPUTED_VALUE"""),"02-37-06-16")</f>
        <v>02-37-06-16</v>
      </c>
      <c r="F1467" s="36"/>
      <c r="G1467" s="36" t="str">
        <f>IFERROR(__xludf.DUMMYFUNCTION("""COMPUTED_VALUE"""),"Hipólito Yrigoyen y Reconquista")</f>
        <v>Hipólito Yrigoyen y Reconquista</v>
      </c>
      <c r="H1467" s="36" t="str">
        <f>IFERROR(__xludf.DUMMYFUNCTION("""COMPUTED_VALUE"""),"")</f>
        <v/>
      </c>
    </row>
    <row r="1468">
      <c r="A1468" s="36" t="str">
        <f>IFERROR(__xludf.DUMMYFUNCTION("""COMPUTED_VALUE"""),"03-32-09-19A")</f>
        <v>03-32-09-19A</v>
      </c>
      <c r="B1468" s="36" t="str">
        <f>IFERROR(__xludf.DUMMYFUNCTION("""COMPUTED_VALUE"""),"")</f>
        <v/>
      </c>
      <c r="C1468" s="36" t="str">
        <f>IFERROR(__xludf.DUMMYFUNCTION("""COMPUTED_VALUE"""),"")</f>
        <v/>
      </c>
      <c r="D1468" s="36" t="str">
        <f>IFERROR(__xludf.DUMMYFUNCTION("""COMPUTED_VALUE"""),"")</f>
        <v/>
      </c>
      <c r="E1468" s="36" t="str">
        <f>IFERROR(__xludf.DUMMYFUNCTION("""COMPUTED_VALUE"""),"02-38-12-71")</f>
        <v>02-38-12-71</v>
      </c>
      <c r="F1468" s="36"/>
      <c r="G1468" s="36" t="str">
        <f>IFERROR(__xludf.DUMMYFUNCTION("""COMPUTED_VALUE"""),"Hipolito Yrigoyen y Rep. del Libano E.")</f>
        <v>Hipolito Yrigoyen y Rep. del Libano E.</v>
      </c>
      <c r="H1468" s="36" t="str">
        <f>IFERROR(__xludf.DUMMYFUNCTION("""COMPUTED_VALUE"""),"")</f>
        <v/>
      </c>
    </row>
    <row r="1469">
      <c r="A1469" s="36" t="str">
        <f>IFERROR(__xludf.DUMMYFUNCTION("""COMPUTED_VALUE"""),"03-32-09-19B")</f>
        <v>03-32-09-19B</v>
      </c>
      <c r="B1469" s="36" t="str">
        <f>IFERROR(__xludf.DUMMYFUNCTION("""COMPUTED_VALUE"""),"")</f>
        <v/>
      </c>
      <c r="C1469" s="36" t="str">
        <f>IFERROR(__xludf.DUMMYFUNCTION("""COMPUTED_VALUE"""),"")</f>
        <v/>
      </c>
      <c r="D1469" s="36" t="str">
        <f>IFERROR(__xludf.DUMMYFUNCTION("""COMPUTED_VALUE"""),"")</f>
        <v/>
      </c>
      <c r="E1469" s="36" t="str">
        <f>IFERROR(__xludf.DUMMYFUNCTION("""COMPUTED_VALUE"""),"02-39-12-69")</f>
        <v>02-39-12-69</v>
      </c>
      <c r="F1469" s="36"/>
      <c r="G1469" s="36" t="str">
        <f>IFERROR(__xludf.DUMMYFUNCTION("""COMPUTED_VALUE"""),"Hipolito Yrigoyen y Rep. del Libano O.")</f>
        <v>Hipolito Yrigoyen y Rep. del Libano O.</v>
      </c>
      <c r="H1469" s="36" t="str">
        <f>IFERROR(__xludf.DUMMYFUNCTION("""COMPUTED_VALUE"""),"")</f>
        <v/>
      </c>
    </row>
    <row r="1470">
      <c r="A1470" s="36" t="str">
        <f>IFERROR(__xludf.DUMMYFUNCTION("""COMPUTED_VALUE"""),"03-32-09-20")</f>
        <v>03-32-09-20</v>
      </c>
      <c r="B1470" s="36" t="str">
        <f>IFERROR(__xludf.DUMMYFUNCTION("""COMPUTED_VALUE"""),"")</f>
        <v/>
      </c>
      <c r="C1470" s="36" t="str">
        <f>IFERROR(__xludf.DUMMYFUNCTION("""COMPUTED_VALUE"""),"")</f>
        <v/>
      </c>
      <c r="D1470" s="36" t="str">
        <f>IFERROR(__xludf.DUMMYFUNCTION("""COMPUTED_VALUE"""),"")</f>
        <v/>
      </c>
      <c r="E1470" s="36" t="str">
        <f>IFERROR(__xludf.DUMMYFUNCTION("""COMPUTED_VALUE"""),"03-48-10-126A")</f>
        <v>03-48-10-126A</v>
      </c>
      <c r="F1470" s="36"/>
      <c r="G1470" s="36" t="str">
        <f>IFERROR(__xludf.DUMMYFUNCTION("""COMPUTED_VALUE"""),"Hipólito Yrigoyen y Roca Norte")</f>
        <v>Hipólito Yrigoyen y Roca Norte</v>
      </c>
      <c r="H1470" s="36" t="str">
        <f>IFERROR(__xludf.DUMMYFUNCTION("""COMPUTED_VALUE"""),"")</f>
        <v/>
      </c>
    </row>
    <row r="1471">
      <c r="A1471" s="36" t="str">
        <f>IFERROR(__xludf.DUMMYFUNCTION("""COMPUTED_VALUE"""),"03-32-09-22")</f>
        <v>03-32-09-22</v>
      </c>
      <c r="B1471" s="36" t="str">
        <f>IFERROR(__xludf.DUMMYFUNCTION("""COMPUTED_VALUE"""),"")</f>
        <v/>
      </c>
      <c r="C1471" s="36" t="str">
        <f>IFERROR(__xludf.DUMMYFUNCTION("""COMPUTED_VALUE"""),"")</f>
        <v/>
      </c>
      <c r="D1471" s="36" t="str">
        <f>IFERROR(__xludf.DUMMYFUNCTION("""COMPUTED_VALUE"""),"")</f>
        <v/>
      </c>
      <c r="E1471" s="36" t="str">
        <f>IFERROR(__xludf.DUMMYFUNCTION("""COMPUTED_VALUE"""),"03-47-10-126B")</f>
        <v>03-47-10-126B</v>
      </c>
      <c r="F1471" s="36"/>
      <c r="G1471" s="36" t="str">
        <f>IFERROR(__xludf.DUMMYFUNCTION("""COMPUTED_VALUE"""),"Hipólito Yrigoyen y Roca Sur")</f>
        <v>Hipólito Yrigoyen y Roca Sur</v>
      </c>
      <c r="H1471" s="36" t="str">
        <f>IFERROR(__xludf.DUMMYFUNCTION("""COMPUTED_VALUE"""),"")</f>
        <v/>
      </c>
    </row>
    <row r="1472">
      <c r="A1472" s="36" t="str">
        <f>IFERROR(__xludf.DUMMYFUNCTION("""COMPUTED_VALUE"""),"03-32-09-23")</f>
        <v>03-32-09-23</v>
      </c>
      <c r="B1472" s="36" t="str">
        <f>IFERROR(__xludf.DUMMYFUNCTION("""COMPUTED_VALUE"""),"")</f>
        <v/>
      </c>
      <c r="C1472" s="36" t="str">
        <f>IFERROR(__xludf.DUMMYFUNCTION("""COMPUTED_VALUE"""),"")</f>
        <v/>
      </c>
      <c r="D1472" s="36" t="str">
        <f>IFERROR(__xludf.DUMMYFUNCTION("""COMPUTED_VALUE"""),"")</f>
        <v/>
      </c>
      <c r="E1472" s="36" t="str">
        <f>IFERROR(__xludf.DUMMYFUNCTION("""COMPUTED_VALUE"""),"03-50-10-117B")</f>
        <v>03-50-10-117B</v>
      </c>
      <c r="F1472" s="36"/>
      <c r="G1472" s="36" t="str">
        <f>IFERROR(__xludf.DUMMYFUNCTION("""COMPUTED_VALUE"""),"Hipólito Yrigoyen y Ruta 20 Norte")</f>
        <v>Hipólito Yrigoyen y Ruta 20 Norte</v>
      </c>
      <c r="H1472" s="36" t="str">
        <f>IFERROR(__xludf.DUMMYFUNCTION("""COMPUTED_VALUE"""),"")</f>
        <v/>
      </c>
    </row>
    <row r="1473">
      <c r="A1473" s="36" t="str">
        <f>IFERROR(__xludf.DUMMYFUNCTION("""COMPUTED_VALUE"""),"03-32-09-24")</f>
        <v>03-32-09-24</v>
      </c>
      <c r="B1473" s="36" t="str">
        <f>IFERROR(__xludf.DUMMYFUNCTION("""COMPUTED_VALUE"""),"")</f>
        <v/>
      </c>
      <c r="C1473" s="36" t="str">
        <f>IFERROR(__xludf.DUMMYFUNCTION("""COMPUTED_VALUE"""),"")</f>
        <v/>
      </c>
      <c r="D1473" s="36" t="str">
        <f>IFERROR(__xludf.DUMMYFUNCTION("""COMPUTED_VALUE"""),"")</f>
        <v/>
      </c>
      <c r="E1473" s="36" t="str">
        <f>IFERROR(__xludf.DUMMYFUNCTION("""COMPUTED_VALUE"""),"03-50-10-117A")</f>
        <v>03-50-10-117A</v>
      </c>
      <c r="F1473" s="36"/>
      <c r="G1473" s="36" t="str">
        <f>IFERROR(__xludf.DUMMYFUNCTION("""COMPUTED_VALUE"""),"Hipólito Yrigoyen y Ruta 20 Sur")</f>
        <v>Hipólito Yrigoyen y Ruta 20 Sur</v>
      </c>
      <c r="H1473" s="36" t="str">
        <f>IFERROR(__xludf.DUMMYFUNCTION("""COMPUTED_VALUE"""),"")</f>
        <v/>
      </c>
    </row>
    <row r="1474">
      <c r="A1474" s="36" t="str">
        <f>IFERROR(__xludf.DUMMYFUNCTION("""COMPUTED_VALUE"""),"03-32-09-26")</f>
        <v>03-32-09-26</v>
      </c>
      <c r="B1474" s="36" t="str">
        <f>IFERROR(__xludf.DUMMYFUNCTION("""COMPUTED_VALUE"""),"")</f>
        <v/>
      </c>
      <c r="C1474" s="36" t="str">
        <f>IFERROR(__xludf.DUMMYFUNCTION("""COMPUTED_VALUE"""),"")</f>
        <v/>
      </c>
      <c r="D1474" s="36" t="str">
        <f>IFERROR(__xludf.DUMMYFUNCTION("""COMPUTED_VALUE"""),"")</f>
        <v/>
      </c>
      <c r="E1474" s="36" t="str">
        <f>IFERROR(__xludf.DUMMYFUNCTION("""COMPUTED_VALUE"""),"08-28-02-39")</f>
        <v>08-28-02-39</v>
      </c>
      <c r="F1474" s="36"/>
      <c r="G1474" s="36" t="str">
        <f>IFERROR(__xludf.DUMMYFUNCTION("""COMPUTED_VALUE"""),"Hipólito Yrigoyen y Salta E")</f>
        <v>Hipólito Yrigoyen y Salta E</v>
      </c>
      <c r="H1474" s="36" t="str">
        <f>IFERROR(__xludf.DUMMYFUNCTION("""COMPUTED_VALUE"""),"")</f>
        <v/>
      </c>
    </row>
    <row r="1475">
      <c r="A1475" s="36" t="str">
        <f>IFERROR(__xludf.DUMMYFUNCTION("""COMPUTED_VALUE"""),"03-32-09-30")</f>
        <v>03-32-09-30</v>
      </c>
      <c r="B1475" s="36" t="str">
        <f>IFERROR(__xludf.DUMMYFUNCTION("""COMPUTED_VALUE"""),"")</f>
        <v/>
      </c>
      <c r="C1475" s="36" t="str">
        <f>IFERROR(__xludf.DUMMYFUNCTION("""COMPUTED_VALUE"""),"")</f>
        <v/>
      </c>
      <c r="D1475" s="36" t="str">
        <f>IFERROR(__xludf.DUMMYFUNCTION("""COMPUTED_VALUE"""),"")</f>
        <v/>
      </c>
      <c r="E1475" s="36" t="str">
        <f>IFERROR(__xludf.DUMMYFUNCTION("""COMPUTED_VALUE"""),"08-21-02-40A")</f>
        <v>08-21-02-40A</v>
      </c>
      <c r="F1475" s="36"/>
      <c r="G1475" s="36" t="str">
        <f>IFERROR(__xludf.DUMMYFUNCTION("""COMPUTED_VALUE"""),"Hipólito Yrigoyen y Salta S")</f>
        <v>Hipólito Yrigoyen y Salta S</v>
      </c>
      <c r="H1475" s="36" t="str">
        <f>IFERROR(__xludf.DUMMYFUNCTION("""COMPUTED_VALUE"""),"")</f>
        <v/>
      </c>
    </row>
    <row r="1476">
      <c r="A1476" s="36" t="str">
        <f>IFERROR(__xludf.DUMMYFUNCTION("""COMPUTED_VALUE"""),"03-32-09-31")</f>
        <v>03-32-09-31</v>
      </c>
      <c r="B1476" s="36" t="str">
        <f>IFERROR(__xludf.DUMMYFUNCTION("""COMPUTED_VALUE"""),"")</f>
        <v/>
      </c>
      <c r="C1476" s="36" t="str">
        <f>IFERROR(__xludf.DUMMYFUNCTION("""COMPUTED_VALUE"""),"")</f>
        <v/>
      </c>
      <c r="D1476" s="36" t="str">
        <f>IFERROR(__xludf.DUMMYFUNCTION("""COMPUTED_VALUE"""),"")</f>
        <v/>
      </c>
      <c r="E1476" s="36"/>
      <c r="F1476" s="36"/>
      <c r="G1476" s="36" t="str">
        <f>IFERROR(__xludf.DUMMYFUNCTION("""COMPUTED_VALUE"""),"Hipólito Yrigoyen y San Miguel ")</f>
        <v>Hipólito Yrigoyen y San Miguel </v>
      </c>
      <c r="H1476" s="36" t="str">
        <f>IFERROR(__xludf.DUMMYFUNCTION("""COMPUTED_VALUE"""),"")</f>
        <v/>
      </c>
    </row>
    <row r="1477">
      <c r="A1477" s="36" t="str">
        <f>IFERROR(__xludf.DUMMYFUNCTION("""COMPUTED_VALUE"""),"03-32-09-33")</f>
        <v>03-32-09-33</v>
      </c>
      <c r="B1477" s="36" t="str">
        <f>IFERROR(__xludf.DUMMYFUNCTION("""COMPUTED_VALUE"""),"")</f>
        <v/>
      </c>
      <c r="C1477" s="36" t="str">
        <f>IFERROR(__xludf.DUMMYFUNCTION("""COMPUTED_VALUE"""),"")</f>
        <v/>
      </c>
      <c r="D1477" s="36" t="str">
        <f>IFERROR(__xludf.DUMMYFUNCTION("""COMPUTED_VALUE"""),"")</f>
        <v/>
      </c>
      <c r="E1477" s="36" t="str">
        <f>IFERROR(__xludf.DUMMYFUNCTION("""COMPUTED_VALUE"""),"03-46-10-121B")</f>
        <v>03-46-10-121B</v>
      </c>
      <c r="F1477" s="36"/>
      <c r="G1477" s="36" t="str">
        <f>IFERROR(__xludf.DUMMYFUNCTION("""COMPUTED_VALUE"""),"Hipólito Yrigoyen y Santa María de Oro Norte")</f>
        <v>Hipólito Yrigoyen y Santa María de Oro Norte</v>
      </c>
      <c r="H1477" s="36" t="str">
        <f>IFERROR(__xludf.DUMMYFUNCTION("""COMPUTED_VALUE"""),"")</f>
        <v/>
      </c>
    </row>
    <row r="1478">
      <c r="A1478" s="36" t="str">
        <f>IFERROR(__xludf.DUMMYFUNCTION("""COMPUTED_VALUE"""),"03-32-09-36")</f>
        <v>03-32-09-36</v>
      </c>
      <c r="B1478" s="36" t="str">
        <f>IFERROR(__xludf.DUMMYFUNCTION("""COMPUTED_VALUE"""),"")</f>
        <v/>
      </c>
      <c r="C1478" s="36" t="str">
        <f>IFERROR(__xludf.DUMMYFUNCTION("""COMPUTED_VALUE"""),"")</f>
        <v/>
      </c>
      <c r="D1478" s="36" t="str">
        <f>IFERROR(__xludf.DUMMYFUNCTION("""COMPUTED_VALUE"""),"")</f>
        <v/>
      </c>
      <c r="E1478" s="36" t="str">
        <f>IFERROR(__xludf.DUMMYFUNCTION("""COMPUTED_VALUE"""),"03-47-10-121A")</f>
        <v>03-47-10-121A</v>
      </c>
      <c r="F1478" s="36"/>
      <c r="G1478" s="36" t="str">
        <f>IFERROR(__xludf.DUMMYFUNCTION("""COMPUTED_VALUE"""),"Hipólito Yrigoyen y Santa María de Oro Sur")</f>
        <v>Hipólito Yrigoyen y Santa María de Oro Sur</v>
      </c>
      <c r="H1478" s="36" t="str">
        <f>IFERROR(__xludf.DUMMYFUNCTION("""COMPUTED_VALUE"""),"")</f>
        <v/>
      </c>
    </row>
    <row r="1479">
      <c r="A1479" s="36" t="str">
        <f>IFERROR(__xludf.DUMMYFUNCTION("""COMPUTED_VALUE"""),"03-32-09-37")</f>
        <v>03-32-09-37</v>
      </c>
      <c r="B1479" s="36" t="str">
        <f>IFERROR(__xludf.DUMMYFUNCTION("""COMPUTED_VALUE"""),"")</f>
        <v/>
      </c>
      <c r="C1479" s="36" t="str">
        <f>IFERROR(__xludf.DUMMYFUNCTION("""COMPUTED_VALUE"""),"")</f>
        <v/>
      </c>
      <c r="D1479" s="36" t="str">
        <f>IFERROR(__xludf.DUMMYFUNCTION("""COMPUTED_VALUE"""),"")</f>
        <v/>
      </c>
      <c r="E1479" s="36" t="str">
        <f>IFERROR(__xludf.DUMMYFUNCTION("""COMPUTED_VALUE"""),"04-35-12-62A")</f>
        <v>04-35-12-62A</v>
      </c>
      <c r="F1479" s="36"/>
      <c r="G1479" s="36" t="str">
        <f>IFERROR(__xludf.DUMMYFUNCTION("""COMPUTED_VALUE"""),"Hipólito Yrigoyen y Viña del Mar")</f>
        <v>Hipólito Yrigoyen y Viña del Mar</v>
      </c>
      <c r="H1479" s="36" t="str">
        <f>IFERROR(__xludf.DUMMYFUNCTION("""COMPUTED_VALUE"""),"")</f>
        <v/>
      </c>
    </row>
    <row r="1480">
      <c r="A1480" s="36" t="str">
        <f>IFERROR(__xludf.DUMMYFUNCTION("""COMPUTED_VALUE"""),"03-32-09-38")</f>
        <v>03-32-09-38</v>
      </c>
      <c r="B1480" s="36" t="str">
        <f>IFERROR(__xludf.DUMMYFUNCTION("""COMPUTED_VALUE"""),"")</f>
        <v/>
      </c>
      <c r="C1480" s="36" t="str">
        <f>IFERROR(__xludf.DUMMYFUNCTION("""COMPUTED_VALUE"""),"")</f>
        <v/>
      </c>
      <c r="D1480" s="36" t="str">
        <f>IFERROR(__xludf.DUMMYFUNCTION("""COMPUTED_VALUE"""),"")</f>
        <v/>
      </c>
      <c r="E1480" s="36" t="str">
        <f>IFERROR(__xludf.DUMMYFUNCTION("""COMPUTED_VALUE"""),"01-53-08-28")</f>
        <v>01-53-08-28</v>
      </c>
      <c r="F1480" s="36"/>
      <c r="G1480" s="36" t="str">
        <f>IFERROR(__xludf.DUMMYFUNCTION("""COMPUTED_VALUE"""),"Hospital  Dr. Guillermo Rawson")</f>
        <v>Hospital  Dr. Guillermo Rawson</v>
      </c>
      <c r="H1480" s="36" t="str">
        <f>IFERROR(__xludf.DUMMYFUNCTION("""COMPUTED_VALUE"""),"")</f>
        <v/>
      </c>
    </row>
    <row r="1481">
      <c r="A1481" s="36" t="str">
        <f>IFERROR(__xludf.DUMMYFUNCTION("""COMPUTED_VALUE"""),"03-32-09-39")</f>
        <v>03-32-09-39</v>
      </c>
      <c r="B1481" s="36" t="str">
        <f>IFERROR(__xludf.DUMMYFUNCTION("""COMPUTED_VALUE"""),"")</f>
        <v/>
      </c>
      <c r="C1481" s="36" t="str">
        <f>IFERROR(__xludf.DUMMYFUNCTION("""COMPUTED_VALUE"""),"")</f>
        <v/>
      </c>
      <c r="D1481" s="36" t="str">
        <f>IFERROR(__xludf.DUMMYFUNCTION("""COMPUTED_VALUE"""),"")</f>
        <v/>
      </c>
      <c r="E1481" s="36" t="str">
        <f>IFERROR(__xludf.DUMMYFUNCTION("""COMPUTED_VALUE"""),"02-31-05-2")</f>
        <v>02-31-05-2</v>
      </c>
      <c r="F1481" s="36"/>
      <c r="G1481" s="36" t="str">
        <f>IFERROR(__xludf.DUMMYFUNCTION("""COMPUTED_VALUE"""),"Hospital Dr. Marcial Quiroga - Sector Nuevo E")</f>
        <v>Hospital Dr. Marcial Quiroga - Sector Nuevo E</v>
      </c>
      <c r="H1481" s="36" t="str">
        <f>IFERROR(__xludf.DUMMYFUNCTION("""COMPUTED_VALUE"""),"")</f>
        <v/>
      </c>
    </row>
    <row r="1482">
      <c r="A1482" s="36" t="str">
        <f>IFERROR(__xludf.DUMMYFUNCTION("""COMPUTED_VALUE"""),"03-32-09-40")</f>
        <v>03-32-09-40</v>
      </c>
      <c r="B1482" s="36" t="str">
        <f>IFERROR(__xludf.DUMMYFUNCTION("""COMPUTED_VALUE"""),"")</f>
        <v/>
      </c>
      <c r="C1482" s="36" t="str">
        <f>IFERROR(__xludf.DUMMYFUNCTION("""COMPUTED_VALUE"""),"")</f>
        <v/>
      </c>
      <c r="D1482" s="36" t="str">
        <f>IFERROR(__xludf.DUMMYFUNCTION("""COMPUTED_VALUE"""),"")</f>
        <v/>
      </c>
      <c r="E1482" s="36" t="str">
        <f>IFERROR(__xludf.DUMMYFUNCTION("""COMPUTED_VALUE"""),"02-32-05-3")</f>
        <v>02-32-05-3</v>
      </c>
      <c r="F1482" s="36"/>
      <c r="G1482" s="36" t="str">
        <f>IFERROR(__xludf.DUMMYFUNCTION("""COMPUTED_VALUE"""),"Hospital Dr. Marcial Quiroga - Sector Nuevo O")</f>
        <v>Hospital Dr. Marcial Quiroga - Sector Nuevo O</v>
      </c>
      <c r="H1482" s="36" t="str">
        <f>IFERROR(__xludf.DUMMYFUNCTION("""COMPUTED_VALUE"""),"")</f>
        <v/>
      </c>
    </row>
    <row r="1483">
      <c r="A1483" s="36" t="str">
        <f>IFERROR(__xludf.DUMMYFUNCTION("""COMPUTED_VALUE"""),"03-32-09-41")</f>
        <v>03-32-09-41</v>
      </c>
      <c r="B1483" s="36" t="str">
        <f>IFERROR(__xludf.DUMMYFUNCTION("""COMPUTED_VALUE"""),"")</f>
        <v/>
      </c>
      <c r="C1483" s="36" t="str">
        <f>IFERROR(__xludf.DUMMYFUNCTION("""COMPUTED_VALUE"""),"")</f>
        <v/>
      </c>
      <c r="D1483" s="36" t="str">
        <f>IFERROR(__xludf.DUMMYFUNCTION("""COMPUTED_VALUE"""),"")</f>
        <v/>
      </c>
      <c r="E1483" s="36" t="str">
        <f>IFERROR(__xludf.DUMMYFUNCTION("""COMPUTED_VALUE"""),"01-53-09-5")</f>
        <v>01-53-09-5</v>
      </c>
      <c r="F1483" s="36"/>
      <c r="G1483" s="36" t="str">
        <f>IFERROR(__xludf.DUMMYFUNCTION("""COMPUTED_VALUE"""),"Hospital Dr.Guillermo Rawson")</f>
        <v>Hospital Dr.Guillermo Rawson</v>
      </c>
      <c r="H1483" s="36" t="str">
        <f>IFERROR(__xludf.DUMMYFUNCTION("""COMPUTED_VALUE"""),"")</f>
        <v/>
      </c>
    </row>
    <row r="1484">
      <c r="A1484" s="36" t="str">
        <f>IFERROR(__xludf.DUMMYFUNCTION("""COMPUTED_VALUE"""),"03-32-09-43")</f>
        <v>03-32-09-43</v>
      </c>
      <c r="B1484" s="36" t="str">
        <f>IFERROR(__xludf.DUMMYFUNCTION("""COMPUTED_VALUE"""),"")</f>
        <v/>
      </c>
      <c r="C1484" s="36" t="str">
        <f>IFERROR(__xludf.DUMMYFUNCTION("""COMPUTED_VALUE"""),"")</f>
        <v/>
      </c>
      <c r="D1484" s="36" t="str">
        <f>IFERROR(__xludf.DUMMYFUNCTION("""COMPUTED_VALUE"""),"")</f>
        <v/>
      </c>
      <c r="E1484" s="36" t="str">
        <f>IFERROR(__xludf.DUMMYFUNCTION("""COMPUTED_VALUE"""),"02-24-05-68")</f>
        <v>02-24-05-68</v>
      </c>
      <c r="F1484" s="36"/>
      <c r="G1484" s="36" t="str">
        <f>IFERROR(__xludf.DUMMYFUNCTION("""COMPUTED_VALUE"""),"Huazihul San Juan Rugby Club N")</f>
        <v>Huazihul San Juan Rugby Club N</v>
      </c>
      <c r="H1484" s="36" t="str">
        <f>IFERROR(__xludf.DUMMYFUNCTION("""COMPUTED_VALUE"""),"")</f>
        <v/>
      </c>
    </row>
    <row r="1485">
      <c r="A1485" s="36" t="str">
        <f>IFERROR(__xludf.DUMMYFUNCTION("""COMPUTED_VALUE"""),"03-32-09-47x")</f>
        <v>03-32-09-47x</v>
      </c>
      <c r="B1485" s="36" t="str">
        <f>IFERROR(__xludf.DUMMYFUNCTION("""COMPUTED_VALUE"""),"")</f>
        <v/>
      </c>
      <c r="C1485" s="36" t="str">
        <f>IFERROR(__xludf.DUMMYFUNCTION("""COMPUTED_VALUE"""),"")</f>
        <v/>
      </c>
      <c r="D1485" s="36" t="str">
        <f>IFERROR(__xludf.DUMMYFUNCTION("""COMPUTED_VALUE"""),"")</f>
        <v/>
      </c>
      <c r="E1485" s="36" t="str">
        <f>IFERROR(__xludf.DUMMYFUNCTION("""COMPUTED_VALUE"""),"02-32-05-67")</f>
        <v>02-32-05-67</v>
      </c>
      <c r="F1485" s="36"/>
      <c r="G1485" s="36" t="str">
        <f>IFERROR(__xludf.DUMMYFUNCTION("""COMPUTED_VALUE"""),"Huazihul San Juan Rugby Club S")</f>
        <v>Huazihul San Juan Rugby Club S</v>
      </c>
      <c r="H1485" s="36" t="str">
        <f>IFERROR(__xludf.DUMMYFUNCTION("""COMPUTED_VALUE"""),"")</f>
        <v/>
      </c>
    </row>
    <row r="1486">
      <c r="A1486" s="36" t="str">
        <f>IFERROR(__xludf.DUMMYFUNCTION("""COMPUTED_VALUE"""),"03-32-09-48")</f>
        <v>03-32-09-48</v>
      </c>
      <c r="B1486" s="36" t="str">
        <f>IFERROR(__xludf.DUMMYFUNCTION("""COMPUTED_VALUE"""),"")</f>
        <v/>
      </c>
      <c r="C1486" s="36" t="str">
        <f>IFERROR(__xludf.DUMMYFUNCTION("""COMPUTED_VALUE"""),"")</f>
        <v/>
      </c>
      <c r="D1486" s="36" t="str">
        <f>IFERROR(__xludf.DUMMYFUNCTION("""COMPUTED_VALUE"""),"")</f>
        <v/>
      </c>
      <c r="E1486" s="36" t="str">
        <f>IFERROR(__xludf.DUMMYFUNCTION("""COMPUTED_VALUE"""),"01-47-12-279")</f>
        <v>01-47-12-279</v>
      </c>
      <c r="F1486" s="36"/>
      <c r="G1486" s="36" t="str">
        <f>IFERROR(__xludf.DUMMYFUNCTION("""COMPUTED_VALUE"""),"Iglesia Medalla Milagrosa")</f>
        <v>Iglesia Medalla Milagrosa</v>
      </c>
      <c r="H1486" s="36" t="str">
        <f>IFERROR(__xludf.DUMMYFUNCTION("""COMPUTED_VALUE"""),"")</f>
        <v/>
      </c>
    </row>
    <row r="1487">
      <c r="A1487" s="36" t="str">
        <f>IFERROR(__xludf.DUMMYFUNCTION("""COMPUTED_VALUE"""),"03-32-09-4B")</f>
        <v>03-32-09-4B</v>
      </c>
      <c r="B1487" s="36" t="str">
        <f>IFERROR(__xludf.DUMMYFUNCTION("""COMPUTED_VALUE"""),"")</f>
        <v/>
      </c>
      <c r="C1487" s="36" t="str">
        <f>IFERROR(__xludf.DUMMYFUNCTION("""COMPUTED_VALUE"""),"")</f>
        <v/>
      </c>
      <c r="D1487" s="36" t="str">
        <f>IFERROR(__xludf.DUMMYFUNCTION("""COMPUTED_VALUE"""),"")</f>
        <v/>
      </c>
      <c r="E1487" s="36" t="str">
        <f>IFERROR(__xludf.DUMMYFUNCTION("""COMPUTED_VALUE"""),"02-40-11-82E")</f>
        <v>02-40-11-82E</v>
      </c>
      <c r="F1487" s="36"/>
      <c r="G1487" s="36" t="str">
        <f>IFERROR(__xludf.DUMMYFUNCTION("""COMPUTED_VALUE"""),"Ignacio de la Roza y Francisco Gil")</f>
        <v>Ignacio de la Roza y Francisco Gil</v>
      </c>
      <c r="H1487" s="36" t="str">
        <f>IFERROR(__xludf.DUMMYFUNCTION("""COMPUTED_VALUE"""),"")</f>
        <v/>
      </c>
    </row>
    <row r="1488">
      <c r="A1488" s="36" t="str">
        <f>IFERROR(__xludf.DUMMYFUNCTION("""COMPUTED_VALUE"""),"03-32-09-50A")</f>
        <v>03-32-09-50A</v>
      </c>
      <c r="B1488" s="36" t="str">
        <f>IFERROR(__xludf.DUMMYFUNCTION("""COMPUTED_VALUE"""),"")</f>
        <v/>
      </c>
      <c r="C1488" s="36" t="str">
        <f>IFERROR(__xludf.DUMMYFUNCTION("""COMPUTED_VALUE"""),"")</f>
        <v/>
      </c>
      <c r="D1488" s="36" t="str">
        <f>IFERROR(__xludf.DUMMYFUNCTION("""COMPUTED_VALUE"""),"")</f>
        <v/>
      </c>
      <c r="E1488" s="36" t="str">
        <f>IFERROR(__xludf.DUMMYFUNCTION("""COMPUTED_VALUE"""),"02-36-11-82D")</f>
        <v>02-36-11-82D</v>
      </c>
      <c r="F1488" s="36"/>
      <c r="G1488" s="36" t="str">
        <f>IFERROR(__xludf.DUMMYFUNCTION("""COMPUTED_VALUE"""),"Ignacio de la Roza y San Miguel Soler")</f>
        <v>Ignacio de la Roza y San Miguel Soler</v>
      </c>
      <c r="H1488" s="36" t="str">
        <f>IFERROR(__xludf.DUMMYFUNCTION("""COMPUTED_VALUE"""),"")</f>
        <v/>
      </c>
    </row>
    <row r="1489">
      <c r="A1489" s="36" t="str">
        <f>IFERROR(__xludf.DUMMYFUNCTION("""COMPUTED_VALUE"""),"03-32-09-6")</f>
        <v>03-32-09-6</v>
      </c>
      <c r="B1489" s="36" t="str">
        <f>IFERROR(__xludf.DUMMYFUNCTION("""COMPUTED_VALUE"""),"")</f>
        <v/>
      </c>
      <c r="C1489" s="36" t="str">
        <f>IFERROR(__xludf.DUMMYFUNCTION("""COMPUTED_VALUE"""),"")</f>
        <v/>
      </c>
      <c r="D1489" s="36" t="str">
        <f>IFERROR(__xludf.DUMMYFUNCTION("""COMPUTED_VALUE"""),"")</f>
        <v/>
      </c>
      <c r="E1489" s="36" t="str">
        <f>IFERROR(__xludf.DUMMYFUNCTION("""COMPUTED_VALUE"""),"08-30-01-7E")</f>
        <v>08-30-01-7E</v>
      </c>
      <c r="F1489" s="36"/>
      <c r="G1489" s="36" t="str">
        <f>IFERROR(__xludf.DUMMYFUNCTION("""COMPUTED_VALUE"""),"Ing. Quiroga y Calle Costanera N")</f>
        <v>Ing. Quiroga y Calle Costanera N</v>
      </c>
      <c r="H1489" s="36" t="str">
        <f>IFERROR(__xludf.DUMMYFUNCTION("""COMPUTED_VALUE"""),"")</f>
        <v/>
      </c>
    </row>
    <row r="1490">
      <c r="A1490" s="36" t="str">
        <f>IFERROR(__xludf.DUMMYFUNCTION("""COMPUTED_VALUE"""),"03-32-09-60")</f>
        <v>03-32-09-60</v>
      </c>
      <c r="B1490" s="36" t="str">
        <f>IFERROR(__xludf.DUMMYFUNCTION("""COMPUTED_VALUE"""),"")</f>
        <v/>
      </c>
      <c r="C1490" s="36" t="str">
        <f>IFERROR(__xludf.DUMMYFUNCTION("""COMPUTED_VALUE"""),"")</f>
        <v/>
      </c>
      <c r="D1490" s="36" t="str">
        <f>IFERROR(__xludf.DUMMYFUNCTION("""COMPUTED_VALUE"""),"")</f>
        <v/>
      </c>
      <c r="E1490" s="36" t="str">
        <f>IFERROR(__xludf.DUMMYFUNCTION("""COMPUTED_VALUE"""),"08-30-01-7F")</f>
        <v>08-30-01-7F</v>
      </c>
      <c r="F1490" s="36"/>
      <c r="G1490" s="36" t="str">
        <f>IFERROR(__xludf.DUMMYFUNCTION("""COMPUTED_VALUE"""),"Ing. Quiroga y Calle Costanera S")</f>
        <v>Ing. Quiroga y Calle Costanera S</v>
      </c>
      <c r="H1490" s="36" t="str">
        <f>IFERROR(__xludf.DUMMYFUNCTION("""COMPUTED_VALUE"""),"")</f>
        <v/>
      </c>
    </row>
    <row r="1491">
      <c r="A1491" s="36" t="str">
        <f>IFERROR(__xludf.DUMMYFUNCTION("""COMPUTED_VALUE"""),"03-32-09-61x")</f>
        <v>03-32-09-61x</v>
      </c>
      <c r="B1491" s="36" t="str">
        <f>IFERROR(__xludf.DUMMYFUNCTION("""COMPUTED_VALUE"""),"")</f>
        <v/>
      </c>
      <c r="C1491" s="36" t="str">
        <f>IFERROR(__xludf.DUMMYFUNCTION("""COMPUTED_VALUE"""),"")</f>
        <v/>
      </c>
      <c r="D1491" s="36" t="str">
        <f>IFERROR(__xludf.DUMMYFUNCTION("""COMPUTED_VALUE"""),"")</f>
        <v/>
      </c>
      <c r="E1491" s="36" t="str">
        <f>IFERROR(__xludf.DUMMYFUNCTION("""COMPUTED_VALUE"""),"08-31-01-7C")</f>
        <v>08-31-01-7C</v>
      </c>
      <c r="F1491" s="36"/>
      <c r="G1491" s="36" t="str">
        <f>IFERROR(__xludf.DUMMYFUNCTION("""COMPUTED_VALUE"""),"Ing. Quiroga y Carlos Pellegrini")</f>
        <v>Ing. Quiroga y Carlos Pellegrini</v>
      </c>
      <c r="H1491" s="36" t="str">
        <f>IFERROR(__xludf.DUMMYFUNCTION("""COMPUTED_VALUE"""),"")</f>
        <v/>
      </c>
    </row>
    <row r="1492">
      <c r="A1492" s="36" t="str">
        <f>IFERROR(__xludf.DUMMYFUNCTION("""COMPUTED_VALUE"""),"03-32-09-62")</f>
        <v>03-32-09-62</v>
      </c>
      <c r="B1492" s="36" t="str">
        <f>IFERROR(__xludf.DUMMYFUNCTION("""COMPUTED_VALUE"""),"")</f>
        <v/>
      </c>
      <c r="C1492" s="36" t="str">
        <f>IFERROR(__xludf.DUMMYFUNCTION("""COMPUTED_VALUE"""),"")</f>
        <v/>
      </c>
      <c r="D1492" s="36" t="str">
        <f>IFERROR(__xludf.DUMMYFUNCTION("""COMPUTED_VALUE"""),"")</f>
        <v/>
      </c>
      <c r="E1492" s="36" t="str">
        <f>IFERROR(__xludf.DUMMYFUNCTION("""COMPUTED_VALUE"""),"08-31-01-7D")</f>
        <v>08-31-01-7D</v>
      </c>
      <c r="F1492" s="36"/>
      <c r="G1492" s="36" t="str">
        <f>IFERROR(__xludf.DUMMYFUNCTION("""COMPUTED_VALUE"""),"Ing. Quiroga y Dr. G. Rawson ")</f>
        <v>Ing. Quiroga y Dr. G. Rawson </v>
      </c>
      <c r="H1492" s="36" t="str">
        <f>IFERROR(__xludf.DUMMYFUNCTION("""COMPUTED_VALUE"""),"")</f>
        <v/>
      </c>
    </row>
    <row r="1493">
      <c r="A1493" s="36" t="str">
        <f>IFERROR(__xludf.DUMMYFUNCTION("""COMPUTED_VALUE"""),"03-32-09-64")</f>
        <v>03-32-09-64</v>
      </c>
      <c r="B1493" s="36" t="str">
        <f>IFERROR(__xludf.DUMMYFUNCTION("""COMPUTED_VALUE"""),"")</f>
        <v/>
      </c>
      <c r="C1493" s="36" t="str">
        <f>IFERROR(__xludf.DUMMYFUNCTION("""COMPUTED_VALUE"""),"")</f>
        <v/>
      </c>
      <c r="D1493" s="36" t="str">
        <f>IFERROR(__xludf.DUMMYFUNCTION("""COMPUTED_VALUE"""),"")</f>
        <v/>
      </c>
      <c r="E1493" s="36" t="str">
        <f>IFERROR(__xludf.DUMMYFUNCTION("""COMPUTED_VALUE"""),"08-30-01-9")</f>
        <v>08-30-01-9</v>
      </c>
      <c r="F1493" s="36"/>
      <c r="G1493" s="36" t="str">
        <f>IFERROR(__xludf.DUMMYFUNCTION("""COMPUTED_VALUE"""),"Ing. Quiroga y Martín Fierro N ")</f>
        <v>Ing. Quiroga y Martín Fierro N </v>
      </c>
      <c r="H1493" s="36" t="str">
        <f>IFERROR(__xludf.DUMMYFUNCTION("""COMPUTED_VALUE"""),"")</f>
        <v/>
      </c>
    </row>
    <row r="1494">
      <c r="A1494" s="36" t="str">
        <f>IFERROR(__xludf.DUMMYFUNCTION("""COMPUTED_VALUE"""),"03-32-09-65")</f>
        <v>03-32-09-65</v>
      </c>
      <c r="B1494" s="36" t="str">
        <f>IFERROR(__xludf.DUMMYFUNCTION("""COMPUTED_VALUE"""),"")</f>
        <v/>
      </c>
      <c r="C1494" s="36" t="str">
        <f>IFERROR(__xludf.DUMMYFUNCTION("""COMPUTED_VALUE"""),"")</f>
        <v/>
      </c>
      <c r="D1494" s="36" t="str">
        <f>IFERROR(__xludf.DUMMYFUNCTION("""COMPUTED_VALUE"""),"")</f>
        <v/>
      </c>
      <c r="E1494" s="36" t="str">
        <f>IFERROR(__xludf.DUMMYFUNCTION("""COMPUTED_VALUE"""),"08-30-01-8")</f>
        <v>08-30-01-8</v>
      </c>
      <c r="F1494" s="36"/>
      <c r="G1494" s="36" t="str">
        <f>IFERROR(__xludf.DUMMYFUNCTION("""COMPUTED_VALUE"""),"Ing. Quiroga y Martín Fierro S")</f>
        <v>Ing. Quiroga y Martín Fierro S</v>
      </c>
      <c r="H1494" s="36" t="str">
        <f>IFERROR(__xludf.DUMMYFUNCTION("""COMPUTED_VALUE"""),"")</f>
        <v/>
      </c>
    </row>
    <row r="1495">
      <c r="A1495" s="36" t="str">
        <f>IFERROR(__xludf.DUMMYFUNCTION("""COMPUTED_VALUE"""),"03-32-09-66")</f>
        <v>03-32-09-66</v>
      </c>
      <c r="B1495" s="36" t="str">
        <f>IFERROR(__xludf.DUMMYFUNCTION("""COMPUTED_VALUE"""),"")</f>
        <v/>
      </c>
      <c r="C1495" s="36" t="str">
        <f>IFERROR(__xludf.DUMMYFUNCTION("""COMPUTED_VALUE"""),"")</f>
        <v/>
      </c>
      <c r="D1495" s="36" t="str">
        <f>IFERROR(__xludf.DUMMYFUNCTION("""COMPUTED_VALUE"""),"")</f>
        <v/>
      </c>
      <c r="E1495" s="36" t="str">
        <f>IFERROR(__xludf.DUMMYFUNCTION("""COMPUTED_VALUE"""),"02-24-05-51")</f>
        <v>02-24-05-51</v>
      </c>
      <c r="F1495" s="36"/>
      <c r="G1495" s="36" t="str">
        <f>IFERROR(__xludf.DUMMYFUNCTION("""COMPUTED_VALUE"""),"Ingreso a B° Cerro Blanco")</f>
        <v>Ingreso a B° Cerro Blanco</v>
      </c>
      <c r="H1495" s="36" t="str">
        <f>IFERROR(__xludf.DUMMYFUNCTION("""COMPUTED_VALUE"""),"")</f>
        <v/>
      </c>
    </row>
    <row r="1496">
      <c r="A1496" s="36" t="str">
        <f>IFERROR(__xludf.DUMMYFUNCTION("""COMPUTED_VALUE"""),"03-32-09-67x")</f>
        <v>03-32-09-67x</v>
      </c>
      <c r="B1496" s="36" t="str">
        <f>IFERROR(__xludf.DUMMYFUNCTION("""COMPUTED_VALUE"""),"")</f>
        <v/>
      </c>
      <c r="C1496" s="36" t="str">
        <f>IFERROR(__xludf.DUMMYFUNCTION("""COMPUTED_VALUE"""),"")</f>
        <v/>
      </c>
      <c r="D1496" s="36" t="str">
        <f>IFERROR(__xludf.DUMMYFUNCTION("""COMPUTED_VALUE"""),"")</f>
        <v/>
      </c>
      <c r="E1496" s="36" t="str">
        <f>IFERROR(__xludf.DUMMYFUNCTION("""COMPUTED_VALUE"""),"02-27-06-81A")</f>
        <v>02-27-06-81A</v>
      </c>
      <c r="F1496" s="36"/>
      <c r="G1496" s="36" t="str">
        <f>IFERROR(__xludf.DUMMYFUNCTION("""COMPUTED_VALUE"""),"Ingreso B° Parque Rivadavia Norte E")</f>
        <v>Ingreso B° Parque Rivadavia Norte E</v>
      </c>
      <c r="H1496" s="36" t="str">
        <f>IFERROR(__xludf.DUMMYFUNCTION("""COMPUTED_VALUE"""),"")</f>
        <v/>
      </c>
    </row>
    <row r="1497">
      <c r="A1497" s="36" t="str">
        <f>IFERROR(__xludf.DUMMYFUNCTION("""COMPUTED_VALUE"""),"03-32-09-69")</f>
        <v>03-32-09-69</v>
      </c>
      <c r="B1497" s="36" t="str">
        <f>IFERROR(__xludf.DUMMYFUNCTION("""COMPUTED_VALUE"""),"")</f>
        <v/>
      </c>
      <c r="C1497" s="36" t="str">
        <f>IFERROR(__xludf.DUMMYFUNCTION("""COMPUTED_VALUE"""),"")</f>
        <v/>
      </c>
      <c r="D1497" s="36" t="str">
        <f>IFERROR(__xludf.DUMMYFUNCTION("""COMPUTED_VALUE"""),"")</f>
        <v/>
      </c>
      <c r="E1497" s="36" t="str">
        <f>IFERROR(__xludf.DUMMYFUNCTION("""COMPUTED_VALUE"""),"02-26-06-81")</f>
        <v>02-26-06-81</v>
      </c>
      <c r="F1497" s="36"/>
      <c r="G1497" s="36" t="str">
        <f>IFERROR(__xludf.DUMMYFUNCTION("""COMPUTED_VALUE"""),"Ingreso B° Parque Rivadavia Norte O")</f>
        <v>Ingreso B° Parque Rivadavia Norte O</v>
      </c>
      <c r="H1497" s="36" t="str">
        <f>IFERROR(__xludf.DUMMYFUNCTION("""COMPUTED_VALUE"""),"")</f>
        <v/>
      </c>
    </row>
    <row r="1498">
      <c r="A1498" s="36" t="str">
        <f>IFERROR(__xludf.DUMMYFUNCTION("""COMPUTED_VALUE"""),"03-32-09-70")</f>
        <v>03-32-09-70</v>
      </c>
      <c r="B1498" s="36" t="str">
        <f>IFERROR(__xludf.DUMMYFUNCTION("""COMPUTED_VALUE"""),"")</f>
        <v/>
      </c>
      <c r="C1498" s="36" t="str">
        <f>IFERROR(__xludf.DUMMYFUNCTION("""COMPUTED_VALUE"""),"")</f>
        <v/>
      </c>
      <c r="D1498" s="36" t="str">
        <f>IFERROR(__xludf.DUMMYFUNCTION("""COMPUTED_VALUE"""),"")</f>
        <v/>
      </c>
      <c r="E1498" s="36" t="str">
        <f>IFERROR(__xludf.DUMMYFUNCTION("""COMPUTED_VALUE"""),"04-30-14-136")</f>
        <v>04-30-14-136</v>
      </c>
      <c r="F1498" s="36"/>
      <c r="G1498" s="36" t="str">
        <f>IFERROR(__xludf.DUMMYFUNCTION("""COMPUTED_VALUE"""),"Ingreso B° Textil y Agustín Gómez")</f>
        <v>Ingreso B° Textil y Agustín Gómez</v>
      </c>
      <c r="H1498" s="36" t="str">
        <f>IFERROR(__xludf.DUMMYFUNCTION("""COMPUTED_VALUE"""),"")</f>
        <v/>
      </c>
    </row>
    <row r="1499">
      <c r="A1499" s="36" t="str">
        <f>IFERROR(__xludf.DUMMYFUNCTION("""COMPUTED_VALUE"""),"03-32-09-71")</f>
        <v>03-32-09-71</v>
      </c>
      <c r="B1499" s="36" t="str">
        <f>IFERROR(__xludf.DUMMYFUNCTION("""COMPUTED_VALUE"""),"")</f>
        <v/>
      </c>
      <c r="C1499" s="36" t="str">
        <f>IFERROR(__xludf.DUMMYFUNCTION("""COMPUTED_VALUE"""),"")</f>
        <v/>
      </c>
      <c r="D1499" s="36" t="str">
        <f>IFERROR(__xludf.DUMMYFUNCTION("""COMPUTED_VALUE"""),"")</f>
        <v/>
      </c>
      <c r="E1499" s="36" t="str">
        <f>IFERROR(__xludf.DUMMYFUNCTION("""COMPUTED_VALUE"""),"04-30-14-135A")</f>
        <v>04-30-14-135A</v>
      </c>
      <c r="F1499" s="36"/>
      <c r="G1499" s="36" t="str">
        <f>IFERROR(__xludf.DUMMYFUNCTION("""COMPUTED_VALUE"""),"Ingreso B° Textil y Borcosque E")</f>
        <v>Ingreso B° Textil y Borcosque E</v>
      </c>
      <c r="H1499" s="36" t="str">
        <f>IFERROR(__xludf.DUMMYFUNCTION("""COMPUTED_VALUE"""),"")</f>
        <v/>
      </c>
    </row>
    <row r="1500">
      <c r="A1500" s="36" t="str">
        <f>IFERROR(__xludf.DUMMYFUNCTION("""COMPUTED_VALUE"""),"03-32-09-71A")</f>
        <v>03-32-09-71A</v>
      </c>
      <c r="B1500" s="36" t="str">
        <f>IFERROR(__xludf.DUMMYFUNCTION("""COMPUTED_VALUE"""),"")</f>
        <v/>
      </c>
      <c r="C1500" s="36" t="str">
        <f>IFERROR(__xludf.DUMMYFUNCTION("""COMPUTED_VALUE"""),"")</f>
        <v/>
      </c>
      <c r="D1500" s="36" t="str">
        <f>IFERROR(__xludf.DUMMYFUNCTION("""COMPUTED_VALUE"""),"")</f>
        <v/>
      </c>
      <c r="E1500" s="36" t="str">
        <f>IFERROR(__xludf.DUMMYFUNCTION("""COMPUTED_VALUE"""),"04-30-14-134A")</f>
        <v>04-30-14-134A</v>
      </c>
      <c r="F1500" s="36"/>
      <c r="G1500" s="36" t="str">
        <f>IFERROR(__xludf.DUMMYFUNCTION("""COMPUTED_VALUE"""),"Ingreso B° Textil y Borcosque O")</f>
        <v>Ingreso B° Textil y Borcosque O</v>
      </c>
      <c r="H1500" s="36" t="str">
        <f>IFERROR(__xludf.DUMMYFUNCTION("""COMPUTED_VALUE"""),"")</f>
        <v/>
      </c>
    </row>
    <row r="1501">
      <c r="A1501" s="36" t="str">
        <f>IFERROR(__xludf.DUMMYFUNCTION("""COMPUTED_VALUE"""),"03-32-09-72")</f>
        <v>03-32-09-72</v>
      </c>
      <c r="B1501" s="36" t="str">
        <f>IFERROR(__xludf.DUMMYFUNCTION("""COMPUTED_VALUE"""),"")</f>
        <v/>
      </c>
      <c r="C1501" s="36" t="str">
        <f>IFERROR(__xludf.DUMMYFUNCTION("""COMPUTED_VALUE"""),"")</f>
        <v/>
      </c>
      <c r="D1501" s="36" t="str">
        <f>IFERROR(__xludf.DUMMYFUNCTION("""COMPUTED_VALUE"""),"")</f>
        <v/>
      </c>
      <c r="E1501" s="36" t="str">
        <f>IFERROR(__xludf.DUMMYFUNCTION("""COMPUTED_VALUE"""),"02-28-06-102A")</f>
        <v>02-28-06-102A</v>
      </c>
      <c r="F1501" s="36"/>
      <c r="G1501" s="36" t="str">
        <f>IFERROR(__xludf.DUMMYFUNCTION("""COMPUTED_VALUE"""),"Ingreso Loteo Casares")</f>
        <v>Ingreso Loteo Casares</v>
      </c>
      <c r="H1501" s="36" t="str">
        <f>IFERROR(__xludf.DUMMYFUNCTION("""COMPUTED_VALUE"""),"")</f>
        <v/>
      </c>
    </row>
    <row r="1502">
      <c r="A1502" s="36" t="str">
        <f>IFERROR(__xludf.DUMMYFUNCTION("""COMPUTED_VALUE"""),"03-32-09-73")</f>
        <v>03-32-09-73</v>
      </c>
      <c r="B1502" s="36" t="str">
        <f>IFERROR(__xludf.DUMMYFUNCTION("""COMPUTED_VALUE"""),"")</f>
        <v/>
      </c>
      <c r="C1502" s="36" t="str">
        <f>IFERROR(__xludf.DUMMYFUNCTION("""COMPUTED_VALUE"""),"")</f>
        <v/>
      </c>
      <c r="D1502" s="36" t="str">
        <f>IFERROR(__xludf.DUMMYFUNCTION("""COMPUTED_VALUE"""),"")</f>
        <v/>
      </c>
      <c r="E1502" s="36" t="str">
        <f>IFERROR(__xludf.DUMMYFUNCTION("""COMPUTED_VALUE"""),"01-31-07-176")</f>
        <v>01-31-07-176</v>
      </c>
      <c r="F1502" s="36"/>
      <c r="G1502" s="36" t="str">
        <f>IFERROR(__xludf.DUMMYFUNCTION("""COMPUTED_VALUE"""),"INPRES N")</f>
        <v>INPRES N</v>
      </c>
      <c r="H1502" s="36" t="str">
        <f>IFERROR(__xludf.DUMMYFUNCTION("""COMPUTED_VALUE"""),"")</f>
        <v/>
      </c>
    </row>
    <row r="1503">
      <c r="A1503" s="36" t="str">
        <f>IFERROR(__xludf.DUMMYFUNCTION("""COMPUTED_VALUE"""),"03-32-09-74")</f>
        <v>03-32-09-74</v>
      </c>
      <c r="B1503" s="36" t="str">
        <f>IFERROR(__xludf.DUMMYFUNCTION("""COMPUTED_VALUE"""),"")</f>
        <v/>
      </c>
      <c r="C1503" s="36" t="str">
        <f>IFERROR(__xludf.DUMMYFUNCTION("""COMPUTED_VALUE"""),"")</f>
        <v/>
      </c>
      <c r="D1503" s="36" t="str">
        <f>IFERROR(__xludf.DUMMYFUNCTION("""COMPUTED_VALUE"""),"")</f>
        <v/>
      </c>
      <c r="E1503" s="36" t="str">
        <f>IFERROR(__xludf.DUMMYFUNCTION("""COMPUTED_VALUE"""),"01-32-07-174")</f>
        <v>01-32-07-174</v>
      </c>
      <c r="F1503" s="36"/>
      <c r="G1503" s="36" t="str">
        <f>IFERROR(__xludf.DUMMYFUNCTION("""COMPUTED_VALUE"""),"INPRES O")</f>
        <v>INPRES O</v>
      </c>
      <c r="H1503" s="36" t="str">
        <f>IFERROR(__xludf.DUMMYFUNCTION("""COMPUTED_VALUE"""),"")</f>
        <v/>
      </c>
    </row>
    <row r="1504">
      <c r="A1504" s="36" t="str">
        <f>IFERROR(__xludf.DUMMYFUNCTION("""COMPUTED_VALUE"""),"03-32-09-75")</f>
        <v>03-32-09-75</v>
      </c>
      <c r="B1504" s="36" t="str">
        <f>IFERROR(__xludf.DUMMYFUNCTION("""COMPUTED_VALUE"""),"")</f>
        <v/>
      </c>
      <c r="C1504" s="36" t="str">
        <f>IFERROR(__xludf.DUMMYFUNCTION("""COMPUTED_VALUE"""),"")</f>
        <v/>
      </c>
      <c r="D1504" s="36" t="str">
        <f>IFERROR(__xludf.DUMMYFUNCTION("""COMPUTED_VALUE"""),"")</f>
        <v/>
      </c>
      <c r="E1504" s="36" t="str">
        <f>IFERROR(__xludf.DUMMYFUNCTION("""COMPUTED_VALUE"""),"01-33-07-171")</f>
        <v>01-33-07-171</v>
      </c>
      <c r="F1504" s="36"/>
      <c r="G1504" s="36" t="str">
        <f>IFERROR(__xludf.DUMMYFUNCTION("""COMPUTED_VALUE"""),"INPRES S")</f>
        <v>INPRES S</v>
      </c>
      <c r="H1504" s="36" t="str">
        <f>IFERROR(__xludf.DUMMYFUNCTION("""COMPUTED_VALUE"""),"")</f>
        <v/>
      </c>
    </row>
    <row r="1505">
      <c r="A1505" s="36" t="str">
        <f>IFERROR(__xludf.DUMMYFUNCTION("""COMPUTED_VALUE"""),"03-32-09-75A")</f>
        <v>03-32-09-75A</v>
      </c>
      <c r="B1505" s="36" t="str">
        <f>IFERROR(__xludf.DUMMYFUNCTION("""COMPUTED_VALUE"""),"")</f>
        <v/>
      </c>
      <c r="C1505" s="36" t="str">
        <f>IFERROR(__xludf.DUMMYFUNCTION("""COMPUTED_VALUE"""),"")</f>
        <v/>
      </c>
      <c r="D1505" s="36" t="str">
        <f>IFERROR(__xludf.DUMMYFUNCTION("""COMPUTED_VALUE"""),"")</f>
        <v/>
      </c>
      <c r="E1505" s="36" t="str">
        <f>IFERROR(__xludf.DUMMYFUNCTION("""COMPUTED_VALUE"""),"03-30-10-134A")</f>
        <v>03-30-10-134A</v>
      </c>
      <c r="F1505" s="36"/>
      <c r="G1505" s="36" t="str">
        <f>IFERROR(__xludf.DUMMYFUNCTION("""COMPUTED_VALUE"""),"Instituto de Educación Física ISEF Norte")</f>
        <v>Instituto de Educación Física ISEF Norte</v>
      </c>
      <c r="H1505" s="36" t="str">
        <f>IFERROR(__xludf.DUMMYFUNCTION("""COMPUTED_VALUE"""),"")</f>
        <v/>
      </c>
    </row>
    <row r="1506">
      <c r="A1506" s="36" t="str">
        <f>IFERROR(__xludf.DUMMYFUNCTION("""COMPUTED_VALUE"""),"03-32-09-75B")</f>
        <v>03-32-09-75B</v>
      </c>
      <c r="B1506" s="36" t="str">
        <f>IFERROR(__xludf.DUMMYFUNCTION("""COMPUTED_VALUE"""),"")</f>
        <v/>
      </c>
      <c r="C1506" s="36" t="str">
        <f>IFERROR(__xludf.DUMMYFUNCTION("""COMPUTED_VALUE"""),"")</f>
        <v/>
      </c>
      <c r="D1506" s="36" t="str">
        <f>IFERROR(__xludf.DUMMYFUNCTION("""COMPUTED_VALUE"""),"")</f>
        <v/>
      </c>
      <c r="E1506" s="36" t="str">
        <f>IFERROR(__xludf.DUMMYFUNCTION("""COMPUTED_VALUE"""),"03-33-10-134B")</f>
        <v>03-33-10-134B</v>
      </c>
      <c r="F1506" s="36"/>
      <c r="G1506" s="36" t="str">
        <f>IFERROR(__xludf.DUMMYFUNCTION("""COMPUTED_VALUE"""),"Instituto de Educación Física ISEF Sur")</f>
        <v>Instituto de Educación Física ISEF Sur</v>
      </c>
      <c r="H1506" s="36" t="str">
        <f>IFERROR(__xludf.DUMMYFUNCTION("""COMPUTED_VALUE"""),"")</f>
        <v/>
      </c>
    </row>
    <row r="1507">
      <c r="A1507" s="36" t="str">
        <f>IFERROR(__xludf.DUMMYFUNCTION("""COMPUTED_VALUE"""),"03-32-09-75C")</f>
        <v>03-32-09-75C</v>
      </c>
      <c r="B1507" s="36" t="str">
        <f>IFERROR(__xludf.DUMMYFUNCTION("""COMPUTED_VALUE"""),"")</f>
        <v/>
      </c>
      <c r="C1507" s="36" t="str">
        <f>IFERROR(__xludf.DUMMYFUNCTION("""COMPUTED_VALUE"""),"")</f>
        <v/>
      </c>
      <c r="D1507" s="36" t="str">
        <f>IFERROR(__xludf.DUMMYFUNCTION("""COMPUTED_VALUE"""),"")</f>
        <v/>
      </c>
      <c r="E1507" s="36" t="str">
        <f>IFERROR(__xludf.DUMMYFUNCTION("""COMPUTED_VALUE"""),"01-43-07-142")</f>
        <v>01-43-07-142</v>
      </c>
      <c r="F1507" s="36"/>
      <c r="G1507" s="36" t="str">
        <f>IFERROR(__xludf.DUMMYFUNCTION("""COMPUTED_VALUE"""),"Instituto de Energía Eléctrica")</f>
        <v>Instituto de Energía Eléctrica</v>
      </c>
      <c r="H1507" s="36" t="str">
        <f>IFERROR(__xludf.DUMMYFUNCTION("""COMPUTED_VALUE"""),"")</f>
        <v/>
      </c>
    </row>
    <row r="1508">
      <c r="A1508" s="36" t="str">
        <f>IFERROR(__xludf.DUMMYFUNCTION("""COMPUTED_VALUE"""),"03-32-09-75x")</f>
        <v>03-32-09-75x</v>
      </c>
      <c r="B1508" s="36" t="str">
        <f>IFERROR(__xludf.DUMMYFUNCTION("""COMPUTED_VALUE"""),"")</f>
        <v/>
      </c>
      <c r="C1508" s="36" t="str">
        <f>IFERROR(__xludf.DUMMYFUNCTION("""COMPUTED_VALUE"""),"")</f>
        <v/>
      </c>
      <c r="D1508" s="36" t="str">
        <f>IFERROR(__xludf.DUMMYFUNCTION("""COMPUTED_VALUE"""),"")</f>
        <v/>
      </c>
      <c r="E1508" s="36" t="str">
        <f>IFERROR(__xludf.DUMMYFUNCTION("""COMPUTED_VALUE"""),"03-33-10-58B")</f>
        <v>03-33-10-58B</v>
      </c>
      <c r="F1508" s="36"/>
      <c r="G1508" s="36" t="str">
        <f>IFERROR(__xludf.DUMMYFUNCTION("""COMPUTED_VALUE"""),"Ischigualasto y Lago Puelo")</f>
        <v>Ischigualasto y Lago Puelo</v>
      </c>
      <c r="H1508" s="36" t="str">
        <f>IFERROR(__xludf.DUMMYFUNCTION("""COMPUTED_VALUE"""),"")</f>
        <v/>
      </c>
    </row>
    <row r="1509">
      <c r="A1509" s="36" t="str">
        <f>IFERROR(__xludf.DUMMYFUNCTION("""COMPUTED_VALUE"""),"03-32-09-76")</f>
        <v>03-32-09-76</v>
      </c>
      <c r="B1509" s="36" t="str">
        <f>IFERROR(__xludf.DUMMYFUNCTION("""COMPUTED_VALUE"""),"")</f>
        <v/>
      </c>
      <c r="C1509" s="36" t="str">
        <f>IFERROR(__xludf.DUMMYFUNCTION("""COMPUTED_VALUE"""),"")</f>
        <v/>
      </c>
      <c r="D1509" s="36" t="str">
        <f>IFERROR(__xludf.DUMMYFUNCTION("""COMPUTED_VALUE"""),"")</f>
        <v/>
      </c>
      <c r="E1509" s="36" t="str">
        <f>IFERROR(__xludf.DUMMYFUNCTION("""COMPUTED_VALUE"""),"09-24-10-28A")</f>
        <v>09-24-10-28A</v>
      </c>
      <c r="F1509" s="36"/>
      <c r="G1509" s="36" t="str">
        <f>IFERROR(__xludf.DUMMYFUNCTION("""COMPUTED_VALUE"""),"Islas Malvinas y Córdoba Norte")</f>
        <v>Islas Malvinas y Córdoba Norte</v>
      </c>
      <c r="H1509" s="36" t="str">
        <f>IFERROR(__xludf.DUMMYFUNCTION("""COMPUTED_VALUE"""),"")</f>
        <v/>
      </c>
    </row>
    <row r="1510">
      <c r="A1510" s="36" t="str">
        <f>IFERROR(__xludf.DUMMYFUNCTION("""COMPUTED_VALUE"""),"03-32-09-79")</f>
        <v>03-32-09-79</v>
      </c>
      <c r="B1510" s="36" t="str">
        <f>IFERROR(__xludf.DUMMYFUNCTION("""COMPUTED_VALUE"""),"")</f>
        <v/>
      </c>
      <c r="C1510" s="36" t="str">
        <f>IFERROR(__xludf.DUMMYFUNCTION("""COMPUTED_VALUE"""),"")</f>
        <v/>
      </c>
      <c r="D1510" s="36" t="str">
        <f>IFERROR(__xludf.DUMMYFUNCTION("""COMPUTED_VALUE"""),"")</f>
        <v/>
      </c>
      <c r="E1510" s="36" t="str">
        <f>IFERROR(__xludf.DUMMYFUNCTION("""COMPUTED_VALUE"""),"09-24-10-28B")</f>
        <v>09-24-10-28B</v>
      </c>
      <c r="F1510" s="36"/>
      <c r="G1510" s="36" t="str">
        <f>IFERROR(__xludf.DUMMYFUNCTION("""COMPUTED_VALUE"""),"Islas Malvinas y Córdoba Sur")</f>
        <v>Islas Malvinas y Córdoba Sur</v>
      </c>
      <c r="H1510" s="36" t="str">
        <f>IFERROR(__xludf.DUMMYFUNCTION("""COMPUTED_VALUE"""),"")</f>
        <v/>
      </c>
    </row>
    <row r="1511">
      <c r="A1511" s="36" t="str">
        <f>IFERROR(__xludf.DUMMYFUNCTION("""COMPUTED_VALUE"""),"03-32-09-79A")</f>
        <v>03-32-09-79A</v>
      </c>
      <c r="B1511" s="36" t="str">
        <f>IFERROR(__xludf.DUMMYFUNCTION("""COMPUTED_VALUE"""),"")</f>
        <v/>
      </c>
      <c r="C1511" s="36" t="str">
        <f>IFERROR(__xludf.DUMMYFUNCTION("""COMPUTED_VALUE"""),"")</f>
        <v/>
      </c>
      <c r="D1511" s="36" t="str">
        <f>IFERROR(__xludf.DUMMYFUNCTION("""COMPUTED_VALUE"""),"")</f>
        <v/>
      </c>
      <c r="E1511" s="36" t="str">
        <f>IFERROR(__xludf.DUMMYFUNCTION("""COMPUTED_VALUE"""),"02-37-06-23")</f>
        <v>02-37-06-23</v>
      </c>
      <c r="F1511" s="36"/>
      <c r="G1511" s="36" t="str">
        <f>IFERROR(__xludf.DUMMYFUNCTION("""COMPUTED_VALUE"""),"Ituzaingo - Conjunto IPV")</f>
        <v>Ituzaingo - Conjunto IPV</v>
      </c>
      <c r="H1511" s="36" t="str">
        <f>IFERROR(__xludf.DUMMYFUNCTION("""COMPUTED_VALUE"""),"")</f>
        <v/>
      </c>
    </row>
    <row r="1512">
      <c r="A1512" s="36" t="str">
        <f>IFERROR(__xludf.DUMMYFUNCTION("""COMPUTED_VALUE"""),"03-32-09-82")</f>
        <v>03-32-09-82</v>
      </c>
      <c r="B1512" s="36" t="str">
        <f>IFERROR(__xludf.DUMMYFUNCTION("""COMPUTED_VALUE"""),"")</f>
        <v/>
      </c>
      <c r="C1512" s="36" t="str">
        <f>IFERROR(__xludf.DUMMYFUNCTION("""COMPUTED_VALUE"""),"")</f>
        <v/>
      </c>
      <c r="D1512" s="36" t="str">
        <f>IFERROR(__xludf.DUMMYFUNCTION("""COMPUTED_VALUE"""),"")</f>
        <v/>
      </c>
      <c r="E1512" s="36" t="str">
        <f>IFERROR(__xludf.DUMMYFUNCTION("""COMPUTED_VALUE"""),"02-37-06-19")</f>
        <v>02-37-06-19</v>
      </c>
      <c r="F1512" s="36"/>
      <c r="G1512" s="36" t="str">
        <f>IFERROR(__xludf.DUMMYFUNCTION("""COMPUTED_VALUE"""),"Ituzaingo e Hipólito Yrigoyen")</f>
        <v>Ituzaingo e Hipólito Yrigoyen</v>
      </c>
      <c r="H1512" s="36" t="str">
        <f>IFERROR(__xludf.DUMMYFUNCTION("""COMPUTED_VALUE"""),"")</f>
        <v/>
      </c>
    </row>
    <row r="1513">
      <c r="A1513" s="36" t="str">
        <f>IFERROR(__xludf.DUMMYFUNCTION("""COMPUTED_VALUE"""),"03-32-09-83")</f>
        <v>03-32-09-83</v>
      </c>
      <c r="B1513" s="36" t="str">
        <f>IFERROR(__xludf.DUMMYFUNCTION("""COMPUTED_VALUE"""),"")</f>
        <v/>
      </c>
      <c r="C1513" s="36" t="str">
        <f>IFERROR(__xludf.DUMMYFUNCTION("""COMPUTED_VALUE"""),"")</f>
        <v/>
      </c>
      <c r="D1513" s="36" t="str">
        <f>IFERROR(__xludf.DUMMYFUNCTION("""COMPUTED_VALUE"""),"")</f>
        <v/>
      </c>
      <c r="E1513" s="36" t="str">
        <f>IFERROR(__xludf.DUMMYFUNCTION("""COMPUTED_VALUE"""),"02-37-06-20A")</f>
        <v>02-37-06-20A</v>
      </c>
      <c r="F1513" s="36"/>
      <c r="G1513" s="36" t="str">
        <f>IFERROR(__xludf.DUMMYFUNCTION("""COMPUTED_VALUE"""),"Ituzaingo y Juan B. Justo")</f>
        <v>Ituzaingo y Juan B. Justo</v>
      </c>
      <c r="H1513" s="36" t="str">
        <f>IFERROR(__xludf.DUMMYFUNCTION("""COMPUTED_VALUE"""),"")</f>
        <v/>
      </c>
    </row>
    <row r="1514">
      <c r="A1514" s="36" t="str">
        <f>IFERROR(__xludf.DUMMYFUNCTION("""COMPUTED_VALUE"""),"03-32-09-85")</f>
        <v>03-32-09-85</v>
      </c>
      <c r="B1514" s="36" t="str">
        <f>IFERROR(__xludf.DUMMYFUNCTION("""COMPUTED_VALUE"""),"")</f>
        <v/>
      </c>
      <c r="C1514" s="36" t="str">
        <f>IFERROR(__xludf.DUMMYFUNCTION("""COMPUTED_VALUE"""),"")</f>
        <v/>
      </c>
      <c r="D1514" s="36" t="str">
        <f>IFERROR(__xludf.DUMMYFUNCTION("""COMPUTED_VALUE"""),"")</f>
        <v/>
      </c>
      <c r="E1514" s="36" t="str">
        <f>IFERROR(__xludf.DUMMYFUNCTION("""COMPUTED_VALUE"""),"02-37-06-21")</f>
        <v>02-37-06-21</v>
      </c>
      <c r="F1514" s="36"/>
      <c r="G1514" s="36" t="str">
        <f>IFERROR(__xludf.DUMMYFUNCTION("""COMPUTED_VALUE"""),"Ituzaingo y Libertad N")</f>
        <v>Ituzaingo y Libertad N</v>
      </c>
      <c r="H1514" s="36" t="str">
        <f>IFERROR(__xludf.DUMMYFUNCTION("""COMPUTED_VALUE"""),"")</f>
        <v/>
      </c>
    </row>
    <row r="1515">
      <c r="A1515" s="36" t="str">
        <f>IFERROR(__xludf.DUMMYFUNCTION("""COMPUTED_VALUE"""),"03-32-09-87")</f>
        <v>03-32-09-87</v>
      </c>
      <c r="B1515" s="36" t="str">
        <f>IFERROR(__xludf.DUMMYFUNCTION("""COMPUTED_VALUE"""),"")</f>
        <v/>
      </c>
      <c r="C1515" s="36" t="str">
        <f>IFERROR(__xludf.DUMMYFUNCTION("""COMPUTED_VALUE"""),"")</f>
        <v/>
      </c>
      <c r="D1515" s="36" t="str">
        <f>IFERROR(__xludf.DUMMYFUNCTION("""COMPUTED_VALUE"""),"")</f>
        <v/>
      </c>
      <c r="E1515" s="36" t="str">
        <f>IFERROR(__xludf.DUMMYFUNCTION("""COMPUTED_VALUE"""),"02-37-06-21A")</f>
        <v>02-37-06-21A</v>
      </c>
      <c r="F1515" s="36"/>
      <c r="G1515" s="36" t="str">
        <f>IFERROR(__xludf.DUMMYFUNCTION("""COMPUTED_VALUE"""),"Ituzaingo y Libertad S")</f>
        <v>Ituzaingo y Libertad S</v>
      </c>
      <c r="H1515" s="36" t="str">
        <f>IFERROR(__xludf.DUMMYFUNCTION("""COMPUTED_VALUE"""),"")</f>
        <v/>
      </c>
    </row>
    <row r="1516">
      <c r="A1516" s="36" t="str">
        <f>IFERROR(__xludf.DUMMYFUNCTION("""COMPUTED_VALUE"""),"03-32-09-89")</f>
        <v>03-32-09-89</v>
      </c>
      <c r="B1516" s="36" t="str">
        <f>IFERROR(__xludf.DUMMYFUNCTION("""COMPUTED_VALUE"""),"")</f>
        <v/>
      </c>
      <c r="C1516" s="36" t="str">
        <f>IFERROR(__xludf.DUMMYFUNCTION("""COMPUTED_VALUE"""),"")</f>
        <v/>
      </c>
      <c r="D1516" s="36" t="str">
        <f>IFERROR(__xludf.DUMMYFUNCTION("""COMPUTED_VALUE"""),"")</f>
        <v/>
      </c>
      <c r="E1516" s="36" t="str">
        <f>IFERROR(__xludf.DUMMYFUNCTION("""COMPUTED_VALUE"""),"02-37-06-22")</f>
        <v>02-37-06-22</v>
      </c>
      <c r="F1516" s="36"/>
      <c r="G1516" s="36" t="str">
        <f>IFERROR(__xludf.DUMMYFUNCTION("""COMPUTED_VALUE"""),"Ituzaingo y Manuel Belgrano N")</f>
        <v>Ituzaingo y Manuel Belgrano N</v>
      </c>
      <c r="H1516" s="36" t="str">
        <f>IFERROR(__xludf.DUMMYFUNCTION("""COMPUTED_VALUE"""),"")</f>
        <v/>
      </c>
    </row>
    <row r="1517">
      <c r="A1517" s="36" t="str">
        <f>IFERROR(__xludf.DUMMYFUNCTION("""COMPUTED_VALUE"""),"03-32-09-90")</f>
        <v>03-32-09-90</v>
      </c>
      <c r="B1517" s="36" t="str">
        <f>IFERROR(__xludf.DUMMYFUNCTION("""COMPUTED_VALUE"""),"")</f>
        <v/>
      </c>
      <c r="C1517" s="36" t="str">
        <f>IFERROR(__xludf.DUMMYFUNCTION("""COMPUTED_VALUE"""),"")</f>
        <v/>
      </c>
      <c r="D1517" s="36" t="str">
        <f>IFERROR(__xludf.DUMMYFUNCTION("""COMPUTED_VALUE"""),"")</f>
        <v/>
      </c>
      <c r="E1517" s="36" t="str">
        <f>IFERROR(__xludf.DUMMYFUNCTION("""COMPUTED_VALUE"""),"02-37-06-22A")</f>
        <v>02-37-06-22A</v>
      </c>
      <c r="F1517" s="36"/>
      <c r="G1517" s="36" t="str">
        <f>IFERROR(__xludf.DUMMYFUNCTION("""COMPUTED_VALUE"""),"Ituzaingo y Manuel Belgrano S")</f>
        <v>Ituzaingo y Manuel Belgrano S</v>
      </c>
      <c r="H1517" s="36" t="str">
        <f>IFERROR(__xludf.DUMMYFUNCTION("""COMPUTED_VALUE"""),"")</f>
        <v/>
      </c>
    </row>
    <row r="1518">
      <c r="A1518" s="36" t="str">
        <f>IFERROR(__xludf.DUMMYFUNCTION("""COMPUTED_VALUE"""),"03-33-09-84")</f>
        <v>03-33-09-84</v>
      </c>
      <c r="B1518" s="36" t="str">
        <f>IFERROR(__xludf.DUMMYFUNCTION("""COMPUTED_VALUE"""),"")</f>
        <v/>
      </c>
      <c r="C1518" s="36" t="str">
        <f>IFERROR(__xludf.DUMMYFUNCTION("""COMPUTED_VALUE"""),"")</f>
        <v/>
      </c>
      <c r="D1518" s="36" t="str">
        <f>IFERROR(__xludf.DUMMYFUNCTION("""COMPUTED_VALUE"""),"")</f>
        <v/>
      </c>
      <c r="E1518" s="36" t="str">
        <f>IFERROR(__xludf.DUMMYFUNCTION("""COMPUTED_VALUE"""),"02-37-06-20")</f>
        <v>02-37-06-20</v>
      </c>
      <c r="F1518" s="36"/>
      <c r="G1518" s="36" t="str">
        <f>IFERROR(__xludf.DUMMYFUNCTION("""COMPUTED_VALUE"""),"Ituzaingo y Mariano Moreno")</f>
        <v>Ituzaingo y Mariano Moreno</v>
      </c>
      <c r="H1518" s="36" t="str">
        <f>IFERROR(__xludf.DUMMYFUNCTION("""COMPUTED_VALUE"""),"")</f>
        <v/>
      </c>
    </row>
    <row r="1519">
      <c r="A1519" s="36" t="str">
        <f>IFERROR(__xludf.DUMMYFUNCTION("""COMPUTED_VALUE"""),"03-33-09-86")</f>
        <v>03-33-09-86</v>
      </c>
      <c r="B1519" s="36" t="str">
        <f>IFERROR(__xludf.DUMMYFUNCTION("""COMPUTED_VALUE"""),"")</f>
        <v/>
      </c>
      <c r="C1519" s="36" t="str">
        <f>IFERROR(__xludf.DUMMYFUNCTION("""COMPUTED_VALUE"""),"")</f>
        <v/>
      </c>
      <c r="D1519" s="36" t="str">
        <f>IFERROR(__xludf.DUMMYFUNCTION("""COMPUTED_VALUE"""),"")</f>
        <v/>
      </c>
      <c r="E1519" s="36" t="str">
        <f>IFERROR(__xludf.DUMMYFUNCTION("""COMPUTED_VALUE"""),"02-37-06-24")</f>
        <v>02-37-06-24</v>
      </c>
      <c r="F1519" s="36"/>
      <c r="G1519" s="36" t="str">
        <f>IFERROR(__xludf.DUMMYFUNCTION("""COMPUTED_VALUE"""),"Ituzaingo y Meglioli")</f>
        <v>Ituzaingo y Meglioli</v>
      </c>
      <c r="H1519" s="36" t="str">
        <f>IFERROR(__xludf.DUMMYFUNCTION("""COMPUTED_VALUE"""),"")</f>
        <v/>
      </c>
    </row>
    <row r="1520">
      <c r="A1520" s="36" t="str">
        <f>IFERROR(__xludf.DUMMYFUNCTION("""COMPUTED_VALUE"""),"03-33-09-88")</f>
        <v>03-33-09-88</v>
      </c>
      <c r="B1520" s="36" t="str">
        <f>IFERROR(__xludf.DUMMYFUNCTION("""COMPUTED_VALUE"""),"")</f>
        <v/>
      </c>
      <c r="C1520" s="36" t="str">
        <f>IFERROR(__xludf.DUMMYFUNCTION("""COMPUTED_VALUE"""),"")</f>
        <v/>
      </c>
      <c r="D1520" s="36" t="str">
        <f>IFERROR(__xludf.DUMMYFUNCTION("""COMPUTED_VALUE"""),"")</f>
        <v/>
      </c>
      <c r="E1520" s="36" t="str">
        <f>IFERROR(__xludf.DUMMYFUNCTION("""COMPUTED_VALUE"""),"01-36-07-27")</f>
        <v>01-36-07-27</v>
      </c>
      <c r="F1520" s="36"/>
      <c r="G1520" s="36" t="str">
        <f>IFERROR(__xludf.DUMMYFUNCTION("""COMPUTED_VALUE"""),"IxD")</f>
        <v>IxD</v>
      </c>
      <c r="H1520" s="36" t="str">
        <f>IFERROR(__xludf.DUMMYFUNCTION("""COMPUTED_VALUE"""),"")</f>
        <v/>
      </c>
    </row>
    <row r="1521">
      <c r="A1521" s="36" t="str">
        <f>IFERROR(__xludf.DUMMYFUNCTION("""COMPUTED_VALUE"""),"03-33-09-91")</f>
        <v>03-33-09-91</v>
      </c>
      <c r="B1521" s="36" t="str">
        <f>IFERROR(__xludf.DUMMYFUNCTION("""COMPUTED_VALUE"""),"")</f>
        <v/>
      </c>
      <c r="C1521" s="36" t="str">
        <f>IFERROR(__xludf.DUMMYFUNCTION("""COMPUTED_VALUE"""),"")</f>
        <v/>
      </c>
      <c r="D1521" s="36" t="str">
        <f>IFERROR(__xludf.DUMMYFUNCTION("""COMPUTED_VALUE"""),"")</f>
        <v/>
      </c>
      <c r="E1521" s="36" t="str">
        <f>IFERROR(__xludf.DUMMYFUNCTION("""COMPUTED_VALUE"""),"03-49-10-8I")</f>
        <v>03-49-10-8I</v>
      </c>
      <c r="F1521" s="36"/>
      <c r="G1521" s="36" t="str">
        <f>IFERROR(__xludf.DUMMYFUNCTION("""COMPUTED_VALUE"""),"J María del Carril e Hipólito Yrigoyen Este")</f>
        <v>J María del Carril e Hipólito Yrigoyen Este</v>
      </c>
      <c r="H1521" s="36" t="str">
        <f>IFERROR(__xludf.DUMMYFUNCTION("""COMPUTED_VALUE"""),"")</f>
        <v/>
      </c>
    </row>
    <row r="1522">
      <c r="A1522" s="36" t="str">
        <f>IFERROR(__xludf.DUMMYFUNCTION("""COMPUTED_VALUE"""),"03-48-09-50")</f>
        <v>03-48-09-50</v>
      </c>
      <c r="B1522" s="36" t="str">
        <f>IFERROR(__xludf.DUMMYFUNCTION("""COMPUTED_VALUE"""),"")</f>
        <v/>
      </c>
      <c r="C1522" s="36" t="str">
        <f>IFERROR(__xludf.DUMMYFUNCTION("""COMPUTED_VALUE"""),"")</f>
        <v/>
      </c>
      <c r="D1522" s="36" t="str">
        <f>IFERROR(__xludf.DUMMYFUNCTION("""COMPUTED_VALUE"""),"")</f>
        <v/>
      </c>
      <c r="E1522" s="36" t="str">
        <f>IFERROR(__xludf.DUMMYFUNCTION("""COMPUTED_VALUE"""),"03-49-10-8J")</f>
        <v>03-49-10-8J</v>
      </c>
      <c r="F1522" s="36"/>
      <c r="G1522" s="36" t="str">
        <f>IFERROR(__xludf.DUMMYFUNCTION("""COMPUTED_VALUE"""),"J María del Carril e Hipólito Yrigoyen Oeste")</f>
        <v>J María del Carril e Hipólito Yrigoyen Oeste</v>
      </c>
      <c r="H1522" s="36" t="str">
        <f>IFERROR(__xludf.DUMMYFUNCTION("""COMPUTED_VALUE"""),"")</f>
        <v/>
      </c>
    </row>
    <row r="1523">
      <c r="A1523" s="36" t="str">
        <f>IFERROR(__xludf.DUMMYFUNCTION("""COMPUTED_VALUE"""),"03-48-09-52")</f>
        <v>03-48-09-52</v>
      </c>
      <c r="B1523" s="36" t="str">
        <f>IFERROR(__xludf.DUMMYFUNCTION("""COMPUTED_VALUE"""),"")</f>
        <v/>
      </c>
      <c r="C1523" s="36" t="str">
        <f>IFERROR(__xludf.DUMMYFUNCTION("""COMPUTED_VALUE"""),"")</f>
        <v/>
      </c>
      <c r="D1523" s="36" t="str">
        <f>IFERROR(__xludf.DUMMYFUNCTION("""COMPUTED_VALUE"""),"")</f>
        <v/>
      </c>
      <c r="E1523" s="36" t="str">
        <f>IFERROR(__xludf.DUMMYFUNCTION("""COMPUTED_VALUE"""),"03-49-10-8G")</f>
        <v>03-49-10-8G</v>
      </c>
      <c r="F1523" s="36"/>
      <c r="G1523" s="36" t="str">
        <f>IFERROR(__xludf.DUMMYFUNCTION("""COMPUTED_VALUE"""),"J María del Carril y Lencinas")</f>
        <v>J María del Carril y Lencinas</v>
      </c>
      <c r="H1523" s="36" t="str">
        <f>IFERROR(__xludf.DUMMYFUNCTION("""COMPUTED_VALUE"""),"")</f>
        <v/>
      </c>
    </row>
    <row r="1524">
      <c r="A1524" s="36" t="str">
        <f>IFERROR(__xludf.DUMMYFUNCTION("""COMPUTED_VALUE"""),"03-48-09-53")</f>
        <v>03-48-09-53</v>
      </c>
      <c r="B1524" s="36" t="str">
        <f>IFERROR(__xludf.DUMMYFUNCTION("""COMPUTED_VALUE"""),"")</f>
        <v/>
      </c>
      <c r="C1524" s="36" t="str">
        <f>IFERROR(__xludf.DUMMYFUNCTION("""COMPUTED_VALUE"""),"")</f>
        <v/>
      </c>
      <c r="D1524" s="36" t="str">
        <f>IFERROR(__xludf.DUMMYFUNCTION("""COMPUTED_VALUE"""),"")</f>
        <v/>
      </c>
      <c r="E1524" s="36" t="str">
        <f>IFERROR(__xludf.DUMMYFUNCTION("""COMPUTED_VALUE"""),"02-32-11-96")</f>
        <v>02-32-11-96</v>
      </c>
      <c r="F1524" s="36"/>
      <c r="G1524" s="36" t="str">
        <f>IFERROR(__xludf.DUMMYFUNCTION("""COMPUTED_VALUE"""),"J. Dávalos y Colón")</f>
        <v>J. Dávalos y Colón</v>
      </c>
      <c r="H1524" s="36" t="str">
        <f>IFERROR(__xludf.DUMMYFUNCTION("""COMPUTED_VALUE"""),"")</f>
        <v/>
      </c>
    </row>
    <row r="1525">
      <c r="A1525" s="36" t="str">
        <f>IFERROR(__xludf.DUMMYFUNCTION("""COMPUTED_VALUE"""),"03-48-09-54")</f>
        <v>03-48-09-54</v>
      </c>
      <c r="B1525" s="36" t="str">
        <f>IFERROR(__xludf.DUMMYFUNCTION("""COMPUTED_VALUE"""),"")</f>
        <v/>
      </c>
      <c r="C1525" s="36" t="str">
        <f>IFERROR(__xludf.DUMMYFUNCTION("""COMPUTED_VALUE"""),"")</f>
        <v/>
      </c>
      <c r="D1525" s="36" t="str">
        <f>IFERROR(__xludf.DUMMYFUNCTION("""COMPUTED_VALUE"""),"")</f>
        <v/>
      </c>
      <c r="E1525" s="36" t="str">
        <f>IFERROR(__xludf.DUMMYFUNCTION("""COMPUTED_VALUE"""),"02-32-11-101")</f>
        <v>02-32-11-101</v>
      </c>
      <c r="F1525" s="36"/>
      <c r="G1525" s="36" t="str">
        <f>IFERROR(__xludf.DUMMYFUNCTION("""COMPUTED_VALUE"""),"J. L. Borges y Las Palmeras")</f>
        <v>J. L. Borges y Las Palmeras</v>
      </c>
      <c r="H1525" s="36" t="str">
        <f>IFERROR(__xludf.DUMMYFUNCTION("""COMPUTED_VALUE"""),"")</f>
        <v/>
      </c>
    </row>
    <row r="1526">
      <c r="A1526" s="36" t="str">
        <f>IFERROR(__xludf.DUMMYFUNCTION("""COMPUTED_VALUE"""),"03-48-09-54A")</f>
        <v>03-48-09-54A</v>
      </c>
      <c r="B1526" s="36" t="str">
        <f>IFERROR(__xludf.DUMMYFUNCTION("""COMPUTED_VALUE"""),"")</f>
        <v/>
      </c>
      <c r="C1526" s="36" t="str">
        <f>IFERROR(__xludf.DUMMYFUNCTION("""COMPUTED_VALUE"""),"")</f>
        <v/>
      </c>
      <c r="D1526" s="36" t="str">
        <f>IFERROR(__xludf.DUMMYFUNCTION("""COMPUTED_VALUE"""),"")</f>
        <v/>
      </c>
      <c r="E1526" s="36" t="str">
        <f>IFERROR(__xludf.DUMMYFUNCTION("""COMPUTED_VALUE"""),"04-35-12-54A")</f>
        <v>04-35-12-54A</v>
      </c>
      <c r="F1526" s="36"/>
      <c r="G1526" s="36" t="str">
        <f>IFERROR(__xludf.DUMMYFUNCTION("""COMPUTED_VALUE"""),"J. Newbery Este  y O'Higgins")</f>
        <v>J. Newbery Este  y O'Higgins</v>
      </c>
      <c r="H1526" s="36" t="str">
        <f>IFERROR(__xludf.DUMMYFUNCTION("""COMPUTED_VALUE"""),"")</f>
        <v/>
      </c>
    </row>
    <row r="1527">
      <c r="A1527" s="36" t="str">
        <f>IFERROR(__xludf.DUMMYFUNCTION("""COMPUTED_VALUE"""),"03-48-09-55")</f>
        <v>03-48-09-55</v>
      </c>
      <c r="B1527" s="36" t="str">
        <f>IFERROR(__xludf.DUMMYFUNCTION("""COMPUTED_VALUE"""),"")</f>
        <v/>
      </c>
      <c r="C1527" s="36" t="str">
        <f>IFERROR(__xludf.DUMMYFUNCTION("""COMPUTED_VALUE"""),"")</f>
        <v/>
      </c>
      <c r="D1527" s="36" t="str">
        <f>IFERROR(__xludf.DUMMYFUNCTION("""COMPUTED_VALUE"""),"")</f>
        <v/>
      </c>
      <c r="E1527" s="36" t="str">
        <f>IFERROR(__xludf.DUMMYFUNCTION("""COMPUTED_VALUE"""),"04-35-12-54G")</f>
        <v>04-35-12-54G</v>
      </c>
      <c r="F1527" s="36"/>
      <c r="G1527" s="36" t="str">
        <f>IFERROR(__xludf.DUMMYFUNCTION("""COMPUTED_VALUE"""),"J. Newbery Este y Juárez Celman")</f>
        <v>J. Newbery Este y Juárez Celman</v>
      </c>
      <c r="H1527" s="36" t="str">
        <f>IFERROR(__xludf.DUMMYFUNCTION("""COMPUTED_VALUE"""),"")</f>
        <v/>
      </c>
    </row>
    <row r="1528">
      <c r="A1528" s="36" t="str">
        <f>IFERROR(__xludf.DUMMYFUNCTION("""COMPUTED_VALUE"""),"03-48-09-56")</f>
        <v>03-48-09-56</v>
      </c>
      <c r="B1528" s="36" t="str">
        <f>IFERROR(__xludf.DUMMYFUNCTION("""COMPUTED_VALUE"""),"")</f>
        <v/>
      </c>
      <c r="C1528" s="36" t="str">
        <f>IFERROR(__xludf.DUMMYFUNCTION("""COMPUTED_VALUE"""),"")</f>
        <v/>
      </c>
      <c r="D1528" s="36" t="str">
        <f>IFERROR(__xludf.DUMMYFUNCTION("""COMPUTED_VALUE"""),"")</f>
        <v/>
      </c>
      <c r="E1528" s="36" t="str">
        <f>IFERROR(__xludf.DUMMYFUNCTION("""COMPUTED_VALUE"""),"04-35-12-54B")</f>
        <v>04-35-12-54B</v>
      </c>
      <c r="F1528" s="36"/>
      <c r="G1528" s="36" t="str">
        <f>IFERROR(__xludf.DUMMYFUNCTION("""COMPUTED_VALUE"""),"J. Newbery Oeste  y O'Higgins")</f>
        <v>J. Newbery Oeste  y O'Higgins</v>
      </c>
      <c r="H1528" s="36" t="str">
        <f>IFERROR(__xludf.DUMMYFUNCTION("""COMPUTED_VALUE"""),"")</f>
        <v/>
      </c>
    </row>
    <row r="1529">
      <c r="A1529" s="36" t="str">
        <f>IFERROR(__xludf.DUMMYFUNCTION("""COMPUTED_VALUE"""),"03-48-09-57")</f>
        <v>03-48-09-57</v>
      </c>
      <c r="B1529" s="36" t="str">
        <f>IFERROR(__xludf.DUMMYFUNCTION("""COMPUTED_VALUE"""),"")</f>
        <v/>
      </c>
      <c r="C1529" s="36" t="str">
        <f>IFERROR(__xludf.DUMMYFUNCTION("""COMPUTED_VALUE"""),"")</f>
        <v/>
      </c>
      <c r="D1529" s="36" t="str">
        <f>IFERROR(__xludf.DUMMYFUNCTION("""COMPUTED_VALUE"""),"")</f>
        <v/>
      </c>
      <c r="E1529" s="36" t="str">
        <f>IFERROR(__xludf.DUMMYFUNCTION("""COMPUTED_VALUE"""),"04-35-12-54H")</f>
        <v>04-35-12-54H</v>
      </c>
      <c r="F1529" s="36"/>
      <c r="G1529" s="36" t="str">
        <f>IFERROR(__xludf.DUMMYFUNCTION("""COMPUTED_VALUE"""),"J. Newbery Oeste y Juárez Celman")</f>
        <v>J. Newbery Oeste y Juárez Celman</v>
      </c>
      <c r="H1529" s="36" t="str">
        <f>IFERROR(__xludf.DUMMYFUNCTION("""COMPUTED_VALUE"""),"")</f>
        <v/>
      </c>
    </row>
    <row r="1530">
      <c r="A1530" s="36" t="str">
        <f>IFERROR(__xludf.DUMMYFUNCTION("""COMPUTED_VALUE"""),"03-48-09-58")</f>
        <v>03-48-09-58</v>
      </c>
      <c r="B1530" s="36" t="str">
        <f>IFERROR(__xludf.DUMMYFUNCTION("""COMPUTED_VALUE"""),"")</f>
        <v/>
      </c>
      <c r="C1530" s="36" t="str">
        <f>IFERROR(__xludf.DUMMYFUNCTION("""COMPUTED_VALUE"""),"")</f>
        <v/>
      </c>
      <c r="D1530" s="36" t="str">
        <f>IFERROR(__xludf.DUMMYFUNCTION("""COMPUTED_VALUE"""),"")</f>
        <v/>
      </c>
      <c r="E1530" s="36" t="str">
        <f>IFERROR(__xludf.DUMMYFUNCTION("""COMPUTED_VALUE"""),"04-35-12-54E")</f>
        <v>04-35-12-54E</v>
      </c>
      <c r="F1530" s="36"/>
      <c r="G1530" s="36" t="str">
        <f>IFERROR(__xludf.DUMMYFUNCTION("""COMPUTED_VALUE"""),"J. Newbery y Guayaquil")</f>
        <v>J. Newbery y Guayaquil</v>
      </c>
      <c r="H1530" s="36" t="str">
        <f>IFERROR(__xludf.DUMMYFUNCTION("""COMPUTED_VALUE"""),"")</f>
        <v/>
      </c>
    </row>
    <row r="1531">
      <c r="A1531" s="36" t="str">
        <f>IFERROR(__xludf.DUMMYFUNCTION("""COMPUTED_VALUE"""),"03-48-09-59")</f>
        <v>03-48-09-59</v>
      </c>
      <c r="B1531" s="36" t="str">
        <f>IFERROR(__xludf.DUMMYFUNCTION("""COMPUTED_VALUE"""),"")</f>
        <v/>
      </c>
      <c r="C1531" s="36" t="str">
        <f>IFERROR(__xludf.DUMMYFUNCTION("""COMPUTED_VALUE"""),"")</f>
        <v/>
      </c>
      <c r="D1531" s="36" t="str">
        <f>IFERROR(__xludf.DUMMYFUNCTION("""COMPUTED_VALUE"""),"")</f>
        <v/>
      </c>
      <c r="E1531" s="36" t="str">
        <f>IFERROR(__xludf.DUMMYFUNCTION("""COMPUTED_VALUE"""),"04-35-12-54I")</f>
        <v>04-35-12-54I</v>
      </c>
      <c r="F1531" s="36"/>
      <c r="G1531" s="36" t="str">
        <f>IFERROR(__xludf.DUMMYFUNCTION("""COMPUTED_VALUE"""),"J. Newbery y Laprida")</f>
        <v>J. Newbery y Laprida</v>
      </c>
      <c r="H1531" s="36" t="str">
        <f>IFERROR(__xludf.DUMMYFUNCTION("""COMPUTED_VALUE"""),"")</f>
        <v/>
      </c>
    </row>
    <row r="1532">
      <c r="A1532" s="36" t="str">
        <f>IFERROR(__xludf.DUMMYFUNCTION("""COMPUTED_VALUE"""),"03-48-09-63")</f>
        <v>03-48-09-63</v>
      </c>
      <c r="B1532" s="36" t="str">
        <f>IFERROR(__xludf.DUMMYFUNCTION("""COMPUTED_VALUE"""),"")</f>
        <v/>
      </c>
      <c r="C1532" s="36" t="str">
        <f>IFERROR(__xludf.DUMMYFUNCTION("""COMPUTED_VALUE"""),"")</f>
        <v/>
      </c>
      <c r="D1532" s="36" t="str">
        <f>IFERROR(__xludf.DUMMYFUNCTION("""COMPUTED_VALUE"""),"")</f>
        <v/>
      </c>
      <c r="E1532" s="36" t="str">
        <f>IFERROR(__xludf.DUMMYFUNCTION("""COMPUTED_VALUE"""),"04-35-12-54C")</f>
        <v>04-35-12-54C</v>
      </c>
      <c r="F1532" s="36"/>
      <c r="G1532" s="36" t="str">
        <f>IFERROR(__xludf.DUMMYFUNCTION("""COMPUTED_VALUE"""),"J. Newbery y Lima")</f>
        <v>J. Newbery y Lima</v>
      </c>
      <c r="H1532" s="36" t="str">
        <f>IFERROR(__xludf.DUMMYFUNCTION("""COMPUTED_VALUE"""),"")</f>
        <v/>
      </c>
    </row>
    <row r="1533">
      <c r="A1533" s="36" t="str">
        <f>IFERROR(__xludf.DUMMYFUNCTION("""COMPUTED_VALUE"""),"03-48-09-68")</f>
        <v>03-48-09-68</v>
      </c>
      <c r="B1533" s="36" t="str">
        <f>IFERROR(__xludf.DUMMYFUNCTION("""COMPUTED_VALUE"""),"")</f>
        <v/>
      </c>
      <c r="C1533" s="36" t="str">
        <f>IFERROR(__xludf.DUMMYFUNCTION("""COMPUTED_VALUE"""),"")</f>
        <v/>
      </c>
      <c r="D1533" s="36" t="str">
        <f>IFERROR(__xludf.DUMMYFUNCTION("""COMPUTED_VALUE"""),"")</f>
        <v/>
      </c>
      <c r="E1533" s="36" t="str">
        <f>IFERROR(__xludf.DUMMYFUNCTION("""COMPUTED_VALUE"""),"04-35-12-54F")</f>
        <v>04-35-12-54F</v>
      </c>
      <c r="F1533" s="36"/>
      <c r="G1533" s="36" t="str">
        <f>IFERROR(__xludf.DUMMYFUNCTION("""COMPUTED_VALUE"""),"J. Newbery y Recabarren")</f>
        <v>J. Newbery y Recabarren</v>
      </c>
      <c r="H1533" s="36" t="str">
        <f>IFERROR(__xludf.DUMMYFUNCTION("""COMPUTED_VALUE"""),"")</f>
        <v/>
      </c>
    </row>
    <row r="1534">
      <c r="A1534" s="36" t="str">
        <f>IFERROR(__xludf.DUMMYFUNCTION("""COMPUTED_VALUE"""),"03-49-09-34x")</f>
        <v>03-49-09-34x</v>
      </c>
      <c r="B1534" s="36" t="str">
        <f>IFERROR(__xludf.DUMMYFUNCTION("""COMPUTED_VALUE"""),"")</f>
        <v/>
      </c>
      <c r="C1534" s="36" t="str">
        <f>IFERROR(__xludf.DUMMYFUNCTION("""COMPUTED_VALUE"""),"")</f>
        <v/>
      </c>
      <c r="D1534" s="36" t="str">
        <f>IFERROR(__xludf.DUMMYFUNCTION("""COMPUTED_VALUE"""),"")</f>
        <v/>
      </c>
      <c r="E1534" s="36" t="str">
        <f>IFERROR(__xludf.DUMMYFUNCTION("""COMPUTED_VALUE"""),"04-35-12-54D")</f>
        <v>04-35-12-54D</v>
      </c>
      <c r="F1534" s="36"/>
      <c r="G1534" s="36" t="str">
        <f>IFERROR(__xludf.DUMMYFUNCTION("""COMPUTED_VALUE"""),"J. Newbery y Tumbes")</f>
        <v>J. Newbery y Tumbes</v>
      </c>
      <c r="H1534" s="36" t="str">
        <f>IFERROR(__xludf.DUMMYFUNCTION("""COMPUTED_VALUE"""),"")</f>
        <v/>
      </c>
    </row>
    <row r="1535">
      <c r="A1535" s="36" t="str">
        <f>IFERROR(__xludf.DUMMYFUNCTION("""COMPUTED_VALUE"""),"03-49-09-35")</f>
        <v>03-49-09-35</v>
      </c>
      <c r="B1535" s="36" t="str">
        <f>IFERROR(__xludf.DUMMYFUNCTION("""COMPUTED_VALUE"""),"")</f>
        <v/>
      </c>
      <c r="C1535" s="36" t="str">
        <f>IFERROR(__xludf.DUMMYFUNCTION("""COMPUTED_VALUE"""),"")</f>
        <v/>
      </c>
      <c r="D1535" s="36" t="str">
        <f>IFERROR(__xludf.DUMMYFUNCTION("""COMPUTED_VALUE"""),"")</f>
        <v/>
      </c>
      <c r="E1535" s="36" t="str">
        <f>IFERROR(__xludf.DUMMYFUNCTION("""COMPUTED_VALUE"""),"04-35-12-54")</f>
        <v>04-35-12-54</v>
      </c>
      <c r="F1535" s="36"/>
      <c r="G1535" s="36" t="str">
        <f>IFERROR(__xludf.DUMMYFUNCTION("""COMPUTED_VALUE"""),"J.Newbery Oeste y Aguilar ")</f>
        <v>J.Newbery Oeste y Aguilar </v>
      </c>
      <c r="H1535" s="36" t="str">
        <f>IFERROR(__xludf.DUMMYFUNCTION("""COMPUTED_VALUE"""),"")</f>
        <v/>
      </c>
    </row>
    <row r="1536">
      <c r="A1536" s="36" t="str">
        <f>IFERROR(__xludf.DUMMYFUNCTION("""COMPUTED_VALUE"""),"03-49-09-44")</f>
        <v>03-49-09-44</v>
      </c>
      <c r="B1536" s="36" t="str">
        <f>IFERROR(__xludf.DUMMYFUNCTION("""COMPUTED_VALUE"""),"")</f>
        <v/>
      </c>
      <c r="C1536" s="36" t="str">
        <f>IFERROR(__xludf.DUMMYFUNCTION("""COMPUTED_VALUE"""),"")</f>
        <v/>
      </c>
      <c r="D1536" s="36" t="str">
        <f>IFERROR(__xludf.DUMMYFUNCTION("""COMPUTED_VALUE"""),"")</f>
        <v/>
      </c>
      <c r="E1536" s="36" t="str">
        <f>IFERROR(__xludf.DUMMYFUNCTION("""COMPUTED_VALUE"""),"04-35-12-53")</f>
        <v>04-35-12-53</v>
      </c>
      <c r="F1536" s="36"/>
      <c r="G1536" s="36" t="str">
        <f>IFERROR(__xludf.DUMMYFUNCTION("""COMPUTED_VALUE"""),"J.Newbery Sur y Aguilar ")</f>
        <v>J.Newbery Sur y Aguilar </v>
      </c>
      <c r="H1536" s="36" t="str">
        <f>IFERROR(__xludf.DUMMYFUNCTION("""COMPUTED_VALUE"""),"")</f>
        <v/>
      </c>
    </row>
    <row r="1537">
      <c r="A1537" s="36" t="str">
        <f>IFERROR(__xludf.DUMMYFUNCTION("""COMPUTED_VALUE"""),"03-49-09-45")</f>
        <v>03-49-09-45</v>
      </c>
      <c r="B1537" s="36" t="str">
        <f>IFERROR(__xludf.DUMMYFUNCTION("""COMPUTED_VALUE"""),"")</f>
        <v/>
      </c>
      <c r="C1537" s="36" t="str">
        <f>IFERROR(__xludf.DUMMYFUNCTION("""COMPUTED_VALUE"""),"")</f>
        <v/>
      </c>
      <c r="D1537" s="36" t="str">
        <f>IFERROR(__xludf.DUMMYFUNCTION("""COMPUTED_VALUE"""),"")</f>
        <v/>
      </c>
      <c r="E1537" s="36" t="str">
        <f>IFERROR(__xludf.DUMMYFUNCTION("""COMPUTED_VALUE"""),"02-38-12-30")</f>
        <v>02-38-12-30</v>
      </c>
      <c r="F1537" s="36"/>
      <c r="G1537" s="36" t="str">
        <f>IFERROR(__xludf.DUMMYFUNCTION("""COMPUTED_VALUE"""),"Jockey Club San Juan")</f>
        <v>Jockey Club San Juan</v>
      </c>
      <c r="H1537" s="36" t="str">
        <f>IFERROR(__xludf.DUMMYFUNCTION("""COMPUTED_VALUE"""),"")</f>
        <v/>
      </c>
    </row>
    <row r="1538">
      <c r="A1538" s="36" t="str">
        <f>IFERROR(__xludf.DUMMYFUNCTION("""COMPUTED_VALUE"""),"03-49-09-46")</f>
        <v>03-49-09-46</v>
      </c>
      <c r="B1538" s="36" t="str">
        <f>IFERROR(__xludf.DUMMYFUNCTION("""COMPUTED_VALUE"""),"")</f>
        <v/>
      </c>
      <c r="C1538" s="36" t="str">
        <f>IFERROR(__xludf.DUMMYFUNCTION("""COMPUTED_VALUE"""),"")</f>
        <v/>
      </c>
      <c r="D1538" s="36" t="str">
        <f>IFERROR(__xludf.DUMMYFUNCTION("""COMPUTED_VALUE"""),"")</f>
        <v/>
      </c>
      <c r="E1538" s="36" t="str">
        <f>IFERROR(__xludf.DUMMYFUNCTION("""COMPUTED_VALUE"""),"01-33-07-166E")</f>
        <v>01-33-07-166E</v>
      </c>
      <c r="F1538" s="36"/>
      <c r="G1538" s="36" t="str">
        <f>IFERROR(__xludf.DUMMYFUNCTION("""COMPUTED_VALUE"""),"Jofré y Juan José Paso")</f>
        <v>Jofré y Juan José Paso</v>
      </c>
      <c r="H1538" s="36" t="str">
        <f>IFERROR(__xludf.DUMMYFUNCTION("""COMPUTED_VALUE"""),"")</f>
        <v/>
      </c>
    </row>
    <row r="1539">
      <c r="A1539" s="36" t="str">
        <f>IFERROR(__xludf.DUMMYFUNCTION("""COMPUTED_VALUE"""),"03-49-09-49")</f>
        <v>03-49-09-49</v>
      </c>
      <c r="B1539" s="36" t="str">
        <f>IFERROR(__xludf.DUMMYFUNCTION("""COMPUTED_VALUE"""),"")</f>
        <v/>
      </c>
      <c r="C1539" s="36" t="str">
        <f>IFERROR(__xludf.DUMMYFUNCTION("""COMPUTED_VALUE"""),"")</f>
        <v/>
      </c>
      <c r="D1539" s="36" t="str">
        <f>IFERROR(__xludf.DUMMYFUNCTION("""COMPUTED_VALUE"""),"")</f>
        <v/>
      </c>
      <c r="E1539" s="36" t="str">
        <f>IFERROR(__xludf.DUMMYFUNCTION("""COMPUTED_VALUE"""),"01-25-09-240")</f>
        <v>01-25-09-240</v>
      </c>
      <c r="F1539" s="36"/>
      <c r="G1539" s="36" t="str">
        <f>IFERROR(__xludf.DUMMYFUNCTION("""COMPUTED_VALUE"""),"Jorge Bence y Antonio De la Torre")</f>
        <v>Jorge Bence y Antonio De la Torre</v>
      </c>
      <c r="H1539" s="36" t="str">
        <f>IFERROR(__xludf.DUMMYFUNCTION("""COMPUTED_VALUE"""),"")</f>
        <v/>
      </c>
    </row>
    <row r="1540">
      <c r="A1540" s="36" t="str">
        <f>IFERROR(__xludf.DUMMYFUNCTION("""COMPUTED_VALUE"""),"03-22-10-70B")</f>
        <v>03-22-10-70B</v>
      </c>
      <c r="B1540" s="36" t="str">
        <f>IFERROR(__xludf.DUMMYFUNCTION("""COMPUTED_VALUE"""),"")</f>
        <v/>
      </c>
      <c r="C1540" s="36" t="str">
        <f>IFERROR(__xludf.DUMMYFUNCTION("""COMPUTED_VALUE"""),"")</f>
        <v/>
      </c>
      <c r="D1540" s="36" t="str">
        <f>IFERROR(__xludf.DUMMYFUNCTION("""COMPUTED_VALUE"""),"")</f>
        <v/>
      </c>
      <c r="E1540" s="36" t="str">
        <f>IFERROR(__xludf.DUMMYFUNCTION("""COMPUTED_VALUE"""),"01-25-09-245")</f>
        <v>01-25-09-245</v>
      </c>
      <c r="F1540" s="36"/>
      <c r="G1540" s="36" t="str">
        <f>IFERROR(__xludf.DUMMYFUNCTION("""COMPUTED_VALUE"""),"Jorge Bence y Antonio De la Torre -N")</f>
        <v>Jorge Bence y Antonio De la Torre -N</v>
      </c>
      <c r="H1540" s="36" t="str">
        <f>IFERROR(__xludf.DUMMYFUNCTION("""COMPUTED_VALUE"""),"")</f>
        <v/>
      </c>
    </row>
    <row r="1541">
      <c r="A1541" s="36" t="str">
        <f>IFERROR(__xludf.DUMMYFUNCTION("""COMPUTED_VALUE"""),"03-22-10-71A")</f>
        <v>03-22-10-71A</v>
      </c>
      <c r="B1541" s="36" t="str">
        <f>IFERROR(__xludf.DUMMYFUNCTION("""COMPUTED_VALUE"""),"")</f>
        <v/>
      </c>
      <c r="C1541" s="36" t="str">
        <f>IFERROR(__xludf.DUMMYFUNCTION("""COMPUTED_VALUE"""),"")</f>
        <v/>
      </c>
      <c r="D1541" s="36" t="str">
        <f>IFERROR(__xludf.DUMMYFUNCTION("""COMPUTED_VALUE"""),"")</f>
        <v/>
      </c>
      <c r="E1541" s="36" t="str">
        <f>IFERROR(__xludf.DUMMYFUNCTION("""COMPUTED_VALUE"""),"01-25-09-247")</f>
        <v>01-25-09-247</v>
      </c>
      <c r="F1541" s="36"/>
      <c r="G1541" s="36" t="str">
        <f>IFERROR(__xludf.DUMMYFUNCTION("""COMPUTED_VALUE"""),"Jorge Bence y T. S. Benavídez")</f>
        <v>Jorge Bence y T. S. Benavídez</v>
      </c>
      <c r="H1541" s="36" t="str">
        <f>IFERROR(__xludf.DUMMYFUNCTION("""COMPUTED_VALUE"""),"")</f>
        <v/>
      </c>
    </row>
    <row r="1542">
      <c r="A1542" s="36" t="str">
        <f>IFERROR(__xludf.DUMMYFUNCTION("""COMPUTED_VALUE"""),"03-22-10-71B")</f>
        <v>03-22-10-71B</v>
      </c>
      <c r="B1542" s="36" t="str">
        <f>IFERROR(__xludf.DUMMYFUNCTION("""COMPUTED_VALUE"""),"")</f>
        <v/>
      </c>
      <c r="C1542" s="36" t="str">
        <f>IFERROR(__xludf.DUMMYFUNCTION("""COMPUTED_VALUE"""),"")</f>
        <v/>
      </c>
      <c r="D1542" s="36" t="str">
        <f>IFERROR(__xludf.DUMMYFUNCTION("""COMPUTED_VALUE"""),"")</f>
        <v/>
      </c>
      <c r="E1542" s="36" t="str">
        <f>IFERROR(__xludf.DUMMYFUNCTION("""COMPUTED_VALUE"""),"04-44-12-1B")</f>
        <v>04-44-12-1B</v>
      </c>
      <c r="F1542" s="36"/>
      <c r="G1542" s="36" t="str">
        <f>IFERROR(__xludf.DUMMYFUNCTION("""COMPUTED_VALUE"""),"Jorge Newbery y Cristobal Colón")</f>
        <v>Jorge Newbery y Cristobal Colón</v>
      </c>
      <c r="H1542" s="36" t="str">
        <f>IFERROR(__xludf.DUMMYFUNCTION("""COMPUTED_VALUE"""),"")</f>
        <v/>
      </c>
    </row>
    <row r="1543">
      <c r="A1543" s="36" t="str">
        <f>IFERROR(__xludf.DUMMYFUNCTION("""COMPUTED_VALUE"""),"03-22-10-72A")</f>
        <v>03-22-10-72A</v>
      </c>
      <c r="B1543" s="36" t="str">
        <f>IFERROR(__xludf.DUMMYFUNCTION("""COMPUTED_VALUE"""),"")</f>
        <v/>
      </c>
      <c r="C1543" s="36" t="str">
        <f>IFERROR(__xludf.DUMMYFUNCTION("""COMPUTED_VALUE"""),"")</f>
        <v/>
      </c>
      <c r="D1543" s="36" t="str">
        <f>IFERROR(__xludf.DUMMYFUNCTION("""COMPUTED_VALUE"""),"")</f>
        <v/>
      </c>
      <c r="E1543" s="36" t="str">
        <f>IFERROR(__xludf.DUMMYFUNCTION("""COMPUTED_VALUE"""),"04-44-12-1A")</f>
        <v>04-44-12-1A</v>
      </c>
      <c r="F1543" s="36"/>
      <c r="G1543" s="36" t="str">
        <f>IFERROR(__xludf.DUMMYFUNCTION("""COMPUTED_VALUE"""),"Jorge Newbery y Fray Luis Beltrán")</f>
        <v>Jorge Newbery y Fray Luis Beltrán</v>
      </c>
      <c r="H1543" s="36" t="str">
        <f>IFERROR(__xludf.DUMMYFUNCTION("""COMPUTED_VALUE"""),"")</f>
        <v/>
      </c>
    </row>
    <row r="1544">
      <c r="A1544" s="36" t="str">
        <f>IFERROR(__xludf.DUMMYFUNCTION("""COMPUTED_VALUE"""),"03-22-10-72B")</f>
        <v>03-22-10-72B</v>
      </c>
      <c r="B1544" s="36" t="str">
        <f>IFERROR(__xludf.DUMMYFUNCTION("""COMPUTED_VALUE"""),"")</f>
        <v/>
      </c>
      <c r="C1544" s="36" t="str">
        <f>IFERROR(__xludf.DUMMYFUNCTION("""COMPUTED_VALUE"""),"")</f>
        <v/>
      </c>
      <c r="D1544" s="36" t="str">
        <f>IFERROR(__xludf.DUMMYFUNCTION("""COMPUTED_VALUE"""),"")</f>
        <v/>
      </c>
      <c r="E1544" s="36" t="str">
        <f>IFERROR(__xludf.DUMMYFUNCTION("""COMPUTED_VALUE"""),"04-32-13-439")</f>
        <v>04-32-13-439</v>
      </c>
      <c r="F1544" s="36"/>
      <c r="G1544" s="36" t="str">
        <f>IFERROR(__xludf.DUMMYFUNCTION("""COMPUTED_VALUE"""),"José Dolores y Entre Ríos")</f>
        <v>José Dolores y Entre Ríos</v>
      </c>
      <c r="H1544" s="36" t="str">
        <f>IFERROR(__xludf.DUMMYFUNCTION("""COMPUTED_VALUE"""),"")</f>
        <v/>
      </c>
    </row>
    <row r="1545">
      <c r="A1545" s="36" t="str">
        <f>IFERROR(__xludf.DUMMYFUNCTION("""COMPUTED_VALUE"""),"03-22-10-73A")</f>
        <v>03-22-10-73A</v>
      </c>
      <c r="B1545" s="36" t="str">
        <f>IFERROR(__xludf.DUMMYFUNCTION("""COMPUTED_VALUE"""),"")</f>
        <v/>
      </c>
      <c r="C1545" s="36" t="str">
        <f>IFERROR(__xludf.DUMMYFUNCTION("""COMPUTED_VALUE"""),"")</f>
        <v/>
      </c>
      <c r="D1545" s="36" t="str">
        <f>IFERROR(__xludf.DUMMYFUNCTION("""COMPUTED_VALUE"""),"")</f>
        <v/>
      </c>
      <c r="E1545" s="36" t="str">
        <f>IFERROR(__xludf.DUMMYFUNCTION("""COMPUTED_VALUE"""),"04-32-13-441")</f>
        <v>04-32-13-441</v>
      </c>
      <c r="F1545" s="36"/>
      <c r="G1545" s="36" t="str">
        <f>IFERROR(__xludf.DUMMYFUNCTION("""COMPUTED_VALUE"""),"José Dolores y Gral. Acha")</f>
        <v>José Dolores y Gral. Acha</v>
      </c>
      <c r="H1545" s="36" t="str">
        <f>IFERROR(__xludf.DUMMYFUNCTION("""COMPUTED_VALUE"""),"")</f>
        <v/>
      </c>
    </row>
    <row r="1546">
      <c r="A1546" s="36" t="str">
        <f>IFERROR(__xludf.DUMMYFUNCTION("""COMPUTED_VALUE"""),"03-22-10-73B")</f>
        <v>03-22-10-73B</v>
      </c>
      <c r="B1546" s="36" t="str">
        <f>IFERROR(__xludf.DUMMYFUNCTION("""COMPUTED_VALUE"""),"")</f>
        <v/>
      </c>
      <c r="C1546" s="36" t="str">
        <f>IFERROR(__xludf.DUMMYFUNCTION("""COMPUTED_VALUE"""),"")</f>
        <v/>
      </c>
      <c r="D1546" s="36" t="str">
        <f>IFERROR(__xludf.DUMMYFUNCTION("""COMPUTED_VALUE"""),"")</f>
        <v/>
      </c>
      <c r="E1546" s="36" t="str">
        <f>IFERROR(__xludf.DUMMYFUNCTION("""COMPUTED_VALUE"""),"04-32-13-438")</f>
        <v>04-32-13-438</v>
      </c>
      <c r="F1546" s="36"/>
      <c r="G1546" s="36" t="str">
        <f>IFERROR(__xludf.DUMMYFUNCTION("""COMPUTED_VALUE"""),"José Dolores y Santiago del Estero")</f>
        <v>José Dolores y Santiago del Estero</v>
      </c>
      <c r="H1546" s="36" t="str">
        <f>IFERROR(__xludf.DUMMYFUNCTION("""COMPUTED_VALUE"""),"")</f>
        <v/>
      </c>
    </row>
    <row r="1547">
      <c r="A1547" s="36" t="str">
        <f>IFERROR(__xludf.DUMMYFUNCTION("""COMPUTED_VALUE"""),"03-22-10-74A")</f>
        <v>03-22-10-74A</v>
      </c>
      <c r="B1547" s="36" t="str">
        <f>IFERROR(__xludf.DUMMYFUNCTION("""COMPUTED_VALUE"""),"")</f>
        <v/>
      </c>
      <c r="C1547" s="36" t="str">
        <f>IFERROR(__xludf.DUMMYFUNCTION("""COMPUTED_VALUE"""),"")</f>
        <v/>
      </c>
      <c r="D1547" s="36" t="str">
        <f>IFERROR(__xludf.DUMMYFUNCTION("""COMPUTED_VALUE"""),"")</f>
        <v/>
      </c>
      <c r="E1547" s="36" t="str">
        <f>IFERROR(__xludf.DUMMYFUNCTION("""COMPUTED_VALUE"""),"04-32-13-440")</f>
        <v>04-32-13-440</v>
      </c>
      <c r="F1547" s="36"/>
      <c r="G1547" s="36" t="str">
        <f>IFERROR(__xludf.DUMMYFUNCTION("""COMPUTED_VALUE"""),"José Dolores y Tulum")</f>
        <v>José Dolores y Tulum</v>
      </c>
      <c r="H1547" s="36" t="str">
        <f>IFERROR(__xludf.DUMMYFUNCTION("""COMPUTED_VALUE"""),"")</f>
        <v/>
      </c>
    </row>
    <row r="1548">
      <c r="A1548" s="36" t="str">
        <f>IFERROR(__xludf.DUMMYFUNCTION("""COMPUTED_VALUE"""),"03-22-10-74B")</f>
        <v>03-22-10-74B</v>
      </c>
      <c r="B1548" s="36" t="str">
        <f>IFERROR(__xludf.DUMMYFUNCTION("""COMPUTED_VALUE"""),"")</f>
        <v/>
      </c>
      <c r="C1548" s="36" t="str">
        <f>IFERROR(__xludf.DUMMYFUNCTION("""COMPUTED_VALUE"""),"")</f>
        <v/>
      </c>
      <c r="D1548" s="36" t="str">
        <f>IFERROR(__xludf.DUMMYFUNCTION("""COMPUTED_VALUE"""),"")</f>
        <v/>
      </c>
      <c r="E1548" s="36" t="str">
        <f>IFERROR(__xludf.DUMMYFUNCTION("""COMPUTED_VALUE"""),"01-32-07-181")</f>
        <v>01-32-07-181</v>
      </c>
      <c r="F1548" s="36"/>
      <c r="G1548" s="36" t="str">
        <f>IFERROR(__xludf.DUMMYFUNCTION("""COMPUTED_VALUE"""),"Juan de Flores y Blas Parera")</f>
        <v>Juan de Flores y Blas Parera</v>
      </c>
      <c r="H1548" s="36" t="str">
        <f>IFERROR(__xludf.DUMMYFUNCTION("""COMPUTED_VALUE"""),"")</f>
        <v/>
      </c>
    </row>
    <row r="1549">
      <c r="A1549" s="36" t="str">
        <f>IFERROR(__xludf.DUMMYFUNCTION("""COMPUTED_VALUE"""),"03-22-10-75A")</f>
        <v>03-22-10-75A</v>
      </c>
      <c r="B1549" s="36" t="str">
        <f>IFERROR(__xludf.DUMMYFUNCTION("""COMPUTED_VALUE"""),"")</f>
        <v/>
      </c>
      <c r="C1549" s="36" t="str">
        <f>IFERROR(__xludf.DUMMYFUNCTION("""COMPUTED_VALUE"""),"")</f>
        <v/>
      </c>
      <c r="D1549" s="36" t="str">
        <f>IFERROR(__xludf.DUMMYFUNCTION("""COMPUTED_VALUE"""),"")</f>
        <v/>
      </c>
      <c r="E1549" s="36" t="str">
        <f>IFERROR(__xludf.DUMMYFUNCTION("""COMPUTED_VALUE"""),"01-32-07-182")</f>
        <v>01-32-07-182</v>
      </c>
      <c r="F1549" s="36"/>
      <c r="G1549" s="36" t="str">
        <f>IFERROR(__xludf.DUMMYFUNCTION("""COMPUTED_VALUE"""),"Juan de Flores y Maurín")</f>
        <v>Juan de Flores y Maurín</v>
      </c>
      <c r="H1549" s="36" t="str">
        <f>IFERROR(__xludf.DUMMYFUNCTION("""COMPUTED_VALUE"""),"")</f>
        <v/>
      </c>
    </row>
    <row r="1550">
      <c r="A1550" s="36" t="str">
        <f>IFERROR(__xludf.DUMMYFUNCTION("""COMPUTED_VALUE"""),"03-22-10-75B")</f>
        <v>03-22-10-75B</v>
      </c>
      <c r="B1550" s="36" t="str">
        <f>IFERROR(__xludf.DUMMYFUNCTION("""COMPUTED_VALUE"""),"")</f>
        <v/>
      </c>
      <c r="C1550" s="36" t="str">
        <f>IFERROR(__xludf.DUMMYFUNCTION("""COMPUTED_VALUE"""),"")</f>
        <v/>
      </c>
      <c r="D1550" s="36" t="str">
        <f>IFERROR(__xludf.DUMMYFUNCTION("""COMPUTED_VALUE"""),"")</f>
        <v/>
      </c>
      <c r="E1550" s="36" t="str">
        <f>IFERROR(__xludf.DUMMYFUNCTION("""COMPUTED_VALUE"""),"01-32-07-180")</f>
        <v>01-32-07-180</v>
      </c>
      <c r="F1550" s="36"/>
      <c r="G1550" s="36" t="str">
        <f>IFERROR(__xludf.DUMMYFUNCTION("""COMPUTED_VALUE"""),"Juan de Flores y Roger Ballet")</f>
        <v>Juan de Flores y Roger Ballet</v>
      </c>
      <c r="H1550" s="36" t="str">
        <f>IFERROR(__xludf.DUMMYFUNCTION("""COMPUTED_VALUE"""),"")</f>
        <v/>
      </c>
    </row>
    <row r="1551">
      <c r="A1551" s="36" t="str">
        <f>IFERROR(__xludf.DUMMYFUNCTION("""COMPUTED_VALUE"""),"03-22-10-76A")</f>
        <v>03-22-10-76A</v>
      </c>
      <c r="B1551" s="36" t="str">
        <f>IFERROR(__xludf.DUMMYFUNCTION("""COMPUTED_VALUE"""),"")</f>
        <v/>
      </c>
      <c r="C1551" s="36" t="str">
        <f>IFERROR(__xludf.DUMMYFUNCTION("""COMPUTED_VALUE"""),"")</f>
        <v/>
      </c>
      <c r="D1551" s="36" t="str">
        <f>IFERROR(__xludf.DUMMYFUNCTION("""COMPUTED_VALUE"""),"")</f>
        <v/>
      </c>
      <c r="E1551" s="36" t="str">
        <f>IFERROR(__xludf.DUMMYFUNCTION("""COMPUTED_VALUE"""),"09-24-10-27B")</f>
        <v>09-24-10-27B</v>
      </c>
      <c r="F1551" s="36"/>
      <c r="G1551" s="36" t="str">
        <f>IFERROR(__xludf.DUMMYFUNCTION("""COMPUTED_VALUE"""),"Juan Diaz de Solís e Islas Malvinas E")</f>
        <v>Juan Diaz de Solís e Islas Malvinas E</v>
      </c>
      <c r="H1551" s="36" t="str">
        <f>IFERROR(__xludf.DUMMYFUNCTION("""COMPUTED_VALUE"""),"")</f>
        <v/>
      </c>
    </row>
    <row r="1552">
      <c r="A1552" s="36" t="str">
        <f>IFERROR(__xludf.DUMMYFUNCTION("""COMPUTED_VALUE"""),"03-22-10-76B")</f>
        <v>03-22-10-76B</v>
      </c>
      <c r="B1552" s="36" t="str">
        <f>IFERROR(__xludf.DUMMYFUNCTION("""COMPUTED_VALUE"""),"")</f>
        <v/>
      </c>
      <c r="C1552" s="36" t="str">
        <f>IFERROR(__xludf.DUMMYFUNCTION("""COMPUTED_VALUE"""),"")</f>
        <v/>
      </c>
      <c r="D1552" s="36" t="str">
        <f>IFERROR(__xludf.DUMMYFUNCTION("""COMPUTED_VALUE"""),"")</f>
        <v/>
      </c>
      <c r="E1552" s="36" t="str">
        <f>IFERROR(__xludf.DUMMYFUNCTION("""COMPUTED_VALUE"""),"03-44-10-27A")</f>
        <v>03-44-10-27A</v>
      </c>
      <c r="F1552" s="36"/>
      <c r="G1552" s="36" t="str">
        <f>IFERROR(__xludf.DUMMYFUNCTION("""COMPUTED_VALUE"""),"Juan Diaz de Solís e Islas Malvinas O")</f>
        <v>Juan Diaz de Solís e Islas Malvinas O</v>
      </c>
      <c r="H1552" s="36" t="str">
        <f>IFERROR(__xludf.DUMMYFUNCTION("""COMPUTED_VALUE"""),"")</f>
        <v/>
      </c>
    </row>
    <row r="1553">
      <c r="A1553" s="36" t="str">
        <f>IFERROR(__xludf.DUMMYFUNCTION("""COMPUTED_VALUE"""),"03-22-10-77A")</f>
        <v>03-22-10-77A</v>
      </c>
      <c r="B1553" s="36" t="str">
        <f>IFERROR(__xludf.DUMMYFUNCTION("""COMPUTED_VALUE"""),"")</f>
        <v/>
      </c>
      <c r="C1553" s="36" t="str">
        <f>IFERROR(__xludf.DUMMYFUNCTION("""COMPUTED_VALUE"""),"")</f>
        <v/>
      </c>
      <c r="D1553" s="36" t="str">
        <f>IFERROR(__xludf.DUMMYFUNCTION("""COMPUTED_VALUE"""),"")</f>
        <v/>
      </c>
      <c r="E1553" s="36" t="str">
        <f>IFERROR(__xludf.DUMMYFUNCTION("""COMPUTED_VALUE"""),"03-44-10-25A")</f>
        <v>03-44-10-25A</v>
      </c>
      <c r="F1553" s="36"/>
      <c r="G1553" s="36" t="str">
        <f>IFERROR(__xludf.DUMMYFUNCTION("""COMPUTED_VALUE"""),"Juan Diaz de Solís y Pellegrini Norte")</f>
        <v>Juan Diaz de Solís y Pellegrini Norte</v>
      </c>
      <c r="H1553" s="36" t="str">
        <f>IFERROR(__xludf.DUMMYFUNCTION("""COMPUTED_VALUE"""),"")</f>
        <v/>
      </c>
    </row>
    <row r="1554">
      <c r="A1554" s="36" t="str">
        <f>IFERROR(__xludf.DUMMYFUNCTION("""COMPUTED_VALUE"""),"03-22-10-77B")</f>
        <v>03-22-10-77B</v>
      </c>
      <c r="B1554" s="36" t="str">
        <f>IFERROR(__xludf.DUMMYFUNCTION("""COMPUTED_VALUE"""),"")</f>
        <v/>
      </c>
      <c r="C1554" s="36" t="str">
        <f>IFERROR(__xludf.DUMMYFUNCTION("""COMPUTED_VALUE"""),"")</f>
        <v/>
      </c>
      <c r="D1554" s="36" t="str">
        <f>IFERROR(__xludf.DUMMYFUNCTION("""COMPUTED_VALUE"""),"")</f>
        <v/>
      </c>
      <c r="E1554" s="36" t="str">
        <f>IFERROR(__xludf.DUMMYFUNCTION("""COMPUTED_VALUE"""),"03-50-10-25B")</f>
        <v>03-50-10-25B</v>
      </c>
      <c r="F1554" s="36"/>
      <c r="G1554" s="36" t="str">
        <f>IFERROR(__xludf.DUMMYFUNCTION("""COMPUTED_VALUE"""),"Juan Diaz de Solís y Pellegrini Sur")</f>
        <v>Juan Diaz de Solís y Pellegrini Sur</v>
      </c>
      <c r="H1554" s="36" t="str">
        <f>IFERROR(__xludf.DUMMYFUNCTION("""COMPUTED_VALUE"""),"")</f>
        <v/>
      </c>
    </row>
    <row r="1555">
      <c r="A1555" s="36" t="str">
        <f>IFERROR(__xludf.DUMMYFUNCTION("""COMPUTED_VALUE"""),"03-22-10-78A")</f>
        <v>03-22-10-78A</v>
      </c>
      <c r="B1555" s="36" t="str">
        <f>IFERROR(__xludf.DUMMYFUNCTION("""COMPUTED_VALUE"""),"")</f>
        <v/>
      </c>
      <c r="C1555" s="36" t="str">
        <f>IFERROR(__xludf.DUMMYFUNCTION("""COMPUTED_VALUE"""),"")</f>
        <v/>
      </c>
      <c r="D1555" s="36" t="str">
        <f>IFERROR(__xludf.DUMMYFUNCTION("""COMPUTED_VALUE"""),"")</f>
        <v/>
      </c>
      <c r="E1555" s="36" t="str">
        <f>IFERROR(__xludf.DUMMYFUNCTION("""COMPUTED_VALUE"""),"09-24-10-26B")</f>
        <v>09-24-10-26B</v>
      </c>
      <c r="F1555" s="36"/>
      <c r="G1555" s="36" t="str">
        <f>IFERROR(__xludf.DUMMYFUNCTION("""COMPUTED_VALUE"""),"Juan Diaz de Solís y Proyectada Este")</f>
        <v>Juan Diaz de Solís y Proyectada Este</v>
      </c>
      <c r="H1555" s="36" t="str">
        <f>IFERROR(__xludf.DUMMYFUNCTION("""COMPUTED_VALUE"""),"")</f>
        <v/>
      </c>
    </row>
    <row r="1556">
      <c r="A1556" s="36" t="str">
        <f>IFERROR(__xludf.DUMMYFUNCTION("""COMPUTED_VALUE"""),"03-22-10-78B")</f>
        <v>03-22-10-78B</v>
      </c>
      <c r="B1556" s="36" t="str">
        <f>IFERROR(__xludf.DUMMYFUNCTION("""COMPUTED_VALUE"""),"")</f>
        <v/>
      </c>
      <c r="C1556" s="36" t="str">
        <f>IFERROR(__xludf.DUMMYFUNCTION("""COMPUTED_VALUE"""),"")</f>
        <v/>
      </c>
      <c r="D1556" s="36" t="str">
        <f>IFERROR(__xludf.DUMMYFUNCTION("""COMPUTED_VALUE"""),"")</f>
        <v/>
      </c>
      <c r="E1556" s="36" t="str">
        <f>IFERROR(__xludf.DUMMYFUNCTION("""COMPUTED_VALUE"""),"03-44-10-26A")</f>
        <v>03-44-10-26A</v>
      </c>
      <c r="F1556" s="36"/>
      <c r="G1556" s="36" t="str">
        <f>IFERROR(__xludf.DUMMYFUNCTION("""COMPUTED_VALUE"""),"Juan Diaz de Solís y Proyectada Oeste")</f>
        <v>Juan Diaz de Solís y Proyectada Oeste</v>
      </c>
      <c r="H1556" s="36" t="str">
        <f>IFERROR(__xludf.DUMMYFUNCTION("""COMPUTED_VALUE"""),"")</f>
        <v/>
      </c>
    </row>
    <row r="1557">
      <c r="A1557" s="36" t="str">
        <f>IFERROR(__xludf.DUMMYFUNCTION("""COMPUTED_VALUE"""),"03-22-10-79A")</f>
        <v>03-22-10-79A</v>
      </c>
      <c r="B1557" s="36" t="str">
        <f>IFERROR(__xludf.DUMMYFUNCTION("""COMPUTED_VALUE"""),"")</f>
        <v/>
      </c>
      <c r="C1557" s="36" t="str">
        <f>IFERROR(__xludf.DUMMYFUNCTION("""COMPUTED_VALUE"""),"")</f>
        <v/>
      </c>
      <c r="D1557" s="36" t="str">
        <f>IFERROR(__xludf.DUMMYFUNCTION("""COMPUTED_VALUE"""),"")</f>
        <v/>
      </c>
      <c r="E1557" s="36" t="str">
        <f>IFERROR(__xludf.DUMMYFUNCTION("""COMPUTED_VALUE"""),"01-33-07-166B")</f>
        <v>01-33-07-166B</v>
      </c>
      <c r="F1557" s="36"/>
      <c r="G1557" s="36" t="str">
        <f>IFERROR(__xludf.DUMMYFUNCTION("""COMPUTED_VALUE"""),"Juan José Paso y Adán Quiroga")</f>
        <v>Juan José Paso y Adán Quiroga</v>
      </c>
      <c r="H1557" s="36" t="str">
        <f>IFERROR(__xludf.DUMMYFUNCTION("""COMPUTED_VALUE"""),"")</f>
        <v/>
      </c>
    </row>
    <row r="1558">
      <c r="A1558" s="36" t="str">
        <f>IFERROR(__xludf.DUMMYFUNCTION("""COMPUTED_VALUE"""),"03-22-10-79B")</f>
        <v>03-22-10-79B</v>
      </c>
      <c r="B1558" s="36" t="str">
        <f>IFERROR(__xludf.DUMMYFUNCTION("""COMPUTED_VALUE"""),"")</f>
        <v/>
      </c>
      <c r="C1558" s="36" t="str">
        <f>IFERROR(__xludf.DUMMYFUNCTION("""COMPUTED_VALUE"""),"")</f>
        <v/>
      </c>
      <c r="D1558" s="36" t="str">
        <f>IFERROR(__xludf.DUMMYFUNCTION("""COMPUTED_VALUE"""),"")</f>
        <v/>
      </c>
      <c r="E1558" s="36" t="str">
        <f>IFERROR(__xludf.DUMMYFUNCTION("""COMPUTED_VALUE"""),"01-33-07-166C")</f>
        <v>01-33-07-166C</v>
      </c>
      <c r="F1558" s="36"/>
      <c r="G1558" s="36" t="str">
        <f>IFERROR(__xludf.DUMMYFUNCTION("""COMPUTED_VALUE"""),"Juan José Paso y Esteban Echeverría")</f>
        <v>Juan José Paso y Esteban Echeverría</v>
      </c>
      <c r="H1558" s="36" t="str">
        <f>IFERROR(__xludf.DUMMYFUNCTION("""COMPUTED_VALUE"""),"")</f>
        <v/>
      </c>
    </row>
    <row r="1559">
      <c r="A1559" s="36" t="str">
        <f>IFERROR(__xludf.DUMMYFUNCTION("""COMPUTED_VALUE"""),"03-22-10-80B")</f>
        <v>03-22-10-80B</v>
      </c>
      <c r="B1559" s="36" t="str">
        <f>IFERROR(__xludf.DUMMYFUNCTION("""COMPUTED_VALUE"""),"")</f>
        <v/>
      </c>
      <c r="C1559" s="36" t="str">
        <f>IFERROR(__xludf.DUMMYFUNCTION("""COMPUTED_VALUE"""),"")</f>
        <v/>
      </c>
      <c r="D1559" s="36" t="str">
        <f>IFERROR(__xludf.DUMMYFUNCTION("""COMPUTED_VALUE"""),"")</f>
        <v/>
      </c>
      <c r="E1559" s="36" t="str">
        <f>IFERROR(__xludf.DUMMYFUNCTION("""COMPUTED_VALUE"""),"01-33-07-166D")</f>
        <v>01-33-07-166D</v>
      </c>
      <c r="F1559" s="36"/>
      <c r="G1559" s="36" t="str">
        <f>IFERROR(__xludf.DUMMYFUNCTION("""COMPUTED_VALUE"""),"Juan José Paso y Jofré")</f>
        <v>Juan José Paso y Jofré</v>
      </c>
      <c r="H1559" s="36" t="str">
        <f>IFERROR(__xludf.DUMMYFUNCTION("""COMPUTED_VALUE"""),"")</f>
        <v/>
      </c>
    </row>
    <row r="1560">
      <c r="A1560" s="36" t="str">
        <f>IFERROR(__xludf.DUMMYFUNCTION("""COMPUTED_VALUE"""),"03-22-10-81A")</f>
        <v>03-22-10-81A</v>
      </c>
      <c r="B1560" s="36" t="str">
        <f>IFERROR(__xludf.DUMMYFUNCTION("""COMPUTED_VALUE"""),"")</f>
        <v/>
      </c>
      <c r="C1560" s="36" t="str">
        <f>IFERROR(__xludf.DUMMYFUNCTION("""COMPUTED_VALUE"""),"")</f>
        <v/>
      </c>
      <c r="D1560" s="36" t="str">
        <f>IFERROR(__xludf.DUMMYFUNCTION("""COMPUTED_VALUE"""),"")</f>
        <v/>
      </c>
      <c r="E1560" s="36" t="str">
        <f>IFERROR(__xludf.DUMMYFUNCTION("""COMPUTED_VALUE"""),"02-28-06-94")</f>
        <v>02-28-06-94</v>
      </c>
      <c r="F1560" s="36"/>
      <c r="G1560" s="36" t="str">
        <f>IFERROR(__xludf.DUMMYFUNCTION("""COMPUTED_VALUE"""),"Juan José Paso y Roque Sáenz Peña")</f>
        <v>Juan José Paso y Roque Sáenz Peña</v>
      </c>
      <c r="H1560" s="36" t="str">
        <f>IFERROR(__xludf.DUMMYFUNCTION("""COMPUTED_VALUE"""),"")</f>
        <v/>
      </c>
    </row>
    <row r="1561">
      <c r="A1561" s="36" t="str">
        <f>IFERROR(__xludf.DUMMYFUNCTION("""COMPUTED_VALUE"""),"03-22-10-82A")</f>
        <v>03-22-10-82A</v>
      </c>
      <c r="B1561" s="36" t="str">
        <f>IFERROR(__xludf.DUMMYFUNCTION("""COMPUTED_VALUE"""),"")</f>
        <v/>
      </c>
      <c r="C1561" s="36" t="str">
        <f>IFERROR(__xludf.DUMMYFUNCTION("""COMPUTED_VALUE"""),"")</f>
        <v/>
      </c>
      <c r="D1561" s="36" t="str">
        <f>IFERROR(__xludf.DUMMYFUNCTION("""COMPUTED_VALUE"""),"")</f>
        <v/>
      </c>
      <c r="E1561" s="36" t="str">
        <f>IFERROR(__xludf.DUMMYFUNCTION("""COMPUTED_VALUE"""),"01-33-07-166A")</f>
        <v>01-33-07-166A</v>
      </c>
      <c r="F1561" s="36"/>
      <c r="G1561" s="36" t="str">
        <f>IFERROR(__xludf.DUMMYFUNCTION("""COMPUTED_VALUE"""),"Juan José Paso y Santa María de Oro")</f>
        <v>Juan José Paso y Santa María de Oro</v>
      </c>
      <c r="H1561" s="36" t="str">
        <f>IFERROR(__xludf.DUMMYFUNCTION("""COMPUTED_VALUE"""),"")</f>
        <v/>
      </c>
    </row>
    <row r="1562">
      <c r="A1562" s="36" t="str">
        <f>IFERROR(__xludf.DUMMYFUNCTION("""COMPUTED_VALUE"""),"03-22-10-83A")</f>
        <v>03-22-10-83A</v>
      </c>
      <c r="B1562" s="36" t="str">
        <f>IFERROR(__xludf.DUMMYFUNCTION("""COMPUTED_VALUE"""),"")</f>
        <v/>
      </c>
      <c r="C1562" s="36" t="str">
        <f>IFERROR(__xludf.DUMMYFUNCTION("""COMPUTED_VALUE"""),"")</f>
        <v/>
      </c>
      <c r="D1562" s="36" t="str">
        <f>IFERROR(__xludf.DUMMYFUNCTION("""COMPUTED_VALUE"""),"")</f>
        <v/>
      </c>
      <c r="E1562" s="36" t="str">
        <f>IFERROR(__xludf.DUMMYFUNCTION("""COMPUTED_VALUE"""),"01-28-08-83")</f>
        <v>01-28-08-83</v>
      </c>
      <c r="F1562" s="36"/>
      <c r="G1562" s="36" t="str">
        <f>IFERROR(__xludf.DUMMYFUNCTION("""COMPUTED_VALUE"""),"Juan Jufré  y Gral. Roca")</f>
        <v>Juan Jufré  y Gral. Roca</v>
      </c>
      <c r="H1562" s="36" t="str">
        <f>IFERROR(__xludf.DUMMYFUNCTION("""COMPUTED_VALUE"""),"")</f>
        <v/>
      </c>
    </row>
    <row r="1563">
      <c r="A1563" s="36" t="str">
        <f>IFERROR(__xludf.DUMMYFUNCTION("""COMPUTED_VALUE"""),"03-22-10-84A")</f>
        <v>03-22-10-84A</v>
      </c>
      <c r="B1563" s="36" t="str">
        <f>IFERROR(__xludf.DUMMYFUNCTION("""COMPUTED_VALUE"""),"")</f>
        <v/>
      </c>
      <c r="C1563" s="36" t="str">
        <f>IFERROR(__xludf.DUMMYFUNCTION("""COMPUTED_VALUE"""),"")</f>
        <v/>
      </c>
      <c r="D1563" s="36" t="str">
        <f>IFERROR(__xludf.DUMMYFUNCTION("""COMPUTED_VALUE"""),"")</f>
        <v/>
      </c>
      <c r="E1563" s="36" t="str">
        <f>IFERROR(__xludf.DUMMYFUNCTION("""COMPUTED_VALUE"""),"01-27-08-52G")</f>
        <v>01-27-08-52G</v>
      </c>
      <c r="F1563" s="36"/>
      <c r="G1563" s="36" t="str">
        <f>IFERROR(__xludf.DUMMYFUNCTION("""COMPUTED_VALUE"""),"Juan Jufré y Aberastain E")</f>
        <v>Juan Jufré y Aberastain E</v>
      </c>
      <c r="H1563" s="36" t="str">
        <f>IFERROR(__xludf.DUMMYFUNCTION("""COMPUTED_VALUE"""),"")</f>
        <v/>
      </c>
    </row>
    <row r="1564">
      <c r="A1564" s="36" t="str">
        <f>IFERROR(__xludf.DUMMYFUNCTION("""COMPUTED_VALUE"""),"03-24-10-81B")</f>
        <v>03-24-10-81B</v>
      </c>
      <c r="B1564" s="36" t="str">
        <f>IFERROR(__xludf.DUMMYFUNCTION("""COMPUTED_VALUE"""),"")</f>
        <v/>
      </c>
      <c r="C1564" s="36" t="str">
        <f>IFERROR(__xludf.DUMMYFUNCTION("""COMPUTED_VALUE"""),"")</f>
        <v/>
      </c>
      <c r="D1564" s="36" t="str">
        <f>IFERROR(__xludf.DUMMYFUNCTION("""COMPUTED_VALUE"""),"")</f>
        <v/>
      </c>
      <c r="E1564" s="36" t="str">
        <f>IFERROR(__xludf.DUMMYFUNCTION("""COMPUTED_VALUE"""),"01-27-08-52F")</f>
        <v>01-27-08-52F</v>
      </c>
      <c r="F1564" s="36"/>
      <c r="G1564" s="36" t="str">
        <f>IFERROR(__xludf.DUMMYFUNCTION("""COMPUTED_VALUE"""),"Juan Jufré y Aberastain O")</f>
        <v>Juan Jufré y Aberastain O</v>
      </c>
      <c r="H1564" s="36" t="str">
        <f>IFERROR(__xludf.DUMMYFUNCTION("""COMPUTED_VALUE"""),"")</f>
        <v/>
      </c>
    </row>
    <row r="1565">
      <c r="A1565" s="36" t="str">
        <f>IFERROR(__xludf.DUMMYFUNCTION("""COMPUTED_VALUE"""),"03-24-10-82B")</f>
        <v>03-24-10-82B</v>
      </c>
      <c r="B1565" s="36" t="str">
        <f>IFERROR(__xludf.DUMMYFUNCTION("""COMPUTED_VALUE"""),"")</f>
        <v/>
      </c>
      <c r="C1565" s="36" t="str">
        <f>IFERROR(__xludf.DUMMYFUNCTION("""COMPUTED_VALUE"""),"")</f>
        <v/>
      </c>
      <c r="D1565" s="36" t="str">
        <f>IFERROR(__xludf.DUMMYFUNCTION("""COMPUTED_VALUE"""),"")</f>
        <v/>
      </c>
      <c r="E1565" s="36" t="str">
        <f>IFERROR(__xludf.DUMMYFUNCTION("""COMPUTED_VALUE"""),"01-28-08-84")</f>
        <v>01-28-08-84</v>
      </c>
      <c r="F1565" s="36"/>
      <c r="G1565" s="36" t="str">
        <f>IFERROR(__xludf.DUMMYFUNCTION("""COMPUTED_VALUE"""),"Juan Jufré y Catamarca")</f>
        <v>Juan Jufré y Catamarca</v>
      </c>
      <c r="H1565" s="36" t="str">
        <f>IFERROR(__xludf.DUMMYFUNCTION("""COMPUTED_VALUE"""),"")</f>
        <v/>
      </c>
    </row>
    <row r="1566">
      <c r="A1566" s="36" t="str">
        <f>IFERROR(__xludf.DUMMYFUNCTION("""COMPUTED_VALUE"""),"03-24-10-83B")</f>
        <v>03-24-10-83B</v>
      </c>
      <c r="B1566" s="36" t="str">
        <f>IFERROR(__xludf.DUMMYFUNCTION("""COMPUTED_VALUE"""),"")</f>
        <v/>
      </c>
      <c r="C1566" s="36" t="str">
        <f>IFERROR(__xludf.DUMMYFUNCTION("""COMPUTED_VALUE"""),"")</f>
        <v/>
      </c>
      <c r="D1566" s="36" t="str">
        <f>IFERROR(__xludf.DUMMYFUNCTION("""COMPUTED_VALUE"""),"")</f>
        <v/>
      </c>
      <c r="E1566" s="36" t="str">
        <f>IFERROR(__xludf.DUMMYFUNCTION("""COMPUTED_VALUE"""),"01-35-07-235")</f>
        <v>01-35-07-235</v>
      </c>
      <c r="F1566" s="36"/>
      <c r="G1566" s="36" t="str">
        <f>IFERROR(__xludf.DUMMYFUNCTION("""COMPUTED_VALUE"""),"Juan Jufré y Doncel")</f>
        <v>Juan Jufré y Doncel</v>
      </c>
      <c r="H1566" s="36" t="str">
        <f>IFERROR(__xludf.DUMMYFUNCTION("""COMPUTED_VALUE"""),"")</f>
        <v/>
      </c>
    </row>
    <row r="1567">
      <c r="A1567" s="36" t="str">
        <f>IFERROR(__xludf.DUMMYFUNCTION("""COMPUTED_VALUE"""),"03-24-10-84B")</f>
        <v>03-24-10-84B</v>
      </c>
      <c r="B1567" s="36" t="str">
        <f>IFERROR(__xludf.DUMMYFUNCTION("""COMPUTED_VALUE"""),"")</f>
        <v/>
      </c>
      <c r="C1567" s="36" t="str">
        <f>IFERROR(__xludf.DUMMYFUNCTION("""COMPUTED_VALUE"""),"")</f>
        <v/>
      </c>
      <c r="D1567" s="36" t="str">
        <f>IFERROR(__xludf.DUMMYFUNCTION("""COMPUTED_VALUE"""),"")</f>
        <v/>
      </c>
      <c r="E1567" s="36" t="str">
        <f>IFERROR(__xludf.DUMMYFUNCTION("""COMPUTED_VALUE"""),"01-28-08-81")</f>
        <v>01-28-08-81</v>
      </c>
      <c r="F1567" s="36"/>
      <c r="G1567" s="36" t="str">
        <f>IFERROR(__xludf.DUMMYFUNCTION("""COMPUTED_VALUE"""),"Juan Jufré y Falucho")</f>
        <v>Juan Jufré y Falucho</v>
      </c>
      <c r="H1567" s="36" t="str">
        <f>IFERROR(__xludf.DUMMYFUNCTION("""COMPUTED_VALUE"""),"")</f>
        <v/>
      </c>
    </row>
    <row r="1568">
      <c r="A1568" s="36" t="str">
        <f>IFERROR(__xludf.DUMMYFUNCTION("""COMPUTED_VALUE"""),"03-24-10-85A")</f>
        <v>03-24-10-85A</v>
      </c>
      <c r="B1568" s="36" t="str">
        <f>IFERROR(__xludf.DUMMYFUNCTION("""COMPUTED_VALUE"""),"")</f>
        <v/>
      </c>
      <c r="C1568" s="36" t="str">
        <f>IFERROR(__xludf.DUMMYFUNCTION("""COMPUTED_VALUE"""),"")</f>
        <v/>
      </c>
      <c r="D1568" s="36" t="str">
        <f>IFERROR(__xludf.DUMMYFUNCTION("""COMPUTED_VALUE"""),"")</f>
        <v/>
      </c>
      <c r="E1568" s="36" t="str">
        <f>IFERROR(__xludf.DUMMYFUNCTION("""COMPUTED_VALUE"""),"01-39-08-132")</f>
        <v>01-39-08-132</v>
      </c>
      <c r="F1568" s="36"/>
      <c r="G1568" s="36" t="str">
        <f>IFERROR(__xludf.DUMMYFUNCTION("""COMPUTED_VALUE"""),"Juan Jufré y Güemes")</f>
        <v>Juan Jufré y Güemes</v>
      </c>
      <c r="H1568" s="36" t="str">
        <f>IFERROR(__xludf.DUMMYFUNCTION("""COMPUTED_VALUE"""),"")</f>
        <v/>
      </c>
    </row>
    <row r="1569">
      <c r="A1569" s="36" t="str">
        <f>IFERROR(__xludf.DUMMYFUNCTION("""COMPUTED_VALUE"""),"03-24-10-85B")</f>
        <v>03-24-10-85B</v>
      </c>
      <c r="B1569" s="36" t="str">
        <f>IFERROR(__xludf.DUMMYFUNCTION("""COMPUTED_VALUE"""),"")</f>
        <v/>
      </c>
      <c r="C1569" s="36" t="str">
        <f>IFERROR(__xludf.DUMMYFUNCTION("""COMPUTED_VALUE"""),"")</f>
        <v/>
      </c>
      <c r="D1569" s="36" t="str">
        <f>IFERROR(__xludf.DUMMYFUNCTION("""COMPUTED_VALUE"""),"")</f>
        <v/>
      </c>
      <c r="E1569" s="36" t="str">
        <f>IFERROR(__xludf.DUMMYFUNCTION("""COMPUTED_VALUE"""),"01-35-07-233")</f>
        <v>01-35-07-233</v>
      </c>
      <c r="F1569" s="36"/>
      <c r="G1569" s="36" t="str">
        <f>IFERROR(__xludf.DUMMYFUNCTION("""COMPUTED_VALUE"""),"Juan Jufré y Matías Zavalla")</f>
        <v>Juan Jufré y Matías Zavalla</v>
      </c>
      <c r="H1569" s="36" t="str">
        <f>IFERROR(__xludf.DUMMYFUNCTION("""COMPUTED_VALUE"""),"")</f>
        <v/>
      </c>
    </row>
    <row r="1570">
      <c r="A1570" s="36" t="str">
        <f>IFERROR(__xludf.DUMMYFUNCTION("""COMPUTED_VALUE"""),"03-24-10-86A")</f>
        <v>03-24-10-86A</v>
      </c>
      <c r="B1570" s="36" t="str">
        <f>IFERROR(__xludf.DUMMYFUNCTION("""COMPUTED_VALUE"""),"")</f>
        <v/>
      </c>
      <c r="C1570" s="36" t="str">
        <f>IFERROR(__xludf.DUMMYFUNCTION("""COMPUTED_VALUE"""),"")</f>
        <v/>
      </c>
      <c r="D1570" s="36" t="str">
        <f>IFERROR(__xludf.DUMMYFUNCTION("""COMPUTED_VALUE"""),"")</f>
        <v/>
      </c>
      <c r="E1570" s="36" t="str">
        <f>IFERROR(__xludf.DUMMYFUNCTION("""COMPUTED_VALUE"""),"01-27-08-119")</f>
        <v>01-27-08-119</v>
      </c>
      <c r="F1570" s="36"/>
      <c r="G1570" s="36" t="str">
        <f>IFERROR(__xludf.DUMMYFUNCTION("""COMPUTED_VALUE"""),"Juan Jufré y Mendoza")</f>
        <v>Juan Jufré y Mendoza</v>
      </c>
      <c r="H1570" s="36" t="str">
        <f>IFERROR(__xludf.DUMMYFUNCTION("""COMPUTED_VALUE"""),"")</f>
        <v/>
      </c>
    </row>
    <row r="1571">
      <c r="A1571" s="36" t="str">
        <f>IFERROR(__xludf.DUMMYFUNCTION("""COMPUTED_VALUE"""),"03-24-10-86B")</f>
        <v>03-24-10-86B</v>
      </c>
      <c r="B1571" s="36" t="str">
        <f>IFERROR(__xludf.DUMMYFUNCTION("""COMPUTED_VALUE"""),"")</f>
        <v/>
      </c>
      <c r="C1571" s="36" t="str">
        <f>IFERROR(__xludf.DUMMYFUNCTION("""COMPUTED_VALUE"""),"")</f>
        <v/>
      </c>
      <c r="D1571" s="36" t="str">
        <f>IFERROR(__xludf.DUMMYFUNCTION("""COMPUTED_VALUE"""),"")</f>
        <v/>
      </c>
      <c r="E1571" s="36" t="str">
        <f>IFERROR(__xludf.DUMMYFUNCTION("""COMPUTED_VALUE"""),"01-35-07-236")</f>
        <v>01-35-07-236</v>
      </c>
      <c r="F1571" s="36"/>
      <c r="G1571" s="36" t="str">
        <f>IFERROR(__xludf.DUMMYFUNCTION("""COMPUTED_VALUE"""),"Juan Jufré y Plaza Ejercito Argentino")</f>
        <v>Juan Jufré y Plaza Ejercito Argentino</v>
      </c>
      <c r="H1571" s="36" t="str">
        <f>IFERROR(__xludf.DUMMYFUNCTION("""COMPUTED_VALUE"""),"")</f>
        <v/>
      </c>
    </row>
    <row r="1572">
      <c r="A1572" s="36" t="str">
        <f>IFERROR(__xludf.DUMMYFUNCTION("""COMPUTED_VALUE"""),"03-24-10-87A")</f>
        <v>03-24-10-87A</v>
      </c>
      <c r="B1572" s="36" t="str">
        <f>IFERROR(__xludf.DUMMYFUNCTION("""COMPUTED_VALUE"""),"")</f>
        <v/>
      </c>
      <c r="C1572" s="36" t="str">
        <f>IFERROR(__xludf.DUMMYFUNCTION("""COMPUTED_VALUE"""),"")</f>
        <v/>
      </c>
      <c r="D1572" s="36" t="str">
        <f>IFERROR(__xludf.DUMMYFUNCTION("""COMPUTED_VALUE"""),"")</f>
        <v/>
      </c>
      <c r="E1572" s="36" t="str">
        <f>IFERROR(__xludf.DUMMYFUNCTION("""COMPUTED_VALUE"""),"01-37-07-8")</f>
        <v>01-37-07-8</v>
      </c>
      <c r="F1572" s="36"/>
      <c r="G1572" s="36" t="str">
        <f>IFERROR(__xludf.DUMMYFUNCTION("""COMPUTED_VALUE"""),"Juan Jufré y Salta")</f>
        <v>Juan Jufré y Salta</v>
      </c>
      <c r="H1572" s="36" t="str">
        <f>IFERROR(__xludf.DUMMYFUNCTION("""COMPUTED_VALUE"""),"")</f>
        <v/>
      </c>
    </row>
    <row r="1573">
      <c r="A1573" s="36" t="str">
        <f>IFERROR(__xludf.DUMMYFUNCTION("""COMPUTED_VALUE"""),"03-24-10-87B")</f>
        <v>03-24-10-87B</v>
      </c>
      <c r="B1573" s="36" t="str">
        <f>IFERROR(__xludf.DUMMYFUNCTION("""COMPUTED_VALUE"""),"")</f>
        <v/>
      </c>
      <c r="C1573" s="36" t="str">
        <f>IFERROR(__xludf.DUMMYFUNCTION("""COMPUTED_VALUE"""),"")</f>
        <v/>
      </c>
      <c r="D1573" s="36" t="str">
        <f>IFERROR(__xludf.DUMMYFUNCTION("""COMPUTED_VALUE"""),"")</f>
        <v/>
      </c>
      <c r="E1573" s="36" t="str">
        <f>IFERROR(__xludf.DUMMYFUNCTION("""COMPUTED_VALUE"""),"01-36-07-24J")</f>
        <v>01-36-07-24J</v>
      </c>
      <c r="F1573" s="36"/>
      <c r="G1573" s="36" t="str">
        <f>IFERROR(__xludf.DUMMYFUNCTION("""COMPUTED_VALUE"""),"Juan Jufré y Scalabrini Ortíz")</f>
        <v>Juan Jufré y Scalabrini Ortíz</v>
      </c>
      <c r="H1573" s="36" t="str">
        <f>IFERROR(__xludf.DUMMYFUNCTION("""COMPUTED_VALUE"""),"")</f>
        <v/>
      </c>
    </row>
    <row r="1574">
      <c r="A1574" s="36" t="str">
        <f>IFERROR(__xludf.DUMMYFUNCTION("""COMPUTED_VALUE"""),"03-24-10-88A")</f>
        <v>03-24-10-88A</v>
      </c>
      <c r="B1574" s="36" t="str">
        <f>IFERROR(__xludf.DUMMYFUNCTION("""COMPUTED_VALUE"""),"")</f>
        <v/>
      </c>
      <c r="C1574" s="36" t="str">
        <f>IFERROR(__xludf.DUMMYFUNCTION("""COMPUTED_VALUE"""),"")</f>
        <v/>
      </c>
      <c r="D1574" s="36" t="str">
        <f>IFERROR(__xludf.DUMMYFUNCTION("""COMPUTED_VALUE"""),"")</f>
        <v/>
      </c>
      <c r="E1574" s="36" t="str">
        <f>IFERROR(__xludf.DUMMYFUNCTION("""COMPUTED_VALUE"""),"01-35-07-234")</f>
        <v>01-35-07-234</v>
      </c>
      <c r="F1574" s="36"/>
      <c r="G1574" s="36" t="str">
        <f>IFERROR(__xludf.DUMMYFUNCTION("""COMPUTED_VALUE"""),"Juan Jufré y Toranzo")</f>
        <v>Juan Jufré y Toranzo</v>
      </c>
      <c r="H1574" s="36" t="str">
        <f>IFERROR(__xludf.DUMMYFUNCTION("""COMPUTED_VALUE"""),"")</f>
        <v/>
      </c>
    </row>
    <row r="1575">
      <c r="A1575" s="36" t="str">
        <f>IFERROR(__xludf.DUMMYFUNCTION("""COMPUTED_VALUE"""),"03-24-10-88B")</f>
        <v>03-24-10-88B</v>
      </c>
      <c r="B1575" s="36" t="str">
        <f>IFERROR(__xludf.DUMMYFUNCTION("""COMPUTED_VALUE"""),"")</f>
        <v/>
      </c>
      <c r="C1575" s="36" t="str">
        <f>IFERROR(__xludf.DUMMYFUNCTION("""COMPUTED_VALUE"""),"")</f>
        <v/>
      </c>
      <c r="D1575" s="36" t="str">
        <f>IFERROR(__xludf.DUMMYFUNCTION("""COMPUTED_VALUE"""),"")</f>
        <v/>
      </c>
      <c r="E1575" s="36" t="str">
        <f>IFERROR(__xludf.DUMMYFUNCTION("""COMPUTED_VALUE"""),"01-27-08-133")</f>
        <v>01-27-08-133</v>
      </c>
      <c r="F1575" s="36"/>
      <c r="G1575" s="36" t="str">
        <f>IFERROR(__xludf.DUMMYFUNCTION("""COMPUTED_VALUE"""),"Juan Jufré y Tucumán ")</f>
        <v>Juan Jufré y Tucumán </v>
      </c>
      <c r="H1575" s="36" t="str">
        <f>IFERROR(__xludf.DUMMYFUNCTION("""COMPUTED_VALUE"""),"")</f>
        <v/>
      </c>
    </row>
    <row r="1576">
      <c r="A1576" s="36" t="str">
        <f>IFERROR(__xludf.DUMMYFUNCTION("""COMPUTED_VALUE"""),"03-28-10-88")</f>
        <v>03-28-10-88</v>
      </c>
      <c r="B1576" s="36" t="str">
        <f>IFERROR(__xludf.DUMMYFUNCTION("""COMPUTED_VALUE"""),"")</f>
        <v/>
      </c>
      <c r="C1576" s="36" t="str">
        <f>IFERROR(__xludf.DUMMYFUNCTION("""COMPUTED_VALUE"""),"")</f>
        <v/>
      </c>
      <c r="D1576" s="36" t="str">
        <f>IFERROR(__xludf.DUMMYFUNCTION("""COMPUTED_VALUE"""),"")</f>
        <v/>
      </c>
      <c r="E1576" s="36" t="str">
        <f>IFERROR(__xludf.DUMMYFUNCTION("""COMPUTED_VALUE"""),"01-41-08-41")</f>
        <v>01-41-08-41</v>
      </c>
      <c r="F1576" s="36"/>
      <c r="G1576" s="36" t="str">
        <f>IFERROR(__xludf.DUMMYFUNCTION("""COMPUTED_VALUE"""),"Jujuy y Av. Libertador")</f>
        <v>Jujuy y Av. Libertador</v>
      </c>
      <c r="H1576" s="36" t="str">
        <f>IFERROR(__xludf.DUMMYFUNCTION("""COMPUTED_VALUE"""),"")</f>
        <v/>
      </c>
    </row>
    <row r="1577">
      <c r="A1577" s="36" t="str">
        <f>IFERROR(__xludf.DUMMYFUNCTION("""COMPUTED_VALUE"""),"03-28-10-90")</f>
        <v>03-28-10-90</v>
      </c>
      <c r="B1577" s="36" t="str">
        <f>IFERROR(__xludf.DUMMYFUNCTION("""COMPUTED_VALUE"""),"")</f>
        <v/>
      </c>
      <c r="C1577" s="36" t="str">
        <f>IFERROR(__xludf.DUMMYFUNCTION("""COMPUTED_VALUE"""),"")</f>
        <v/>
      </c>
      <c r="D1577" s="36" t="str">
        <f>IFERROR(__xludf.DUMMYFUNCTION("""COMPUTED_VALUE"""),"")</f>
        <v/>
      </c>
      <c r="E1577" s="36" t="str">
        <f>IFERROR(__xludf.DUMMYFUNCTION("""COMPUTED_VALUE"""),"01-41-08-41A")</f>
        <v>01-41-08-41A</v>
      </c>
      <c r="F1577" s="36"/>
      <c r="G1577" s="36" t="str">
        <f>IFERROR(__xludf.DUMMYFUNCTION("""COMPUTED_VALUE"""),"Jujuy y San Luis")</f>
        <v>Jujuy y San Luis</v>
      </c>
      <c r="H1577" s="36" t="str">
        <f>IFERROR(__xludf.DUMMYFUNCTION("""COMPUTED_VALUE"""),"")</f>
        <v/>
      </c>
    </row>
    <row r="1578">
      <c r="A1578" s="36" t="str">
        <f>IFERROR(__xludf.DUMMYFUNCTION("""COMPUTED_VALUE"""),"03-28-10-92A")</f>
        <v>03-28-10-92A</v>
      </c>
      <c r="B1578" s="36" t="str">
        <f>IFERROR(__xludf.DUMMYFUNCTION("""COMPUTED_VALUE"""),"")</f>
        <v/>
      </c>
      <c r="C1578" s="36" t="str">
        <f>IFERROR(__xludf.DUMMYFUNCTION("""COMPUTED_VALUE"""),"")</f>
        <v/>
      </c>
      <c r="D1578" s="36" t="str">
        <f>IFERROR(__xludf.DUMMYFUNCTION("""COMPUTED_VALUE"""),"")</f>
        <v/>
      </c>
      <c r="E1578" s="36" t="str">
        <f>IFERROR(__xludf.DUMMYFUNCTION("""COMPUTED_VALUE"""),"01-36-07-241")</f>
        <v>01-36-07-241</v>
      </c>
      <c r="F1578" s="36"/>
      <c r="G1578" s="36" t="str">
        <f>IFERROR(__xludf.DUMMYFUNCTION("""COMPUTED_VALUE"""),"Justo José de Urquiza y Alberdi")</f>
        <v>Justo José de Urquiza y Alberdi</v>
      </c>
      <c r="H1578" s="36" t="str">
        <f>IFERROR(__xludf.DUMMYFUNCTION("""COMPUTED_VALUE"""),"")</f>
        <v/>
      </c>
    </row>
    <row r="1579">
      <c r="A1579" s="36" t="str">
        <f>IFERROR(__xludf.DUMMYFUNCTION("""COMPUTED_VALUE"""),"03-28-10-93A")</f>
        <v>03-28-10-93A</v>
      </c>
      <c r="B1579" s="36" t="str">
        <f>IFERROR(__xludf.DUMMYFUNCTION("""COMPUTED_VALUE"""),"")</f>
        <v/>
      </c>
      <c r="C1579" s="36" t="str">
        <f>IFERROR(__xludf.DUMMYFUNCTION("""COMPUTED_VALUE"""),"")</f>
        <v/>
      </c>
      <c r="D1579" s="36" t="str">
        <f>IFERROR(__xludf.DUMMYFUNCTION("""COMPUTED_VALUE"""),"")</f>
        <v/>
      </c>
      <c r="E1579" s="36" t="str">
        <f>IFERROR(__xludf.DUMMYFUNCTION("""COMPUTED_VALUE"""),"01-35-07-240")</f>
        <v>01-35-07-240</v>
      </c>
      <c r="F1579" s="36"/>
      <c r="G1579" s="36" t="str">
        <f>IFERROR(__xludf.DUMMYFUNCTION("""COMPUTED_VALUE"""),"Justo José de Urquiza y Ameghino")</f>
        <v>Justo José de Urquiza y Ameghino</v>
      </c>
      <c r="H1579" s="36" t="str">
        <f>IFERROR(__xludf.DUMMYFUNCTION("""COMPUTED_VALUE"""),"")</f>
        <v/>
      </c>
    </row>
    <row r="1580">
      <c r="A1580" s="36" t="str">
        <f>IFERROR(__xludf.DUMMYFUNCTION("""COMPUTED_VALUE"""),"03-28-10-94A")</f>
        <v>03-28-10-94A</v>
      </c>
      <c r="B1580" s="36" t="str">
        <f>IFERROR(__xludf.DUMMYFUNCTION("""COMPUTED_VALUE"""),"")</f>
        <v/>
      </c>
      <c r="C1580" s="36" t="str">
        <f>IFERROR(__xludf.DUMMYFUNCTION("""COMPUTED_VALUE"""),"")</f>
        <v/>
      </c>
      <c r="D1580" s="36" t="str">
        <f>IFERROR(__xludf.DUMMYFUNCTION("""COMPUTED_VALUE"""),"")</f>
        <v/>
      </c>
      <c r="E1580" s="36" t="str">
        <f>IFERROR(__xludf.DUMMYFUNCTION("""COMPUTED_VALUE"""),"01-58-12-346")</f>
        <v>01-58-12-346</v>
      </c>
      <c r="F1580" s="36"/>
      <c r="G1580" s="36" t="str">
        <f>IFERROR(__xludf.DUMMYFUNCTION("""COMPUTED_VALUE"""),"Justo José de Urquiza y Belgrano")</f>
        <v>Justo José de Urquiza y Belgrano</v>
      </c>
      <c r="H1580" s="36" t="str">
        <f>IFERROR(__xludf.DUMMYFUNCTION("""COMPUTED_VALUE"""),"")</f>
        <v/>
      </c>
    </row>
    <row r="1581">
      <c r="A1581" s="36" t="str">
        <f>IFERROR(__xludf.DUMMYFUNCTION("""COMPUTED_VALUE"""),"03-28-10-95A")</f>
        <v>03-28-10-95A</v>
      </c>
      <c r="B1581" s="36" t="str">
        <f>IFERROR(__xludf.DUMMYFUNCTION("""COMPUTED_VALUE"""),"")</f>
        <v/>
      </c>
      <c r="C1581" s="36" t="str">
        <f>IFERROR(__xludf.DUMMYFUNCTION("""COMPUTED_VALUE"""),"")</f>
        <v/>
      </c>
      <c r="D1581" s="36" t="str">
        <f>IFERROR(__xludf.DUMMYFUNCTION("""COMPUTED_VALUE"""),"")</f>
        <v/>
      </c>
      <c r="E1581" s="36" t="str">
        <f>IFERROR(__xludf.DUMMYFUNCTION("""COMPUTED_VALUE"""),"01-35-07-237")</f>
        <v>01-35-07-237</v>
      </c>
      <c r="F1581" s="36"/>
      <c r="G1581" s="36" t="str">
        <f>IFERROR(__xludf.DUMMYFUNCTION("""COMPUTED_VALUE"""),"Justo José de Urquiza y Juan Jufré")</f>
        <v>Justo José de Urquiza y Juan Jufré</v>
      </c>
      <c r="H1581" s="36" t="str">
        <f>IFERROR(__xludf.DUMMYFUNCTION("""COMPUTED_VALUE"""),"")</f>
        <v/>
      </c>
    </row>
    <row r="1582">
      <c r="A1582" s="36" t="str">
        <f>IFERROR(__xludf.DUMMYFUNCTION("""COMPUTED_VALUE"""),"03-28-10-96A")</f>
        <v>03-28-10-96A</v>
      </c>
      <c r="B1582" s="36" t="str">
        <f>IFERROR(__xludf.DUMMYFUNCTION("""COMPUTED_VALUE"""),"")</f>
        <v/>
      </c>
      <c r="C1582" s="36" t="str">
        <f>IFERROR(__xludf.DUMMYFUNCTION("""COMPUTED_VALUE"""),"")</f>
        <v/>
      </c>
      <c r="D1582" s="36" t="str">
        <f>IFERROR(__xludf.DUMMYFUNCTION("""COMPUTED_VALUE"""),"")</f>
        <v/>
      </c>
      <c r="E1582" s="36" t="str">
        <f>IFERROR(__xludf.DUMMYFUNCTION("""COMPUTED_VALUE"""),"01-58-12-341")</f>
        <v>01-58-12-341</v>
      </c>
      <c r="F1582" s="36"/>
      <c r="G1582" s="36" t="str">
        <f>IFERROR(__xludf.DUMMYFUNCTION("""COMPUTED_VALUE"""),"Justo José de Urquiza y Laspiur Este")</f>
        <v>Justo José de Urquiza y Laspiur Este</v>
      </c>
      <c r="H1582" s="36" t="str">
        <f>IFERROR(__xludf.DUMMYFUNCTION("""COMPUTED_VALUE"""),"")</f>
        <v/>
      </c>
    </row>
    <row r="1583">
      <c r="A1583" s="36" t="str">
        <f>IFERROR(__xludf.DUMMYFUNCTION("""COMPUTED_VALUE"""),"03-29-10-136A")</f>
        <v>03-29-10-136A</v>
      </c>
      <c r="B1583" s="36" t="str">
        <f>IFERROR(__xludf.DUMMYFUNCTION("""COMPUTED_VALUE"""),"")</f>
        <v/>
      </c>
      <c r="C1583" s="36" t="str">
        <f>IFERROR(__xludf.DUMMYFUNCTION("""COMPUTED_VALUE"""),"")</f>
        <v/>
      </c>
      <c r="D1583" s="36" t="str">
        <f>IFERROR(__xludf.DUMMYFUNCTION("""COMPUTED_VALUE"""),"")</f>
        <v/>
      </c>
      <c r="E1583" s="36" t="str">
        <f>IFERROR(__xludf.DUMMYFUNCTION("""COMPUTED_VALUE"""),"01-58-12-340")</f>
        <v>01-58-12-340</v>
      </c>
      <c r="F1583" s="36"/>
      <c r="G1583" s="36" t="str">
        <f>IFERROR(__xludf.DUMMYFUNCTION("""COMPUTED_VALUE"""),"Justo José de Urquiza y Laspiur Oeste")</f>
        <v>Justo José de Urquiza y Laspiur Oeste</v>
      </c>
      <c r="H1583" s="36" t="str">
        <f>IFERROR(__xludf.DUMMYFUNCTION("""COMPUTED_VALUE"""),"")</f>
        <v/>
      </c>
    </row>
    <row r="1584">
      <c r="A1584" s="36" t="str">
        <f>IFERROR(__xludf.DUMMYFUNCTION("""COMPUTED_VALUE"""),"03-29-10-137A")</f>
        <v>03-29-10-137A</v>
      </c>
      <c r="B1584" s="36" t="str">
        <f>IFERROR(__xludf.DUMMYFUNCTION("""COMPUTED_VALUE"""),"")</f>
        <v/>
      </c>
      <c r="C1584" s="36" t="str">
        <f>IFERROR(__xludf.DUMMYFUNCTION("""COMPUTED_VALUE"""),"")</f>
        <v/>
      </c>
      <c r="D1584" s="36" t="str">
        <f>IFERROR(__xludf.DUMMYFUNCTION("""COMPUTED_VALUE"""),"")</f>
        <v/>
      </c>
      <c r="E1584" s="36" t="str">
        <f>IFERROR(__xludf.DUMMYFUNCTION("""COMPUTED_VALUE"""),"01-35-07-239")</f>
        <v>01-35-07-239</v>
      </c>
      <c r="F1584" s="36"/>
      <c r="G1584" s="36" t="str">
        <f>IFERROR(__xludf.DUMMYFUNCTION("""COMPUTED_VALUE"""),"Justo José de Urquiza y Pedro Cortínez")</f>
        <v>Justo José de Urquiza y Pedro Cortínez</v>
      </c>
      <c r="H1584" s="36" t="str">
        <f>IFERROR(__xludf.DUMMYFUNCTION("""COMPUTED_VALUE"""),"")</f>
        <v/>
      </c>
    </row>
    <row r="1585">
      <c r="A1585" s="36" t="str">
        <f>IFERROR(__xludf.DUMMYFUNCTION("""COMPUTED_VALUE"""),"03-29-10-80A")</f>
        <v>03-29-10-80A</v>
      </c>
      <c r="B1585" s="36" t="str">
        <f>IFERROR(__xludf.DUMMYFUNCTION("""COMPUTED_VALUE"""),"")</f>
        <v/>
      </c>
      <c r="C1585" s="36" t="str">
        <f>IFERROR(__xludf.DUMMYFUNCTION("""COMPUTED_VALUE"""),"")</f>
        <v/>
      </c>
      <c r="D1585" s="36" t="str">
        <f>IFERROR(__xludf.DUMMYFUNCTION("""COMPUTED_VALUE"""),"")</f>
        <v/>
      </c>
      <c r="E1585" s="36" t="str">
        <f>IFERROR(__xludf.DUMMYFUNCTION("""COMPUTED_VALUE"""),"03-33-10-59A")</f>
        <v>03-33-10-59A</v>
      </c>
      <c r="F1585" s="36"/>
      <c r="G1585" s="36" t="str">
        <f>IFERROR(__xludf.DUMMYFUNCTION("""COMPUTED_VALUE"""),"Lago Puelo y San Guillermo Norte")</f>
        <v>Lago Puelo y San Guillermo Norte</v>
      </c>
      <c r="H1585" s="36" t="str">
        <f>IFERROR(__xludf.DUMMYFUNCTION("""COMPUTED_VALUE"""),"")</f>
        <v/>
      </c>
    </row>
    <row r="1586">
      <c r="A1586" s="36" t="str">
        <f>IFERROR(__xludf.DUMMYFUNCTION("""COMPUTED_VALUE"""),"03-29-10-89A")</f>
        <v>03-29-10-89A</v>
      </c>
      <c r="B1586" s="36" t="str">
        <f>IFERROR(__xludf.DUMMYFUNCTION("""COMPUTED_VALUE"""),"")</f>
        <v/>
      </c>
      <c r="C1586" s="36" t="str">
        <f>IFERROR(__xludf.DUMMYFUNCTION("""COMPUTED_VALUE"""),"")</f>
        <v/>
      </c>
      <c r="D1586" s="36" t="str">
        <f>IFERROR(__xludf.DUMMYFUNCTION("""COMPUTED_VALUE"""),"")</f>
        <v/>
      </c>
      <c r="E1586" s="36" t="str">
        <f>IFERROR(__xludf.DUMMYFUNCTION("""COMPUTED_VALUE"""),"03-33-10-59B")</f>
        <v>03-33-10-59B</v>
      </c>
      <c r="F1586" s="36"/>
      <c r="G1586" s="36" t="str">
        <f>IFERROR(__xludf.DUMMYFUNCTION("""COMPUTED_VALUE"""),"Lago Puelo y San Guillermo Sur")</f>
        <v>Lago Puelo y San Guillermo Sur</v>
      </c>
      <c r="H1586" s="36" t="str">
        <f>IFERROR(__xludf.DUMMYFUNCTION("""COMPUTED_VALUE"""),"")</f>
        <v/>
      </c>
    </row>
    <row r="1587">
      <c r="A1587" s="36" t="str">
        <f>IFERROR(__xludf.DUMMYFUNCTION("""COMPUTED_VALUE"""),"03-30-10-131A")</f>
        <v>03-30-10-131A</v>
      </c>
      <c r="B1587" s="36" t="str">
        <f>IFERROR(__xludf.DUMMYFUNCTION("""COMPUTED_VALUE"""),"")</f>
        <v/>
      </c>
      <c r="C1587" s="36" t="str">
        <f>IFERROR(__xludf.DUMMYFUNCTION("""COMPUTED_VALUE"""),"")</f>
        <v/>
      </c>
      <c r="D1587" s="36" t="str">
        <f>IFERROR(__xludf.DUMMYFUNCTION("""COMPUTED_VALUE"""),"")</f>
        <v/>
      </c>
      <c r="E1587" s="36" t="str">
        <f>IFERROR(__xludf.DUMMYFUNCTION("""COMPUTED_VALUE"""),"03-32-09-79A")</f>
        <v>03-32-09-79A</v>
      </c>
      <c r="F1587" s="36"/>
      <c r="G1587" s="36" t="str">
        <f>IFERROR(__xludf.DUMMYFUNCTION("""COMPUTED_VALUE"""),"Landa y Facundo Zuviría")</f>
        <v>Landa y Facundo Zuviría</v>
      </c>
      <c r="H1587" s="36" t="str">
        <f>IFERROR(__xludf.DUMMYFUNCTION("""COMPUTED_VALUE"""),"")</f>
        <v/>
      </c>
    </row>
    <row r="1588">
      <c r="A1588" s="36" t="str">
        <f>IFERROR(__xludf.DUMMYFUNCTION("""COMPUTED_VALUE"""),"03-30-10-132A")</f>
        <v>03-30-10-132A</v>
      </c>
      <c r="B1588" s="36" t="str">
        <f>IFERROR(__xludf.DUMMYFUNCTION("""COMPUTED_VALUE"""),"")</f>
        <v/>
      </c>
      <c r="C1588" s="36" t="str">
        <f>IFERROR(__xludf.DUMMYFUNCTION("""COMPUTED_VALUE"""),"")</f>
        <v/>
      </c>
      <c r="D1588" s="36" t="str">
        <f>IFERROR(__xludf.DUMMYFUNCTION("""COMPUTED_VALUE"""),"")</f>
        <v/>
      </c>
      <c r="E1588" s="36" t="str">
        <f>IFERROR(__xludf.DUMMYFUNCTION("""COMPUTED_VALUE"""),"03-32-09-79")</f>
        <v>03-32-09-79</v>
      </c>
      <c r="F1588" s="36"/>
      <c r="G1588" s="36" t="str">
        <f>IFERROR(__xludf.DUMMYFUNCTION("""COMPUTED_VALUE"""),"Landa y Roque Sáenz Peña")</f>
        <v>Landa y Roque Sáenz Peña</v>
      </c>
      <c r="H1588" s="36" t="str">
        <f>IFERROR(__xludf.DUMMYFUNCTION("""COMPUTED_VALUE"""),"")</f>
        <v/>
      </c>
    </row>
    <row r="1589">
      <c r="A1589" s="36" t="str">
        <f>IFERROR(__xludf.DUMMYFUNCTION("""COMPUTED_VALUE"""),"03-30-10-133A")</f>
        <v>03-30-10-133A</v>
      </c>
      <c r="B1589" s="36" t="str">
        <f>IFERROR(__xludf.DUMMYFUNCTION("""COMPUTED_VALUE"""),"")</f>
        <v/>
      </c>
      <c r="C1589" s="36" t="str">
        <f>IFERROR(__xludf.DUMMYFUNCTION("""COMPUTED_VALUE"""),"")</f>
        <v/>
      </c>
      <c r="D1589" s="36" t="str">
        <f>IFERROR(__xludf.DUMMYFUNCTION("""COMPUTED_VALUE"""),"")</f>
        <v/>
      </c>
      <c r="E1589" s="36" t="str">
        <f>IFERROR(__xludf.DUMMYFUNCTION("""COMPUTED_VALUE"""),"02-28-06-90A")</f>
        <v>02-28-06-90A</v>
      </c>
      <c r="F1589" s="36"/>
      <c r="G1589" s="36" t="str">
        <f>IFERROR(__xludf.DUMMYFUNCTION("""COMPUTED_VALUE"""),"Laprida y Almirante Brown")</f>
        <v>Laprida y Almirante Brown</v>
      </c>
      <c r="H1589" s="36" t="str">
        <f>IFERROR(__xludf.DUMMYFUNCTION("""COMPUTED_VALUE"""),"")</f>
        <v/>
      </c>
    </row>
    <row r="1590">
      <c r="A1590" s="36" t="str">
        <f>IFERROR(__xludf.DUMMYFUNCTION("""COMPUTED_VALUE"""),"03-30-10-134A")</f>
        <v>03-30-10-134A</v>
      </c>
      <c r="B1590" s="36" t="str">
        <f>IFERROR(__xludf.DUMMYFUNCTION("""COMPUTED_VALUE"""),"")</f>
        <v/>
      </c>
      <c r="C1590" s="36" t="str">
        <f>IFERROR(__xludf.DUMMYFUNCTION("""COMPUTED_VALUE"""),"")</f>
        <v/>
      </c>
      <c r="D1590" s="36" t="str">
        <f>IFERROR(__xludf.DUMMYFUNCTION("""COMPUTED_VALUE"""),"")</f>
        <v/>
      </c>
      <c r="E1590" s="36" t="str">
        <f>IFERROR(__xludf.DUMMYFUNCTION("""COMPUTED_VALUE"""),"01-40-08-35A")</f>
        <v>01-40-08-35A</v>
      </c>
      <c r="F1590" s="36"/>
      <c r="G1590" s="36" t="str">
        <f>IFERROR(__xludf.DUMMYFUNCTION("""COMPUTED_VALUE"""),"Laprida y Av. Rawson ")</f>
        <v>Laprida y Av. Rawson </v>
      </c>
      <c r="H1590" s="36" t="str">
        <f>IFERROR(__xludf.DUMMYFUNCTION("""COMPUTED_VALUE"""),"")</f>
        <v/>
      </c>
    </row>
    <row r="1591">
      <c r="A1591" s="36" t="str">
        <f>IFERROR(__xludf.DUMMYFUNCTION("""COMPUTED_VALUE"""),"03-30-10-135A")</f>
        <v>03-30-10-135A</v>
      </c>
      <c r="B1591" s="36" t="str">
        <f>IFERROR(__xludf.DUMMYFUNCTION("""COMPUTED_VALUE"""),"")</f>
        <v/>
      </c>
      <c r="C1591" s="36" t="str">
        <f>IFERROR(__xludf.DUMMYFUNCTION("""COMPUTED_VALUE"""),"")</f>
        <v/>
      </c>
      <c r="D1591" s="36" t="str">
        <f>IFERROR(__xludf.DUMMYFUNCTION("""COMPUTED_VALUE"""),"")</f>
        <v/>
      </c>
      <c r="E1591" s="36" t="str">
        <f>IFERROR(__xludf.DUMMYFUNCTION("""COMPUTED_VALUE"""),"01-41-08-33B")</f>
        <v>01-41-08-33B</v>
      </c>
      <c r="F1591" s="36"/>
      <c r="G1591" s="36" t="str">
        <f>IFERROR(__xludf.DUMMYFUNCTION("""COMPUTED_VALUE"""),"Laprida y Caseros")</f>
        <v>Laprida y Caseros</v>
      </c>
      <c r="H1591" s="36" t="str">
        <f>IFERROR(__xludf.DUMMYFUNCTION("""COMPUTED_VALUE"""),"")</f>
        <v/>
      </c>
    </row>
    <row r="1592">
      <c r="A1592" s="36" t="str">
        <f>IFERROR(__xludf.DUMMYFUNCTION("""COMPUTED_VALUE"""),"03-30-10-65A")</f>
        <v>03-30-10-65A</v>
      </c>
      <c r="B1592" s="36" t="str">
        <f>IFERROR(__xludf.DUMMYFUNCTION("""COMPUTED_VALUE"""),"")</f>
        <v/>
      </c>
      <c r="C1592" s="36" t="str">
        <f>IFERROR(__xludf.DUMMYFUNCTION("""COMPUTED_VALUE"""),"")</f>
        <v/>
      </c>
      <c r="D1592" s="36" t="str">
        <f>IFERROR(__xludf.DUMMYFUNCTION("""COMPUTED_VALUE"""),"")</f>
        <v/>
      </c>
      <c r="E1592" s="36" t="str">
        <f>IFERROR(__xludf.DUMMYFUNCTION("""COMPUTED_VALUE"""),"01-40-09-3A")</f>
        <v>01-40-09-3A</v>
      </c>
      <c r="F1592" s="36"/>
      <c r="G1592" s="36" t="str">
        <f>IFERROR(__xludf.DUMMYFUNCTION("""COMPUTED_VALUE"""),"Laprida y Estados Unidos")</f>
        <v>Laprida y Estados Unidos</v>
      </c>
      <c r="H1592" s="36" t="str">
        <f>IFERROR(__xludf.DUMMYFUNCTION("""COMPUTED_VALUE"""),"")</f>
        <v/>
      </c>
    </row>
    <row r="1593">
      <c r="A1593" s="36" t="str">
        <f>IFERROR(__xludf.DUMMYFUNCTION("""COMPUTED_VALUE"""),"03-30-10-65B")</f>
        <v>03-30-10-65B</v>
      </c>
      <c r="B1593" s="36" t="str">
        <f>IFERROR(__xludf.DUMMYFUNCTION("""COMPUTED_VALUE"""),"")</f>
        <v/>
      </c>
      <c r="C1593" s="36" t="str">
        <f>IFERROR(__xludf.DUMMYFUNCTION("""COMPUTED_VALUE"""),"")</f>
        <v/>
      </c>
      <c r="D1593" s="36" t="str">
        <f>IFERROR(__xludf.DUMMYFUNCTION("""COMPUTED_VALUE"""),"")</f>
        <v/>
      </c>
      <c r="E1593" s="36" t="str">
        <f>IFERROR(__xludf.DUMMYFUNCTION("""COMPUTED_VALUE"""),"02-29-07-109G")</f>
        <v>02-29-07-109G</v>
      </c>
      <c r="F1593" s="36"/>
      <c r="G1593" s="36" t="str">
        <f>IFERROR(__xludf.DUMMYFUNCTION("""COMPUTED_VALUE"""),"Laprida y Granaderos")</f>
        <v>Laprida y Granaderos</v>
      </c>
      <c r="H1593" s="36" t="str">
        <f>IFERROR(__xludf.DUMMYFUNCTION("""COMPUTED_VALUE"""),"")</f>
        <v/>
      </c>
    </row>
    <row r="1594">
      <c r="A1594" s="36" t="str">
        <f>IFERROR(__xludf.DUMMYFUNCTION("""COMPUTED_VALUE"""),"03-30-10-66A")</f>
        <v>03-30-10-66A</v>
      </c>
      <c r="B1594" s="36" t="str">
        <f>IFERROR(__xludf.DUMMYFUNCTION("""COMPUTED_VALUE"""),"")</f>
        <v/>
      </c>
      <c r="C1594" s="36" t="str">
        <f>IFERROR(__xludf.DUMMYFUNCTION("""COMPUTED_VALUE"""),"")</f>
        <v/>
      </c>
      <c r="D1594" s="36" t="str">
        <f>IFERROR(__xludf.DUMMYFUNCTION("""COMPUTED_VALUE"""),"")</f>
        <v/>
      </c>
      <c r="E1594" s="36" t="str">
        <f>IFERROR(__xludf.DUMMYFUNCTION("""COMPUTED_VALUE"""),"02-27-06-87A")</f>
        <v>02-27-06-87A</v>
      </c>
      <c r="F1594" s="36"/>
      <c r="G1594" s="36" t="str">
        <f>IFERROR(__xludf.DUMMYFUNCTION("""COMPUTED_VALUE"""),"Laprida y José Avelín N")</f>
        <v>Laprida y José Avelín N</v>
      </c>
      <c r="H1594" s="36" t="str">
        <f>IFERROR(__xludf.DUMMYFUNCTION("""COMPUTED_VALUE"""),"")</f>
        <v/>
      </c>
    </row>
    <row r="1595">
      <c r="A1595" s="36" t="str">
        <f>IFERROR(__xludf.DUMMYFUNCTION("""COMPUTED_VALUE"""),"03-30-10-66B")</f>
        <v>03-30-10-66B</v>
      </c>
      <c r="B1595" s="36" t="str">
        <f>IFERROR(__xludf.DUMMYFUNCTION("""COMPUTED_VALUE"""),"")</f>
        <v/>
      </c>
      <c r="C1595" s="36" t="str">
        <f>IFERROR(__xludf.DUMMYFUNCTION("""COMPUTED_VALUE"""),"")</f>
        <v/>
      </c>
      <c r="D1595" s="36" t="str">
        <f>IFERROR(__xludf.DUMMYFUNCTION("""COMPUTED_VALUE"""),"")</f>
        <v/>
      </c>
      <c r="E1595" s="36" t="str">
        <f>IFERROR(__xludf.DUMMYFUNCTION("""COMPUTED_VALUE"""),"02-27-06-87")</f>
        <v>02-27-06-87</v>
      </c>
      <c r="F1595" s="36"/>
      <c r="G1595" s="36" t="str">
        <f>IFERROR(__xludf.DUMMYFUNCTION("""COMPUTED_VALUE"""),"Laprida y José Avelín S")</f>
        <v>Laprida y José Avelín S</v>
      </c>
      <c r="H1595" s="36" t="str">
        <f>IFERROR(__xludf.DUMMYFUNCTION("""COMPUTED_VALUE"""),"")</f>
        <v/>
      </c>
    </row>
    <row r="1596">
      <c r="A1596" s="36" t="str">
        <f>IFERROR(__xludf.DUMMYFUNCTION("""COMPUTED_VALUE"""),"03-30-10-67A")</f>
        <v>03-30-10-67A</v>
      </c>
      <c r="B1596" s="36" t="str">
        <f>IFERROR(__xludf.DUMMYFUNCTION("""COMPUTED_VALUE"""),"")</f>
        <v/>
      </c>
      <c r="C1596" s="36" t="str">
        <f>IFERROR(__xludf.DUMMYFUNCTION("""COMPUTED_VALUE"""),"")</f>
        <v/>
      </c>
      <c r="D1596" s="36" t="str">
        <f>IFERROR(__xludf.DUMMYFUNCTION("""COMPUTED_VALUE"""),"")</f>
        <v/>
      </c>
      <c r="E1596" s="36" t="str">
        <f>IFERROR(__xludf.DUMMYFUNCTION("""COMPUTED_VALUE"""),"02-28-06-89A")</f>
        <v>02-28-06-89A</v>
      </c>
      <c r="F1596" s="36"/>
      <c r="G1596" s="36" t="str">
        <f>IFERROR(__xludf.DUMMYFUNCTION("""COMPUTED_VALUE"""),"Laprida y Juan José Paso N")</f>
        <v>Laprida y Juan José Paso N</v>
      </c>
      <c r="H1596" s="36" t="str">
        <f>IFERROR(__xludf.DUMMYFUNCTION("""COMPUTED_VALUE"""),"")</f>
        <v/>
      </c>
    </row>
    <row r="1597">
      <c r="A1597" s="36" t="str">
        <f>IFERROR(__xludf.DUMMYFUNCTION("""COMPUTED_VALUE"""),"03-30-10-67B")</f>
        <v>03-30-10-67B</v>
      </c>
      <c r="B1597" s="36" t="str">
        <f>IFERROR(__xludf.DUMMYFUNCTION("""COMPUTED_VALUE"""),"")</f>
        <v/>
      </c>
      <c r="C1597" s="36" t="str">
        <f>IFERROR(__xludf.DUMMYFUNCTION("""COMPUTED_VALUE"""),"")</f>
        <v/>
      </c>
      <c r="D1597" s="36" t="str">
        <f>IFERROR(__xludf.DUMMYFUNCTION("""COMPUTED_VALUE"""),"")</f>
        <v/>
      </c>
      <c r="E1597" s="36" t="str">
        <f>IFERROR(__xludf.DUMMYFUNCTION("""COMPUTED_VALUE"""),"02-27-06-89")</f>
        <v>02-27-06-89</v>
      </c>
      <c r="F1597" s="36"/>
      <c r="G1597" s="36" t="str">
        <f>IFERROR(__xludf.DUMMYFUNCTION("""COMPUTED_VALUE"""),"Laprida y Juan José Paso S")</f>
        <v>Laprida y Juan José Paso S</v>
      </c>
      <c r="H1597" s="36" t="str">
        <f>IFERROR(__xludf.DUMMYFUNCTION("""COMPUTED_VALUE"""),"")</f>
        <v/>
      </c>
    </row>
    <row r="1598">
      <c r="A1598" s="36" t="str">
        <f>IFERROR(__xludf.DUMMYFUNCTION("""COMPUTED_VALUE"""),"03-30-10-68A")</f>
        <v>03-30-10-68A</v>
      </c>
      <c r="B1598" s="36" t="str">
        <f>IFERROR(__xludf.DUMMYFUNCTION("""COMPUTED_VALUE"""),"")</f>
        <v/>
      </c>
      <c r="C1598" s="36" t="str">
        <f>IFERROR(__xludf.DUMMYFUNCTION("""COMPUTED_VALUE"""),"")</f>
        <v/>
      </c>
      <c r="D1598" s="36" t="str">
        <f>IFERROR(__xludf.DUMMYFUNCTION("""COMPUTED_VALUE"""),"")</f>
        <v/>
      </c>
      <c r="E1598" s="36" t="str">
        <f>IFERROR(__xludf.DUMMYFUNCTION("""COMPUTED_VALUE"""),"01-41-08-33A")</f>
        <v>01-41-08-33A</v>
      </c>
      <c r="F1598" s="36"/>
      <c r="G1598" s="36" t="str">
        <f>IFERROR(__xludf.DUMMYFUNCTION("""COMPUTED_VALUE"""),"Laprida y Jujuy")</f>
        <v>Laprida y Jujuy</v>
      </c>
      <c r="H1598" s="36" t="str">
        <f>IFERROR(__xludf.DUMMYFUNCTION("""COMPUTED_VALUE"""),"")</f>
        <v/>
      </c>
    </row>
    <row r="1599">
      <c r="A1599" s="36" t="str">
        <f>IFERROR(__xludf.DUMMYFUNCTION("""COMPUTED_VALUE"""),"03-30-10-68B")</f>
        <v>03-30-10-68B</v>
      </c>
      <c r="B1599" s="36" t="str">
        <f>IFERROR(__xludf.DUMMYFUNCTION("""COMPUTED_VALUE"""),"")</f>
        <v/>
      </c>
      <c r="C1599" s="36" t="str">
        <f>IFERROR(__xludf.DUMMYFUNCTION("""COMPUTED_VALUE"""),"")</f>
        <v/>
      </c>
      <c r="D1599" s="36" t="str">
        <f>IFERROR(__xludf.DUMMYFUNCTION("""COMPUTED_VALUE"""),"")</f>
        <v/>
      </c>
      <c r="E1599" s="36" t="str">
        <f>IFERROR(__xludf.DUMMYFUNCTION("""COMPUTED_VALUE"""),"02-28-06-98")</f>
        <v>02-28-06-98</v>
      </c>
      <c r="F1599" s="36"/>
      <c r="G1599" s="36" t="str">
        <f>IFERROR(__xludf.DUMMYFUNCTION("""COMPUTED_VALUE"""),"Laprida y Liniers")</f>
        <v>Laprida y Liniers</v>
      </c>
      <c r="H1599" s="36" t="str">
        <f>IFERROR(__xludf.DUMMYFUNCTION("""COMPUTED_VALUE"""),"")</f>
        <v/>
      </c>
    </row>
    <row r="1600">
      <c r="A1600" s="36" t="str">
        <f>IFERROR(__xludf.DUMMYFUNCTION("""COMPUTED_VALUE"""),"03-30-10-69A")</f>
        <v>03-30-10-69A</v>
      </c>
      <c r="B1600" s="36" t="str">
        <f>IFERROR(__xludf.DUMMYFUNCTION("""COMPUTED_VALUE"""),"")</f>
        <v/>
      </c>
      <c r="C1600" s="36" t="str">
        <f>IFERROR(__xludf.DUMMYFUNCTION("""COMPUTED_VALUE"""),"")</f>
        <v/>
      </c>
      <c r="D1600" s="36" t="str">
        <f>IFERROR(__xludf.DUMMYFUNCTION("""COMPUTED_VALUE"""),"")</f>
        <v/>
      </c>
      <c r="E1600" s="36" t="str">
        <f>IFERROR(__xludf.DUMMYFUNCTION("""COMPUTED_VALUE"""),"01-40-09-13A")</f>
        <v>01-40-09-13A</v>
      </c>
      <c r="F1600" s="36"/>
      <c r="G1600" s="36" t="str">
        <f>IFERROR(__xludf.DUMMYFUNCTION("""COMPUTED_VALUE"""),"Laprida y Pueyrredón")</f>
        <v>Laprida y Pueyrredón</v>
      </c>
      <c r="H1600" s="36" t="str">
        <f>IFERROR(__xludf.DUMMYFUNCTION("""COMPUTED_VALUE"""),"")</f>
        <v/>
      </c>
    </row>
    <row r="1601">
      <c r="A1601" s="36" t="str">
        <f>IFERROR(__xludf.DUMMYFUNCTION("""COMPUTED_VALUE"""),"03-30-10-69B")</f>
        <v>03-30-10-69B</v>
      </c>
      <c r="B1601" s="36" t="str">
        <f>IFERROR(__xludf.DUMMYFUNCTION("""COMPUTED_VALUE"""),"")</f>
        <v/>
      </c>
      <c r="C1601" s="36" t="str">
        <f>IFERROR(__xludf.DUMMYFUNCTION("""COMPUTED_VALUE"""),"")</f>
        <v/>
      </c>
      <c r="D1601" s="36" t="str">
        <f>IFERROR(__xludf.DUMMYFUNCTION("""COMPUTED_VALUE"""),"")</f>
        <v/>
      </c>
      <c r="E1601" s="36" t="str">
        <f>IFERROR(__xludf.DUMMYFUNCTION("""COMPUTED_VALUE"""),"04-22-14-49A")</f>
        <v>04-22-14-49A</v>
      </c>
      <c r="F1601" s="36"/>
      <c r="G1601" s="36" t="str">
        <f>IFERROR(__xludf.DUMMYFUNCTION("""COMPUTED_VALUE"""),"Las Cañitas y Rodas")</f>
        <v>Las Cañitas y Rodas</v>
      </c>
      <c r="H1601" s="36" t="str">
        <f>IFERROR(__xludf.DUMMYFUNCTION("""COMPUTED_VALUE"""),"")</f>
        <v/>
      </c>
    </row>
    <row r="1602">
      <c r="A1602" s="36" t="str">
        <f>IFERROR(__xludf.DUMMYFUNCTION("""COMPUTED_VALUE"""),"03-30-10-70A")</f>
        <v>03-30-10-70A</v>
      </c>
      <c r="B1602" s="36" t="str">
        <f>IFERROR(__xludf.DUMMYFUNCTION("""COMPUTED_VALUE"""),"")</f>
        <v/>
      </c>
      <c r="C1602" s="36" t="str">
        <f>IFERROR(__xludf.DUMMYFUNCTION("""COMPUTED_VALUE"""),"")</f>
        <v/>
      </c>
      <c r="D1602" s="36" t="str">
        <f>IFERROR(__xludf.DUMMYFUNCTION("""COMPUTED_VALUE"""),"")</f>
        <v/>
      </c>
      <c r="E1602" s="36" t="str">
        <f>IFERROR(__xludf.DUMMYFUNCTION("""COMPUTED_VALUE"""),"01-21-07-251")</f>
        <v>01-21-07-251</v>
      </c>
      <c r="F1602" s="36"/>
      <c r="G1602" s="36" t="str">
        <f>IFERROR(__xludf.DUMMYFUNCTION("""COMPUTED_VALUE"""),"Las Flores y Canál Benavidez")</f>
        <v>Las Flores y Canál Benavidez</v>
      </c>
      <c r="H1602" s="36" t="str">
        <f>IFERROR(__xludf.DUMMYFUNCTION("""COMPUTED_VALUE"""),"")</f>
        <v/>
      </c>
    </row>
    <row r="1603">
      <c r="A1603" s="36" t="str">
        <f>IFERROR(__xludf.DUMMYFUNCTION("""COMPUTED_VALUE"""),"03-32-10-63B")</f>
        <v>03-32-10-63B</v>
      </c>
      <c r="B1603" s="36" t="str">
        <f>IFERROR(__xludf.DUMMYFUNCTION("""COMPUTED_VALUE"""),"")</f>
        <v/>
      </c>
      <c r="C1603" s="36" t="str">
        <f>IFERROR(__xludf.DUMMYFUNCTION("""COMPUTED_VALUE"""),"")</f>
        <v/>
      </c>
      <c r="D1603" s="36" t="str">
        <f>IFERROR(__xludf.DUMMYFUNCTION("""COMPUTED_VALUE"""),"")</f>
        <v/>
      </c>
      <c r="E1603" s="36" t="str">
        <f>IFERROR(__xludf.DUMMYFUNCTION("""COMPUTED_VALUE"""),"01-21-07-250")</f>
        <v>01-21-07-250</v>
      </c>
      <c r="F1603" s="36"/>
      <c r="G1603" s="36" t="str">
        <f>IFERROR(__xludf.DUMMYFUNCTION("""COMPUTED_VALUE"""),"Las Flores y Proyectada")</f>
        <v>Las Flores y Proyectada</v>
      </c>
      <c r="H1603" s="36" t="str">
        <f>IFERROR(__xludf.DUMMYFUNCTION("""COMPUTED_VALUE"""),"")</f>
        <v/>
      </c>
    </row>
    <row r="1604">
      <c r="A1604" s="36" t="str">
        <f>IFERROR(__xludf.DUMMYFUNCTION("""COMPUTED_VALUE"""),"03-32-10-64B")</f>
        <v>03-32-10-64B</v>
      </c>
      <c r="B1604" s="36" t="str">
        <f>IFERROR(__xludf.DUMMYFUNCTION("""COMPUTED_VALUE"""),"")</f>
        <v/>
      </c>
      <c r="C1604" s="36" t="str">
        <f>IFERROR(__xludf.DUMMYFUNCTION("""COMPUTED_VALUE"""),"")</f>
        <v/>
      </c>
      <c r="D1604" s="36" t="str">
        <f>IFERROR(__xludf.DUMMYFUNCTION("""COMPUTED_VALUE"""),"")</f>
        <v/>
      </c>
      <c r="E1604" s="36" t="str">
        <f>IFERROR(__xludf.DUMMYFUNCTION("""COMPUTED_VALUE"""),"01-36-07-33")</f>
        <v>01-36-07-33</v>
      </c>
      <c r="F1604" s="36"/>
      <c r="G1604" s="36" t="str">
        <f>IFERROR(__xludf.DUMMYFUNCTION("""COMPUTED_VALUE"""),"Las Heras Sucursal Bancaria")</f>
        <v>Las Heras Sucursal Bancaria</v>
      </c>
      <c r="H1604" s="36" t="str">
        <f>IFERROR(__xludf.DUMMYFUNCTION("""COMPUTED_VALUE"""),"")</f>
        <v/>
      </c>
    </row>
    <row r="1605">
      <c r="A1605" s="36" t="str">
        <f>IFERROR(__xludf.DUMMYFUNCTION("""COMPUTED_VALUE"""),"03-33-10-124B")</f>
        <v>03-33-10-124B</v>
      </c>
      <c r="B1605" s="36" t="str">
        <f>IFERROR(__xludf.DUMMYFUNCTION("""COMPUTED_VALUE"""),"")</f>
        <v/>
      </c>
      <c r="C1605" s="36" t="str">
        <f>IFERROR(__xludf.DUMMYFUNCTION("""COMPUTED_VALUE"""),"")</f>
        <v/>
      </c>
      <c r="D1605" s="36" t="str">
        <f>IFERROR(__xludf.DUMMYFUNCTION("""COMPUTED_VALUE"""),"")</f>
        <v/>
      </c>
      <c r="E1605" s="36" t="str">
        <f>IFERROR(__xludf.DUMMYFUNCTION("""COMPUTED_VALUE"""),"01-57-07-49")</f>
        <v>01-57-07-49</v>
      </c>
      <c r="F1605" s="36"/>
      <c r="G1605" s="36" t="str">
        <f>IFERROR(__xludf.DUMMYFUNCTION("""COMPUTED_VALUE"""),"Las Heras y 9 de Julio")</f>
        <v>Las Heras y 9 de Julio</v>
      </c>
      <c r="H1605" s="36" t="str">
        <f>IFERROR(__xludf.DUMMYFUNCTION("""COMPUTED_VALUE"""),"")</f>
        <v/>
      </c>
    </row>
    <row r="1606">
      <c r="A1606" s="36" t="str">
        <f>IFERROR(__xludf.DUMMYFUNCTION("""COMPUTED_VALUE"""),"03-33-10-128B")</f>
        <v>03-33-10-128B</v>
      </c>
      <c r="B1606" s="36" t="str">
        <f>IFERROR(__xludf.DUMMYFUNCTION("""COMPUTED_VALUE"""),"")</f>
        <v/>
      </c>
      <c r="C1606" s="36" t="str">
        <f>IFERROR(__xludf.DUMMYFUNCTION("""COMPUTED_VALUE"""),"")</f>
        <v/>
      </c>
      <c r="D1606" s="36" t="str">
        <f>IFERROR(__xludf.DUMMYFUNCTION("""COMPUTED_VALUE"""),"")</f>
        <v/>
      </c>
      <c r="E1606" s="36" t="str">
        <f>IFERROR(__xludf.DUMMYFUNCTION("""COMPUTED_VALUE"""),"01-36-07-25")</f>
        <v>01-36-07-25</v>
      </c>
      <c r="F1606" s="36"/>
      <c r="G1606" s="36" t="str">
        <f>IFERROR(__xludf.DUMMYFUNCTION("""COMPUTED_VALUE"""),"Las Heras y Alberdi")</f>
        <v>Las Heras y Alberdi</v>
      </c>
      <c r="H1606" s="36" t="str">
        <f>IFERROR(__xludf.DUMMYFUNCTION("""COMPUTED_VALUE"""),"")</f>
        <v/>
      </c>
    </row>
    <row r="1607">
      <c r="A1607" s="36" t="str">
        <f>IFERROR(__xludf.DUMMYFUNCTION("""COMPUTED_VALUE"""),"03-33-10-129A")</f>
        <v>03-33-10-129A</v>
      </c>
      <c r="B1607" s="36" t="str">
        <f>IFERROR(__xludf.DUMMYFUNCTION("""COMPUTED_VALUE"""),"")</f>
        <v/>
      </c>
      <c r="C1607" s="36" t="str">
        <f>IFERROR(__xludf.DUMMYFUNCTION("""COMPUTED_VALUE"""),"")</f>
        <v/>
      </c>
      <c r="D1607" s="36" t="str">
        <f>IFERROR(__xludf.DUMMYFUNCTION("""COMPUTED_VALUE"""),"")</f>
        <v/>
      </c>
      <c r="E1607" s="36" t="str">
        <f>IFERROR(__xludf.DUMMYFUNCTION("""COMPUTED_VALUE"""),"01-50-07-53")</f>
        <v>01-50-07-53</v>
      </c>
      <c r="F1607" s="36"/>
      <c r="G1607" s="36" t="str">
        <f>IFERROR(__xludf.DUMMYFUNCTION("""COMPUTED_VALUE"""),"Las Heras y Av. Córdoba")</f>
        <v>Las Heras y Av. Córdoba</v>
      </c>
      <c r="H1607" s="36" t="str">
        <f>IFERROR(__xludf.DUMMYFUNCTION("""COMPUTED_VALUE"""),"")</f>
        <v/>
      </c>
    </row>
    <row r="1608">
      <c r="A1608" s="36" t="str">
        <f>IFERROR(__xludf.DUMMYFUNCTION("""COMPUTED_VALUE"""),"03-33-10-129C")</f>
        <v>03-33-10-129C</v>
      </c>
      <c r="B1608" s="36" t="str">
        <f>IFERROR(__xludf.DUMMYFUNCTION("""COMPUTED_VALUE"""),"")</f>
        <v/>
      </c>
      <c r="C1608" s="36" t="str">
        <f>IFERROR(__xludf.DUMMYFUNCTION("""COMPUTED_VALUE"""),"")</f>
        <v/>
      </c>
      <c r="D1608" s="36" t="str">
        <f>IFERROR(__xludf.DUMMYFUNCTION("""COMPUTED_VALUE"""),"")</f>
        <v/>
      </c>
      <c r="E1608" s="36" t="str">
        <f>IFERROR(__xludf.DUMMYFUNCTION("""COMPUTED_VALUE"""),"01-57-12-352")</f>
        <v>01-57-12-352</v>
      </c>
      <c r="F1608" s="36"/>
      <c r="G1608" s="36" t="str">
        <f>IFERROR(__xludf.DUMMYFUNCTION("""COMPUTED_VALUE"""),"Las Heras y Belgrano")</f>
        <v>Las Heras y Belgrano</v>
      </c>
      <c r="H1608" s="36" t="str">
        <f>IFERROR(__xludf.DUMMYFUNCTION("""COMPUTED_VALUE"""),"")</f>
        <v/>
      </c>
    </row>
    <row r="1609">
      <c r="A1609" s="36" t="str">
        <f>IFERROR(__xludf.DUMMYFUNCTION("""COMPUTED_VALUE"""),"03-33-10-130B")</f>
        <v>03-33-10-130B</v>
      </c>
      <c r="B1609" s="36" t="str">
        <f>IFERROR(__xludf.DUMMYFUNCTION("""COMPUTED_VALUE"""),"")</f>
        <v/>
      </c>
      <c r="C1609" s="36" t="str">
        <f>IFERROR(__xludf.DUMMYFUNCTION("""COMPUTED_VALUE"""),"")</f>
        <v/>
      </c>
      <c r="D1609" s="36" t="str">
        <f>IFERROR(__xludf.DUMMYFUNCTION("""COMPUTED_VALUE"""),"")</f>
        <v/>
      </c>
      <c r="E1609" s="36" t="str">
        <f>IFERROR(__xludf.DUMMYFUNCTION("""COMPUTED_VALUE"""),"01-57-12-353")</f>
        <v>01-57-12-353</v>
      </c>
      <c r="F1609" s="36"/>
      <c r="G1609" s="36" t="str">
        <f>IFERROR(__xludf.DUMMYFUNCTION("""COMPUTED_VALUE"""),"Las Heras y Brasil")</f>
        <v>Las Heras y Brasil</v>
      </c>
      <c r="H1609" s="36" t="str">
        <f>IFERROR(__xludf.DUMMYFUNCTION("""COMPUTED_VALUE"""),"")</f>
        <v/>
      </c>
    </row>
    <row r="1610">
      <c r="A1610" s="36" t="str">
        <f>IFERROR(__xludf.DUMMYFUNCTION("""COMPUTED_VALUE"""),"03-33-10-131B")</f>
        <v>03-33-10-131B</v>
      </c>
      <c r="B1610" s="36" t="str">
        <f>IFERROR(__xludf.DUMMYFUNCTION("""COMPUTED_VALUE"""),"")</f>
        <v/>
      </c>
      <c r="C1610" s="36" t="str">
        <f>IFERROR(__xludf.DUMMYFUNCTION("""COMPUTED_VALUE"""),"")</f>
        <v/>
      </c>
      <c r="D1610" s="36" t="str">
        <f>IFERROR(__xludf.DUMMYFUNCTION("""COMPUTED_VALUE"""),"")</f>
        <v/>
      </c>
      <c r="E1610" s="36" t="str">
        <f>IFERROR(__xludf.DUMMYFUNCTION("""COMPUTED_VALUE"""),"01-36-07-24C")</f>
        <v>01-36-07-24C</v>
      </c>
      <c r="F1610" s="36"/>
      <c r="G1610" s="36" t="str">
        <f>IFERROR(__xludf.DUMMYFUNCTION("""COMPUTED_VALUE"""),"Las Heras y Cereceto E")</f>
        <v>Las Heras y Cereceto E</v>
      </c>
      <c r="H1610" s="36" t="str">
        <f>IFERROR(__xludf.DUMMYFUNCTION("""COMPUTED_VALUE"""),"")</f>
        <v/>
      </c>
    </row>
    <row r="1611">
      <c r="A1611" s="36" t="str">
        <f>IFERROR(__xludf.DUMMYFUNCTION("""COMPUTED_VALUE"""),"03-33-10-132B")</f>
        <v>03-33-10-132B</v>
      </c>
      <c r="B1611" s="36" t="str">
        <f>IFERROR(__xludf.DUMMYFUNCTION("""COMPUTED_VALUE"""),"")</f>
        <v/>
      </c>
      <c r="C1611" s="36" t="str">
        <f>IFERROR(__xludf.DUMMYFUNCTION("""COMPUTED_VALUE"""),"")</f>
        <v/>
      </c>
      <c r="D1611" s="36" t="str">
        <f>IFERROR(__xludf.DUMMYFUNCTION("""COMPUTED_VALUE"""),"")</f>
        <v/>
      </c>
      <c r="E1611" s="36" t="str">
        <f>IFERROR(__xludf.DUMMYFUNCTION("""COMPUTED_VALUE"""),"01-36-07-24D")</f>
        <v>01-36-07-24D</v>
      </c>
      <c r="F1611" s="36"/>
      <c r="G1611" s="36" t="str">
        <f>IFERROR(__xludf.DUMMYFUNCTION("""COMPUTED_VALUE"""),"Las Heras y Cereceto O")</f>
        <v>Las Heras y Cereceto O</v>
      </c>
      <c r="H1611" s="36" t="str">
        <f>IFERROR(__xludf.DUMMYFUNCTION("""COMPUTED_VALUE"""),"")</f>
        <v/>
      </c>
    </row>
    <row r="1612">
      <c r="A1612" s="36" t="str">
        <f>IFERROR(__xludf.DUMMYFUNCTION("""COMPUTED_VALUE"""),"03-33-10-133B")</f>
        <v>03-33-10-133B</v>
      </c>
      <c r="B1612" s="36" t="str">
        <f>IFERROR(__xludf.DUMMYFUNCTION("""COMPUTED_VALUE"""),"")</f>
        <v/>
      </c>
      <c r="C1612" s="36" t="str">
        <f>IFERROR(__xludf.DUMMYFUNCTION("""COMPUTED_VALUE"""),"")</f>
        <v/>
      </c>
      <c r="D1612" s="36" t="str">
        <f>IFERROR(__xludf.DUMMYFUNCTION("""COMPUTED_VALUE"""),"")</f>
        <v/>
      </c>
      <c r="E1612" s="36" t="str">
        <f>IFERROR(__xludf.DUMMYFUNCTION("""COMPUTED_VALUE"""),"01-36-07-24")</f>
        <v>01-36-07-24</v>
      </c>
      <c r="F1612" s="36"/>
      <c r="G1612" s="36" t="str">
        <f>IFERROR(__xludf.DUMMYFUNCTION("""COMPUTED_VALUE"""),"Las Heras y Cortínez")</f>
        <v>Las Heras y Cortínez</v>
      </c>
      <c r="H1612" s="36" t="str">
        <f>IFERROR(__xludf.DUMMYFUNCTION("""COMPUTED_VALUE"""),"")</f>
        <v/>
      </c>
    </row>
    <row r="1613">
      <c r="A1613" s="36" t="str">
        <f>IFERROR(__xludf.DUMMYFUNCTION("""COMPUTED_VALUE"""),"03-33-10-134B")</f>
        <v>03-33-10-134B</v>
      </c>
      <c r="B1613" s="36" t="str">
        <f>IFERROR(__xludf.DUMMYFUNCTION("""COMPUTED_VALUE"""),"")</f>
        <v/>
      </c>
      <c r="C1613" s="36" t="str">
        <f>IFERROR(__xludf.DUMMYFUNCTION("""COMPUTED_VALUE"""),"")</f>
        <v/>
      </c>
      <c r="D1613" s="36" t="str">
        <f>IFERROR(__xludf.DUMMYFUNCTION("""COMPUTED_VALUE"""),"")</f>
        <v/>
      </c>
      <c r="E1613" s="36" t="str">
        <f>IFERROR(__xludf.DUMMYFUNCTION("""COMPUTED_VALUE"""),"01-50-07-51")</f>
        <v>01-50-07-51</v>
      </c>
      <c r="F1613" s="36"/>
      <c r="G1613" s="36" t="str">
        <f>IFERROR(__xludf.DUMMYFUNCTION("""COMPUTED_VALUE"""),"Las Heras y General Paz")</f>
        <v>Las Heras y General Paz</v>
      </c>
      <c r="H1613" s="36" t="str">
        <f>IFERROR(__xludf.DUMMYFUNCTION("""COMPUTED_VALUE"""),"")</f>
        <v/>
      </c>
    </row>
    <row r="1614">
      <c r="A1614" s="36" t="str">
        <f>IFERROR(__xludf.DUMMYFUNCTION("""COMPUTED_VALUE"""),"03-33-10-135B")</f>
        <v>03-33-10-135B</v>
      </c>
      <c r="B1614" s="36" t="str">
        <f>IFERROR(__xludf.DUMMYFUNCTION("""COMPUTED_VALUE"""),"")</f>
        <v/>
      </c>
      <c r="C1614" s="36" t="str">
        <f>IFERROR(__xludf.DUMMYFUNCTION("""COMPUTED_VALUE"""),"")</f>
        <v/>
      </c>
      <c r="D1614" s="36" t="str">
        <f>IFERROR(__xludf.DUMMYFUNCTION("""COMPUTED_VALUE"""),"")</f>
        <v/>
      </c>
      <c r="E1614" s="36" t="str">
        <f>IFERROR(__xludf.DUMMYFUNCTION("""COMPUTED_VALUE"""),"01-57-12-351")</f>
        <v>01-57-12-351</v>
      </c>
      <c r="F1614" s="36"/>
      <c r="G1614" s="36" t="str">
        <f>IFERROR(__xludf.DUMMYFUNCTION("""COMPUTED_VALUE"""),"Las Heras y Gral. Arenales")</f>
        <v>Las Heras y Gral. Arenales</v>
      </c>
      <c r="H1614" s="36" t="str">
        <f>IFERROR(__xludf.DUMMYFUNCTION("""COMPUTED_VALUE"""),"")</f>
        <v/>
      </c>
    </row>
    <row r="1615">
      <c r="A1615" s="36" t="str">
        <f>IFERROR(__xludf.DUMMYFUNCTION("""COMPUTED_VALUE"""),"03-33-10-136B")</f>
        <v>03-33-10-136B</v>
      </c>
      <c r="B1615" s="36" t="str">
        <f>IFERROR(__xludf.DUMMYFUNCTION("""COMPUTED_VALUE"""),"")</f>
        <v/>
      </c>
      <c r="C1615" s="36" t="str">
        <f>IFERROR(__xludf.DUMMYFUNCTION("""COMPUTED_VALUE"""),"")</f>
        <v/>
      </c>
      <c r="D1615" s="36" t="str">
        <f>IFERROR(__xludf.DUMMYFUNCTION("""COMPUTED_VALUE"""),"")</f>
        <v/>
      </c>
      <c r="E1615" s="36" t="str">
        <f>IFERROR(__xludf.DUMMYFUNCTION("""COMPUTED_VALUE"""),"01-36-07-28")</f>
        <v>01-36-07-28</v>
      </c>
      <c r="F1615" s="36"/>
      <c r="G1615" s="36" t="str">
        <f>IFERROR(__xludf.DUMMYFUNCTION("""COMPUTED_VALUE"""),"Las Heras y Jorge Newbery")</f>
        <v>Las Heras y Jorge Newbery</v>
      </c>
      <c r="H1615" s="36" t="str">
        <f>IFERROR(__xludf.DUMMYFUNCTION("""COMPUTED_VALUE"""),"")</f>
        <v/>
      </c>
    </row>
    <row r="1616">
      <c r="A1616" s="36" t="str">
        <f>IFERROR(__xludf.DUMMYFUNCTION("""COMPUTED_VALUE"""),"03-33-10-458B")</f>
        <v>03-33-10-458B</v>
      </c>
      <c r="B1616" s="36" t="str">
        <f>IFERROR(__xludf.DUMMYFUNCTION("""COMPUTED_VALUE"""),"")</f>
        <v/>
      </c>
      <c r="C1616" s="36" t="str">
        <f>IFERROR(__xludf.DUMMYFUNCTION("""COMPUTED_VALUE"""),"")</f>
        <v/>
      </c>
      <c r="D1616" s="36" t="str">
        <f>IFERROR(__xludf.DUMMYFUNCTION("""COMPUTED_VALUE"""),"")</f>
        <v/>
      </c>
      <c r="E1616" s="36" t="str">
        <f>IFERROR(__xludf.DUMMYFUNCTION("""COMPUTED_VALUE"""),"01-36-07-24E")</f>
        <v>01-36-07-24E</v>
      </c>
      <c r="F1616" s="36"/>
      <c r="G1616" s="36" t="str">
        <f>IFERROR(__xludf.DUMMYFUNCTION("""COMPUTED_VALUE"""),"Las Heras y Juan Jufré E")</f>
        <v>Las Heras y Juan Jufré E</v>
      </c>
      <c r="H1616" s="36" t="str">
        <f>IFERROR(__xludf.DUMMYFUNCTION("""COMPUTED_VALUE"""),"")</f>
        <v/>
      </c>
    </row>
    <row r="1617">
      <c r="A1617" s="36" t="str">
        <f>IFERROR(__xludf.DUMMYFUNCTION("""COMPUTED_VALUE"""),"03-33-10-51")</f>
        <v>03-33-10-51</v>
      </c>
      <c r="B1617" s="36" t="str">
        <f>IFERROR(__xludf.DUMMYFUNCTION("""COMPUTED_VALUE"""),"")</f>
        <v/>
      </c>
      <c r="C1617" s="36" t="str">
        <f>IFERROR(__xludf.DUMMYFUNCTION("""COMPUTED_VALUE"""),"")</f>
        <v/>
      </c>
      <c r="D1617" s="36" t="str">
        <f>IFERROR(__xludf.DUMMYFUNCTION("""COMPUTED_VALUE"""),"")</f>
        <v/>
      </c>
      <c r="E1617" s="36" t="str">
        <f>IFERROR(__xludf.DUMMYFUNCTION("""COMPUTED_VALUE"""),"01-36-07-24F")</f>
        <v>01-36-07-24F</v>
      </c>
      <c r="F1617" s="36"/>
      <c r="G1617" s="36" t="str">
        <f>IFERROR(__xludf.DUMMYFUNCTION("""COMPUTED_VALUE"""),"Las Heras y Juan Jufré O")</f>
        <v>Las Heras y Juan Jufré O</v>
      </c>
      <c r="H1617" s="36" t="str">
        <f>IFERROR(__xludf.DUMMYFUNCTION("""COMPUTED_VALUE"""),"")</f>
        <v/>
      </c>
    </row>
    <row r="1618">
      <c r="A1618" s="36" t="str">
        <f>IFERROR(__xludf.DUMMYFUNCTION("""COMPUTED_VALUE"""),"03-33-10-52")</f>
        <v>03-33-10-52</v>
      </c>
      <c r="B1618" s="36" t="str">
        <f>IFERROR(__xludf.DUMMYFUNCTION("""COMPUTED_VALUE"""),"")</f>
        <v/>
      </c>
      <c r="C1618" s="36" t="str">
        <f>IFERROR(__xludf.DUMMYFUNCTION("""COMPUTED_VALUE"""),"")</f>
        <v/>
      </c>
      <c r="D1618" s="36" t="str">
        <f>IFERROR(__xludf.DUMMYFUNCTION("""COMPUTED_VALUE"""),"")</f>
        <v/>
      </c>
      <c r="E1618" s="36" t="str">
        <f>IFERROR(__xludf.DUMMYFUNCTION("""COMPUTED_VALUE"""),"01-36-07-29")</f>
        <v>01-36-07-29</v>
      </c>
      <c r="F1618" s="36"/>
      <c r="G1618" s="36" t="str">
        <f>IFERROR(__xludf.DUMMYFUNCTION("""COMPUTED_VALUE"""),"Las Heras y Maipú")</f>
        <v>Las Heras y Maipú</v>
      </c>
      <c r="H1618" s="36" t="str">
        <f>IFERROR(__xludf.DUMMYFUNCTION("""COMPUTED_VALUE"""),"")</f>
        <v/>
      </c>
    </row>
    <row r="1619">
      <c r="A1619" s="36" t="str">
        <f>IFERROR(__xludf.DUMMYFUNCTION("""COMPUTED_VALUE"""),"03-33-10-53A")</f>
        <v>03-33-10-53A</v>
      </c>
      <c r="B1619" s="36" t="str">
        <f>IFERROR(__xludf.DUMMYFUNCTION("""COMPUTED_VALUE"""),"")</f>
        <v/>
      </c>
      <c r="C1619" s="36" t="str">
        <f>IFERROR(__xludf.DUMMYFUNCTION("""COMPUTED_VALUE"""),"")</f>
        <v/>
      </c>
      <c r="D1619" s="36" t="str">
        <f>IFERROR(__xludf.DUMMYFUNCTION("""COMPUTED_VALUE"""),"")</f>
        <v/>
      </c>
      <c r="E1619" s="36" t="str">
        <f>IFERROR(__xludf.DUMMYFUNCTION("""COMPUTED_VALUE"""),"01-36-07-24A")</f>
        <v>01-36-07-24A</v>
      </c>
      <c r="F1619" s="36"/>
      <c r="G1619" s="36" t="str">
        <f>IFERROR(__xludf.DUMMYFUNCTION("""COMPUTED_VALUE"""),"Las Heras y Marcial Quiroga E")</f>
        <v>Las Heras y Marcial Quiroga E</v>
      </c>
      <c r="H1619" s="36" t="str">
        <f>IFERROR(__xludf.DUMMYFUNCTION("""COMPUTED_VALUE"""),"")</f>
        <v/>
      </c>
    </row>
    <row r="1620">
      <c r="A1620" s="36" t="str">
        <f>IFERROR(__xludf.DUMMYFUNCTION("""COMPUTED_VALUE"""),"03-33-10-53B")</f>
        <v>03-33-10-53B</v>
      </c>
      <c r="B1620" s="36" t="str">
        <f>IFERROR(__xludf.DUMMYFUNCTION("""COMPUTED_VALUE"""),"")</f>
        <v/>
      </c>
      <c r="C1620" s="36" t="str">
        <f>IFERROR(__xludf.DUMMYFUNCTION("""COMPUTED_VALUE"""),"")</f>
        <v/>
      </c>
      <c r="D1620" s="36" t="str">
        <f>IFERROR(__xludf.DUMMYFUNCTION("""COMPUTED_VALUE"""),"")</f>
        <v/>
      </c>
      <c r="E1620" s="36" t="str">
        <f>IFERROR(__xludf.DUMMYFUNCTION("""COMPUTED_VALUE"""),"01-36-07-24B")</f>
        <v>01-36-07-24B</v>
      </c>
      <c r="F1620" s="36"/>
      <c r="G1620" s="36" t="str">
        <f>IFERROR(__xludf.DUMMYFUNCTION("""COMPUTED_VALUE"""),"Las Heras y Marcial Quiroga O")</f>
        <v>Las Heras y Marcial Quiroga O</v>
      </c>
      <c r="H1620" s="36" t="str">
        <f>IFERROR(__xludf.DUMMYFUNCTION("""COMPUTED_VALUE"""),"")</f>
        <v/>
      </c>
    </row>
    <row r="1621">
      <c r="A1621" s="36" t="str">
        <f>IFERROR(__xludf.DUMMYFUNCTION("""COMPUTED_VALUE"""),"03-33-10-54A")</f>
        <v>03-33-10-54A</v>
      </c>
      <c r="B1621" s="36" t="str">
        <f>IFERROR(__xludf.DUMMYFUNCTION("""COMPUTED_VALUE"""),"")</f>
        <v/>
      </c>
      <c r="C1621" s="36" t="str">
        <f>IFERROR(__xludf.DUMMYFUNCTION("""COMPUTED_VALUE"""),"")</f>
        <v/>
      </c>
      <c r="D1621" s="36" t="str">
        <f>IFERROR(__xludf.DUMMYFUNCTION("""COMPUTED_VALUE"""),"")</f>
        <v/>
      </c>
      <c r="E1621" s="36" t="str">
        <f>IFERROR(__xludf.DUMMYFUNCTION("""COMPUTED_VALUE"""),"02-31-06-48A")</f>
        <v>02-31-06-48A</v>
      </c>
      <c r="F1621" s="36"/>
      <c r="G1621" s="36" t="str">
        <f>IFERROR(__xludf.DUMMYFUNCTION("""COMPUTED_VALUE"""),"Las Palmas y Boggian")</f>
        <v>Las Palmas y Boggian</v>
      </c>
      <c r="H1621" s="36" t="str">
        <f>IFERROR(__xludf.DUMMYFUNCTION("""COMPUTED_VALUE"""),"")</f>
        <v/>
      </c>
    </row>
    <row r="1622">
      <c r="A1622" s="36" t="str">
        <f>IFERROR(__xludf.DUMMYFUNCTION("""COMPUTED_VALUE"""),"03-33-10-54B")</f>
        <v>03-33-10-54B</v>
      </c>
      <c r="B1622" s="36" t="str">
        <f>IFERROR(__xludf.DUMMYFUNCTION("""COMPUTED_VALUE"""),"")</f>
        <v/>
      </c>
      <c r="C1622" s="36" t="str">
        <f>IFERROR(__xludf.DUMMYFUNCTION("""COMPUTED_VALUE"""),"")</f>
        <v/>
      </c>
      <c r="D1622" s="36" t="str">
        <f>IFERROR(__xludf.DUMMYFUNCTION("""COMPUTED_VALUE"""),"")</f>
        <v/>
      </c>
      <c r="E1622" s="36" t="str">
        <f>IFERROR(__xludf.DUMMYFUNCTION("""COMPUTED_VALUE"""),"02-31-06-47A")</f>
        <v>02-31-06-47A</v>
      </c>
      <c r="F1622" s="36"/>
      <c r="G1622" s="36" t="str">
        <f>IFERROR(__xludf.DUMMYFUNCTION("""COMPUTED_VALUE"""),"Las Palmas y Los Tilos E")</f>
        <v>Las Palmas y Los Tilos E</v>
      </c>
      <c r="H1622" s="36" t="str">
        <f>IFERROR(__xludf.DUMMYFUNCTION("""COMPUTED_VALUE"""),"")</f>
        <v/>
      </c>
    </row>
    <row r="1623">
      <c r="A1623" s="36" t="str">
        <f>IFERROR(__xludf.DUMMYFUNCTION("""COMPUTED_VALUE"""),"03-33-10-55A")</f>
        <v>03-33-10-55A</v>
      </c>
      <c r="B1623" s="36" t="str">
        <f>IFERROR(__xludf.DUMMYFUNCTION("""COMPUTED_VALUE"""),"")</f>
        <v/>
      </c>
      <c r="C1623" s="36" t="str">
        <f>IFERROR(__xludf.DUMMYFUNCTION("""COMPUTED_VALUE"""),"")</f>
        <v/>
      </c>
      <c r="D1623" s="36" t="str">
        <f>IFERROR(__xludf.DUMMYFUNCTION("""COMPUTED_VALUE"""),"")</f>
        <v/>
      </c>
      <c r="E1623" s="36" t="str">
        <f>IFERROR(__xludf.DUMMYFUNCTION("""COMPUTED_VALUE"""),"02-31-06-47")</f>
        <v>02-31-06-47</v>
      </c>
      <c r="F1623" s="36"/>
      <c r="G1623" s="36" t="str">
        <f>IFERROR(__xludf.DUMMYFUNCTION("""COMPUTED_VALUE"""),"Las Palmas y Los Tilos O")</f>
        <v>Las Palmas y Los Tilos O</v>
      </c>
      <c r="H1623" s="36" t="str">
        <f>IFERROR(__xludf.DUMMYFUNCTION("""COMPUTED_VALUE"""),"")</f>
        <v/>
      </c>
    </row>
    <row r="1624">
      <c r="A1624" s="36" t="str">
        <f>IFERROR(__xludf.DUMMYFUNCTION("""COMPUTED_VALUE"""),"03-33-10-55B")</f>
        <v>03-33-10-55B</v>
      </c>
      <c r="B1624" s="36" t="str">
        <f>IFERROR(__xludf.DUMMYFUNCTION("""COMPUTED_VALUE"""),"")</f>
        <v/>
      </c>
      <c r="C1624" s="36" t="str">
        <f>IFERROR(__xludf.DUMMYFUNCTION("""COMPUTED_VALUE"""),"")</f>
        <v/>
      </c>
      <c r="D1624" s="36" t="str">
        <f>IFERROR(__xludf.DUMMYFUNCTION("""COMPUTED_VALUE"""),"")</f>
        <v/>
      </c>
      <c r="E1624" s="36" t="str">
        <f>IFERROR(__xludf.DUMMYFUNCTION("""COMPUTED_VALUE"""),"02-31-06-46")</f>
        <v>02-31-06-46</v>
      </c>
      <c r="F1624" s="36"/>
      <c r="G1624" s="36" t="str">
        <f>IFERROR(__xludf.DUMMYFUNCTION("""COMPUTED_VALUE"""),"Las Palmas y Talcahuano")</f>
        <v>Las Palmas y Talcahuano</v>
      </c>
      <c r="H1624" s="36" t="str">
        <f>IFERROR(__xludf.DUMMYFUNCTION("""COMPUTED_VALUE"""),"")</f>
        <v/>
      </c>
    </row>
    <row r="1625">
      <c r="A1625" s="36" t="str">
        <f>IFERROR(__xludf.DUMMYFUNCTION("""COMPUTED_VALUE"""),"03-33-10-56A")</f>
        <v>03-33-10-56A</v>
      </c>
      <c r="B1625" s="36" t="str">
        <f>IFERROR(__xludf.DUMMYFUNCTION("""COMPUTED_VALUE"""),"")</f>
        <v/>
      </c>
      <c r="C1625" s="36" t="str">
        <f>IFERROR(__xludf.DUMMYFUNCTION("""COMPUTED_VALUE"""),"")</f>
        <v/>
      </c>
      <c r="D1625" s="36" t="str">
        <f>IFERROR(__xludf.DUMMYFUNCTION("""COMPUTED_VALUE"""),"")</f>
        <v/>
      </c>
      <c r="E1625" s="36" t="str">
        <f>IFERROR(__xludf.DUMMYFUNCTION("""COMPUTED_VALUE"""),"04-33-13-551")</f>
        <v>04-33-13-551</v>
      </c>
      <c r="F1625" s="36"/>
      <c r="G1625" s="36" t="str">
        <f>IFERROR(__xludf.DUMMYFUNCTION("""COMPUTED_VALUE"""),"Las Vicentinas y 11 de Setiembre -E")</f>
        <v>Las Vicentinas y 11 de Setiembre -E</v>
      </c>
      <c r="H1625" s="36" t="str">
        <f>IFERROR(__xludf.DUMMYFUNCTION("""COMPUTED_VALUE"""),"")</f>
        <v/>
      </c>
    </row>
    <row r="1626">
      <c r="A1626" s="36" t="str">
        <f>IFERROR(__xludf.DUMMYFUNCTION("""COMPUTED_VALUE"""),"03-33-10-56B")</f>
        <v>03-33-10-56B</v>
      </c>
      <c r="B1626" s="36" t="str">
        <f>IFERROR(__xludf.DUMMYFUNCTION("""COMPUTED_VALUE"""),"")</f>
        <v/>
      </c>
      <c r="C1626" s="36" t="str">
        <f>IFERROR(__xludf.DUMMYFUNCTION("""COMPUTED_VALUE"""),"")</f>
        <v/>
      </c>
      <c r="D1626" s="36" t="str">
        <f>IFERROR(__xludf.DUMMYFUNCTION("""COMPUTED_VALUE"""),"")</f>
        <v/>
      </c>
      <c r="E1626" s="36" t="str">
        <f>IFERROR(__xludf.DUMMYFUNCTION("""COMPUTED_VALUE"""),"04-33-13-550")</f>
        <v>04-33-13-550</v>
      </c>
      <c r="F1626" s="36"/>
      <c r="G1626" s="36" t="str">
        <f>IFERROR(__xludf.DUMMYFUNCTION("""COMPUTED_VALUE"""),"Las Vicentinas y 11 de Setiembre -O")</f>
        <v>Las Vicentinas y 11 de Setiembre -O</v>
      </c>
      <c r="H1626" s="36" t="str">
        <f>IFERROR(__xludf.DUMMYFUNCTION("""COMPUTED_VALUE"""),"")</f>
        <v/>
      </c>
    </row>
    <row r="1627">
      <c r="A1627" s="36" t="str">
        <f>IFERROR(__xludf.DUMMYFUNCTION("""COMPUTED_VALUE"""),"03-33-10-57")</f>
        <v>03-33-10-57</v>
      </c>
      <c r="B1627" s="36" t="str">
        <f>IFERROR(__xludf.DUMMYFUNCTION("""COMPUTED_VALUE"""),"")</f>
        <v/>
      </c>
      <c r="C1627" s="36" t="str">
        <f>IFERROR(__xludf.DUMMYFUNCTION("""COMPUTED_VALUE"""),"")</f>
        <v/>
      </c>
      <c r="D1627" s="36" t="str">
        <f>IFERROR(__xludf.DUMMYFUNCTION("""COMPUTED_VALUE"""),"")</f>
        <v/>
      </c>
      <c r="E1627" s="36" t="str">
        <f>IFERROR(__xludf.DUMMYFUNCTION("""COMPUTED_VALUE"""),"04-33-13-547")</f>
        <v>04-33-13-547</v>
      </c>
      <c r="F1627" s="36"/>
      <c r="G1627" s="36" t="str">
        <f>IFERROR(__xludf.DUMMYFUNCTION("""COMPUTED_VALUE"""),"Las Vicentinas y Cenobia Bustos")</f>
        <v>Las Vicentinas y Cenobia Bustos</v>
      </c>
      <c r="H1627" s="36" t="str">
        <f>IFERROR(__xludf.DUMMYFUNCTION("""COMPUTED_VALUE"""),"")</f>
        <v/>
      </c>
    </row>
    <row r="1628">
      <c r="A1628" s="36" t="str">
        <f>IFERROR(__xludf.DUMMYFUNCTION("""COMPUTED_VALUE"""),"03-33-10-58A")</f>
        <v>03-33-10-58A</v>
      </c>
      <c r="B1628" s="36" t="str">
        <f>IFERROR(__xludf.DUMMYFUNCTION("""COMPUTED_VALUE"""),"")</f>
        <v/>
      </c>
      <c r="C1628" s="36" t="str">
        <f>IFERROR(__xludf.DUMMYFUNCTION("""COMPUTED_VALUE"""),"")</f>
        <v/>
      </c>
      <c r="D1628" s="36" t="str">
        <f>IFERROR(__xludf.DUMMYFUNCTION("""COMPUTED_VALUE"""),"")</f>
        <v/>
      </c>
      <c r="E1628" s="36" t="str">
        <f>IFERROR(__xludf.DUMMYFUNCTION("""COMPUTED_VALUE"""),"04-33-13-553")</f>
        <v>04-33-13-553</v>
      </c>
      <c r="F1628" s="36"/>
      <c r="G1628" s="36" t="str">
        <f>IFERROR(__xludf.DUMMYFUNCTION("""COMPUTED_VALUE"""),"Las Vicentinas y José Castro -E")</f>
        <v>Las Vicentinas y José Castro -E</v>
      </c>
      <c r="H1628" s="36" t="str">
        <f>IFERROR(__xludf.DUMMYFUNCTION("""COMPUTED_VALUE"""),"")</f>
        <v/>
      </c>
    </row>
    <row r="1629">
      <c r="A1629" s="36" t="str">
        <f>IFERROR(__xludf.DUMMYFUNCTION("""COMPUTED_VALUE"""),"03-33-10-58B")</f>
        <v>03-33-10-58B</v>
      </c>
      <c r="B1629" s="36" t="str">
        <f>IFERROR(__xludf.DUMMYFUNCTION("""COMPUTED_VALUE"""),"")</f>
        <v/>
      </c>
      <c r="C1629" s="36" t="str">
        <f>IFERROR(__xludf.DUMMYFUNCTION("""COMPUTED_VALUE"""),"")</f>
        <v/>
      </c>
      <c r="D1629" s="36" t="str">
        <f>IFERROR(__xludf.DUMMYFUNCTION("""COMPUTED_VALUE"""),"")</f>
        <v/>
      </c>
      <c r="E1629" s="36" t="str">
        <f>IFERROR(__xludf.DUMMYFUNCTION("""COMPUTED_VALUE"""),"04-33-13-552")</f>
        <v>04-33-13-552</v>
      </c>
      <c r="F1629" s="36"/>
      <c r="G1629" s="36" t="str">
        <f>IFERROR(__xludf.DUMMYFUNCTION("""COMPUTED_VALUE"""),"Las Vicentinas y José Castro -O")</f>
        <v>Las Vicentinas y José Castro -O</v>
      </c>
      <c r="H1629" s="36" t="str">
        <f>IFERROR(__xludf.DUMMYFUNCTION("""COMPUTED_VALUE"""),"")</f>
        <v/>
      </c>
    </row>
    <row r="1630">
      <c r="A1630" s="36" t="str">
        <f>IFERROR(__xludf.DUMMYFUNCTION("""COMPUTED_VALUE"""),"03-33-10-58C")</f>
        <v>03-33-10-58C</v>
      </c>
      <c r="B1630" s="36" t="str">
        <f>IFERROR(__xludf.DUMMYFUNCTION("""COMPUTED_VALUE"""),"")</f>
        <v/>
      </c>
      <c r="C1630" s="36" t="str">
        <f>IFERROR(__xludf.DUMMYFUNCTION("""COMPUTED_VALUE"""),"")</f>
        <v/>
      </c>
      <c r="D1630" s="36" t="str">
        <f>IFERROR(__xludf.DUMMYFUNCTION("""COMPUTED_VALUE"""),"")</f>
        <v/>
      </c>
      <c r="E1630" s="36" t="str">
        <f>IFERROR(__xludf.DUMMYFUNCTION("""COMPUTED_VALUE"""),"04-33-13-548")</f>
        <v>04-33-13-548</v>
      </c>
      <c r="F1630" s="36"/>
      <c r="G1630" s="36" t="str">
        <f>IFERROR(__xludf.DUMMYFUNCTION("""COMPUTED_VALUE"""),"Las Vicentinas y Martín Fierro")</f>
        <v>Las Vicentinas y Martín Fierro</v>
      </c>
      <c r="H1630" s="36" t="str">
        <f>IFERROR(__xludf.DUMMYFUNCTION("""COMPUTED_VALUE"""),"")</f>
        <v/>
      </c>
    </row>
    <row r="1631">
      <c r="A1631" s="36" t="str">
        <f>IFERROR(__xludf.DUMMYFUNCTION("""COMPUTED_VALUE"""),"03-33-10-58D")</f>
        <v>03-33-10-58D</v>
      </c>
      <c r="B1631" s="36" t="str">
        <f>IFERROR(__xludf.DUMMYFUNCTION("""COMPUTED_VALUE"""),"")</f>
        <v/>
      </c>
      <c r="C1631" s="36" t="str">
        <f>IFERROR(__xludf.DUMMYFUNCTION("""COMPUTED_VALUE"""),"")</f>
        <v/>
      </c>
      <c r="D1631" s="36" t="str">
        <f>IFERROR(__xludf.DUMMYFUNCTION("""COMPUTED_VALUE"""),"")</f>
        <v/>
      </c>
      <c r="E1631" s="36" t="str">
        <f>IFERROR(__xludf.DUMMYFUNCTION("""COMPUTED_VALUE"""),"04-33-13-549")</f>
        <v>04-33-13-549</v>
      </c>
      <c r="F1631" s="36"/>
      <c r="G1631" s="36" t="str">
        <f>IFERROR(__xludf.DUMMYFUNCTION("""COMPUTED_VALUE"""),"Las Vicentinas y Monseñor Orzali")</f>
        <v>Las Vicentinas y Monseñor Orzali</v>
      </c>
      <c r="H1631" s="36" t="str">
        <f>IFERROR(__xludf.DUMMYFUNCTION("""COMPUTED_VALUE"""),"")</f>
        <v/>
      </c>
    </row>
    <row r="1632">
      <c r="A1632" s="36" t="str">
        <f>IFERROR(__xludf.DUMMYFUNCTION("""COMPUTED_VALUE"""),"03-33-10-59A")</f>
        <v>03-33-10-59A</v>
      </c>
      <c r="B1632" s="36" t="str">
        <f>IFERROR(__xludf.DUMMYFUNCTION("""COMPUTED_VALUE"""),"")</f>
        <v/>
      </c>
      <c r="C1632" s="36" t="str">
        <f>IFERROR(__xludf.DUMMYFUNCTION("""COMPUTED_VALUE"""),"")</f>
        <v/>
      </c>
      <c r="D1632" s="36" t="str">
        <f>IFERROR(__xludf.DUMMYFUNCTION("""COMPUTED_VALUE"""),"")</f>
        <v/>
      </c>
      <c r="E1632" s="36" t="str">
        <f>IFERROR(__xludf.DUMMYFUNCTION("""COMPUTED_VALUE"""),"01-61-13-195")</f>
        <v>01-61-13-195</v>
      </c>
      <c r="F1632" s="36"/>
      <c r="G1632" s="36" t="str">
        <f>IFERROR(__xludf.DUMMYFUNCTION("""COMPUTED_VALUE"""),"Lat. de Circunvalación -S y Gral. Acha")</f>
        <v>Lat. de Circunvalación -S y Gral. Acha</v>
      </c>
      <c r="H1632" s="36" t="str">
        <f>IFERROR(__xludf.DUMMYFUNCTION("""COMPUTED_VALUE"""),"")</f>
        <v/>
      </c>
    </row>
    <row r="1633">
      <c r="A1633" s="36" t="str">
        <f>IFERROR(__xludf.DUMMYFUNCTION("""COMPUTED_VALUE"""),"03-33-10-59B")</f>
        <v>03-33-10-59B</v>
      </c>
      <c r="B1633" s="36" t="str">
        <f>IFERROR(__xludf.DUMMYFUNCTION("""COMPUTED_VALUE"""),"")</f>
        <v/>
      </c>
      <c r="C1633" s="36" t="str">
        <f>IFERROR(__xludf.DUMMYFUNCTION("""COMPUTED_VALUE"""),"")</f>
        <v/>
      </c>
      <c r="D1633" s="36" t="str">
        <f>IFERROR(__xludf.DUMMYFUNCTION("""COMPUTED_VALUE"""),"")</f>
        <v/>
      </c>
      <c r="E1633" s="36" t="str">
        <f>IFERROR(__xludf.DUMMYFUNCTION("""COMPUTED_VALUE"""),"04-22-14-21")</f>
        <v>04-22-14-21</v>
      </c>
      <c r="F1633" s="36"/>
      <c r="G1633" s="36" t="str">
        <f>IFERROR(__xludf.DUMMYFUNCTION("""COMPUTED_VALUE"""),"Lateral Circunv. y Abraham Tapia")</f>
        <v>Lateral Circunv. y Abraham Tapia</v>
      </c>
      <c r="H1633" s="36" t="str">
        <f>IFERROR(__xludf.DUMMYFUNCTION("""COMPUTED_VALUE"""),"")</f>
        <v/>
      </c>
    </row>
    <row r="1634">
      <c r="A1634" s="36" t="str">
        <f>IFERROR(__xludf.DUMMYFUNCTION("""COMPUTED_VALUE"""),"03-33-10-60A")</f>
        <v>03-33-10-60A</v>
      </c>
      <c r="B1634" s="36" t="str">
        <f>IFERROR(__xludf.DUMMYFUNCTION("""COMPUTED_VALUE"""),"")</f>
        <v/>
      </c>
      <c r="C1634" s="36" t="str">
        <f>IFERROR(__xludf.DUMMYFUNCTION("""COMPUTED_VALUE"""),"")</f>
        <v/>
      </c>
      <c r="D1634" s="36" t="str">
        <f>IFERROR(__xludf.DUMMYFUNCTION("""COMPUTED_VALUE"""),"")</f>
        <v/>
      </c>
      <c r="E1634" s="36" t="str">
        <f>IFERROR(__xludf.DUMMYFUNCTION("""COMPUTED_VALUE"""),"03-49-10-8H")</f>
        <v>03-49-10-8H</v>
      </c>
      <c r="F1634" s="36"/>
      <c r="G1634" s="36" t="str">
        <f>IFERROR(__xludf.DUMMYFUNCTION("""COMPUTED_VALUE"""),"Lateral de Circunvalación y Lencinas")</f>
        <v>Lateral de Circunvalación y Lencinas</v>
      </c>
      <c r="H1634" s="36" t="str">
        <f>IFERROR(__xludf.DUMMYFUNCTION("""COMPUTED_VALUE"""),"")</f>
        <v/>
      </c>
    </row>
    <row r="1635">
      <c r="A1635" s="36" t="str">
        <f>IFERROR(__xludf.DUMMYFUNCTION("""COMPUTED_VALUE"""),"03-33-10-60B")</f>
        <v>03-33-10-60B</v>
      </c>
      <c r="B1635" s="36" t="str">
        <f>IFERROR(__xludf.DUMMYFUNCTION("""COMPUTED_VALUE"""),"")</f>
        <v/>
      </c>
      <c r="C1635" s="36" t="str">
        <f>IFERROR(__xludf.DUMMYFUNCTION("""COMPUTED_VALUE"""),"")</f>
        <v/>
      </c>
      <c r="D1635" s="36" t="str">
        <f>IFERROR(__xludf.DUMMYFUNCTION("""COMPUTED_VALUE"""),"")</f>
        <v/>
      </c>
      <c r="E1635" s="36" t="str">
        <f>IFERROR(__xludf.DUMMYFUNCTION("""COMPUTED_VALUE"""),"02-32-11-94")</f>
        <v>02-32-11-94</v>
      </c>
      <c r="F1635" s="36"/>
      <c r="G1635" s="36" t="str">
        <f>IFERROR(__xludf.DUMMYFUNCTION("""COMPUTED_VALUE"""),"Lavalle Norte y Atahualpa Yupanqui")</f>
        <v>Lavalle Norte y Atahualpa Yupanqui</v>
      </c>
      <c r="H1635" s="36" t="str">
        <f>IFERROR(__xludf.DUMMYFUNCTION("""COMPUTED_VALUE"""),"")</f>
        <v/>
      </c>
    </row>
    <row r="1636">
      <c r="A1636" s="36" t="str">
        <f>IFERROR(__xludf.DUMMYFUNCTION("""COMPUTED_VALUE"""),"03-33-10-61A")</f>
        <v>03-33-10-61A</v>
      </c>
      <c r="B1636" s="36" t="str">
        <f>IFERROR(__xludf.DUMMYFUNCTION("""COMPUTED_VALUE"""),"")</f>
        <v/>
      </c>
      <c r="C1636" s="36" t="str">
        <f>IFERROR(__xludf.DUMMYFUNCTION("""COMPUTED_VALUE"""),"")</f>
        <v/>
      </c>
      <c r="D1636" s="36" t="str">
        <f>IFERROR(__xludf.DUMMYFUNCTION("""COMPUTED_VALUE"""),"")</f>
        <v/>
      </c>
      <c r="E1636" s="36" t="str">
        <f>IFERROR(__xludf.DUMMYFUNCTION("""COMPUTED_VALUE"""),"02-32-11-94A")</f>
        <v>02-32-11-94A</v>
      </c>
      <c r="F1636" s="36"/>
      <c r="G1636" s="36" t="str">
        <f>IFERROR(__xludf.DUMMYFUNCTION("""COMPUTED_VALUE"""),"Lavalle Sur y Atahualpa Yupanqui")</f>
        <v>Lavalle Sur y Atahualpa Yupanqui</v>
      </c>
      <c r="H1636" s="36" t="str">
        <f>IFERROR(__xludf.DUMMYFUNCTION("""COMPUTED_VALUE"""),"")</f>
        <v/>
      </c>
    </row>
    <row r="1637">
      <c r="A1637" s="36" t="str">
        <f>IFERROR(__xludf.DUMMYFUNCTION("""COMPUTED_VALUE"""),"03-33-10-61B")</f>
        <v>03-33-10-61B</v>
      </c>
      <c r="B1637" s="36" t="str">
        <f>IFERROR(__xludf.DUMMYFUNCTION("""COMPUTED_VALUE"""),"")</f>
        <v/>
      </c>
      <c r="C1637" s="36" t="str">
        <f>IFERROR(__xludf.DUMMYFUNCTION("""COMPUTED_VALUE"""),"")</f>
        <v/>
      </c>
      <c r="D1637" s="36" t="str">
        <f>IFERROR(__xludf.DUMMYFUNCTION("""COMPUTED_VALUE"""),"")</f>
        <v/>
      </c>
      <c r="E1637" s="36" t="str">
        <f>IFERROR(__xludf.DUMMYFUNCTION("""COMPUTED_VALUE"""),"01-62-13-233")</f>
        <v>01-62-13-233</v>
      </c>
      <c r="F1637" s="36"/>
      <c r="G1637" s="36" t="str">
        <f>IFERROR(__xludf.DUMMYFUNCTION("""COMPUTED_VALUE"""),"Lavalle y Abraham Tapia -S")</f>
        <v>Lavalle y Abraham Tapia -S</v>
      </c>
      <c r="H1637" s="36" t="str">
        <f>IFERROR(__xludf.DUMMYFUNCTION("""COMPUTED_VALUE"""),"")</f>
        <v/>
      </c>
    </row>
    <row r="1638">
      <c r="A1638" s="36" t="str">
        <f>IFERROR(__xludf.DUMMYFUNCTION("""COMPUTED_VALUE"""),"03-33-10-62A")</f>
        <v>03-33-10-62A</v>
      </c>
      <c r="B1638" s="36" t="str">
        <f>IFERROR(__xludf.DUMMYFUNCTION("""COMPUTED_VALUE"""),"")</f>
        <v/>
      </c>
      <c r="C1638" s="36" t="str">
        <f>IFERROR(__xludf.DUMMYFUNCTION("""COMPUTED_VALUE"""),"")</f>
        <v/>
      </c>
      <c r="D1638" s="36" t="str">
        <f>IFERROR(__xludf.DUMMYFUNCTION("""COMPUTED_VALUE"""),"")</f>
        <v/>
      </c>
      <c r="E1638" s="36" t="str">
        <f>IFERROR(__xludf.DUMMYFUNCTION("""COMPUTED_VALUE"""),"02-32-11-93")</f>
        <v>02-32-11-93</v>
      </c>
      <c r="F1638" s="36"/>
      <c r="G1638" s="36" t="str">
        <f>IFERROR(__xludf.DUMMYFUNCTION("""COMPUTED_VALUE"""),"Lavalle y Calívar")</f>
        <v>Lavalle y Calívar</v>
      </c>
      <c r="H1638" s="36" t="str">
        <f>IFERROR(__xludf.DUMMYFUNCTION("""COMPUTED_VALUE"""),"")</f>
        <v/>
      </c>
    </row>
    <row r="1639">
      <c r="A1639" s="36" t="str">
        <f>IFERROR(__xludf.DUMMYFUNCTION("""COMPUTED_VALUE"""),"03-33-10-62B")</f>
        <v>03-33-10-62B</v>
      </c>
      <c r="B1639" s="36" t="str">
        <f>IFERROR(__xludf.DUMMYFUNCTION("""COMPUTED_VALUE"""),"")</f>
        <v/>
      </c>
      <c r="C1639" s="36" t="str">
        <f>IFERROR(__xludf.DUMMYFUNCTION("""COMPUTED_VALUE"""),"")</f>
        <v/>
      </c>
      <c r="D1639" s="36" t="str">
        <f>IFERROR(__xludf.DUMMYFUNCTION("""COMPUTED_VALUE"""),"")</f>
        <v/>
      </c>
      <c r="E1639" s="36" t="str">
        <f>IFERROR(__xludf.DUMMYFUNCTION("""COMPUTED_VALUE"""),"01-62-13-236")</f>
        <v>01-62-13-236</v>
      </c>
      <c r="F1639" s="36"/>
      <c r="G1639" s="36" t="str">
        <f>IFERROR(__xludf.DUMMYFUNCTION("""COMPUTED_VALUE"""),"Lavalle y Facultad")</f>
        <v>Lavalle y Facultad</v>
      </c>
      <c r="H1639" s="36" t="str">
        <f>IFERROR(__xludf.DUMMYFUNCTION("""COMPUTED_VALUE"""),"")</f>
        <v/>
      </c>
    </row>
    <row r="1640">
      <c r="A1640" s="36" t="str">
        <f>IFERROR(__xludf.DUMMYFUNCTION("""COMPUTED_VALUE"""),"03-33-10-63A")</f>
        <v>03-33-10-63A</v>
      </c>
      <c r="B1640" s="36" t="str">
        <f>IFERROR(__xludf.DUMMYFUNCTION("""COMPUTED_VALUE"""),"")</f>
        <v/>
      </c>
      <c r="C1640" s="36" t="str">
        <f>IFERROR(__xludf.DUMMYFUNCTION("""COMPUTED_VALUE"""),"")</f>
        <v/>
      </c>
      <c r="D1640" s="36" t="str">
        <f>IFERROR(__xludf.DUMMYFUNCTION("""COMPUTED_VALUE"""),"")</f>
        <v/>
      </c>
      <c r="E1640" s="36" t="str">
        <f>IFERROR(__xludf.DUMMYFUNCTION("""COMPUTED_VALUE"""),"01-62-13-237")</f>
        <v>01-62-13-237</v>
      </c>
      <c r="F1640" s="36"/>
      <c r="G1640" s="36" t="str">
        <f>IFERROR(__xludf.DUMMYFUNCTION("""COMPUTED_VALUE"""),"Lavalle y Fray Mamerto Esquiú")</f>
        <v>Lavalle y Fray Mamerto Esquiú</v>
      </c>
      <c r="H1640" s="36" t="str">
        <f>IFERROR(__xludf.DUMMYFUNCTION("""COMPUTED_VALUE"""),"")</f>
        <v/>
      </c>
    </row>
    <row r="1641">
      <c r="A1641" s="36" t="str">
        <f>IFERROR(__xludf.DUMMYFUNCTION("""COMPUTED_VALUE"""),"03-33-10-64A")</f>
        <v>03-33-10-64A</v>
      </c>
      <c r="B1641" s="36" t="str">
        <f>IFERROR(__xludf.DUMMYFUNCTION("""COMPUTED_VALUE"""),"")</f>
        <v/>
      </c>
      <c r="C1641" s="36" t="str">
        <f>IFERROR(__xludf.DUMMYFUNCTION("""COMPUTED_VALUE"""),"")</f>
        <v/>
      </c>
      <c r="D1641" s="36" t="str">
        <f>IFERROR(__xludf.DUMMYFUNCTION("""COMPUTED_VALUE"""),"")</f>
        <v/>
      </c>
      <c r="E1641" s="36" t="str">
        <f>IFERROR(__xludf.DUMMYFUNCTION("""COMPUTED_VALUE"""),"02-32-11-95B")</f>
        <v>02-32-11-95B</v>
      </c>
      <c r="F1641" s="36"/>
      <c r="G1641" s="36" t="str">
        <f>IFERROR(__xludf.DUMMYFUNCTION("""COMPUTED_VALUE"""),"Lavalle y Gral. Madariaga")</f>
        <v>Lavalle y Gral. Madariaga</v>
      </c>
      <c r="H1641" s="36" t="str">
        <f>IFERROR(__xludf.DUMMYFUNCTION("""COMPUTED_VALUE"""),"")</f>
        <v/>
      </c>
    </row>
    <row r="1642">
      <c r="A1642" s="36" t="str">
        <f>IFERROR(__xludf.DUMMYFUNCTION("""COMPUTED_VALUE"""),"03-34-10-110D")</f>
        <v>03-34-10-110D</v>
      </c>
      <c r="B1642" s="36" t="str">
        <f>IFERROR(__xludf.DUMMYFUNCTION("""COMPUTED_VALUE"""),"")</f>
        <v/>
      </c>
      <c r="C1642" s="36" t="str">
        <f>IFERROR(__xludf.DUMMYFUNCTION("""COMPUTED_VALUE"""),"")</f>
        <v/>
      </c>
      <c r="D1642" s="36" t="str">
        <f>IFERROR(__xludf.DUMMYFUNCTION("""COMPUTED_VALUE"""),"")</f>
        <v/>
      </c>
      <c r="E1642" s="36" t="str">
        <f>IFERROR(__xludf.DUMMYFUNCTION("""COMPUTED_VALUE"""),"01-64-13-248A")</f>
        <v>01-64-13-248A</v>
      </c>
      <c r="F1642" s="36"/>
      <c r="G1642" s="36" t="str">
        <f>IFERROR(__xludf.DUMMYFUNCTION("""COMPUTED_VALUE"""),"Lavalle y Huaco")</f>
        <v>Lavalle y Huaco</v>
      </c>
      <c r="H1642" s="36" t="str">
        <f>IFERROR(__xludf.DUMMYFUNCTION("""COMPUTED_VALUE"""),"")</f>
        <v/>
      </c>
    </row>
    <row r="1643">
      <c r="A1643" s="36" t="str">
        <f>IFERROR(__xludf.DUMMYFUNCTION("""COMPUTED_VALUE"""),"03-34-10-122B")</f>
        <v>03-34-10-122B</v>
      </c>
      <c r="B1643" s="36" t="str">
        <f>IFERROR(__xludf.DUMMYFUNCTION("""COMPUTED_VALUE"""),"")</f>
        <v/>
      </c>
      <c r="C1643" s="36" t="str">
        <f>IFERROR(__xludf.DUMMYFUNCTION("""COMPUTED_VALUE"""),"")</f>
        <v/>
      </c>
      <c r="D1643" s="36" t="str">
        <f>IFERROR(__xludf.DUMMYFUNCTION("""COMPUTED_VALUE"""),"")</f>
        <v/>
      </c>
      <c r="E1643" s="36" t="str">
        <f>IFERROR(__xludf.DUMMYFUNCTION("""COMPUTED_VALUE"""),"02-32-11-95A")</f>
        <v>02-32-11-95A</v>
      </c>
      <c r="F1643" s="36"/>
      <c r="G1643" s="36" t="str">
        <f>IFERROR(__xludf.DUMMYFUNCTION("""COMPUTED_VALUE"""),"Lavalle y Jaime Dávalos")</f>
        <v>Lavalle y Jaime Dávalos</v>
      </c>
      <c r="H1643" s="36" t="str">
        <f>IFERROR(__xludf.DUMMYFUNCTION("""COMPUTED_VALUE"""),"")</f>
        <v/>
      </c>
    </row>
    <row r="1644">
      <c r="A1644" s="36" t="str">
        <f>IFERROR(__xludf.DUMMYFUNCTION("""COMPUTED_VALUE"""),"03-34-10-122D")</f>
        <v>03-34-10-122D</v>
      </c>
      <c r="B1644" s="36" t="str">
        <f>IFERROR(__xludf.DUMMYFUNCTION("""COMPUTED_VALUE"""),"")</f>
        <v/>
      </c>
      <c r="C1644" s="36" t="str">
        <f>IFERROR(__xludf.DUMMYFUNCTION("""COMPUTED_VALUE"""),"")</f>
        <v/>
      </c>
      <c r="D1644" s="36" t="str">
        <f>IFERROR(__xludf.DUMMYFUNCTION("""COMPUTED_VALUE"""),"")</f>
        <v/>
      </c>
      <c r="E1644" s="36" t="str">
        <f>IFERROR(__xludf.DUMMYFUNCTION("""COMPUTED_VALUE"""),"01-55-13-239")</f>
        <v>01-55-13-239</v>
      </c>
      <c r="F1644" s="36"/>
      <c r="G1644" s="36" t="str">
        <f>IFERROR(__xludf.DUMMYFUNCTION("""COMPUTED_VALUE"""),"Lavalle y Mariano Moreno")</f>
        <v>Lavalle y Mariano Moreno</v>
      </c>
      <c r="H1644" s="36" t="str">
        <f>IFERROR(__xludf.DUMMYFUNCTION("""COMPUTED_VALUE"""),"")</f>
        <v/>
      </c>
    </row>
    <row r="1645">
      <c r="A1645" s="36" t="str">
        <f>IFERROR(__xludf.DUMMYFUNCTION("""COMPUTED_VALUE"""),"03-34-10-128B")</f>
        <v>03-34-10-128B</v>
      </c>
      <c r="B1645" s="36" t="str">
        <f>IFERROR(__xludf.DUMMYFUNCTION("""COMPUTED_VALUE"""),"")</f>
        <v/>
      </c>
      <c r="C1645" s="36" t="str">
        <f>IFERROR(__xludf.DUMMYFUNCTION("""COMPUTED_VALUE"""),"")</f>
        <v/>
      </c>
      <c r="D1645" s="36" t="str">
        <f>IFERROR(__xludf.DUMMYFUNCTION("""COMPUTED_VALUE"""),"")</f>
        <v/>
      </c>
      <c r="E1645" s="36" t="str">
        <f>IFERROR(__xludf.DUMMYFUNCTION("""COMPUTED_VALUE"""),"01-62-13-238")</f>
        <v>01-62-13-238</v>
      </c>
      <c r="F1645" s="36"/>
      <c r="G1645" s="36" t="str">
        <f>IFERROR(__xludf.DUMMYFUNCTION("""COMPUTED_VALUE"""),"Lavalle y O´Higgins")</f>
        <v>Lavalle y O´Higgins</v>
      </c>
      <c r="H1645" s="36" t="str">
        <f>IFERROR(__xludf.DUMMYFUNCTION("""COMPUTED_VALUE"""),"")</f>
        <v/>
      </c>
    </row>
    <row r="1646">
      <c r="A1646" s="36" t="str">
        <f>IFERROR(__xludf.DUMMYFUNCTION("""COMPUTED_VALUE"""),"03-34-10-137B")</f>
        <v>03-34-10-137B</v>
      </c>
      <c r="B1646" s="36" t="str">
        <f>IFERROR(__xludf.DUMMYFUNCTION("""COMPUTED_VALUE"""),"")</f>
        <v/>
      </c>
      <c r="C1646" s="36" t="str">
        <f>IFERROR(__xludf.DUMMYFUNCTION("""COMPUTED_VALUE"""),"")</f>
        <v/>
      </c>
      <c r="D1646" s="36" t="str">
        <f>IFERROR(__xludf.DUMMYFUNCTION("""COMPUTED_VALUE"""),"")</f>
        <v/>
      </c>
      <c r="E1646" s="36" t="str">
        <f>IFERROR(__xludf.DUMMYFUNCTION("""COMPUTED_VALUE"""),"01-62-13-235")</f>
        <v>01-62-13-235</v>
      </c>
      <c r="F1646" s="36"/>
      <c r="G1646" s="36" t="str">
        <f>IFERROR(__xludf.DUMMYFUNCTION("""COMPUTED_VALUE"""),"Lavalle y Pedro de Valdivia")</f>
        <v>Lavalle y Pedro de Valdivia</v>
      </c>
      <c r="H1646" s="36" t="str">
        <f>IFERROR(__xludf.DUMMYFUNCTION("""COMPUTED_VALUE"""),"")</f>
        <v/>
      </c>
    </row>
    <row r="1647">
      <c r="A1647" s="36" t="str">
        <f>IFERROR(__xludf.DUMMYFUNCTION("""COMPUTED_VALUE"""),"03-34-10-48A")</f>
        <v>03-34-10-48A</v>
      </c>
      <c r="B1647" s="36" t="str">
        <f>IFERROR(__xludf.DUMMYFUNCTION("""COMPUTED_VALUE"""),"")</f>
        <v/>
      </c>
      <c r="C1647" s="36" t="str">
        <f>IFERROR(__xludf.DUMMYFUNCTION("""COMPUTED_VALUE"""),"")</f>
        <v/>
      </c>
      <c r="D1647" s="36" t="str">
        <f>IFERROR(__xludf.DUMMYFUNCTION("""COMPUTED_VALUE"""),"")</f>
        <v/>
      </c>
      <c r="E1647" s="36" t="str">
        <f>IFERROR(__xludf.DUMMYFUNCTION("""COMPUTED_VALUE"""),"03-49-10-8C")</f>
        <v>03-49-10-8C</v>
      </c>
      <c r="F1647" s="36"/>
      <c r="G1647" s="36" t="str">
        <f>IFERROR(__xludf.DUMMYFUNCTION("""COMPUTED_VALUE"""),"Lencinas y Gorriti")</f>
        <v>Lencinas y Gorriti</v>
      </c>
      <c r="H1647" s="36" t="str">
        <f>IFERROR(__xludf.DUMMYFUNCTION("""COMPUTED_VALUE"""),"")</f>
        <v/>
      </c>
    </row>
    <row r="1648">
      <c r="A1648" s="36" t="str">
        <f>IFERROR(__xludf.DUMMYFUNCTION("""COMPUTED_VALUE"""),"03-34-10-49A")</f>
        <v>03-34-10-49A</v>
      </c>
      <c r="B1648" s="36" t="str">
        <f>IFERROR(__xludf.DUMMYFUNCTION("""COMPUTED_VALUE"""),"")</f>
        <v/>
      </c>
      <c r="C1648" s="36" t="str">
        <f>IFERROR(__xludf.DUMMYFUNCTION("""COMPUTED_VALUE"""),"")</f>
        <v/>
      </c>
      <c r="D1648" s="36" t="str">
        <f>IFERROR(__xludf.DUMMYFUNCTION("""COMPUTED_VALUE"""),"")</f>
        <v/>
      </c>
      <c r="E1648" s="36" t="str">
        <f>IFERROR(__xludf.DUMMYFUNCTION("""COMPUTED_VALUE"""),"03-49-10-8F")</f>
        <v>03-49-10-8F</v>
      </c>
      <c r="F1648" s="36"/>
      <c r="G1648" s="36" t="str">
        <f>IFERROR(__xludf.DUMMYFUNCTION("""COMPUTED_VALUE"""),"Lencinas y J María del Carril")</f>
        <v>Lencinas y J María del Carril</v>
      </c>
      <c r="H1648" s="36" t="str">
        <f>IFERROR(__xludf.DUMMYFUNCTION("""COMPUTED_VALUE"""),"")</f>
        <v/>
      </c>
    </row>
    <row r="1649">
      <c r="A1649" s="36" t="str">
        <f>IFERROR(__xludf.DUMMYFUNCTION("""COMPUTED_VALUE"""),"03-34-10-49B")</f>
        <v>03-34-10-49B</v>
      </c>
      <c r="B1649" s="36" t="str">
        <f>IFERROR(__xludf.DUMMYFUNCTION("""COMPUTED_VALUE"""),"")</f>
        <v/>
      </c>
      <c r="C1649" s="36" t="str">
        <f>IFERROR(__xludf.DUMMYFUNCTION("""COMPUTED_VALUE"""),"")</f>
        <v/>
      </c>
      <c r="D1649" s="36" t="str">
        <f>IFERROR(__xludf.DUMMYFUNCTION("""COMPUTED_VALUE"""),"")</f>
        <v/>
      </c>
      <c r="E1649" s="36" t="str">
        <f>IFERROR(__xludf.DUMMYFUNCTION("""COMPUTED_VALUE"""),"03-49-10-8D")</f>
        <v>03-49-10-8D</v>
      </c>
      <c r="F1649" s="36"/>
      <c r="G1649" s="36" t="str">
        <f>IFERROR(__xludf.DUMMYFUNCTION("""COMPUTED_VALUE"""),"Lencinas y Manantiales Norte")</f>
        <v>Lencinas y Manantiales Norte</v>
      </c>
      <c r="H1649" s="36" t="str">
        <f>IFERROR(__xludf.DUMMYFUNCTION("""COMPUTED_VALUE"""),"")</f>
        <v/>
      </c>
    </row>
    <row r="1650">
      <c r="A1650" s="36" t="str">
        <f>IFERROR(__xludf.DUMMYFUNCTION("""COMPUTED_VALUE"""),"03-34-10-50")</f>
        <v>03-34-10-50</v>
      </c>
      <c r="B1650" s="36" t="str">
        <f>IFERROR(__xludf.DUMMYFUNCTION("""COMPUTED_VALUE"""),"")</f>
        <v/>
      </c>
      <c r="C1650" s="36" t="str">
        <f>IFERROR(__xludf.DUMMYFUNCTION("""COMPUTED_VALUE"""),"")</f>
        <v/>
      </c>
      <c r="D1650" s="36" t="str">
        <f>IFERROR(__xludf.DUMMYFUNCTION("""COMPUTED_VALUE"""),"")</f>
        <v/>
      </c>
      <c r="E1650" s="36" t="str">
        <f>IFERROR(__xludf.DUMMYFUNCTION("""COMPUTED_VALUE"""),"03-49-10-8E")</f>
        <v>03-49-10-8E</v>
      </c>
      <c r="F1650" s="36"/>
      <c r="G1650" s="36" t="str">
        <f>IFERROR(__xludf.DUMMYFUNCTION("""COMPUTED_VALUE"""),"Lencinas y Manantiales Sur")</f>
        <v>Lencinas y Manantiales Sur</v>
      </c>
      <c r="H1650" s="36" t="str">
        <f>IFERROR(__xludf.DUMMYFUNCTION("""COMPUTED_VALUE"""),"")</f>
        <v/>
      </c>
    </row>
    <row r="1651">
      <c r="A1651" s="36" t="str">
        <f>IFERROR(__xludf.DUMMYFUNCTION("""COMPUTED_VALUE"""),"03-36-10-110C")</f>
        <v>03-36-10-110C</v>
      </c>
      <c r="B1651" s="36" t="str">
        <f>IFERROR(__xludf.DUMMYFUNCTION("""COMPUTED_VALUE"""),"")</f>
        <v/>
      </c>
      <c r="C1651" s="36" t="str">
        <f>IFERROR(__xludf.DUMMYFUNCTION("""COMPUTED_VALUE"""),"")</f>
        <v/>
      </c>
      <c r="D1651" s="36" t="str">
        <f>IFERROR(__xludf.DUMMYFUNCTION("""COMPUTED_VALUE"""),"")</f>
        <v/>
      </c>
      <c r="E1651" s="36" t="str">
        <f>IFERROR(__xludf.DUMMYFUNCTION("""COMPUTED_VALUE"""),"01-25-09-244")</f>
        <v>01-25-09-244</v>
      </c>
      <c r="F1651" s="36"/>
      <c r="G1651" s="36" t="str">
        <f>IFERROR(__xludf.DUMMYFUNCTION("""COMPUTED_VALUE"""),"Leónidas Escudero y Jorge Bence")</f>
        <v>Leónidas Escudero y Jorge Bence</v>
      </c>
      <c r="H1651" s="36" t="str">
        <f>IFERROR(__xludf.DUMMYFUNCTION("""COMPUTED_VALUE"""),"")</f>
        <v/>
      </c>
    </row>
    <row r="1652">
      <c r="A1652" s="36" t="str">
        <f>IFERROR(__xludf.DUMMYFUNCTION("""COMPUTED_VALUE"""),"03-36-10-46A")</f>
        <v>03-36-10-46A</v>
      </c>
      <c r="B1652" s="36" t="str">
        <f>IFERROR(__xludf.DUMMYFUNCTION("""COMPUTED_VALUE"""),"")</f>
        <v/>
      </c>
      <c r="C1652" s="36" t="str">
        <f>IFERROR(__xludf.DUMMYFUNCTION("""COMPUTED_VALUE"""),"")</f>
        <v/>
      </c>
      <c r="D1652" s="36" t="str">
        <f>IFERROR(__xludf.DUMMYFUNCTION("""COMPUTED_VALUE"""),"")</f>
        <v/>
      </c>
      <c r="E1652" s="36" t="str">
        <f>IFERROR(__xludf.DUMMYFUNCTION("""COMPUTED_VALUE"""),"03-31-09-109C")</f>
        <v>03-31-09-109C</v>
      </c>
      <c r="F1652" s="36"/>
      <c r="G1652" s="36" t="str">
        <f>IFERROR(__xludf.DUMMYFUNCTION("""COMPUTED_VALUE"""),"Libertad -E y Buenos Aires")</f>
        <v>Libertad -E y Buenos Aires</v>
      </c>
      <c r="H1652" s="36" t="str">
        <f>IFERROR(__xludf.DUMMYFUNCTION("""COMPUTED_VALUE"""),"")</f>
        <v/>
      </c>
    </row>
    <row r="1653">
      <c r="A1653" s="36" t="str">
        <f>IFERROR(__xludf.DUMMYFUNCTION("""COMPUTED_VALUE"""),"03-36-10-46B")</f>
        <v>03-36-10-46B</v>
      </c>
      <c r="B1653" s="36" t="str">
        <f>IFERROR(__xludf.DUMMYFUNCTION("""COMPUTED_VALUE"""),"")</f>
        <v/>
      </c>
      <c r="C1653" s="36" t="str">
        <f>IFERROR(__xludf.DUMMYFUNCTION("""COMPUTED_VALUE"""),"")</f>
        <v/>
      </c>
      <c r="D1653" s="36" t="str">
        <f>IFERROR(__xludf.DUMMYFUNCTION("""COMPUTED_VALUE"""),"")</f>
        <v/>
      </c>
      <c r="E1653" s="36" t="str">
        <f>IFERROR(__xludf.DUMMYFUNCTION("""COMPUTED_VALUE"""),"03-31-09-109A")</f>
        <v>03-31-09-109A</v>
      </c>
      <c r="F1653" s="36"/>
      <c r="G1653" s="36" t="str">
        <f>IFERROR(__xludf.DUMMYFUNCTION("""COMPUTED_VALUE"""),"Libertad -E y Unión")</f>
        <v>Libertad -E y Unión</v>
      </c>
      <c r="H1653" s="36" t="str">
        <f>IFERROR(__xludf.DUMMYFUNCTION("""COMPUTED_VALUE"""),"")</f>
        <v/>
      </c>
    </row>
    <row r="1654">
      <c r="A1654" s="36" t="str">
        <f>IFERROR(__xludf.DUMMYFUNCTION("""COMPUTED_VALUE"""),"03-36-10-47A")</f>
        <v>03-36-10-47A</v>
      </c>
      <c r="B1654" s="36" t="str">
        <f>IFERROR(__xludf.DUMMYFUNCTION("""COMPUTED_VALUE"""),"")</f>
        <v/>
      </c>
      <c r="C1654" s="36" t="str">
        <f>IFERROR(__xludf.DUMMYFUNCTION("""COMPUTED_VALUE"""),"")</f>
        <v/>
      </c>
      <c r="D1654" s="36" t="str">
        <f>IFERROR(__xludf.DUMMYFUNCTION("""COMPUTED_VALUE"""),"")</f>
        <v/>
      </c>
      <c r="E1654" s="36" t="str">
        <f>IFERROR(__xludf.DUMMYFUNCTION("""COMPUTED_VALUE"""),"03-31-09-109D")</f>
        <v>03-31-09-109D</v>
      </c>
      <c r="F1654" s="36"/>
      <c r="G1654" s="36" t="str">
        <f>IFERROR(__xludf.DUMMYFUNCTION("""COMPUTED_VALUE"""),"Libertad y Buenos Aires")</f>
        <v>Libertad y Buenos Aires</v>
      </c>
      <c r="H1654" s="36" t="str">
        <f>IFERROR(__xludf.DUMMYFUNCTION("""COMPUTED_VALUE"""),"")</f>
        <v/>
      </c>
    </row>
    <row r="1655">
      <c r="A1655" s="36" t="str">
        <f>IFERROR(__xludf.DUMMYFUNCTION("""COMPUTED_VALUE"""),"03-36-10-47B")</f>
        <v>03-36-10-47B</v>
      </c>
      <c r="B1655" s="36" t="str">
        <f>IFERROR(__xludf.DUMMYFUNCTION("""COMPUTED_VALUE"""),"")</f>
        <v/>
      </c>
      <c r="C1655" s="36" t="str">
        <f>IFERROR(__xludf.DUMMYFUNCTION("""COMPUTED_VALUE"""),"")</f>
        <v/>
      </c>
      <c r="D1655" s="36" t="str">
        <f>IFERROR(__xludf.DUMMYFUNCTION("""COMPUTED_VALUE"""),"")</f>
        <v/>
      </c>
      <c r="E1655" s="36" t="str">
        <f>IFERROR(__xludf.DUMMYFUNCTION("""COMPUTED_VALUE"""),"03-31-09-109H")</f>
        <v>03-31-09-109H</v>
      </c>
      <c r="F1655" s="36"/>
      <c r="G1655" s="36" t="str">
        <f>IFERROR(__xludf.DUMMYFUNCTION("""COMPUTED_VALUE"""),"Libertad y Lima")</f>
        <v>Libertad y Lima</v>
      </c>
      <c r="H1655" s="36" t="str">
        <f>IFERROR(__xludf.DUMMYFUNCTION("""COMPUTED_VALUE"""),"")</f>
        <v/>
      </c>
    </row>
    <row r="1656">
      <c r="A1656" s="36" t="str">
        <f>IFERROR(__xludf.DUMMYFUNCTION("""COMPUTED_VALUE"""),"03-36-10-48B")</f>
        <v>03-36-10-48B</v>
      </c>
      <c r="B1656" s="36" t="str">
        <f>IFERROR(__xludf.DUMMYFUNCTION("""COMPUTED_VALUE"""),"")</f>
        <v/>
      </c>
      <c r="C1656" s="36" t="str">
        <f>IFERROR(__xludf.DUMMYFUNCTION("""COMPUTED_VALUE"""),"")</f>
        <v/>
      </c>
      <c r="D1656" s="36" t="str">
        <f>IFERROR(__xludf.DUMMYFUNCTION("""COMPUTED_VALUE"""),"")</f>
        <v/>
      </c>
      <c r="E1656" s="36" t="str">
        <f>IFERROR(__xludf.DUMMYFUNCTION("""COMPUTED_VALUE"""),"03-31-09-109B")</f>
        <v>03-31-09-109B</v>
      </c>
      <c r="F1656" s="36"/>
      <c r="G1656" s="36" t="str">
        <f>IFERROR(__xludf.DUMMYFUNCTION("""COMPUTED_VALUE"""),"Libertad y Unión")</f>
        <v>Libertad y Unión</v>
      </c>
      <c r="H1656" s="36" t="str">
        <f>IFERROR(__xludf.DUMMYFUNCTION("""COMPUTED_VALUE"""),"")</f>
        <v/>
      </c>
    </row>
    <row r="1657">
      <c r="A1657" s="36" t="str">
        <f>IFERROR(__xludf.DUMMYFUNCTION("""COMPUTED_VALUE"""),"03-36-10-89B")</f>
        <v>03-36-10-89B</v>
      </c>
      <c r="B1657" s="36" t="str">
        <f>IFERROR(__xludf.DUMMYFUNCTION("""COMPUTED_VALUE"""),"")</f>
        <v/>
      </c>
      <c r="C1657" s="36" t="str">
        <f>IFERROR(__xludf.DUMMYFUNCTION("""COMPUTED_VALUE"""),"")</f>
        <v/>
      </c>
      <c r="D1657" s="36" t="str">
        <f>IFERROR(__xludf.DUMMYFUNCTION("""COMPUTED_VALUE"""),"")</f>
        <v/>
      </c>
      <c r="E1657" s="36" t="str">
        <f>IFERROR(__xludf.DUMMYFUNCTION("""COMPUTED_VALUE"""),"03-31-09-109G")</f>
        <v>03-31-09-109G</v>
      </c>
      <c r="F1657" s="36"/>
      <c r="G1657" s="36" t="str">
        <f>IFERROR(__xludf.DUMMYFUNCTION("""COMPUTED_VALUE"""),"Lima y Cabildo")</f>
        <v>Lima y Cabildo</v>
      </c>
      <c r="H1657" s="36" t="str">
        <f>IFERROR(__xludf.DUMMYFUNCTION("""COMPUTED_VALUE"""),"")</f>
        <v/>
      </c>
    </row>
    <row r="1658">
      <c r="A1658" s="36" t="str">
        <f>IFERROR(__xludf.DUMMYFUNCTION("""COMPUTED_VALUE"""),"03-36-10-92B")</f>
        <v>03-36-10-92B</v>
      </c>
      <c r="B1658" s="36" t="str">
        <f>IFERROR(__xludf.DUMMYFUNCTION("""COMPUTED_VALUE"""),"")</f>
        <v/>
      </c>
      <c r="C1658" s="36" t="str">
        <f>IFERROR(__xludf.DUMMYFUNCTION("""COMPUTED_VALUE"""),"")</f>
        <v/>
      </c>
      <c r="D1658" s="36" t="str">
        <f>IFERROR(__xludf.DUMMYFUNCTION("""COMPUTED_VALUE"""),"")</f>
        <v/>
      </c>
      <c r="E1658" s="36" t="str">
        <f>IFERROR(__xludf.DUMMYFUNCTION("""COMPUTED_VALUE"""),"03-31-09-109E")</f>
        <v>03-31-09-109E</v>
      </c>
      <c r="F1658" s="36"/>
      <c r="G1658" s="36" t="str">
        <f>IFERROR(__xludf.DUMMYFUNCTION("""COMPUTED_VALUE"""),"Lima y Colón")</f>
        <v>Lima y Colón</v>
      </c>
      <c r="H1658" s="36" t="str">
        <f>IFERROR(__xludf.DUMMYFUNCTION("""COMPUTED_VALUE"""),"")</f>
        <v/>
      </c>
    </row>
    <row r="1659">
      <c r="A1659" s="36" t="str">
        <f>IFERROR(__xludf.DUMMYFUNCTION("""COMPUTED_VALUE"""),"03-36-10-93B")</f>
        <v>03-36-10-93B</v>
      </c>
      <c r="B1659" s="36" t="str">
        <f>IFERROR(__xludf.DUMMYFUNCTION("""COMPUTED_VALUE"""),"")</f>
        <v/>
      </c>
      <c r="C1659" s="36" t="str">
        <f>IFERROR(__xludf.DUMMYFUNCTION("""COMPUTED_VALUE"""),"")</f>
        <v/>
      </c>
      <c r="D1659" s="36" t="str">
        <f>IFERROR(__xludf.DUMMYFUNCTION("""COMPUTED_VALUE"""),"")</f>
        <v/>
      </c>
      <c r="E1659" s="36" t="str">
        <f>IFERROR(__xludf.DUMMYFUNCTION("""COMPUTED_VALUE"""),"03-20-09-109I")</f>
        <v>03-20-09-109I</v>
      </c>
      <c r="F1659" s="36"/>
      <c r="G1659" s="36" t="str">
        <f>IFERROR(__xludf.DUMMYFUNCTION("""COMPUTED_VALUE"""),"Lima y Libertad")</f>
        <v>Lima y Libertad</v>
      </c>
      <c r="H1659" s="36" t="str">
        <f>IFERROR(__xludf.DUMMYFUNCTION("""COMPUTED_VALUE"""),"")</f>
        <v/>
      </c>
    </row>
    <row r="1660">
      <c r="A1660" s="36" t="str">
        <f>IFERROR(__xludf.DUMMYFUNCTION("""COMPUTED_VALUE"""),"03-38-10-40A")</f>
        <v>03-38-10-40A</v>
      </c>
      <c r="B1660" s="36" t="str">
        <f>IFERROR(__xludf.DUMMYFUNCTION("""COMPUTED_VALUE"""),"")</f>
        <v/>
      </c>
      <c r="C1660" s="36" t="str">
        <f>IFERROR(__xludf.DUMMYFUNCTION("""COMPUTED_VALUE"""),"")</f>
        <v/>
      </c>
      <c r="D1660" s="36" t="str">
        <f>IFERROR(__xludf.DUMMYFUNCTION("""COMPUTED_VALUE"""),"")</f>
        <v/>
      </c>
      <c r="E1660" s="36" t="str">
        <f>IFERROR(__xludf.DUMMYFUNCTION("""COMPUTED_VALUE"""),"04-35-12-20")</f>
        <v>04-35-12-20</v>
      </c>
      <c r="F1660" s="36"/>
      <c r="G1660" s="36" t="str">
        <f>IFERROR(__xludf.DUMMYFUNCTION("""COMPUTED_VALUE"""),"Liniers y Andrade")</f>
        <v>Liniers y Andrade</v>
      </c>
      <c r="H1660" s="36" t="str">
        <f>IFERROR(__xludf.DUMMYFUNCTION("""COMPUTED_VALUE"""),"")</f>
        <v/>
      </c>
    </row>
    <row r="1661">
      <c r="A1661" s="36" t="str">
        <f>IFERROR(__xludf.DUMMYFUNCTION("""COMPUTED_VALUE"""),"03-38-10-41A")</f>
        <v>03-38-10-41A</v>
      </c>
      <c r="B1661" s="36" t="str">
        <f>IFERROR(__xludf.DUMMYFUNCTION("""COMPUTED_VALUE"""),"")</f>
        <v/>
      </c>
      <c r="C1661" s="36" t="str">
        <f>IFERROR(__xludf.DUMMYFUNCTION("""COMPUTED_VALUE"""),"")</f>
        <v/>
      </c>
      <c r="D1661" s="36" t="str">
        <f>IFERROR(__xludf.DUMMYFUNCTION("""COMPUTED_VALUE"""),"")</f>
        <v/>
      </c>
      <c r="E1661" s="36" t="str">
        <f>IFERROR(__xludf.DUMMYFUNCTION("""COMPUTED_VALUE"""),"04-35-12-48")</f>
        <v>04-35-12-48</v>
      </c>
      <c r="F1661" s="36"/>
      <c r="G1661" s="36" t="str">
        <f>IFERROR(__xludf.DUMMYFUNCTION("""COMPUTED_VALUE"""),"Liniers y Bahía Blanca")</f>
        <v>Liniers y Bahía Blanca</v>
      </c>
      <c r="H1661" s="36" t="str">
        <f>IFERROR(__xludf.DUMMYFUNCTION("""COMPUTED_VALUE"""),"")</f>
        <v/>
      </c>
    </row>
    <row r="1662">
      <c r="A1662" s="36" t="str">
        <f>IFERROR(__xludf.DUMMYFUNCTION("""COMPUTED_VALUE"""),"03-38-10-42A")</f>
        <v>03-38-10-42A</v>
      </c>
      <c r="B1662" s="36" t="str">
        <f>IFERROR(__xludf.DUMMYFUNCTION("""COMPUTED_VALUE"""),"")</f>
        <v/>
      </c>
      <c r="C1662" s="36" t="str">
        <f>IFERROR(__xludf.DUMMYFUNCTION("""COMPUTED_VALUE"""),"")</f>
        <v/>
      </c>
      <c r="D1662" s="36" t="str">
        <f>IFERROR(__xludf.DUMMYFUNCTION("""COMPUTED_VALUE"""),"")</f>
        <v/>
      </c>
      <c r="E1662" s="36" t="str">
        <f>IFERROR(__xludf.DUMMYFUNCTION("""COMPUTED_VALUE"""),"02-28-06-97A")</f>
        <v>02-28-06-97A</v>
      </c>
      <c r="F1662" s="36"/>
      <c r="G1662" s="36" t="str">
        <f>IFERROR(__xludf.DUMMYFUNCTION("""COMPUTED_VALUE"""),"Liniers y Cabildo E")</f>
        <v>Liniers y Cabildo E</v>
      </c>
      <c r="H1662" s="36" t="str">
        <f>IFERROR(__xludf.DUMMYFUNCTION("""COMPUTED_VALUE"""),"")</f>
        <v/>
      </c>
    </row>
    <row r="1663">
      <c r="A1663" s="36" t="str">
        <f>IFERROR(__xludf.DUMMYFUNCTION("""COMPUTED_VALUE"""),"03-38-10-43A")</f>
        <v>03-38-10-43A</v>
      </c>
      <c r="B1663" s="36" t="str">
        <f>IFERROR(__xludf.DUMMYFUNCTION("""COMPUTED_VALUE"""),"")</f>
        <v/>
      </c>
      <c r="C1663" s="36" t="str">
        <f>IFERROR(__xludf.DUMMYFUNCTION("""COMPUTED_VALUE"""),"")</f>
        <v/>
      </c>
      <c r="D1663" s="36" t="str">
        <f>IFERROR(__xludf.DUMMYFUNCTION("""COMPUTED_VALUE"""),"")</f>
        <v/>
      </c>
      <c r="E1663" s="36" t="str">
        <f>IFERROR(__xludf.DUMMYFUNCTION("""COMPUTED_VALUE"""),"02-28-06-97")</f>
        <v>02-28-06-97</v>
      </c>
      <c r="F1663" s="36"/>
      <c r="G1663" s="36" t="str">
        <f>IFERROR(__xludf.DUMMYFUNCTION("""COMPUTED_VALUE"""),"Liniers y Cabildo O")</f>
        <v>Liniers y Cabildo O</v>
      </c>
      <c r="H1663" s="36" t="str">
        <f>IFERROR(__xludf.DUMMYFUNCTION("""COMPUTED_VALUE"""),"")</f>
        <v/>
      </c>
    </row>
    <row r="1664">
      <c r="A1664" s="36" t="str">
        <f>IFERROR(__xludf.DUMMYFUNCTION("""COMPUTED_VALUE"""),"03-38-10-44A")</f>
        <v>03-38-10-44A</v>
      </c>
      <c r="B1664" s="36" t="str">
        <f>IFERROR(__xludf.DUMMYFUNCTION("""COMPUTED_VALUE"""),"")</f>
        <v/>
      </c>
      <c r="C1664" s="36" t="str">
        <f>IFERROR(__xludf.DUMMYFUNCTION("""COMPUTED_VALUE"""),"")</f>
        <v/>
      </c>
      <c r="D1664" s="36" t="str">
        <f>IFERROR(__xludf.DUMMYFUNCTION("""COMPUTED_VALUE"""),"")</f>
        <v/>
      </c>
      <c r="E1664" s="36" t="str">
        <f>IFERROR(__xludf.DUMMYFUNCTION("""COMPUTED_VALUE"""),"04-35-12-44")</f>
        <v>04-35-12-44</v>
      </c>
      <c r="F1664" s="36"/>
      <c r="G1664" s="36" t="str">
        <f>IFERROR(__xludf.DUMMYFUNCTION("""COMPUTED_VALUE"""),"Liniers y Francia")</f>
        <v>Liniers y Francia</v>
      </c>
      <c r="H1664" s="36" t="str">
        <f>IFERROR(__xludf.DUMMYFUNCTION("""COMPUTED_VALUE"""),"")</f>
        <v/>
      </c>
    </row>
    <row r="1665">
      <c r="A1665" s="36" t="str">
        <f>IFERROR(__xludf.DUMMYFUNCTION("""COMPUTED_VALUE"""),"03-38-10-45")</f>
        <v>03-38-10-45</v>
      </c>
      <c r="B1665" s="36" t="str">
        <f>IFERROR(__xludf.DUMMYFUNCTION("""COMPUTED_VALUE"""),"")</f>
        <v/>
      </c>
      <c r="C1665" s="36" t="str">
        <f>IFERROR(__xludf.DUMMYFUNCTION("""COMPUTED_VALUE"""),"")</f>
        <v/>
      </c>
      <c r="D1665" s="36" t="str">
        <f>IFERROR(__xludf.DUMMYFUNCTION("""COMPUTED_VALUE"""),"")</f>
        <v/>
      </c>
      <c r="E1665" s="36" t="str">
        <f>IFERROR(__xludf.DUMMYFUNCTION("""COMPUTED_VALUE"""),"04-35-12-46")</f>
        <v>04-35-12-46</v>
      </c>
      <c r="F1665" s="36"/>
      <c r="G1665" s="36" t="str">
        <f>IFERROR(__xludf.DUMMYFUNCTION("""COMPUTED_VALUE"""),"Liniers y José Hernandez")</f>
        <v>Liniers y José Hernandez</v>
      </c>
      <c r="H1665" s="36" t="str">
        <f>IFERROR(__xludf.DUMMYFUNCTION("""COMPUTED_VALUE"""),"")</f>
        <v/>
      </c>
    </row>
    <row r="1666">
      <c r="A1666" s="36" t="str">
        <f>IFERROR(__xludf.DUMMYFUNCTION("""COMPUTED_VALUE"""),"03-38-10-94B")</f>
        <v>03-38-10-94B</v>
      </c>
      <c r="B1666" s="36" t="str">
        <f>IFERROR(__xludf.DUMMYFUNCTION("""COMPUTED_VALUE"""),"")</f>
        <v/>
      </c>
      <c r="C1666" s="36" t="str">
        <f>IFERROR(__xludf.DUMMYFUNCTION("""COMPUTED_VALUE"""),"")</f>
        <v/>
      </c>
      <c r="D1666" s="36" t="str">
        <f>IFERROR(__xludf.DUMMYFUNCTION("""COMPUTED_VALUE"""),"")</f>
        <v/>
      </c>
      <c r="E1666" s="36" t="str">
        <f>IFERROR(__xludf.DUMMYFUNCTION("""COMPUTED_VALUE"""),"04-35-12-45")</f>
        <v>04-35-12-45</v>
      </c>
      <c r="F1666" s="36"/>
      <c r="G1666" s="36" t="str">
        <f>IFERROR(__xludf.DUMMYFUNCTION("""COMPUTED_VALUE"""),"Liniers y José Ingenieros")</f>
        <v>Liniers y José Ingenieros</v>
      </c>
      <c r="H1666" s="36" t="str">
        <f>IFERROR(__xludf.DUMMYFUNCTION("""COMPUTED_VALUE"""),"")</f>
        <v/>
      </c>
    </row>
    <row r="1667">
      <c r="A1667" s="36" t="str">
        <f>IFERROR(__xludf.DUMMYFUNCTION("""COMPUTED_VALUE"""),"03-38-10-95B")</f>
        <v>03-38-10-95B</v>
      </c>
      <c r="B1667" s="36" t="str">
        <f>IFERROR(__xludf.DUMMYFUNCTION("""COMPUTED_VALUE"""),"")</f>
        <v/>
      </c>
      <c r="C1667" s="36" t="str">
        <f>IFERROR(__xludf.DUMMYFUNCTION("""COMPUTED_VALUE"""),"")</f>
        <v/>
      </c>
      <c r="D1667" s="36" t="str">
        <f>IFERROR(__xludf.DUMMYFUNCTION("""COMPUTED_VALUE"""),"")</f>
        <v/>
      </c>
      <c r="E1667" s="36" t="str">
        <f>IFERROR(__xludf.DUMMYFUNCTION("""COMPUTED_VALUE"""),"02-28-06-98A")</f>
        <v>02-28-06-98A</v>
      </c>
      <c r="F1667" s="36"/>
      <c r="G1667" s="36" t="str">
        <f>IFERROR(__xludf.DUMMYFUNCTION("""COMPUTED_VALUE"""),"Liniers y Laprida")</f>
        <v>Liniers y Laprida</v>
      </c>
      <c r="H1667" s="36" t="str">
        <f>IFERROR(__xludf.DUMMYFUNCTION("""COMPUTED_VALUE"""),"")</f>
        <v/>
      </c>
    </row>
    <row r="1668">
      <c r="A1668" s="36" t="str">
        <f>IFERROR(__xludf.DUMMYFUNCTION("""COMPUTED_VALUE"""),"03-40-10-100A")</f>
        <v>03-40-10-100A</v>
      </c>
      <c r="B1668" s="36" t="str">
        <f>IFERROR(__xludf.DUMMYFUNCTION("""COMPUTED_VALUE"""),"")</f>
        <v/>
      </c>
      <c r="C1668" s="36" t="str">
        <f>IFERROR(__xludf.DUMMYFUNCTION("""COMPUTED_VALUE"""),"")</f>
        <v/>
      </c>
      <c r="D1668" s="36" t="str">
        <f>IFERROR(__xludf.DUMMYFUNCTION("""COMPUTED_VALUE"""),"")</f>
        <v/>
      </c>
      <c r="E1668" s="36" t="str">
        <f>IFERROR(__xludf.DUMMYFUNCTION("""COMPUTED_VALUE"""),"04-35-12-47")</f>
        <v>04-35-12-47</v>
      </c>
      <c r="F1668" s="36"/>
      <c r="G1668" s="36" t="str">
        <f>IFERROR(__xludf.DUMMYFUNCTION("""COMPUTED_VALUE"""),"Liniers y Río de la Plata")</f>
        <v>Liniers y Río de la Plata</v>
      </c>
      <c r="H1668" s="36" t="str">
        <f>IFERROR(__xludf.DUMMYFUNCTION("""COMPUTED_VALUE"""),"")</f>
        <v/>
      </c>
    </row>
    <row r="1669">
      <c r="A1669" s="36" t="str">
        <f>IFERROR(__xludf.DUMMYFUNCTION("""COMPUTED_VALUE"""),"03-40-10-100B")</f>
        <v>03-40-10-100B</v>
      </c>
      <c r="B1669" s="36" t="str">
        <f>IFERROR(__xludf.DUMMYFUNCTION("""COMPUTED_VALUE"""),"")</f>
        <v/>
      </c>
      <c r="C1669" s="36" t="str">
        <f>IFERROR(__xludf.DUMMYFUNCTION("""COMPUTED_VALUE"""),"")</f>
        <v/>
      </c>
      <c r="D1669" s="36" t="str">
        <f>IFERROR(__xludf.DUMMYFUNCTION("""COMPUTED_VALUE"""),"")</f>
        <v/>
      </c>
      <c r="E1669" s="36" t="str">
        <f>IFERROR(__xludf.DUMMYFUNCTION("""COMPUTED_VALUE"""),"02-28-06-93A")</f>
        <v>02-28-06-93A</v>
      </c>
      <c r="F1669" s="36"/>
      <c r="G1669" s="36" t="str">
        <f>IFERROR(__xludf.DUMMYFUNCTION("""COMPUTED_VALUE"""),"Liniers y Roque Sáenz Peña")</f>
        <v>Liniers y Roque Sáenz Peña</v>
      </c>
      <c r="H1669" s="36" t="str">
        <f>IFERROR(__xludf.DUMMYFUNCTION("""COMPUTED_VALUE"""),"")</f>
        <v/>
      </c>
    </row>
    <row r="1670">
      <c r="A1670" s="36" t="str">
        <f>IFERROR(__xludf.DUMMYFUNCTION("""COMPUTED_VALUE"""),"03-40-10-101")</f>
        <v>03-40-10-101</v>
      </c>
      <c r="B1670" s="36" t="str">
        <f>IFERROR(__xludf.DUMMYFUNCTION("""COMPUTED_VALUE"""),"")</f>
        <v/>
      </c>
      <c r="C1670" s="36" t="str">
        <f>IFERROR(__xludf.DUMMYFUNCTION("""COMPUTED_VALUE"""),"")</f>
        <v/>
      </c>
      <c r="D1670" s="36" t="str">
        <f>IFERROR(__xludf.DUMMYFUNCTION("""COMPUTED_VALUE"""),"")</f>
        <v/>
      </c>
      <c r="E1670" s="36" t="str">
        <f>IFERROR(__xludf.DUMMYFUNCTION("""COMPUTED_VALUE"""),"04-35-12-18")</f>
        <v>04-35-12-18</v>
      </c>
      <c r="F1670" s="36"/>
      <c r="G1670" s="36" t="str">
        <f>IFERROR(__xludf.DUMMYFUNCTION("""COMPUTED_VALUE"""),"Liniers y Vidart")</f>
        <v>Liniers y Vidart</v>
      </c>
      <c r="H1670" s="36" t="str">
        <f>IFERROR(__xludf.DUMMYFUNCTION("""COMPUTED_VALUE"""),"")</f>
        <v/>
      </c>
    </row>
    <row r="1671">
      <c r="A1671" s="36" t="str">
        <f>IFERROR(__xludf.DUMMYFUNCTION("""COMPUTED_VALUE"""),"03-40-10-102")</f>
        <v>03-40-10-102</v>
      </c>
      <c r="B1671" s="36" t="str">
        <f>IFERROR(__xludf.DUMMYFUNCTION("""COMPUTED_VALUE"""),"")</f>
        <v/>
      </c>
      <c r="C1671" s="36" t="str">
        <f>IFERROR(__xludf.DUMMYFUNCTION("""COMPUTED_VALUE"""),"")</f>
        <v/>
      </c>
      <c r="D1671" s="36" t="str">
        <f>IFERROR(__xludf.DUMMYFUNCTION("""COMPUTED_VALUE"""),"")</f>
        <v/>
      </c>
      <c r="E1671" s="36" t="str">
        <f>IFERROR(__xludf.DUMMYFUNCTION("""COMPUTED_VALUE"""),"01-20-07-201")</f>
        <v>01-20-07-201</v>
      </c>
      <c r="F1671" s="36"/>
      <c r="G1671" s="36" t="str">
        <f>IFERROR(__xludf.DUMMYFUNCTION("""COMPUTED_VALUE"""),"Los Almendros y Diagonal Viamonte")</f>
        <v>Los Almendros y Diagonal Viamonte</v>
      </c>
      <c r="H1671" s="36" t="str">
        <f>IFERROR(__xludf.DUMMYFUNCTION("""COMPUTED_VALUE"""),"")</f>
        <v/>
      </c>
    </row>
    <row r="1672">
      <c r="A1672" s="36" t="str">
        <f>IFERROR(__xludf.DUMMYFUNCTION("""COMPUTED_VALUE"""),"03-40-10-102A")</f>
        <v>03-40-10-102A</v>
      </c>
      <c r="B1672" s="36" t="str">
        <f>IFERROR(__xludf.DUMMYFUNCTION("""COMPUTED_VALUE"""),"")</f>
        <v/>
      </c>
      <c r="C1672" s="36" t="str">
        <f>IFERROR(__xludf.DUMMYFUNCTION("""COMPUTED_VALUE"""),"")</f>
        <v/>
      </c>
      <c r="D1672" s="36" t="str">
        <f>IFERROR(__xludf.DUMMYFUNCTION("""COMPUTED_VALUE"""),"")</f>
        <v/>
      </c>
      <c r="E1672" s="36" t="str">
        <f>IFERROR(__xludf.DUMMYFUNCTION("""COMPUTED_VALUE"""),"03-48-10-5")</f>
        <v>03-48-10-5</v>
      </c>
      <c r="F1672" s="36"/>
      <c r="G1672" s="36" t="str">
        <f>IFERROR(__xludf.DUMMYFUNCTION("""COMPUTED_VALUE"""),"Los Nogales y el Jacarandá")</f>
        <v>Los Nogales y el Jacarandá</v>
      </c>
      <c r="H1672" s="36" t="str">
        <f>IFERROR(__xludf.DUMMYFUNCTION("""COMPUTED_VALUE"""),"")</f>
        <v/>
      </c>
    </row>
    <row r="1673">
      <c r="A1673" s="36" t="str">
        <f>IFERROR(__xludf.DUMMYFUNCTION("""COMPUTED_VALUE"""),"03-40-10-103")</f>
        <v>03-40-10-103</v>
      </c>
      <c r="B1673" s="36" t="str">
        <f>IFERROR(__xludf.DUMMYFUNCTION("""COMPUTED_VALUE"""),"")</f>
        <v/>
      </c>
      <c r="C1673" s="36" t="str">
        <f>IFERROR(__xludf.DUMMYFUNCTION("""COMPUTED_VALUE"""),"")</f>
        <v/>
      </c>
      <c r="D1673" s="36" t="str">
        <f>IFERROR(__xludf.DUMMYFUNCTION("""COMPUTED_VALUE"""),"")</f>
        <v/>
      </c>
      <c r="E1673" s="36" t="str">
        <f>IFERROR(__xludf.DUMMYFUNCTION("""COMPUTED_VALUE"""),"03-48-10-7A")</f>
        <v>03-48-10-7A</v>
      </c>
      <c r="F1673" s="36"/>
      <c r="G1673" s="36" t="str">
        <f>IFERROR(__xludf.DUMMYFUNCTION("""COMPUTED_VALUE"""),"Los Nogales y Gorriti")</f>
        <v>Los Nogales y Gorriti</v>
      </c>
      <c r="H1673" s="36" t="str">
        <f>IFERROR(__xludf.DUMMYFUNCTION("""COMPUTED_VALUE"""),"")</f>
        <v/>
      </c>
    </row>
    <row r="1674">
      <c r="A1674" s="36" t="str">
        <f>IFERROR(__xludf.DUMMYFUNCTION("""COMPUTED_VALUE"""),"03-40-10-104A")</f>
        <v>03-40-10-104A</v>
      </c>
      <c r="B1674" s="36" t="str">
        <f>IFERROR(__xludf.DUMMYFUNCTION("""COMPUTED_VALUE"""),"")</f>
        <v/>
      </c>
      <c r="C1674" s="36" t="str">
        <f>IFERROR(__xludf.DUMMYFUNCTION("""COMPUTED_VALUE"""),"")</f>
        <v/>
      </c>
      <c r="D1674" s="36" t="str">
        <f>IFERROR(__xludf.DUMMYFUNCTION("""COMPUTED_VALUE"""),"")</f>
        <v/>
      </c>
      <c r="E1674" s="36" t="str">
        <f>IFERROR(__xludf.DUMMYFUNCTION("""COMPUTED_VALUE"""),"03-48-10-6A")</f>
        <v>03-48-10-6A</v>
      </c>
      <c r="F1674" s="36"/>
      <c r="G1674" s="36" t="str">
        <f>IFERROR(__xludf.DUMMYFUNCTION("""COMPUTED_VALUE"""),"Los Nogales y la Vid Norte")</f>
        <v>Los Nogales y la Vid Norte</v>
      </c>
      <c r="H1674" s="36" t="str">
        <f>IFERROR(__xludf.DUMMYFUNCTION("""COMPUTED_VALUE"""),"")</f>
        <v/>
      </c>
    </row>
    <row r="1675">
      <c r="A1675" s="36" t="str">
        <f>IFERROR(__xludf.DUMMYFUNCTION("""COMPUTED_VALUE"""),"03-40-10-104B")</f>
        <v>03-40-10-104B</v>
      </c>
      <c r="B1675" s="36" t="str">
        <f>IFERROR(__xludf.DUMMYFUNCTION("""COMPUTED_VALUE"""),"")</f>
        <v/>
      </c>
      <c r="C1675" s="36" t="str">
        <f>IFERROR(__xludf.DUMMYFUNCTION("""COMPUTED_VALUE"""),"")</f>
        <v/>
      </c>
      <c r="D1675" s="36" t="str">
        <f>IFERROR(__xludf.DUMMYFUNCTION("""COMPUTED_VALUE"""),"")</f>
        <v/>
      </c>
      <c r="E1675" s="36" t="str">
        <f>IFERROR(__xludf.DUMMYFUNCTION("""COMPUTED_VALUE"""),"03-48-10-6")</f>
        <v>03-48-10-6</v>
      </c>
      <c r="F1675" s="36"/>
      <c r="G1675" s="36" t="str">
        <f>IFERROR(__xludf.DUMMYFUNCTION("""COMPUTED_VALUE"""),"Los Nogales y la Vid Sur")</f>
        <v>Los Nogales y la Vid Sur</v>
      </c>
      <c r="H1675" s="36" t="str">
        <f>IFERROR(__xludf.DUMMYFUNCTION("""COMPUTED_VALUE"""),"")</f>
        <v/>
      </c>
    </row>
    <row r="1676">
      <c r="A1676" s="36" t="str">
        <f>IFERROR(__xludf.DUMMYFUNCTION("""COMPUTED_VALUE"""),"03-40-10-105A")</f>
        <v>03-40-10-105A</v>
      </c>
      <c r="B1676" s="36" t="str">
        <f>IFERROR(__xludf.DUMMYFUNCTION("""COMPUTED_VALUE"""),"")</f>
        <v/>
      </c>
      <c r="C1676" s="36" t="str">
        <f>IFERROR(__xludf.DUMMYFUNCTION("""COMPUTED_VALUE"""),"")</f>
        <v/>
      </c>
      <c r="D1676" s="36" t="str">
        <f>IFERROR(__xludf.DUMMYFUNCTION("""COMPUTED_VALUE"""),"")</f>
        <v/>
      </c>
      <c r="E1676" s="36" t="str">
        <f>IFERROR(__xludf.DUMMYFUNCTION("""COMPUTED_VALUE"""),"02-46-11-15A")</f>
        <v>02-46-11-15A</v>
      </c>
      <c r="F1676" s="36"/>
      <c r="G1676" s="36" t="str">
        <f>IFERROR(__xludf.DUMMYFUNCTION("""COMPUTED_VALUE"""),"Lote Hogar 25 Este")</f>
        <v>Lote Hogar 25 Este</v>
      </c>
      <c r="H1676" s="36" t="str">
        <f>IFERROR(__xludf.DUMMYFUNCTION("""COMPUTED_VALUE"""),"")</f>
        <v/>
      </c>
    </row>
    <row r="1677">
      <c r="A1677" s="36" t="str">
        <f>IFERROR(__xludf.DUMMYFUNCTION("""COMPUTED_VALUE"""),"03-40-10-105B")</f>
        <v>03-40-10-105B</v>
      </c>
      <c r="B1677" s="36" t="str">
        <f>IFERROR(__xludf.DUMMYFUNCTION("""COMPUTED_VALUE"""),"")</f>
        <v/>
      </c>
      <c r="C1677" s="36" t="str">
        <f>IFERROR(__xludf.DUMMYFUNCTION("""COMPUTED_VALUE"""),"")</f>
        <v/>
      </c>
      <c r="D1677" s="36" t="str">
        <f>IFERROR(__xludf.DUMMYFUNCTION("""COMPUTED_VALUE"""),"")</f>
        <v/>
      </c>
      <c r="E1677" s="36" t="str">
        <f>IFERROR(__xludf.DUMMYFUNCTION("""COMPUTED_VALUE"""),"02-46-11-15")</f>
        <v>02-46-11-15</v>
      </c>
      <c r="F1677" s="36"/>
      <c r="G1677" s="36" t="str">
        <f>IFERROR(__xludf.DUMMYFUNCTION("""COMPUTED_VALUE"""),"Lote Hogar 25 Oeste")</f>
        <v>Lote Hogar 25 Oeste</v>
      </c>
      <c r="H1677" s="36" t="str">
        <f>IFERROR(__xludf.DUMMYFUNCTION("""COMPUTED_VALUE"""),"")</f>
        <v/>
      </c>
    </row>
    <row r="1678">
      <c r="A1678" s="36" t="str">
        <f>IFERROR(__xludf.DUMMYFUNCTION("""COMPUTED_VALUE"""),"03-40-10-106")</f>
        <v>03-40-10-106</v>
      </c>
      <c r="B1678" s="36" t="str">
        <f>IFERROR(__xludf.DUMMYFUNCTION("""COMPUTED_VALUE"""),"")</f>
        <v/>
      </c>
      <c r="C1678" s="36" t="str">
        <f>IFERROR(__xludf.DUMMYFUNCTION("""COMPUTED_VALUE"""),"")</f>
        <v/>
      </c>
      <c r="D1678" s="36" t="str">
        <f>IFERROR(__xludf.DUMMYFUNCTION("""COMPUTED_VALUE"""),"")</f>
        <v/>
      </c>
      <c r="E1678" s="36" t="str">
        <f>IFERROR(__xludf.DUMMYFUNCTION("""COMPUTED_VALUE"""),"03-52-10-17A")</f>
        <v>03-52-10-17A</v>
      </c>
      <c r="F1678" s="36"/>
      <c r="G1678" s="36" t="str">
        <f>IFERROR(__xludf.DUMMYFUNCTION("""COMPUTED_VALUE"""),"Loteo Callejón Herrera Este")</f>
        <v>Loteo Callejón Herrera Este</v>
      </c>
      <c r="H1678" s="36" t="str">
        <f>IFERROR(__xludf.DUMMYFUNCTION("""COMPUTED_VALUE"""),"")</f>
        <v/>
      </c>
    </row>
    <row r="1679">
      <c r="A1679" s="36" t="str">
        <f>IFERROR(__xludf.DUMMYFUNCTION("""COMPUTED_VALUE"""),"03-40-10-107A")</f>
        <v>03-40-10-107A</v>
      </c>
      <c r="B1679" s="36" t="str">
        <f>IFERROR(__xludf.DUMMYFUNCTION("""COMPUTED_VALUE"""),"")</f>
        <v/>
      </c>
      <c r="C1679" s="36" t="str">
        <f>IFERROR(__xludf.DUMMYFUNCTION("""COMPUTED_VALUE"""),"")</f>
        <v/>
      </c>
      <c r="D1679" s="36" t="str">
        <f>IFERROR(__xludf.DUMMYFUNCTION("""COMPUTED_VALUE"""),"")</f>
        <v/>
      </c>
      <c r="E1679" s="36" t="str">
        <f>IFERROR(__xludf.DUMMYFUNCTION("""COMPUTED_VALUE"""),"03-52-10-17")</f>
        <v>03-52-10-17</v>
      </c>
      <c r="F1679" s="36"/>
      <c r="G1679" s="36" t="str">
        <f>IFERROR(__xludf.DUMMYFUNCTION("""COMPUTED_VALUE"""),"Loteo Callejón Herrera Oeste")</f>
        <v>Loteo Callejón Herrera Oeste</v>
      </c>
      <c r="H1679" s="36" t="str">
        <f>IFERROR(__xludf.DUMMYFUNCTION("""COMPUTED_VALUE"""),"")</f>
        <v/>
      </c>
    </row>
    <row r="1680">
      <c r="A1680" s="36" t="str">
        <f>IFERROR(__xludf.DUMMYFUNCTION("""COMPUTED_VALUE"""),"03-40-10-107B")</f>
        <v>03-40-10-107B</v>
      </c>
      <c r="B1680" s="36" t="str">
        <f>IFERROR(__xludf.DUMMYFUNCTION("""COMPUTED_VALUE"""),"")</f>
        <v/>
      </c>
      <c r="C1680" s="36" t="str">
        <f>IFERROR(__xludf.DUMMYFUNCTION("""COMPUTED_VALUE"""),"")</f>
        <v/>
      </c>
      <c r="D1680" s="36" t="str">
        <f>IFERROR(__xludf.DUMMYFUNCTION("""COMPUTED_VALUE"""),"")</f>
        <v/>
      </c>
      <c r="E1680" s="36" t="str">
        <f>IFERROR(__xludf.DUMMYFUNCTION("""COMPUTED_VALUE"""),"08-42-02-32")</f>
        <v>08-42-02-32</v>
      </c>
      <c r="F1680" s="36"/>
      <c r="G1680" s="36" t="str">
        <f>IFERROR(__xludf.DUMMYFUNCTION("""COMPUTED_VALUE"""),"Loteo Salta E")</f>
        <v>Loteo Salta E</v>
      </c>
      <c r="H1680" s="36" t="str">
        <f>IFERROR(__xludf.DUMMYFUNCTION("""COMPUTED_VALUE"""),"")</f>
        <v/>
      </c>
    </row>
    <row r="1681">
      <c r="A1681" s="36" t="str">
        <f>IFERROR(__xludf.DUMMYFUNCTION("""COMPUTED_VALUE"""),"03-40-10-108")</f>
        <v>03-40-10-108</v>
      </c>
      <c r="B1681" s="36" t="str">
        <f>IFERROR(__xludf.DUMMYFUNCTION("""COMPUTED_VALUE"""),"")</f>
        <v/>
      </c>
      <c r="C1681" s="36" t="str">
        <f>IFERROR(__xludf.DUMMYFUNCTION("""COMPUTED_VALUE"""),"")</f>
        <v/>
      </c>
      <c r="D1681" s="36" t="str">
        <f>IFERROR(__xludf.DUMMYFUNCTION("""COMPUTED_VALUE"""),"")</f>
        <v/>
      </c>
      <c r="E1681" s="36" t="str">
        <f>IFERROR(__xludf.DUMMYFUNCTION("""COMPUTED_VALUE"""),"08-38-02-31")</f>
        <v>08-38-02-31</v>
      </c>
      <c r="F1681" s="36"/>
      <c r="G1681" s="36" t="str">
        <f>IFERROR(__xludf.DUMMYFUNCTION("""COMPUTED_VALUE"""),"Loteo Salta O")</f>
        <v>Loteo Salta O</v>
      </c>
      <c r="H1681" s="36" t="str">
        <f>IFERROR(__xludf.DUMMYFUNCTION("""COMPUTED_VALUE"""),"")</f>
        <v/>
      </c>
    </row>
    <row r="1682">
      <c r="A1682" s="36" t="str">
        <f>IFERROR(__xludf.DUMMYFUNCTION("""COMPUTED_VALUE"""),"03-40-10-38A")</f>
        <v>03-40-10-38A</v>
      </c>
      <c r="B1682" s="36" t="str">
        <f>IFERROR(__xludf.DUMMYFUNCTION("""COMPUTED_VALUE"""),"")</f>
        <v/>
      </c>
      <c r="C1682" s="36" t="str">
        <f>IFERROR(__xludf.DUMMYFUNCTION("""COMPUTED_VALUE"""),"")</f>
        <v/>
      </c>
      <c r="D1682" s="36" t="str">
        <f>IFERROR(__xludf.DUMMYFUNCTION("""COMPUTED_VALUE"""),"")</f>
        <v/>
      </c>
      <c r="E1682" s="36" t="str">
        <f>IFERROR(__xludf.DUMMYFUNCTION("""COMPUTED_VALUE"""),"03-20-09-109Ñ")</f>
        <v>03-20-09-109Ñ</v>
      </c>
      <c r="F1682" s="36"/>
      <c r="G1682" s="36" t="str">
        <f>IFERROR(__xludf.DUMMYFUNCTION("""COMPUTED_VALUE"""),"Lucía Bosque y Av. Circunvalación")</f>
        <v>Lucía Bosque y Av. Circunvalación</v>
      </c>
      <c r="H1682" s="36" t="str">
        <f>IFERROR(__xludf.DUMMYFUNCTION("""COMPUTED_VALUE"""),"NOMBRE")</f>
        <v>NOMBRE</v>
      </c>
    </row>
    <row r="1683">
      <c r="A1683" s="36" t="str">
        <f>IFERROR(__xludf.DUMMYFUNCTION("""COMPUTED_VALUE"""),"03-40-10-39A")</f>
        <v>03-40-10-39A</v>
      </c>
      <c r="B1683" s="36" t="str">
        <f>IFERROR(__xludf.DUMMYFUNCTION("""COMPUTED_VALUE"""),"")</f>
        <v/>
      </c>
      <c r="C1683" s="36" t="str">
        <f>IFERROR(__xludf.DUMMYFUNCTION("""COMPUTED_VALUE"""),"")</f>
        <v/>
      </c>
      <c r="D1683" s="36" t="str">
        <f>IFERROR(__xludf.DUMMYFUNCTION("""COMPUTED_VALUE"""),"")</f>
        <v/>
      </c>
      <c r="E1683" s="36" t="str">
        <f>IFERROR(__xludf.DUMMYFUNCTION("""COMPUTED_VALUE"""),"03-31-09-109N")</f>
        <v>03-31-09-109N</v>
      </c>
      <c r="F1683" s="36"/>
      <c r="G1683" s="36" t="str">
        <f>IFERROR(__xludf.DUMMYFUNCTION("""COMPUTED_VALUE"""),"Lucía Bosque y Av. Circunvalación")</f>
        <v>Lucía Bosque y Av. Circunvalación</v>
      </c>
      <c r="H1683" s="36" t="str">
        <f>IFERROR(__xludf.DUMMYFUNCTION("""COMPUTED_VALUE"""),"")</f>
        <v/>
      </c>
    </row>
    <row r="1684">
      <c r="A1684" s="36" t="str">
        <f>IFERROR(__xludf.DUMMYFUNCTION("""COMPUTED_VALUE"""),"03-40-10-96B")</f>
        <v>03-40-10-96B</v>
      </c>
      <c r="B1684" s="36" t="str">
        <f>IFERROR(__xludf.DUMMYFUNCTION("""COMPUTED_VALUE"""),"")</f>
        <v/>
      </c>
      <c r="C1684" s="36" t="str">
        <f>IFERROR(__xludf.DUMMYFUNCTION("""COMPUTED_VALUE"""),"")</f>
        <v/>
      </c>
      <c r="D1684" s="36" t="str">
        <f>IFERROR(__xludf.DUMMYFUNCTION("""COMPUTED_VALUE"""),"")</f>
        <v/>
      </c>
      <c r="E1684" s="36" t="str">
        <f>IFERROR(__xludf.DUMMYFUNCTION("""COMPUTED_VALUE"""),"03-31-09-109M")</f>
        <v>03-31-09-109M</v>
      </c>
      <c r="F1684" s="36"/>
      <c r="G1684" s="36" t="str">
        <f>IFERROR(__xludf.DUMMYFUNCTION("""COMPUTED_VALUE"""),"Lucía Bosque y Chacabuco")</f>
        <v>Lucía Bosque y Chacabuco</v>
      </c>
      <c r="H1684" s="36" t="str">
        <f>IFERROR(__xludf.DUMMYFUNCTION("""COMPUTED_VALUE"""),"")</f>
        <v/>
      </c>
    </row>
    <row r="1685">
      <c r="A1685" s="36" t="str">
        <f>IFERROR(__xludf.DUMMYFUNCTION("""COMPUTED_VALUE"""),"03-40-10-97")</f>
        <v>03-40-10-97</v>
      </c>
      <c r="B1685" s="36" t="str">
        <f>IFERROR(__xludf.DUMMYFUNCTION("""COMPUTED_VALUE"""),"")</f>
        <v/>
      </c>
      <c r="C1685" s="36" t="str">
        <f>IFERROR(__xludf.DUMMYFUNCTION("""COMPUTED_VALUE"""),"")</f>
        <v/>
      </c>
      <c r="D1685" s="36" t="str">
        <f>IFERROR(__xludf.DUMMYFUNCTION("""COMPUTED_VALUE"""),"")</f>
        <v/>
      </c>
      <c r="E1685" s="36" t="str">
        <f>IFERROR(__xludf.DUMMYFUNCTION("""COMPUTED_VALUE"""),"02-38-12-234")</f>
        <v>02-38-12-234</v>
      </c>
      <c r="F1685" s="36"/>
      <c r="G1685" s="36" t="str">
        <f>IFERROR(__xludf.DUMMYFUNCTION("""COMPUTED_VALUE"""),"Luis Pasteur y Esteban Echeverria Norte")</f>
        <v>Luis Pasteur y Esteban Echeverria Norte</v>
      </c>
      <c r="H1685" s="36" t="str">
        <f>IFERROR(__xludf.DUMMYFUNCTION("""COMPUTED_VALUE"""),"")</f>
        <v/>
      </c>
    </row>
    <row r="1686">
      <c r="A1686" s="36" t="str">
        <f>IFERROR(__xludf.DUMMYFUNCTION("""COMPUTED_VALUE"""),"03-40-10-98")</f>
        <v>03-40-10-98</v>
      </c>
      <c r="B1686" s="36" t="str">
        <f>IFERROR(__xludf.DUMMYFUNCTION("""COMPUTED_VALUE"""),"")</f>
        <v/>
      </c>
      <c r="C1686" s="36" t="str">
        <f>IFERROR(__xludf.DUMMYFUNCTION("""COMPUTED_VALUE"""),"")</f>
        <v/>
      </c>
      <c r="D1686" s="36" t="str">
        <f>IFERROR(__xludf.DUMMYFUNCTION("""COMPUTED_VALUE"""),"")</f>
        <v/>
      </c>
      <c r="E1686" s="36" t="str">
        <f>IFERROR(__xludf.DUMMYFUNCTION("""COMPUTED_VALUE"""),"02-38-12-235")</f>
        <v>02-38-12-235</v>
      </c>
      <c r="F1686" s="36"/>
      <c r="G1686" s="36" t="str">
        <f>IFERROR(__xludf.DUMMYFUNCTION("""COMPUTED_VALUE"""),"Luis Pasteur y Esteban Echeverria Sur")</f>
        <v>Luis Pasteur y Esteban Echeverria Sur</v>
      </c>
      <c r="H1686" s="36" t="str">
        <f>IFERROR(__xludf.DUMMYFUNCTION("""COMPUTED_VALUE"""),"")</f>
        <v/>
      </c>
    </row>
    <row r="1687">
      <c r="A1687" s="36" t="str">
        <f>IFERROR(__xludf.DUMMYFUNCTION("""COMPUTED_VALUE"""),"03-40-10-99A")</f>
        <v>03-40-10-99A</v>
      </c>
      <c r="B1687" s="36" t="str">
        <f>IFERROR(__xludf.DUMMYFUNCTION("""COMPUTED_VALUE"""),"")</f>
        <v/>
      </c>
      <c r="C1687" s="36" t="str">
        <f>IFERROR(__xludf.DUMMYFUNCTION("""COMPUTED_VALUE"""),"")</f>
        <v/>
      </c>
      <c r="D1687" s="36" t="str">
        <f>IFERROR(__xludf.DUMMYFUNCTION("""COMPUTED_VALUE"""),"")</f>
        <v/>
      </c>
      <c r="E1687" s="36" t="str">
        <f>IFERROR(__xludf.DUMMYFUNCTION("""COMPUTED_VALUE"""),"02-38-12-237")</f>
        <v>02-38-12-237</v>
      </c>
      <c r="F1687" s="36"/>
      <c r="G1687" s="36" t="str">
        <f>IFERROR(__xludf.DUMMYFUNCTION("""COMPUTED_VALUE"""),"Luis Pasteur y Rivadavia Norte")</f>
        <v>Luis Pasteur y Rivadavia Norte</v>
      </c>
      <c r="H1687" s="36" t="str">
        <f>IFERROR(__xludf.DUMMYFUNCTION("""COMPUTED_VALUE"""),"")</f>
        <v/>
      </c>
    </row>
    <row r="1688">
      <c r="A1688" s="36" t="str">
        <f>IFERROR(__xludf.DUMMYFUNCTION("""COMPUTED_VALUE"""),"03-40-10-99B")</f>
        <v>03-40-10-99B</v>
      </c>
      <c r="B1688" s="36" t="str">
        <f>IFERROR(__xludf.DUMMYFUNCTION("""COMPUTED_VALUE"""),"")</f>
        <v/>
      </c>
      <c r="C1688" s="36" t="str">
        <f>IFERROR(__xludf.DUMMYFUNCTION("""COMPUTED_VALUE"""),"")</f>
        <v/>
      </c>
      <c r="D1688" s="36" t="str">
        <f>IFERROR(__xludf.DUMMYFUNCTION("""COMPUTED_VALUE"""),"")</f>
        <v/>
      </c>
      <c r="E1688" s="36" t="str">
        <f>IFERROR(__xludf.DUMMYFUNCTION("""COMPUTED_VALUE"""),"02-38-12-236")</f>
        <v>02-38-12-236</v>
      </c>
      <c r="F1688" s="36"/>
      <c r="G1688" s="36" t="str">
        <f>IFERROR(__xludf.DUMMYFUNCTION("""COMPUTED_VALUE"""),"Luis Pasteur y Rivadavia Sur")</f>
        <v>Luis Pasteur y Rivadavia Sur</v>
      </c>
      <c r="H1688" s="36" t="str">
        <f>IFERROR(__xludf.DUMMYFUNCTION("""COMPUTED_VALUE"""),"")</f>
        <v/>
      </c>
    </row>
    <row r="1689">
      <c r="A1689" s="36" t="str">
        <f>IFERROR(__xludf.DUMMYFUNCTION("""COMPUTED_VALUE"""),"03-42-10-31B")</f>
        <v>03-42-10-31B</v>
      </c>
      <c r="B1689" s="36" t="str">
        <f>IFERROR(__xludf.DUMMYFUNCTION("""COMPUTED_VALUE"""),"")</f>
        <v/>
      </c>
      <c r="C1689" s="36" t="str">
        <f>IFERROR(__xludf.DUMMYFUNCTION("""COMPUTED_VALUE"""),"")</f>
        <v/>
      </c>
      <c r="D1689" s="36" t="str">
        <f>IFERROR(__xludf.DUMMYFUNCTION("""COMPUTED_VALUE"""),"")</f>
        <v/>
      </c>
      <c r="E1689" s="36" t="str">
        <f>IFERROR(__xludf.DUMMYFUNCTION("""COMPUTED_VALUE"""),"08-26-03-72")</f>
        <v>08-26-03-72</v>
      </c>
      <c r="F1689" s="36"/>
      <c r="G1689" s="36" t="str">
        <f>IFERROR(__xludf.DUMMYFUNCTION("""COMPUTED_VALUE"""),"M. Di Stéfano y Concordia")</f>
        <v>M. Di Stéfano y Concordia</v>
      </c>
      <c r="H1689" s="36" t="str">
        <f>IFERROR(__xludf.DUMMYFUNCTION("""COMPUTED_VALUE"""),"")</f>
        <v/>
      </c>
    </row>
    <row r="1690">
      <c r="A1690" s="36" t="str">
        <f>IFERROR(__xludf.DUMMYFUNCTION("""COMPUTED_VALUE"""),"03-42-10-32B")</f>
        <v>03-42-10-32B</v>
      </c>
      <c r="B1690" s="36" t="str">
        <f>IFERROR(__xludf.DUMMYFUNCTION("""COMPUTED_VALUE"""),"")</f>
        <v/>
      </c>
      <c r="C1690" s="36" t="str">
        <f>IFERROR(__xludf.DUMMYFUNCTION("""COMPUTED_VALUE"""),"")</f>
        <v/>
      </c>
      <c r="D1690" s="36" t="str">
        <f>IFERROR(__xludf.DUMMYFUNCTION("""COMPUTED_VALUE"""),"")</f>
        <v/>
      </c>
      <c r="E1690" s="36" t="str">
        <f>IFERROR(__xludf.DUMMYFUNCTION("""COMPUTED_VALUE"""),"08-26-03-71")</f>
        <v>08-26-03-71</v>
      </c>
      <c r="F1690" s="36"/>
      <c r="G1690" s="36" t="str">
        <f>IFERROR(__xludf.DUMMYFUNCTION("""COMPUTED_VALUE"""),"M. Di Stéfano y Gdor. Rojas")</f>
        <v>M. Di Stéfano y Gdor. Rojas</v>
      </c>
      <c r="H1690" s="36" t="str">
        <f>IFERROR(__xludf.DUMMYFUNCTION("""COMPUTED_VALUE"""),"")</f>
        <v/>
      </c>
    </row>
    <row r="1691">
      <c r="A1691" s="36" t="str">
        <f>IFERROR(__xludf.DUMMYFUNCTION("""COMPUTED_VALUE"""),"03-42-10-33A")</f>
        <v>03-42-10-33A</v>
      </c>
      <c r="B1691" s="36" t="str">
        <f>IFERROR(__xludf.DUMMYFUNCTION("""COMPUTED_VALUE"""),"")</f>
        <v/>
      </c>
      <c r="C1691" s="36" t="str">
        <f>IFERROR(__xludf.DUMMYFUNCTION("""COMPUTED_VALUE"""),"")</f>
        <v/>
      </c>
      <c r="D1691" s="36" t="str">
        <f>IFERROR(__xludf.DUMMYFUNCTION("""COMPUTED_VALUE"""),"")</f>
        <v/>
      </c>
      <c r="E1691" s="36" t="str">
        <f>IFERROR(__xludf.DUMMYFUNCTION("""COMPUTED_VALUE"""),"08-26-03-74")</f>
        <v>08-26-03-74</v>
      </c>
      <c r="F1691" s="36"/>
      <c r="G1691" s="36" t="str">
        <f>IFERROR(__xludf.DUMMYFUNCTION("""COMPUTED_VALUE"""),"M. Di Stéfano y Proyectada")</f>
        <v>M. Di Stéfano y Proyectada</v>
      </c>
      <c r="H1691" s="36" t="str">
        <f>IFERROR(__xludf.DUMMYFUNCTION("""COMPUTED_VALUE"""),"")</f>
        <v/>
      </c>
    </row>
    <row r="1692">
      <c r="A1692" s="36" t="str">
        <f>IFERROR(__xludf.DUMMYFUNCTION("""COMPUTED_VALUE"""),"03-42-10-34A")</f>
        <v>03-42-10-34A</v>
      </c>
      <c r="B1692" s="36" t="str">
        <f>IFERROR(__xludf.DUMMYFUNCTION("""COMPUTED_VALUE"""),"")</f>
        <v/>
      </c>
      <c r="C1692" s="36" t="str">
        <f>IFERROR(__xludf.DUMMYFUNCTION("""COMPUTED_VALUE"""),"")</f>
        <v/>
      </c>
      <c r="D1692" s="36" t="str">
        <f>IFERROR(__xludf.DUMMYFUNCTION("""COMPUTED_VALUE"""),"")</f>
        <v/>
      </c>
      <c r="E1692" s="36" t="str">
        <f>IFERROR(__xludf.DUMMYFUNCTION("""COMPUTED_VALUE"""),"08-28-03-15")</f>
        <v>08-28-03-15</v>
      </c>
      <c r="F1692" s="36"/>
      <c r="G1692" s="36" t="str">
        <f>IFERROR(__xludf.DUMMYFUNCTION("""COMPUTED_VALUE"""),"M. Di Stéfano y San Martín")</f>
        <v>M. Di Stéfano y San Martín</v>
      </c>
      <c r="H1692" s="36" t="str">
        <f>IFERROR(__xludf.DUMMYFUNCTION("""COMPUTED_VALUE"""),"")</f>
        <v/>
      </c>
    </row>
    <row r="1693">
      <c r="A1693" s="36" t="str">
        <f>IFERROR(__xludf.DUMMYFUNCTION("""COMPUTED_VALUE"""),"03-42-10-35A")</f>
        <v>03-42-10-35A</v>
      </c>
      <c r="B1693" s="36" t="str">
        <f>IFERROR(__xludf.DUMMYFUNCTION("""COMPUTED_VALUE"""),"")</f>
        <v/>
      </c>
      <c r="C1693" s="36" t="str">
        <f>IFERROR(__xludf.DUMMYFUNCTION("""COMPUTED_VALUE"""),"")</f>
        <v/>
      </c>
      <c r="D1693" s="36" t="str">
        <f>IFERROR(__xludf.DUMMYFUNCTION("""COMPUTED_VALUE"""),"")</f>
        <v/>
      </c>
      <c r="E1693" s="36" t="str">
        <f>IFERROR(__xludf.DUMMYFUNCTION("""COMPUTED_VALUE"""),"08-28-03-13")</f>
        <v>08-28-03-13</v>
      </c>
      <c r="F1693" s="36"/>
      <c r="G1693" s="36" t="str">
        <f>IFERROR(__xludf.DUMMYFUNCTION("""COMPUTED_VALUE"""),"M. Di Stéfano y Yapeyú")</f>
        <v>M. Di Stéfano y Yapeyú</v>
      </c>
      <c r="H1693" s="36" t="str">
        <f>IFERROR(__xludf.DUMMYFUNCTION("""COMPUTED_VALUE"""),"")</f>
        <v/>
      </c>
    </row>
    <row r="1694">
      <c r="A1694" s="36" t="str">
        <f>IFERROR(__xludf.DUMMYFUNCTION("""COMPUTED_VALUE"""),"03-42-10-36A")</f>
        <v>03-42-10-36A</v>
      </c>
      <c r="B1694" s="36" t="str">
        <f>IFERROR(__xludf.DUMMYFUNCTION("""COMPUTED_VALUE"""),"")</f>
        <v/>
      </c>
      <c r="C1694" s="36" t="str">
        <f>IFERROR(__xludf.DUMMYFUNCTION("""COMPUTED_VALUE"""),"")</f>
        <v/>
      </c>
      <c r="D1694" s="36" t="str">
        <f>IFERROR(__xludf.DUMMYFUNCTION("""COMPUTED_VALUE"""),"")</f>
        <v/>
      </c>
      <c r="E1694" s="36" t="str">
        <f>IFERROR(__xludf.DUMMYFUNCTION("""COMPUTED_VALUE"""),"04-45-12-76")</f>
        <v>04-45-12-76</v>
      </c>
      <c r="F1694" s="36"/>
      <c r="G1694" s="36" t="str">
        <f>IFERROR(__xludf.DUMMYFUNCTION("""COMPUTED_VALUE"""),"Magallanes y Beltrán Este")</f>
        <v>Magallanes y Beltrán Este</v>
      </c>
      <c r="H1694" s="36" t="str">
        <f>IFERROR(__xludf.DUMMYFUNCTION("""COMPUTED_VALUE"""),"")</f>
        <v/>
      </c>
    </row>
    <row r="1695">
      <c r="A1695" s="36" t="str">
        <f>IFERROR(__xludf.DUMMYFUNCTION("""COMPUTED_VALUE"""),"03-42-10-37")</f>
        <v>03-42-10-37</v>
      </c>
      <c r="B1695" s="36" t="str">
        <f>IFERROR(__xludf.DUMMYFUNCTION("""COMPUTED_VALUE"""),"")</f>
        <v/>
      </c>
      <c r="C1695" s="36" t="str">
        <f>IFERROR(__xludf.DUMMYFUNCTION("""COMPUTED_VALUE"""),"")</f>
        <v/>
      </c>
      <c r="D1695" s="36" t="str">
        <f>IFERROR(__xludf.DUMMYFUNCTION("""COMPUTED_VALUE"""),"")</f>
        <v/>
      </c>
      <c r="E1695" s="36" t="str">
        <f>IFERROR(__xludf.DUMMYFUNCTION("""COMPUTED_VALUE"""),"04-45-12-75")</f>
        <v>04-45-12-75</v>
      </c>
      <c r="F1695" s="36"/>
      <c r="G1695" s="36" t="str">
        <f>IFERROR(__xludf.DUMMYFUNCTION("""COMPUTED_VALUE"""),"Magallanes y Beltrán Oeste")</f>
        <v>Magallanes y Beltrán Oeste</v>
      </c>
      <c r="H1695" s="36" t="str">
        <f>IFERROR(__xludf.DUMMYFUNCTION("""COMPUTED_VALUE"""),"")</f>
        <v/>
      </c>
    </row>
    <row r="1696">
      <c r="A1696" s="36" t="str">
        <f>IFERROR(__xludf.DUMMYFUNCTION("""COMPUTED_VALUE"""),"03-42-10-38B")</f>
        <v>03-42-10-38B</v>
      </c>
      <c r="B1696" s="36" t="str">
        <f>IFERROR(__xludf.DUMMYFUNCTION("""COMPUTED_VALUE"""),"")</f>
        <v/>
      </c>
      <c r="C1696" s="36" t="str">
        <f>IFERROR(__xludf.DUMMYFUNCTION("""COMPUTED_VALUE"""),"")</f>
        <v/>
      </c>
      <c r="D1696" s="36" t="str">
        <f>IFERROR(__xludf.DUMMYFUNCTION("""COMPUTED_VALUE"""),"")</f>
        <v/>
      </c>
      <c r="E1696" s="36" t="str">
        <f>IFERROR(__xludf.DUMMYFUNCTION("""COMPUTED_VALUE"""),"04-45-12-77")</f>
        <v>04-45-12-77</v>
      </c>
      <c r="F1696" s="36"/>
      <c r="G1696" s="36" t="str">
        <f>IFERROR(__xludf.DUMMYFUNCTION("""COMPUTED_VALUE"""),"Magallanes y Colón")</f>
        <v>Magallanes y Colón</v>
      </c>
      <c r="H1696" s="36" t="str">
        <f>IFERROR(__xludf.DUMMYFUNCTION("""COMPUTED_VALUE"""),"")</f>
        <v/>
      </c>
    </row>
    <row r="1697">
      <c r="A1697" s="36" t="str">
        <f>IFERROR(__xludf.DUMMYFUNCTION("""COMPUTED_VALUE"""),"03-42-10-39B")</f>
        <v>03-42-10-39B</v>
      </c>
      <c r="B1697" s="36" t="str">
        <f>IFERROR(__xludf.DUMMYFUNCTION("""COMPUTED_VALUE"""),"")</f>
        <v/>
      </c>
      <c r="C1697" s="36" t="str">
        <f>IFERROR(__xludf.DUMMYFUNCTION("""COMPUTED_VALUE"""),"")</f>
        <v/>
      </c>
      <c r="D1697" s="36" t="str">
        <f>IFERROR(__xludf.DUMMYFUNCTION("""COMPUTED_VALUE"""),"")</f>
        <v/>
      </c>
      <c r="E1697" s="36" t="str">
        <f>IFERROR(__xludf.DUMMYFUNCTION("""COMPUTED_VALUE"""),"04-45-12-73A")</f>
        <v>04-45-12-73A</v>
      </c>
      <c r="F1697" s="36"/>
      <c r="G1697" s="36" t="str">
        <f>IFERROR(__xludf.DUMMYFUNCTION("""COMPUTED_VALUE"""),"Magallanes y Dr. Ortega")</f>
        <v>Magallanes y Dr. Ortega</v>
      </c>
      <c r="H1697" s="36" t="str">
        <f>IFERROR(__xludf.DUMMYFUNCTION("""COMPUTED_VALUE"""),"")</f>
        <v/>
      </c>
    </row>
    <row r="1698">
      <c r="A1698" s="36" t="str">
        <f>IFERROR(__xludf.DUMMYFUNCTION("""COMPUTED_VALUE"""),"03-42-10-40B")</f>
        <v>03-42-10-40B</v>
      </c>
      <c r="B1698" s="36" t="str">
        <f>IFERROR(__xludf.DUMMYFUNCTION("""COMPUTED_VALUE"""),"")</f>
        <v/>
      </c>
      <c r="C1698" s="36" t="str">
        <f>IFERROR(__xludf.DUMMYFUNCTION("""COMPUTED_VALUE"""),"")</f>
        <v/>
      </c>
      <c r="D1698" s="36" t="str">
        <f>IFERROR(__xludf.DUMMYFUNCTION("""COMPUTED_VALUE"""),"")</f>
        <v/>
      </c>
      <c r="E1698" s="36" t="str">
        <f>IFERROR(__xludf.DUMMYFUNCTION("""COMPUTED_VALUE"""),"04-45-12-79")</f>
        <v>04-45-12-79</v>
      </c>
      <c r="F1698" s="36"/>
      <c r="G1698" s="36" t="str">
        <f>IFERROR(__xludf.DUMMYFUNCTION("""COMPUTED_VALUE"""),"Magallanes y General Paz")</f>
        <v>Magallanes y General Paz</v>
      </c>
      <c r="H1698" s="36" t="str">
        <f>IFERROR(__xludf.DUMMYFUNCTION("""COMPUTED_VALUE"""),"")</f>
        <v/>
      </c>
    </row>
    <row r="1699">
      <c r="A1699" s="36" t="str">
        <f>IFERROR(__xludf.DUMMYFUNCTION("""COMPUTED_VALUE"""),"03-44-10-25A")</f>
        <v>03-44-10-25A</v>
      </c>
      <c r="B1699" s="36" t="str">
        <f>IFERROR(__xludf.DUMMYFUNCTION("""COMPUTED_VALUE"""),"")</f>
        <v/>
      </c>
      <c r="C1699" s="36" t="str">
        <f>IFERROR(__xludf.DUMMYFUNCTION("""COMPUTED_VALUE"""),"")</f>
        <v/>
      </c>
      <c r="D1699" s="36" t="str">
        <f>IFERROR(__xludf.DUMMYFUNCTION("""COMPUTED_VALUE"""),"")</f>
        <v/>
      </c>
      <c r="E1699" s="36" t="str">
        <f>IFERROR(__xludf.DUMMYFUNCTION("""COMPUTED_VALUE"""),"04-45-12-74")</f>
        <v>04-45-12-74</v>
      </c>
      <c r="F1699" s="36"/>
      <c r="G1699" s="36" t="str">
        <f>IFERROR(__xludf.DUMMYFUNCTION("""COMPUTED_VALUE"""),"Magallanes y Juan José Paso")</f>
        <v>Magallanes y Juan José Paso</v>
      </c>
      <c r="H1699" s="36" t="str">
        <f>IFERROR(__xludf.DUMMYFUNCTION("""COMPUTED_VALUE"""),"")</f>
        <v/>
      </c>
    </row>
    <row r="1700">
      <c r="A1700" s="36" t="str">
        <f>IFERROR(__xludf.DUMMYFUNCTION("""COMPUTED_VALUE"""),"03-44-10-26A")</f>
        <v>03-44-10-26A</v>
      </c>
      <c r="B1700" s="36" t="str">
        <f>IFERROR(__xludf.DUMMYFUNCTION("""COMPUTED_VALUE"""),"")</f>
        <v/>
      </c>
      <c r="C1700" s="36" t="str">
        <f>IFERROR(__xludf.DUMMYFUNCTION("""COMPUTED_VALUE"""),"")</f>
        <v/>
      </c>
      <c r="D1700" s="36" t="str">
        <f>IFERROR(__xludf.DUMMYFUNCTION("""COMPUTED_VALUE"""),"")</f>
        <v/>
      </c>
      <c r="E1700" s="36" t="str">
        <f>IFERROR(__xludf.DUMMYFUNCTION("""COMPUTED_VALUE"""),"01-38-08-52B")</f>
        <v>01-38-08-52B</v>
      </c>
      <c r="F1700" s="36"/>
      <c r="G1700" s="36" t="str">
        <f>IFERROR(__xludf.DUMMYFUNCTION("""COMPUTED_VALUE"""),"Maipú y Aberastain")</f>
        <v>Maipú y Aberastain</v>
      </c>
      <c r="H1700" s="36" t="str">
        <f>IFERROR(__xludf.DUMMYFUNCTION("""COMPUTED_VALUE"""),"")</f>
        <v/>
      </c>
    </row>
    <row r="1701">
      <c r="A1701" s="36" t="str">
        <f>IFERROR(__xludf.DUMMYFUNCTION("""COMPUTED_VALUE"""),"03-44-10-27A")</f>
        <v>03-44-10-27A</v>
      </c>
      <c r="B1701" s="36" t="str">
        <f>IFERROR(__xludf.DUMMYFUNCTION("""COMPUTED_VALUE"""),"")</f>
        <v/>
      </c>
      <c r="C1701" s="36" t="str">
        <f>IFERROR(__xludf.DUMMYFUNCTION("""COMPUTED_VALUE"""),"")</f>
        <v/>
      </c>
      <c r="D1701" s="36" t="str">
        <f>IFERROR(__xludf.DUMMYFUNCTION("""COMPUTED_VALUE"""),"")</f>
        <v/>
      </c>
      <c r="E1701" s="36" t="str">
        <f>IFERROR(__xludf.DUMMYFUNCTION("""COMPUTED_VALUE"""),"08-31-01-7")</f>
        <v>08-31-01-7</v>
      </c>
      <c r="F1701" s="36"/>
      <c r="G1701" s="36" t="str">
        <f>IFERROR(__xludf.DUMMYFUNCTION("""COMPUTED_VALUE"""),"Maipú y Agustín Gómez")</f>
        <v>Maipú y Agustín Gómez</v>
      </c>
      <c r="H1701" s="36" t="str">
        <f>IFERROR(__xludf.DUMMYFUNCTION("""COMPUTED_VALUE"""),"")</f>
        <v/>
      </c>
    </row>
    <row r="1702">
      <c r="A1702" s="36" t="str">
        <f>IFERROR(__xludf.DUMMYFUNCTION("""COMPUTED_VALUE"""),"03-44-10-41B")</f>
        <v>03-44-10-41B</v>
      </c>
      <c r="B1702" s="36" t="str">
        <f>IFERROR(__xludf.DUMMYFUNCTION("""COMPUTED_VALUE"""),"")</f>
        <v/>
      </c>
      <c r="C1702" s="36" t="str">
        <f>IFERROR(__xludf.DUMMYFUNCTION("""COMPUTED_VALUE"""),"")</f>
        <v/>
      </c>
      <c r="D1702" s="36" t="str">
        <f>IFERROR(__xludf.DUMMYFUNCTION("""COMPUTED_VALUE"""),"")</f>
        <v/>
      </c>
      <c r="E1702" s="36" t="str">
        <f>IFERROR(__xludf.DUMMYFUNCTION("""COMPUTED_VALUE"""),"01-37-08-45")</f>
        <v>01-37-08-45</v>
      </c>
      <c r="F1702" s="36"/>
      <c r="G1702" s="36" t="str">
        <f>IFERROR(__xludf.DUMMYFUNCTION("""COMPUTED_VALUE"""),"Maipu y Av. Alem")</f>
        <v>Maipu y Av. Alem</v>
      </c>
      <c r="H1702" s="36" t="str">
        <f>IFERROR(__xludf.DUMMYFUNCTION("""COMPUTED_VALUE"""),"")</f>
        <v/>
      </c>
    </row>
    <row r="1703">
      <c r="A1703" s="36" t="str">
        <f>IFERROR(__xludf.DUMMYFUNCTION("""COMPUTED_VALUE"""),"03-44-10-42B")</f>
        <v>03-44-10-42B</v>
      </c>
      <c r="B1703" s="36" t="str">
        <f>IFERROR(__xludf.DUMMYFUNCTION("""COMPUTED_VALUE"""),"")</f>
        <v/>
      </c>
      <c r="C1703" s="36" t="str">
        <f>IFERROR(__xludf.DUMMYFUNCTION("""COMPUTED_VALUE"""),"")</f>
        <v/>
      </c>
      <c r="D1703" s="36" t="str">
        <f>IFERROR(__xludf.DUMMYFUNCTION("""COMPUTED_VALUE"""),"")</f>
        <v/>
      </c>
      <c r="E1703" s="36" t="str">
        <f>IFERROR(__xludf.DUMMYFUNCTION("""COMPUTED_VALUE"""),"01-40-08-55A")</f>
        <v>01-40-08-55A</v>
      </c>
      <c r="F1703" s="36"/>
      <c r="G1703" s="36" t="str">
        <f>IFERROR(__xludf.DUMMYFUNCTION("""COMPUTED_VALUE"""),"Maipú y Av. Rawson")</f>
        <v>Maipú y Av. Rawson</v>
      </c>
      <c r="H1703" s="36" t="str">
        <f>IFERROR(__xludf.DUMMYFUNCTION("""COMPUTED_VALUE"""),"")</f>
        <v/>
      </c>
    </row>
    <row r="1704">
      <c r="A1704" s="36" t="str">
        <f>IFERROR(__xludf.DUMMYFUNCTION("""COMPUTED_VALUE"""),"03-44-10-43B")</f>
        <v>03-44-10-43B</v>
      </c>
      <c r="B1704" s="36" t="str">
        <f>IFERROR(__xludf.DUMMYFUNCTION("""COMPUTED_VALUE"""),"")</f>
        <v/>
      </c>
      <c r="C1704" s="36" t="str">
        <f>IFERROR(__xludf.DUMMYFUNCTION("""COMPUTED_VALUE"""),"")</f>
        <v/>
      </c>
      <c r="D1704" s="36" t="str">
        <f>IFERROR(__xludf.DUMMYFUNCTION("""COMPUTED_VALUE"""),"")</f>
        <v/>
      </c>
      <c r="E1704" s="36" t="str">
        <f>IFERROR(__xludf.DUMMYFUNCTION("""COMPUTED_VALUE"""),"01-38-08-71A")</f>
        <v>01-38-08-71A</v>
      </c>
      <c r="F1704" s="36"/>
      <c r="G1704" s="36" t="str">
        <f>IFERROR(__xludf.DUMMYFUNCTION("""COMPUTED_VALUE"""),"Maipú y Av. Rioja")</f>
        <v>Maipú y Av. Rioja</v>
      </c>
      <c r="H1704" s="36" t="str">
        <f>IFERROR(__xludf.DUMMYFUNCTION("""COMPUTED_VALUE"""),"")</f>
        <v/>
      </c>
    </row>
    <row r="1705">
      <c r="A1705" s="36" t="str">
        <f>IFERROR(__xludf.DUMMYFUNCTION("""COMPUTED_VALUE"""),"03-44-10-44B")</f>
        <v>03-44-10-44B</v>
      </c>
      <c r="B1705" s="36" t="str">
        <f>IFERROR(__xludf.DUMMYFUNCTION("""COMPUTED_VALUE"""),"")</f>
        <v/>
      </c>
      <c r="C1705" s="36" t="str">
        <f>IFERROR(__xludf.DUMMYFUNCTION("""COMPUTED_VALUE"""),"")</f>
        <v/>
      </c>
      <c r="D1705" s="36" t="str">
        <f>IFERROR(__xludf.DUMMYFUNCTION("""COMPUTED_VALUE"""),"")</f>
        <v/>
      </c>
      <c r="E1705" s="36" t="str">
        <f>IFERROR(__xludf.DUMMYFUNCTION("""COMPUTED_VALUE"""),"01-37-08-72B")</f>
        <v>01-37-08-72B</v>
      </c>
      <c r="F1705" s="36"/>
      <c r="G1705" s="36" t="str">
        <f>IFERROR(__xludf.DUMMYFUNCTION("""COMPUTED_VALUE"""),"Maipú y Domingo F. Sarmiento")</f>
        <v>Maipú y Domingo F. Sarmiento</v>
      </c>
      <c r="H1705" s="36" t="str">
        <f>IFERROR(__xludf.DUMMYFUNCTION("""COMPUTED_VALUE"""),"")</f>
        <v/>
      </c>
    </row>
    <row r="1706">
      <c r="A1706" s="36" t="str">
        <f>IFERROR(__xludf.DUMMYFUNCTION("""COMPUTED_VALUE"""),"03-46-10-110A")</f>
        <v>03-46-10-110A</v>
      </c>
      <c r="B1706" s="36" t="str">
        <f>IFERROR(__xludf.DUMMYFUNCTION("""COMPUTED_VALUE"""),"")</f>
        <v/>
      </c>
      <c r="C1706" s="36" t="str">
        <f>IFERROR(__xludf.DUMMYFUNCTION("""COMPUTED_VALUE"""),"")</f>
        <v/>
      </c>
      <c r="D1706" s="36" t="str">
        <f>IFERROR(__xludf.DUMMYFUNCTION("""COMPUTED_VALUE"""),"")</f>
        <v/>
      </c>
      <c r="E1706" s="36" t="str">
        <f>IFERROR(__xludf.DUMMYFUNCTION("""COMPUTED_VALUE"""),"03-31-09-146A")</f>
        <v>03-31-09-146A</v>
      </c>
      <c r="F1706" s="36"/>
      <c r="G1706" s="36" t="str">
        <f>IFERROR(__xludf.DUMMYFUNCTION("""COMPUTED_VALUE"""),"Maipú y Dorrego")</f>
        <v>Maipú y Dorrego</v>
      </c>
      <c r="H1706" s="36" t="str">
        <f>IFERROR(__xludf.DUMMYFUNCTION("""COMPUTED_VALUE"""),"")</f>
        <v/>
      </c>
    </row>
    <row r="1707">
      <c r="A1707" s="36" t="str">
        <f>IFERROR(__xludf.DUMMYFUNCTION("""COMPUTED_VALUE"""),"03-46-10-110B")</f>
        <v>03-46-10-110B</v>
      </c>
      <c r="B1707" s="36" t="str">
        <f>IFERROR(__xludf.DUMMYFUNCTION("""COMPUTED_VALUE"""),"")</f>
        <v/>
      </c>
      <c r="C1707" s="36" t="str">
        <f>IFERROR(__xludf.DUMMYFUNCTION("""COMPUTED_VALUE"""),"")</f>
        <v/>
      </c>
      <c r="D1707" s="36" t="str">
        <f>IFERROR(__xludf.DUMMYFUNCTION("""COMPUTED_VALUE"""),"")</f>
        <v/>
      </c>
      <c r="E1707" s="36" t="str">
        <f>IFERROR(__xludf.DUMMYFUNCTION("""COMPUTED_VALUE"""),"01-40-09-134")</f>
        <v>01-40-09-134</v>
      </c>
      <c r="F1707" s="36"/>
      <c r="G1707" s="36" t="str">
        <f>IFERROR(__xludf.DUMMYFUNCTION("""COMPUTED_VALUE"""),"Maipú y Estados Unidos")</f>
        <v>Maipú y Estados Unidos</v>
      </c>
      <c r="H1707" s="36" t="str">
        <f>IFERROR(__xludf.DUMMYFUNCTION("""COMPUTED_VALUE"""),"")</f>
        <v/>
      </c>
    </row>
    <row r="1708">
      <c r="A1708" s="36" t="str">
        <f>IFERROR(__xludf.DUMMYFUNCTION("""COMPUTED_VALUE"""),"03-46-10-111A")</f>
        <v>03-46-10-111A</v>
      </c>
      <c r="B1708" s="36" t="str">
        <f>IFERROR(__xludf.DUMMYFUNCTION("""COMPUTED_VALUE"""),"")</f>
        <v/>
      </c>
      <c r="C1708" s="36" t="str">
        <f>IFERROR(__xludf.DUMMYFUNCTION("""COMPUTED_VALUE"""),"")</f>
        <v/>
      </c>
      <c r="D1708" s="36" t="str">
        <f>IFERROR(__xludf.DUMMYFUNCTION("""COMPUTED_VALUE"""),"")</f>
        <v/>
      </c>
      <c r="E1708" s="36" t="str">
        <f>IFERROR(__xludf.DUMMYFUNCTION("""COMPUTED_VALUE"""),"03-42-10-32B")</f>
        <v>03-42-10-32B</v>
      </c>
      <c r="F1708" s="36"/>
      <c r="G1708" s="36" t="str">
        <f>IFERROR(__xludf.DUMMYFUNCTION("""COMPUTED_VALUE"""),"Maipú y Juan Diaz de Solís")</f>
        <v>Maipú y Juan Diaz de Solís</v>
      </c>
      <c r="H1708" s="36" t="str">
        <f>IFERROR(__xludf.DUMMYFUNCTION("""COMPUTED_VALUE"""),"")</f>
        <v/>
      </c>
    </row>
    <row r="1709">
      <c r="A1709" s="36" t="str">
        <f>IFERROR(__xludf.DUMMYFUNCTION("""COMPUTED_VALUE"""),"03-46-10-111B")</f>
        <v>03-46-10-111B</v>
      </c>
      <c r="B1709" s="36" t="str">
        <f>IFERROR(__xludf.DUMMYFUNCTION("""COMPUTED_VALUE"""),"")</f>
        <v/>
      </c>
      <c r="C1709" s="36" t="str">
        <f>IFERROR(__xludf.DUMMYFUNCTION("""COMPUTED_VALUE"""),"")</f>
        <v/>
      </c>
      <c r="D1709" s="36" t="str">
        <f>IFERROR(__xludf.DUMMYFUNCTION("""COMPUTED_VALUE"""),"")</f>
        <v/>
      </c>
      <c r="E1709" s="36" t="str">
        <f>IFERROR(__xludf.DUMMYFUNCTION("""COMPUTED_VALUE"""),"01-39-09-135X")</f>
        <v>01-39-09-135X</v>
      </c>
      <c r="F1709" s="36"/>
      <c r="G1709" s="36" t="str">
        <f>IFERROR(__xludf.DUMMYFUNCTION("""COMPUTED_VALUE"""),"Maipú y México")</f>
        <v>Maipú y México</v>
      </c>
      <c r="H1709" s="36" t="str">
        <f>IFERROR(__xludf.DUMMYFUNCTION("""COMPUTED_VALUE"""),"")</f>
        <v/>
      </c>
    </row>
    <row r="1710">
      <c r="A1710" s="36" t="str">
        <f>IFERROR(__xludf.DUMMYFUNCTION("""COMPUTED_VALUE"""),"03-46-10-112")</f>
        <v>03-46-10-112</v>
      </c>
      <c r="B1710" s="36" t="str">
        <f>IFERROR(__xludf.DUMMYFUNCTION("""COMPUTED_VALUE"""),"")</f>
        <v/>
      </c>
      <c r="C1710" s="36" t="str">
        <f>IFERROR(__xludf.DUMMYFUNCTION("""COMPUTED_VALUE"""),"")</f>
        <v/>
      </c>
      <c r="D1710" s="36" t="str">
        <f>IFERROR(__xludf.DUMMYFUNCTION("""COMPUTED_VALUE"""),"")</f>
        <v/>
      </c>
      <c r="E1710" s="36" t="str">
        <f>IFERROR(__xludf.DUMMYFUNCTION("""COMPUTED_VALUE"""),"01-40-09-134B")</f>
        <v>01-40-09-134B</v>
      </c>
      <c r="F1710" s="36"/>
      <c r="G1710" s="36" t="str">
        <f>IFERROR(__xludf.DUMMYFUNCTION("""COMPUTED_VALUE"""),"Maipú y Pueyrredón")</f>
        <v>Maipú y Pueyrredón</v>
      </c>
      <c r="H1710" s="36" t="str">
        <f>IFERROR(__xludf.DUMMYFUNCTION("""COMPUTED_VALUE"""),"NOMBRE")</f>
        <v>NOMBRE</v>
      </c>
    </row>
    <row r="1711">
      <c r="A1711" s="36" t="str">
        <f>IFERROR(__xludf.DUMMYFUNCTION("""COMPUTED_VALUE"""),"03-46-10-112A")</f>
        <v>03-46-10-112A</v>
      </c>
      <c r="B1711" s="36" t="str">
        <f>IFERROR(__xludf.DUMMYFUNCTION("""COMPUTED_VALUE"""),"")</f>
        <v/>
      </c>
      <c r="C1711" s="36" t="str">
        <f>IFERROR(__xludf.DUMMYFUNCTION("""COMPUTED_VALUE"""),"")</f>
        <v/>
      </c>
      <c r="D1711" s="36" t="str">
        <f>IFERROR(__xludf.DUMMYFUNCTION("""COMPUTED_VALUE"""),"")</f>
        <v/>
      </c>
      <c r="E1711" s="36" t="str">
        <f>IFERROR(__xludf.DUMMYFUNCTION("""COMPUTED_VALUE"""),"01-40-09-142C")</f>
        <v>01-40-09-142C</v>
      </c>
      <c r="F1711" s="36"/>
      <c r="G1711" s="36" t="str">
        <f>IFERROR(__xludf.DUMMYFUNCTION("""COMPUTED_VALUE"""),"Maipú y Pueyrredón")</f>
        <v>Maipú y Pueyrredón</v>
      </c>
      <c r="H1711" s="36" t="str">
        <f>IFERROR(__xludf.DUMMYFUNCTION("""COMPUTED_VALUE"""),"")</f>
        <v/>
      </c>
    </row>
    <row r="1712">
      <c r="A1712" s="36" t="str">
        <f>IFERROR(__xludf.DUMMYFUNCTION("""COMPUTED_VALUE"""),"03-46-10-113A")</f>
        <v>03-46-10-113A</v>
      </c>
      <c r="B1712" s="36" t="str">
        <f>IFERROR(__xludf.DUMMYFUNCTION("""COMPUTED_VALUE"""),"")</f>
        <v/>
      </c>
      <c r="C1712" s="36" t="str">
        <f>IFERROR(__xludf.DUMMYFUNCTION("""COMPUTED_VALUE"""),"")</f>
        <v/>
      </c>
      <c r="D1712" s="36" t="str">
        <f>IFERROR(__xludf.DUMMYFUNCTION("""COMPUTED_VALUE"""),"")</f>
        <v/>
      </c>
      <c r="E1712" s="36" t="str">
        <f>IFERROR(__xludf.DUMMYFUNCTION("""COMPUTED_VALUE"""),"01-36-07-4")</f>
        <v>01-36-07-4</v>
      </c>
      <c r="F1712" s="36"/>
      <c r="G1712" s="36" t="str">
        <f>IFERROR(__xludf.DUMMYFUNCTION("""COMPUTED_VALUE"""),"Maipú y Salta")</f>
        <v>Maipú y Salta</v>
      </c>
      <c r="H1712" s="36" t="str">
        <f>IFERROR(__xludf.DUMMYFUNCTION("""COMPUTED_VALUE"""),"")</f>
        <v/>
      </c>
    </row>
    <row r="1713">
      <c r="A1713" s="36" t="str">
        <f>IFERROR(__xludf.DUMMYFUNCTION("""COMPUTED_VALUE"""),"03-46-10-113B")</f>
        <v>03-46-10-113B</v>
      </c>
      <c r="B1713" s="36" t="str">
        <f>IFERROR(__xludf.DUMMYFUNCTION("""COMPUTED_VALUE"""),"")</f>
        <v/>
      </c>
      <c r="C1713" s="36" t="str">
        <f>IFERROR(__xludf.DUMMYFUNCTION("""COMPUTED_VALUE"""),"")</f>
        <v/>
      </c>
      <c r="D1713" s="36" t="str">
        <f>IFERROR(__xludf.DUMMYFUNCTION("""COMPUTED_VALUE"""),"")</f>
        <v/>
      </c>
      <c r="E1713" s="36" t="str">
        <f>IFERROR(__xludf.DUMMYFUNCTION("""COMPUTED_VALUE"""),"03-42-10-31B")</f>
        <v>03-42-10-31B</v>
      </c>
      <c r="F1713" s="36"/>
      <c r="G1713" s="36" t="str">
        <f>IFERROR(__xludf.DUMMYFUNCTION("""COMPUTED_VALUE"""),"Maipú y San Luis Norte")</f>
        <v>Maipú y San Luis Norte</v>
      </c>
      <c r="H1713" s="36" t="str">
        <f>IFERROR(__xludf.DUMMYFUNCTION("""COMPUTED_VALUE"""),"")</f>
        <v/>
      </c>
    </row>
    <row r="1714">
      <c r="A1714" s="36" t="str">
        <f>IFERROR(__xludf.DUMMYFUNCTION("""COMPUTED_VALUE"""),"03-46-10-114A")</f>
        <v>03-46-10-114A</v>
      </c>
      <c r="B1714" s="36" t="str">
        <f>IFERROR(__xludf.DUMMYFUNCTION("""COMPUTED_VALUE"""),"")</f>
        <v/>
      </c>
      <c r="C1714" s="36" t="str">
        <f>IFERROR(__xludf.DUMMYFUNCTION("""COMPUTED_VALUE"""),"")</f>
        <v/>
      </c>
      <c r="D1714" s="36" t="str">
        <f>IFERROR(__xludf.DUMMYFUNCTION("""COMPUTED_VALUE"""),"")</f>
        <v/>
      </c>
      <c r="E1714" s="36" t="str">
        <f>IFERROR(__xludf.DUMMYFUNCTION("""COMPUTED_VALUE"""),"02-36-11-88")</f>
        <v>02-36-11-88</v>
      </c>
      <c r="F1714" s="36"/>
      <c r="G1714" s="36" t="str">
        <f>IFERROR(__xludf.DUMMYFUNCTION("""COMPUTED_VALUE"""),"Malvinas Argentinas y Lavalle")</f>
        <v>Malvinas Argentinas y Lavalle</v>
      </c>
      <c r="H1714" s="36" t="str">
        <f>IFERROR(__xludf.DUMMYFUNCTION("""COMPUTED_VALUE"""),"")</f>
        <v/>
      </c>
    </row>
    <row r="1715">
      <c r="A1715" s="36" t="str">
        <f>IFERROR(__xludf.DUMMYFUNCTION("""COMPUTED_VALUE"""),"03-46-10-114B")</f>
        <v>03-46-10-114B</v>
      </c>
      <c r="B1715" s="36" t="str">
        <f>IFERROR(__xludf.DUMMYFUNCTION("""COMPUTED_VALUE"""),"")</f>
        <v/>
      </c>
      <c r="C1715" s="36" t="str">
        <f>IFERROR(__xludf.DUMMYFUNCTION("""COMPUTED_VALUE"""),"")</f>
        <v/>
      </c>
      <c r="D1715" s="36" t="str">
        <f>IFERROR(__xludf.DUMMYFUNCTION("""COMPUTED_VALUE"""),"")</f>
        <v/>
      </c>
      <c r="E1715" s="36" t="str">
        <f>IFERROR(__xludf.DUMMYFUNCTION("""COMPUTED_VALUE"""),"02-36-06-2")</f>
        <v>02-36-06-2</v>
      </c>
      <c r="F1715" s="36"/>
      <c r="G1715" s="36" t="str">
        <f>IFERROR(__xludf.DUMMYFUNCTION("""COMPUTED_VALUE"""),"Malvinas Argentinas y Punta de Rieles")</f>
        <v>Malvinas Argentinas y Punta de Rieles</v>
      </c>
      <c r="H1715" s="36" t="str">
        <f>IFERROR(__xludf.DUMMYFUNCTION("""COMPUTED_VALUE"""),"")</f>
        <v/>
      </c>
    </row>
    <row r="1716">
      <c r="A1716" s="36" t="str">
        <f>IFERROR(__xludf.DUMMYFUNCTION("""COMPUTED_VALUE"""),"03-46-10-118B")</f>
        <v>03-46-10-118B</v>
      </c>
      <c r="B1716" s="36" t="str">
        <f>IFERROR(__xludf.DUMMYFUNCTION("""COMPUTED_VALUE"""),"")</f>
        <v/>
      </c>
      <c r="C1716" s="36" t="str">
        <f>IFERROR(__xludf.DUMMYFUNCTION("""COMPUTED_VALUE"""),"")</f>
        <v/>
      </c>
      <c r="D1716" s="36" t="str">
        <f>IFERROR(__xludf.DUMMYFUNCTION("""COMPUTED_VALUE"""),"")</f>
        <v/>
      </c>
      <c r="E1716" s="36" t="str">
        <f>IFERROR(__xludf.DUMMYFUNCTION("""COMPUTED_VALUE"""),"04-45-12-14F")</f>
        <v>04-45-12-14F</v>
      </c>
      <c r="F1716" s="36"/>
      <c r="G1716" s="36" t="str">
        <f>IFERROR(__xludf.DUMMYFUNCTION("""COMPUTED_VALUE"""),"Manuel Frías y Agustín Gomez")</f>
        <v>Manuel Frías y Agustín Gomez</v>
      </c>
      <c r="H1716" s="36" t="str">
        <f>IFERROR(__xludf.DUMMYFUNCTION("""COMPUTED_VALUE"""),"")</f>
        <v/>
      </c>
    </row>
    <row r="1717">
      <c r="A1717" s="36" t="str">
        <f>IFERROR(__xludf.DUMMYFUNCTION("""COMPUTED_VALUE"""),"03-46-10-119B")</f>
        <v>03-46-10-119B</v>
      </c>
      <c r="B1717" s="36" t="str">
        <f>IFERROR(__xludf.DUMMYFUNCTION("""COMPUTED_VALUE"""),"")</f>
        <v/>
      </c>
      <c r="C1717" s="36" t="str">
        <f>IFERROR(__xludf.DUMMYFUNCTION("""COMPUTED_VALUE"""),"")</f>
        <v/>
      </c>
      <c r="D1717" s="36" t="str">
        <f>IFERROR(__xludf.DUMMYFUNCTION("""COMPUTED_VALUE"""),"")</f>
        <v/>
      </c>
      <c r="E1717" s="36" t="str">
        <f>IFERROR(__xludf.DUMMYFUNCTION("""COMPUTED_VALUE"""),"04-45-12-29G")</f>
        <v>04-45-12-29G</v>
      </c>
      <c r="F1717" s="36"/>
      <c r="G1717" s="36" t="str">
        <f>IFERROR(__xludf.DUMMYFUNCTION("""COMPUTED_VALUE"""),"Manuel Frías y Av. Sarmiento")</f>
        <v>Manuel Frías y Av. Sarmiento</v>
      </c>
      <c r="H1717" s="36" t="str">
        <f>IFERROR(__xludf.DUMMYFUNCTION("""COMPUTED_VALUE"""),"")</f>
        <v/>
      </c>
    </row>
    <row r="1718">
      <c r="A1718" s="36" t="str">
        <f>IFERROR(__xludf.DUMMYFUNCTION("""COMPUTED_VALUE"""),"03-46-10-120B")</f>
        <v>03-46-10-120B</v>
      </c>
      <c r="B1718" s="36" t="str">
        <f>IFERROR(__xludf.DUMMYFUNCTION("""COMPUTED_VALUE"""),"")</f>
        <v/>
      </c>
      <c r="C1718" s="36" t="str">
        <f>IFERROR(__xludf.DUMMYFUNCTION("""COMPUTED_VALUE"""),"")</f>
        <v/>
      </c>
      <c r="D1718" s="36" t="str">
        <f>IFERROR(__xludf.DUMMYFUNCTION("""COMPUTED_VALUE"""),"")</f>
        <v/>
      </c>
      <c r="E1718" s="36" t="str">
        <f>IFERROR(__xludf.DUMMYFUNCTION("""COMPUTED_VALUE"""),"04-45-12-14A")</f>
        <v>04-45-12-14A</v>
      </c>
      <c r="F1718" s="36"/>
      <c r="G1718" s="36" t="str">
        <f>IFERROR(__xludf.DUMMYFUNCTION("""COMPUTED_VALUE"""),"Manuel Frías y Bv. Sarmiento Este")</f>
        <v>Manuel Frías y Bv. Sarmiento Este</v>
      </c>
      <c r="H1718" s="36" t="str">
        <f>IFERROR(__xludf.DUMMYFUNCTION("""COMPUTED_VALUE"""),"")</f>
        <v/>
      </c>
    </row>
    <row r="1719">
      <c r="A1719" s="36" t="str">
        <f>IFERROR(__xludf.DUMMYFUNCTION("""COMPUTED_VALUE"""),"03-46-10-121B")</f>
        <v>03-46-10-121B</v>
      </c>
      <c r="B1719" s="36" t="str">
        <f>IFERROR(__xludf.DUMMYFUNCTION("""COMPUTED_VALUE"""),"")</f>
        <v/>
      </c>
      <c r="C1719" s="36" t="str">
        <f>IFERROR(__xludf.DUMMYFUNCTION("""COMPUTED_VALUE"""),"")</f>
        <v/>
      </c>
      <c r="D1719" s="36" t="str">
        <f>IFERROR(__xludf.DUMMYFUNCTION("""COMPUTED_VALUE"""),"")</f>
        <v/>
      </c>
      <c r="E1719" s="36" t="str">
        <f>IFERROR(__xludf.DUMMYFUNCTION("""COMPUTED_VALUE"""),"04-45-12-14B")</f>
        <v>04-45-12-14B</v>
      </c>
      <c r="F1719" s="36"/>
      <c r="G1719" s="36" t="str">
        <f>IFERROR(__xludf.DUMMYFUNCTION("""COMPUTED_VALUE"""),"Manuel Frías y Bv. Sarmiento Oeste")</f>
        <v>Manuel Frías y Bv. Sarmiento Oeste</v>
      </c>
      <c r="H1719" s="36" t="str">
        <f>IFERROR(__xludf.DUMMYFUNCTION("""COMPUTED_VALUE"""),"")</f>
        <v/>
      </c>
    </row>
    <row r="1720">
      <c r="A1720" s="36" t="str">
        <f>IFERROR(__xludf.DUMMYFUNCTION("""COMPUTED_VALUE"""),"03-46-10-122A")</f>
        <v>03-46-10-122A</v>
      </c>
      <c r="B1720" s="36" t="str">
        <f>IFERROR(__xludf.DUMMYFUNCTION("""COMPUTED_VALUE"""),"")</f>
        <v/>
      </c>
      <c r="C1720" s="36" t="str">
        <f>IFERROR(__xludf.DUMMYFUNCTION("""COMPUTED_VALUE"""),"")</f>
        <v/>
      </c>
      <c r="D1720" s="36" t="str">
        <f>IFERROR(__xludf.DUMMYFUNCTION("""COMPUTED_VALUE"""),"")</f>
        <v/>
      </c>
      <c r="E1720" s="36" t="str">
        <f>IFERROR(__xludf.DUMMYFUNCTION("""COMPUTED_VALUE"""),"04-45-12-14D")</f>
        <v>04-45-12-14D</v>
      </c>
      <c r="F1720" s="36"/>
      <c r="G1720" s="36" t="str">
        <f>IFERROR(__xludf.DUMMYFUNCTION("""COMPUTED_VALUE"""),"Manuel Frías y Chino Saldaño Este")</f>
        <v>Manuel Frías y Chino Saldaño Este</v>
      </c>
      <c r="H1720" s="36" t="str">
        <f>IFERROR(__xludf.DUMMYFUNCTION("""COMPUTED_VALUE"""),"")</f>
        <v/>
      </c>
    </row>
    <row r="1721">
      <c r="A1721" s="36" t="str">
        <f>IFERROR(__xludf.DUMMYFUNCTION("""COMPUTED_VALUE"""),"03-46-10-122C")</f>
        <v>03-46-10-122C</v>
      </c>
      <c r="B1721" s="36" t="str">
        <f>IFERROR(__xludf.DUMMYFUNCTION("""COMPUTED_VALUE"""),"")</f>
        <v/>
      </c>
      <c r="C1721" s="36" t="str">
        <f>IFERROR(__xludf.DUMMYFUNCTION("""COMPUTED_VALUE"""),"")</f>
        <v/>
      </c>
      <c r="D1721" s="36" t="str">
        <f>IFERROR(__xludf.DUMMYFUNCTION("""COMPUTED_VALUE"""),"")</f>
        <v/>
      </c>
      <c r="E1721" s="36" t="str">
        <f>IFERROR(__xludf.DUMMYFUNCTION("""COMPUTED_VALUE"""),"04-45-12-14C")</f>
        <v>04-45-12-14C</v>
      </c>
      <c r="F1721" s="36"/>
      <c r="G1721" s="36" t="str">
        <f>IFERROR(__xludf.DUMMYFUNCTION("""COMPUTED_VALUE"""),"Manuel Frías y Chino Saldaño Oeste")</f>
        <v>Manuel Frías y Chino Saldaño Oeste</v>
      </c>
      <c r="H1721" s="36" t="str">
        <f>IFERROR(__xludf.DUMMYFUNCTION("""COMPUTED_VALUE"""),"")</f>
        <v/>
      </c>
    </row>
    <row r="1722">
      <c r="A1722" s="36" t="str">
        <f>IFERROR(__xludf.DUMMYFUNCTION("""COMPUTED_VALUE"""),"03-46-10-128A")</f>
        <v>03-46-10-128A</v>
      </c>
      <c r="B1722" s="36" t="str">
        <f>IFERROR(__xludf.DUMMYFUNCTION("""COMPUTED_VALUE"""),"")</f>
        <v/>
      </c>
      <c r="C1722" s="36" t="str">
        <f>IFERROR(__xludf.DUMMYFUNCTION("""COMPUTED_VALUE"""),"")</f>
        <v/>
      </c>
      <c r="D1722" s="36" t="str">
        <f>IFERROR(__xludf.DUMMYFUNCTION("""COMPUTED_VALUE"""),"")</f>
        <v/>
      </c>
      <c r="E1722" s="36" t="str">
        <f>IFERROR(__xludf.DUMMYFUNCTION("""COMPUTED_VALUE"""),"04-45-12-29C")</f>
        <v>04-45-12-29C</v>
      </c>
      <c r="F1722" s="36"/>
      <c r="G1722" s="36" t="str">
        <f>IFERROR(__xludf.DUMMYFUNCTION("""COMPUTED_VALUE"""),"Manuel Frías y Dr. Ortega Este")</f>
        <v>Manuel Frías y Dr. Ortega Este</v>
      </c>
      <c r="H1722" s="36" t="str">
        <f>IFERROR(__xludf.DUMMYFUNCTION("""COMPUTED_VALUE"""),"")</f>
        <v/>
      </c>
    </row>
    <row r="1723">
      <c r="A1723" s="36" t="str">
        <f>IFERROR(__xludf.DUMMYFUNCTION("""COMPUTED_VALUE"""),"03-46-10-13A")</f>
        <v>03-46-10-13A</v>
      </c>
      <c r="B1723" s="36" t="str">
        <f>IFERROR(__xludf.DUMMYFUNCTION("""COMPUTED_VALUE"""),"")</f>
        <v/>
      </c>
      <c r="C1723" s="36" t="str">
        <f>IFERROR(__xludf.DUMMYFUNCTION("""COMPUTED_VALUE"""),"")</f>
        <v/>
      </c>
      <c r="D1723" s="36" t="str">
        <f>IFERROR(__xludf.DUMMYFUNCTION("""COMPUTED_VALUE"""),"")</f>
        <v/>
      </c>
      <c r="E1723" s="36" t="str">
        <f>IFERROR(__xludf.DUMMYFUNCTION("""COMPUTED_VALUE"""),"04-45-12-29D")</f>
        <v>04-45-12-29D</v>
      </c>
      <c r="F1723" s="36"/>
      <c r="G1723" s="36" t="str">
        <f>IFERROR(__xludf.DUMMYFUNCTION("""COMPUTED_VALUE"""),"Manuel Frías y Proy. de Bº La Estación")</f>
        <v>Manuel Frías y Proy. de Bº La Estación</v>
      </c>
      <c r="H1723" s="36" t="str">
        <f>IFERROR(__xludf.DUMMYFUNCTION("""COMPUTED_VALUE"""),"")</f>
        <v/>
      </c>
    </row>
    <row r="1724">
      <c r="A1724" s="36" t="str">
        <f>IFERROR(__xludf.DUMMYFUNCTION("""COMPUTED_VALUE"""),"03-46-10-14A")</f>
        <v>03-46-10-14A</v>
      </c>
      <c r="B1724" s="36" t="str">
        <f>IFERROR(__xludf.DUMMYFUNCTION("""COMPUTED_VALUE"""),"")</f>
        <v/>
      </c>
      <c r="C1724" s="36" t="str">
        <f>IFERROR(__xludf.DUMMYFUNCTION("""COMPUTED_VALUE"""),"")</f>
        <v/>
      </c>
      <c r="D1724" s="36" t="str">
        <f>IFERROR(__xludf.DUMMYFUNCTION("""COMPUTED_VALUE"""),"")</f>
        <v/>
      </c>
      <c r="E1724" s="36" t="str">
        <f>IFERROR(__xludf.DUMMYFUNCTION("""COMPUTED_VALUE"""),"04-45-12-8A")</f>
        <v>04-45-12-8A</v>
      </c>
      <c r="F1724" s="36"/>
      <c r="G1724" s="36" t="str">
        <f>IFERROR(__xludf.DUMMYFUNCTION("""COMPUTED_VALUE"""),"Manuel Lemos y Bv. Sarmiento")</f>
        <v>Manuel Lemos y Bv. Sarmiento</v>
      </c>
      <c r="H1724" s="36" t="str">
        <f>IFERROR(__xludf.DUMMYFUNCTION("""COMPUTED_VALUE"""),"")</f>
        <v/>
      </c>
    </row>
    <row r="1725">
      <c r="A1725" s="36" t="str">
        <f>IFERROR(__xludf.DUMMYFUNCTION("""COMPUTED_VALUE"""),"03-46-10-19")</f>
        <v>03-46-10-19</v>
      </c>
      <c r="B1725" s="36" t="str">
        <f>IFERROR(__xludf.DUMMYFUNCTION("""COMPUTED_VALUE"""),"")</f>
        <v/>
      </c>
      <c r="C1725" s="36" t="str">
        <f>IFERROR(__xludf.DUMMYFUNCTION("""COMPUTED_VALUE"""),"")</f>
        <v/>
      </c>
      <c r="D1725" s="36" t="str">
        <f>IFERROR(__xludf.DUMMYFUNCTION("""COMPUTED_VALUE"""),"")</f>
        <v/>
      </c>
      <c r="E1725" s="36" t="str">
        <f>IFERROR(__xludf.DUMMYFUNCTION("""COMPUTED_VALUE"""),"04-46-12-3A")</f>
        <v>04-46-12-3A</v>
      </c>
      <c r="F1725" s="36"/>
      <c r="G1725" s="36" t="str">
        <f>IFERROR(__xludf.DUMMYFUNCTION("""COMPUTED_VALUE"""),"Manuel Lemos y Felix Aguilar Este")</f>
        <v>Manuel Lemos y Felix Aguilar Este</v>
      </c>
      <c r="H1725" s="36" t="str">
        <f>IFERROR(__xludf.DUMMYFUNCTION("""COMPUTED_VALUE"""),"")</f>
        <v/>
      </c>
    </row>
    <row r="1726">
      <c r="A1726" s="36" t="str">
        <f>IFERROR(__xludf.DUMMYFUNCTION("""COMPUTED_VALUE"""),"03-46-10-20")</f>
        <v>03-46-10-20</v>
      </c>
      <c r="B1726" s="36" t="str">
        <f>IFERROR(__xludf.DUMMYFUNCTION("""COMPUTED_VALUE"""),"")</f>
        <v/>
      </c>
      <c r="C1726" s="36" t="str">
        <f>IFERROR(__xludf.DUMMYFUNCTION("""COMPUTED_VALUE"""),"")</f>
        <v/>
      </c>
      <c r="D1726" s="36" t="str">
        <f>IFERROR(__xludf.DUMMYFUNCTION("""COMPUTED_VALUE"""),"")</f>
        <v/>
      </c>
      <c r="E1726" s="36" t="str">
        <f>IFERROR(__xludf.DUMMYFUNCTION("""COMPUTED_VALUE"""),"04-45-12-3")</f>
        <v>04-45-12-3</v>
      </c>
      <c r="F1726" s="36"/>
      <c r="G1726" s="36" t="str">
        <f>IFERROR(__xludf.DUMMYFUNCTION("""COMPUTED_VALUE"""),"Manuel Lemos y Felix Aguilar Oeste")</f>
        <v>Manuel Lemos y Felix Aguilar Oeste</v>
      </c>
      <c r="H1726" s="36" t="str">
        <f>IFERROR(__xludf.DUMMYFUNCTION("""COMPUTED_VALUE"""),"")</f>
        <v/>
      </c>
    </row>
    <row r="1727">
      <c r="A1727" s="36" t="str">
        <f>IFERROR(__xludf.DUMMYFUNCTION("""COMPUTED_VALUE"""),"03-46-10-21")</f>
        <v>03-46-10-21</v>
      </c>
      <c r="B1727" s="36" t="str">
        <f>IFERROR(__xludf.DUMMYFUNCTION("""COMPUTED_VALUE"""),"")</f>
        <v/>
      </c>
      <c r="C1727" s="36" t="str">
        <f>IFERROR(__xludf.DUMMYFUNCTION("""COMPUTED_VALUE"""),"")</f>
        <v/>
      </c>
      <c r="D1727" s="36" t="str">
        <f>IFERROR(__xludf.DUMMYFUNCTION("""COMPUTED_VALUE"""),"")</f>
        <v/>
      </c>
      <c r="E1727" s="36" t="str">
        <f>IFERROR(__xludf.DUMMYFUNCTION("""COMPUTED_VALUE"""),"04-46-12-4")</f>
        <v>04-46-12-4</v>
      </c>
      <c r="F1727" s="36"/>
      <c r="G1727" s="36" t="str">
        <f>IFERROR(__xludf.DUMMYFUNCTION("""COMPUTED_VALUE"""),"Manuel Lemos y Quiroz")</f>
        <v>Manuel Lemos y Quiroz</v>
      </c>
      <c r="H1727" s="36" t="str">
        <f>IFERROR(__xludf.DUMMYFUNCTION("""COMPUTED_VALUE"""),"")</f>
        <v/>
      </c>
    </row>
    <row r="1728">
      <c r="A1728" s="36" t="str">
        <f>IFERROR(__xludf.DUMMYFUNCTION("""COMPUTED_VALUE"""),"03-47-10-10")</f>
        <v>03-47-10-10</v>
      </c>
      <c r="B1728" s="36" t="str">
        <f>IFERROR(__xludf.DUMMYFUNCTION("""COMPUTED_VALUE"""),"")</f>
        <v/>
      </c>
      <c r="C1728" s="36" t="str">
        <f>IFERROR(__xludf.DUMMYFUNCTION("""COMPUTED_VALUE"""),"")</f>
        <v/>
      </c>
      <c r="D1728" s="36" t="str">
        <f>IFERROR(__xludf.DUMMYFUNCTION("""COMPUTED_VALUE"""),"")</f>
        <v/>
      </c>
      <c r="E1728" s="36" t="str">
        <f>IFERROR(__xludf.DUMMYFUNCTION("""COMPUTED_VALUE"""),"04-46-12-8C")</f>
        <v>04-46-12-8C</v>
      </c>
      <c r="F1728" s="36"/>
      <c r="G1728" s="36" t="str">
        <f>IFERROR(__xludf.DUMMYFUNCTION("""COMPUTED_VALUE"""),"Manuel Lemos y Torino")</f>
        <v>Manuel Lemos y Torino</v>
      </c>
      <c r="H1728" s="36" t="str">
        <f>IFERROR(__xludf.DUMMYFUNCTION("""COMPUTED_VALUE"""),"")</f>
        <v/>
      </c>
    </row>
    <row r="1729">
      <c r="A1729" s="36" t="str">
        <f>IFERROR(__xludf.DUMMYFUNCTION("""COMPUTED_VALUE"""),"03-47-10-10A")</f>
        <v>03-47-10-10A</v>
      </c>
      <c r="B1729" s="36" t="str">
        <f>IFERROR(__xludf.DUMMYFUNCTION("""COMPUTED_VALUE"""),"")</f>
        <v/>
      </c>
      <c r="C1729" s="36" t="str">
        <f>IFERROR(__xludf.DUMMYFUNCTION("""COMPUTED_VALUE"""),"")</f>
        <v/>
      </c>
      <c r="D1729" s="36" t="str">
        <f>IFERROR(__xludf.DUMMYFUNCTION("""COMPUTED_VALUE"""),"")</f>
        <v/>
      </c>
      <c r="E1729" s="36" t="str">
        <f>IFERROR(__xludf.DUMMYFUNCTION("""COMPUTED_VALUE"""),"04-30-14-128")</f>
        <v>04-30-14-128</v>
      </c>
      <c r="F1729" s="36"/>
      <c r="G1729" s="36" t="str">
        <f>IFERROR(__xludf.DUMMYFUNCTION("""COMPUTED_VALUE"""),"Manuel Quiroga y Gral. Acha ")</f>
        <v>Manuel Quiroga y Gral. Acha </v>
      </c>
      <c r="H1729" s="36" t="str">
        <f>IFERROR(__xludf.DUMMYFUNCTION("""COMPUTED_VALUE"""),"")</f>
        <v/>
      </c>
    </row>
    <row r="1730">
      <c r="A1730" s="36" t="str">
        <f>IFERROR(__xludf.DUMMYFUNCTION("""COMPUTED_VALUE"""),"03-47-10-11")</f>
        <v>03-47-10-11</v>
      </c>
      <c r="B1730" s="36" t="str">
        <f>IFERROR(__xludf.DUMMYFUNCTION("""COMPUTED_VALUE"""),"")</f>
        <v/>
      </c>
      <c r="C1730" s="36" t="str">
        <f>IFERROR(__xludf.DUMMYFUNCTION("""COMPUTED_VALUE"""),"")</f>
        <v/>
      </c>
      <c r="D1730" s="36" t="str">
        <f>IFERROR(__xludf.DUMMYFUNCTION("""COMPUTED_VALUE"""),"")</f>
        <v/>
      </c>
      <c r="E1730" s="36" t="str">
        <f>IFERROR(__xludf.DUMMYFUNCTION("""COMPUTED_VALUE"""),"02-31-06-68")</f>
        <v>02-31-06-68</v>
      </c>
      <c r="F1730" s="36"/>
      <c r="G1730" s="36" t="str">
        <f>IFERROR(__xludf.DUMMYFUNCTION("""COMPUTED_VALUE"""),"Manuel Zaballa y Arturo Illia")</f>
        <v>Manuel Zaballa y Arturo Illia</v>
      </c>
      <c r="H1730" s="36" t="str">
        <f>IFERROR(__xludf.DUMMYFUNCTION("""COMPUTED_VALUE"""),"")</f>
        <v/>
      </c>
    </row>
    <row r="1731">
      <c r="A1731" s="36" t="str">
        <f>IFERROR(__xludf.DUMMYFUNCTION("""COMPUTED_VALUE"""),"03-47-10-118A")</f>
        <v>03-47-10-118A</v>
      </c>
      <c r="B1731" s="36" t="str">
        <f>IFERROR(__xludf.DUMMYFUNCTION("""COMPUTED_VALUE"""),"")</f>
        <v/>
      </c>
      <c r="C1731" s="36" t="str">
        <f>IFERROR(__xludf.DUMMYFUNCTION("""COMPUTED_VALUE"""),"")</f>
        <v/>
      </c>
      <c r="D1731" s="36" t="str">
        <f>IFERROR(__xludf.DUMMYFUNCTION("""COMPUTED_VALUE"""),"")</f>
        <v/>
      </c>
      <c r="E1731" s="36" t="str">
        <f>IFERROR(__xludf.DUMMYFUNCTION("""COMPUTED_VALUE"""),"02-30-06-71")</f>
        <v>02-30-06-71</v>
      </c>
      <c r="F1731" s="36"/>
      <c r="G1731" s="36" t="str">
        <f>IFERROR(__xludf.DUMMYFUNCTION("""COMPUTED_VALUE"""),"Manuel Zaballa y Los Tilos E")</f>
        <v>Manuel Zaballa y Los Tilos E</v>
      </c>
      <c r="H1731" s="36" t="str">
        <f>IFERROR(__xludf.DUMMYFUNCTION("""COMPUTED_VALUE"""),"")</f>
        <v/>
      </c>
    </row>
    <row r="1732">
      <c r="A1732" s="36" t="str">
        <f>IFERROR(__xludf.DUMMYFUNCTION("""COMPUTED_VALUE"""),"03-47-10-119A")</f>
        <v>03-47-10-119A</v>
      </c>
      <c r="B1732" s="36" t="str">
        <f>IFERROR(__xludf.DUMMYFUNCTION("""COMPUTED_VALUE"""),"")</f>
        <v/>
      </c>
      <c r="C1732" s="36" t="str">
        <f>IFERROR(__xludf.DUMMYFUNCTION("""COMPUTED_VALUE"""),"")</f>
        <v/>
      </c>
      <c r="D1732" s="36" t="str">
        <f>IFERROR(__xludf.DUMMYFUNCTION("""COMPUTED_VALUE"""),"")</f>
        <v/>
      </c>
      <c r="E1732" s="36" t="str">
        <f>IFERROR(__xludf.DUMMYFUNCTION("""COMPUTED_VALUE"""),"02-31-06-71A")</f>
        <v>02-31-06-71A</v>
      </c>
      <c r="F1732" s="36"/>
      <c r="G1732" s="36" t="str">
        <f>IFERROR(__xludf.DUMMYFUNCTION("""COMPUTED_VALUE"""),"Manuel Zaballa y Los Tilos O")</f>
        <v>Manuel Zaballa y Los Tilos O</v>
      </c>
      <c r="H1732" s="36" t="str">
        <f>IFERROR(__xludf.DUMMYFUNCTION("""COMPUTED_VALUE"""),"")</f>
        <v/>
      </c>
    </row>
    <row r="1733">
      <c r="A1733" s="36" t="str">
        <f>IFERROR(__xludf.DUMMYFUNCTION("""COMPUTED_VALUE"""),"03-47-10-11A")</f>
        <v>03-47-10-11A</v>
      </c>
      <c r="B1733" s="36" t="str">
        <f>IFERROR(__xludf.DUMMYFUNCTION("""COMPUTED_VALUE"""),"")</f>
        <v/>
      </c>
      <c r="C1733" s="36" t="str">
        <f>IFERROR(__xludf.DUMMYFUNCTION("""COMPUTED_VALUE"""),"")</f>
        <v/>
      </c>
      <c r="D1733" s="36" t="str">
        <f>IFERROR(__xludf.DUMMYFUNCTION("""COMPUTED_VALUE"""),"")</f>
        <v/>
      </c>
      <c r="E1733" s="36" t="str">
        <f>IFERROR(__xludf.DUMMYFUNCTION("""COMPUTED_VALUE"""),"02-30-06-69")</f>
        <v>02-30-06-69</v>
      </c>
      <c r="F1733" s="36"/>
      <c r="G1733" s="36" t="str">
        <f>IFERROR(__xludf.DUMMYFUNCTION("""COMPUTED_VALUE"""),"Manuel Zaballa y Tte. Blanco E")</f>
        <v>Manuel Zaballa y Tte. Blanco E</v>
      </c>
      <c r="H1733" s="36" t="str">
        <f>IFERROR(__xludf.DUMMYFUNCTION("""COMPUTED_VALUE"""),"")</f>
        <v/>
      </c>
    </row>
    <row r="1734">
      <c r="A1734" s="36" t="str">
        <f>IFERROR(__xludf.DUMMYFUNCTION("""COMPUTED_VALUE"""),"03-47-10-12")</f>
        <v>03-47-10-12</v>
      </c>
      <c r="B1734" s="36" t="str">
        <f>IFERROR(__xludf.DUMMYFUNCTION("""COMPUTED_VALUE"""),"")</f>
        <v/>
      </c>
      <c r="C1734" s="36" t="str">
        <f>IFERROR(__xludf.DUMMYFUNCTION("""COMPUTED_VALUE"""),"")</f>
        <v/>
      </c>
      <c r="D1734" s="36" t="str">
        <f>IFERROR(__xludf.DUMMYFUNCTION("""COMPUTED_VALUE"""),"")</f>
        <v/>
      </c>
      <c r="E1734" s="36" t="str">
        <f>IFERROR(__xludf.DUMMYFUNCTION("""COMPUTED_VALUE"""),"02-31-06-69A")</f>
        <v>02-31-06-69A</v>
      </c>
      <c r="F1734" s="36"/>
      <c r="G1734" s="36" t="str">
        <f>IFERROR(__xludf.DUMMYFUNCTION("""COMPUTED_VALUE"""),"Manuel Zaballa y Tte. Blanco O")</f>
        <v>Manuel Zaballa y Tte. Blanco O</v>
      </c>
      <c r="H1734" s="36" t="str">
        <f>IFERROR(__xludf.DUMMYFUNCTION("""COMPUTED_VALUE"""),"")</f>
        <v/>
      </c>
    </row>
    <row r="1735">
      <c r="A1735" s="36" t="str">
        <f>IFERROR(__xludf.DUMMYFUNCTION("""COMPUTED_VALUE"""),"03-47-10-120A")</f>
        <v>03-47-10-120A</v>
      </c>
      <c r="B1735" s="36" t="str">
        <f>IFERROR(__xludf.DUMMYFUNCTION("""COMPUTED_VALUE"""),"")</f>
        <v/>
      </c>
      <c r="C1735" s="36" t="str">
        <f>IFERROR(__xludf.DUMMYFUNCTION("""COMPUTED_VALUE"""),"")</f>
        <v/>
      </c>
      <c r="D1735" s="36" t="str">
        <f>IFERROR(__xludf.DUMMYFUNCTION("""COMPUTED_VALUE"""),"")</f>
        <v/>
      </c>
      <c r="E1735" s="36" t="str">
        <f>IFERROR(__xludf.DUMMYFUNCTION("""COMPUTED_VALUE"""),"02-31-06-44A")</f>
        <v>02-31-06-44A</v>
      </c>
      <c r="F1735" s="36"/>
      <c r="G1735" s="36" t="str">
        <f>IFERROR(__xludf.DUMMYFUNCTION("""COMPUTED_VALUE"""),"Manuel Zavalla y Av. Libertador")</f>
        <v>Manuel Zavalla y Av. Libertador</v>
      </c>
      <c r="H1735" s="36" t="str">
        <f>IFERROR(__xludf.DUMMYFUNCTION("""COMPUTED_VALUE"""),"")</f>
        <v/>
      </c>
    </row>
    <row r="1736">
      <c r="A1736" s="36" t="str">
        <f>IFERROR(__xludf.DUMMYFUNCTION("""COMPUTED_VALUE"""),"03-47-10-121A")</f>
        <v>03-47-10-121A</v>
      </c>
      <c r="B1736" s="36" t="str">
        <f>IFERROR(__xludf.DUMMYFUNCTION("""COMPUTED_VALUE"""),"")</f>
        <v/>
      </c>
      <c r="C1736" s="36" t="str">
        <f>IFERROR(__xludf.DUMMYFUNCTION("""COMPUTED_VALUE"""),"")</f>
        <v/>
      </c>
      <c r="D1736" s="36" t="str">
        <f>IFERROR(__xludf.DUMMYFUNCTION("""COMPUTED_VALUE"""),"")</f>
        <v/>
      </c>
      <c r="E1736" s="36" t="str">
        <f>IFERROR(__xludf.DUMMYFUNCTION("""COMPUTED_VALUE"""),"02-30-06-79B")</f>
        <v>02-30-06-79B</v>
      </c>
      <c r="F1736" s="36"/>
      <c r="G1736" s="36" t="str">
        <f>IFERROR(__xludf.DUMMYFUNCTION("""COMPUTED_VALUE"""),"Manuel Zavalla y Sgto. Cabral")</f>
        <v>Manuel Zavalla y Sgto. Cabral</v>
      </c>
      <c r="H1736" s="36" t="str">
        <f>IFERROR(__xludf.DUMMYFUNCTION("""COMPUTED_VALUE"""),"")</f>
        <v/>
      </c>
    </row>
    <row r="1737">
      <c r="A1737" s="36" t="str">
        <f>IFERROR(__xludf.DUMMYFUNCTION("""COMPUTED_VALUE"""),"03-47-10-124A")</f>
        <v>03-47-10-124A</v>
      </c>
      <c r="B1737" s="36" t="str">
        <f>IFERROR(__xludf.DUMMYFUNCTION("""COMPUTED_VALUE"""),"")</f>
        <v/>
      </c>
      <c r="C1737" s="36" t="str">
        <f>IFERROR(__xludf.DUMMYFUNCTION("""COMPUTED_VALUE"""),"")</f>
        <v/>
      </c>
      <c r="D1737" s="36" t="str">
        <f>IFERROR(__xludf.DUMMYFUNCTION("""COMPUTED_VALUE"""),"")</f>
        <v/>
      </c>
      <c r="E1737" s="36" t="str">
        <f>IFERROR(__xludf.DUMMYFUNCTION("""COMPUTED_VALUE"""),"02-30-06-43")</f>
        <v>02-30-06-43</v>
      </c>
      <c r="F1737" s="36"/>
      <c r="G1737" s="36" t="str">
        <f>IFERROR(__xludf.DUMMYFUNCTION("""COMPUTED_VALUE"""),"Manuel Zavalla y Suipacha E")</f>
        <v>Manuel Zavalla y Suipacha E</v>
      </c>
      <c r="H1737" s="36" t="str">
        <f>IFERROR(__xludf.DUMMYFUNCTION("""COMPUTED_VALUE"""),"")</f>
        <v/>
      </c>
    </row>
    <row r="1738">
      <c r="A1738" s="36" t="str">
        <f>IFERROR(__xludf.DUMMYFUNCTION("""COMPUTED_VALUE"""),"03-47-10-125A")</f>
        <v>03-47-10-125A</v>
      </c>
      <c r="B1738" s="36" t="str">
        <f>IFERROR(__xludf.DUMMYFUNCTION("""COMPUTED_VALUE"""),"")</f>
        <v/>
      </c>
      <c r="C1738" s="36" t="str">
        <f>IFERROR(__xludf.DUMMYFUNCTION("""COMPUTED_VALUE"""),"")</f>
        <v/>
      </c>
      <c r="D1738" s="36" t="str">
        <f>IFERROR(__xludf.DUMMYFUNCTION("""COMPUTED_VALUE"""),"")</f>
        <v/>
      </c>
      <c r="E1738" s="36" t="str">
        <f>IFERROR(__xludf.DUMMYFUNCTION("""COMPUTED_VALUE"""),"02-31-06-43A")</f>
        <v>02-31-06-43A</v>
      </c>
      <c r="F1738" s="36"/>
      <c r="G1738" s="36" t="str">
        <f>IFERROR(__xludf.DUMMYFUNCTION("""COMPUTED_VALUE"""),"Manuel Zavalla y Suipacha O")</f>
        <v>Manuel Zavalla y Suipacha O</v>
      </c>
      <c r="H1738" s="36" t="str">
        <f>IFERROR(__xludf.DUMMYFUNCTION("""COMPUTED_VALUE"""),"")</f>
        <v/>
      </c>
    </row>
    <row r="1739">
      <c r="A1739" s="36" t="str">
        <f>IFERROR(__xludf.DUMMYFUNCTION("""COMPUTED_VALUE"""),"03-47-10-125B")</f>
        <v>03-47-10-125B</v>
      </c>
      <c r="B1739" s="36" t="str">
        <f>IFERROR(__xludf.DUMMYFUNCTION("""COMPUTED_VALUE"""),"")</f>
        <v/>
      </c>
      <c r="C1739" s="36" t="str">
        <f>IFERROR(__xludf.DUMMYFUNCTION("""COMPUTED_VALUE"""),"")</f>
        <v/>
      </c>
      <c r="D1739" s="36" t="str">
        <f>IFERROR(__xludf.DUMMYFUNCTION("""COMPUTED_VALUE"""),"")</f>
        <v/>
      </c>
      <c r="E1739" s="36" t="str">
        <f>IFERROR(__xludf.DUMMYFUNCTION("""COMPUTED_VALUE"""),"02-31-06-42A")</f>
        <v>02-31-06-42A</v>
      </c>
      <c r="F1739" s="36"/>
      <c r="G1739" s="36" t="str">
        <f>IFERROR(__xludf.DUMMYFUNCTION("""COMPUTED_VALUE"""),"Manuel Zavalla y Talcahuano O")</f>
        <v>Manuel Zavalla y Talcahuano O</v>
      </c>
      <c r="H1739" s="36" t="str">
        <f>IFERROR(__xludf.DUMMYFUNCTION("""COMPUTED_VALUE"""),"")</f>
        <v/>
      </c>
    </row>
    <row r="1740">
      <c r="A1740" s="36" t="str">
        <f>IFERROR(__xludf.DUMMYFUNCTION("""COMPUTED_VALUE"""),"03-47-10-126B")</f>
        <v>03-47-10-126B</v>
      </c>
      <c r="B1740" s="36" t="str">
        <f>IFERROR(__xludf.DUMMYFUNCTION("""COMPUTED_VALUE"""),"")</f>
        <v/>
      </c>
      <c r="C1740" s="36" t="str">
        <f>IFERROR(__xludf.DUMMYFUNCTION("""COMPUTED_VALUE"""),"")</f>
        <v/>
      </c>
      <c r="D1740" s="36" t="str">
        <f>IFERROR(__xludf.DUMMYFUNCTION("""COMPUTED_VALUE"""),"")</f>
        <v/>
      </c>
      <c r="E1740" s="36" t="str">
        <f>IFERROR(__xludf.DUMMYFUNCTION("""COMPUTED_VALUE"""),"02-30-06-42")</f>
        <v>02-30-06-42</v>
      </c>
      <c r="F1740" s="36"/>
      <c r="G1740" s="36" t="str">
        <f>IFERROR(__xludf.DUMMYFUNCTION("""COMPUTED_VALUE"""),"Manuel Zavalla y Talcahuano S")</f>
        <v>Manuel Zavalla y Talcahuano S</v>
      </c>
      <c r="H1740" s="36" t="str">
        <f>IFERROR(__xludf.DUMMYFUNCTION("""COMPUTED_VALUE"""),"")</f>
        <v/>
      </c>
    </row>
    <row r="1741">
      <c r="A1741" s="36" t="str">
        <f>IFERROR(__xludf.DUMMYFUNCTION("""COMPUTED_VALUE"""),"03-47-10-128A")</f>
        <v>03-47-10-128A</v>
      </c>
      <c r="B1741" s="36" t="str">
        <f>IFERROR(__xludf.DUMMYFUNCTION("""COMPUTED_VALUE"""),"")</f>
        <v/>
      </c>
      <c r="C1741" s="36" t="str">
        <f>IFERROR(__xludf.DUMMYFUNCTION("""COMPUTED_VALUE"""),"")</f>
        <v/>
      </c>
      <c r="D1741" s="36" t="str">
        <f>IFERROR(__xludf.DUMMYFUNCTION("""COMPUTED_VALUE"""),"")</f>
        <v/>
      </c>
      <c r="E1741" s="36" t="str">
        <f>IFERROR(__xludf.DUMMYFUNCTION("""COMPUTED_VALUE"""),"02-30-06-44")</f>
        <v>02-30-06-44</v>
      </c>
      <c r="F1741" s="36"/>
      <c r="G1741" s="36" t="str">
        <f>IFERROR(__xludf.DUMMYFUNCTION("""COMPUTED_VALUE"""),"Manuel Zavalla y Yapeyú")</f>
        <v>Manuel Zavalla y Yapeyú</v>
      </c>
      <c r="H1741" s="36" t="str">
        <f>IFERROR(__xludf.DUMMYFUNCTION("""COMPUTED_VALUE"""),"")</f>
        <v/>
      </c>
    </row>
    <row r="1742">
      <c r="A1742" s="36" t="str">
        <f>IFERROR(__xludf.DUMMYFUNCTION("""COMPUTED_VALUE"""),"03-47-10-12A")</f>
        <v>03-47-10-12A</v>
      </c>
      <c r="B1742" s="36" t="str">
        <f>IFERROR(__xludf.DUMMYFUNCTION("""COMPUTED_VALUE"""),"")</f>
        <v/>
      </c>
      <c r="C1742" s="36" t="str">
        <f>IFERROR(__xludf.DUMMYFUNCTION("""COMPUTED_VALUE"""),"")</f>
        <v/>
      </c>
      <c r="D1742" s="36" t="str">
        <f>IFERROR(__xludf.DUMMYFUNCTION("""COMPUTED_VALUE"""),"")</f>
        <v/>
      </c>
      <c r="E1742" s="36" t="str">
        <f>IFERROR(__xludf.DUMMYFUNCTION("""COMPUTED_VALUE"""),"08-40-02-12")</f>
        <v>08-40-02-12</v>
      </c>
      <c r="F1742" s="36"/>
      <c r="G1742" s="36" t="str">
        <f>IFERROR(__xludf.DUMMYFUNCTION("""COMPUTED_VALUE"""),"Maradona y Av. N. Benavídez")</f>
        <v>Maradona y Av. N. Benavídez</v>
      </c>
      <c r="H1742" s="36" t="str">
        <f>IFERROR(__xludf.DUMMYFUNCTION("""COMPUTED_VALUE"""),"")</f>
        <v/>
      </c>
    </row>
    <row r="1743">
      <c r="A1743" s="36" t="str">
        <f>IFERROR(__xludf.DUMMYFUNCTION("""COMPUTED_VALUE"""),"03-47-10-558B")</f>
        <v>03-47-10-558B</v>
      </c>
      <c r="B1743" s="36" t="str">
        <f>IFERROR(__xludf.DUMMYFUNCTION("""COMPUTED_VALUE"""),"")</f>
        <v/>
      </c>
      <c r="C1743" s="36" t="str">
        <f>IFERROR(__xludf.DUMMYFUNCTION("""COMPUTED_VALUE"""),"")</f>
        <v/>
      </c>
      <c r="D1743" s="36" t="str">
        <f>IFERROR(__xludf.DUMMYFUNCTION("""COMPUTED_VALUE"""),"")</f>
        <v/>
      </c>
      <c r="E1743" s="36" t="str">
        <f>IFERROR(__xludf.DUMMYFUNCTION("""COMPUTED_VALUE"""),"08-21-02-45A")</f>
        <v>08-21-02-45A</v>
      </c>
      <c r="F1743" s="36"/>
      <c r="G1743" s="36" t="str">
        <f>IFERROR(__xludf.DUMMYFUNCTION("""COMPUTED_VALUE"""),"Maradona y Corrientes")</f>
        <v>Maradona y Corrientes</v>
      </c>
      <c r="H1743" s="36" t="str">
        <f>IFERROR(__xludf.DUMMYFUNCTION("""COMPUTED_VALUE"""),"")</f>
        <v/>
      </c>
    </row>
    <row r="1744">
      <c r="A1744" s="36" t="str">
        <f>IFERROR(__xludf.DUMMYFUNCTION("""COMPUTED_VALUE"""),"03-47-10-9A")</f>
        <v>03-47-10-9A</v>
      </c>
      <c r="B1744" s="36" t="str">
        <f>IFERROR(__xludf.DUMMYFUNCTION("""COMPUTED_VALUE"""),"")</f>
        <v/>
      </c>
      <c r="C1744" s="36" t="str">
        <f>IFERROR(__xludf.DUMMYFUNCTION("""COMPUTED_VALUE"""),"")</f>
        <v/>
      </c>
      <c r="D1744" s="36" t="str">
        <f>IFERROR(__xludf.DUMMYFUNCTION("""COMPUTED_VALUE"""),"")</f>
        <v/>
      </c>
      <c r="E1744" s="36" t="str">
        <f>IFERROR(__xludf.DUMMYFUNCTION("""COMPUTED_VALUE"""),"08-40-02-11")</f>
        <v>08-40-02-11</v>
      </c>
      <c r="F1744" s="36"/>
      <c r="G1744" s="36" t="str">
        <f>IFERROR(__xludf.DUMMYFUNCTION("""COMPUTED_VALUE"""),"Maradona y Formosa")</f>
        <v>Maradona y Formosa</v>
      </c>
      <c r="H1744" s="36" t="str">
        <f>IFERROR(__xludf.DUMMYFUNCTION("""COMPUTED_VALUE"""),"")</f>
        <v/>
      </c>
    </row>
    <row r="1745">
      <c r="A1745" s="36" t="str">
        <f>IFERROR(__xludf.DUMMYFUNCTION("""COMPUTED_VALUE"""),"03-48-10-126A")</f>
        <v>03-48-10-126A</v>
      </c>
      <c r="B1745" s="36" t="str">
        <f>IFERROR(__xludf.DUMMYFUNCTION("""COMPUTED_VALUE"""),"")</f>
        <v/>
      </c>
      <c r="C1745" s="36" t="str">
        <f>IFERROR(__xludf.DUMMYFUNCTION("""COMPUTED_VALUE"""),"")</f>
        <v/>
      </c>
      <c r="D1745" s="36" t="str">
        <f>IFERROR(__xludf.DUMMYFUNCTION("""COMPUTED_VALUE"""),"")</f>
        <v/>
      </c>
      <c r="E1745" s="36" t="str">
        <f>IFERROR(__xludf.DUMMYFUNCTION("""COMPUTED_VALUE"""),"08-40-02-9")</f>
        <v>08-40-02-9</v>
      </c>
      <c r="F1745" s="36"/>
      <c r="G1745" s="36" t="str">
        <f>IFERROR(__xludf.DUMMYFUNCTION("""COMPUTED_VALUE"""),"Maradona y Neuquén")</f>
        <v>Maradona y Neuquén</v>
      </c>
      <c r="H1745" s="36" t="str">
        <f>IFERROR(__xludf.DUMMYFUNCTION("""COMPUTED_VALUE"""),"")</f>
        <v/>
      </c>
    </row>
    <row r="1746">
      <c r="A1746" s="36" t="str">
        <f>IFERROR(__xludf.DUMMYFUNCTION("""COMPUTED_VALUE"""),"03-48-10-126C")</f>
        <v>03-48-10-126C</v>
      </c>
      <c r="B1746" s="36" t="str">
        <f>IFERROR(__xludf.DUMMYFUNCTION("""COMPUTED_VALUE"""),"")</f>
        <v/>
      </c>
      <c r="C1746" s="36" t="str">
        <f>IFERROR(__xludf.DUMMYFUNCTION("""COMPUTED_VALUE"""),"")</f>
        <v/>
      </c>
      <c r="D1746" s="36" t="str">
        <f>IFERROR(__xludf.DUMMYFUNCTION("""COMPUTED_VALUE"""),"")</f>
        <v/>
      </c>
      <c r="E1746" s="36" t="str">
        <f>IFERROR(__xludf.DUMMYFUNCTION("""COMPUTED_VALUE"""),"08-40-02-10")</f>
        <v>08-40-02-10</v>
      </c>
      <c r="F1746" s="36"/>
      <c r="G1746" s="36" t="str">
        <f>IFERROR(__xludf.DUMMYFUNCTION("""COMPUTED_VALUE"""),"Maradona y Patagonia ")</f>
        <v>Maradona y Patagonia </v>
      </c>
      <c r="H1746" s="36" t="str">
        <f>IFERROR(__xludf.DUMMYFUNCTION("""COMPUTED_VALUE"""),"")</f>
        <v/>
      </c>
    </row>
    <row r="1747">
      <c r="A1747" s="36" t="str">
        <f>IFERROR(__xludf.DUMMYFUNCTION("""COMPUTED_VALUE"""),"03-48-10-126D")</f>
        <v>03-48-10-126D</v>
      </c>
      <c r="B1747" s="36" t="str">
        <f>IFERROR(__xludf.DUMMYFUNCTION("""COMPUTED_VALUE"""),"")</f>
        <v/>
      </c>
      <c r="C1747" s="36" t="str">
        <f>IFERROR(__xludf.DUMMYFUNCTION("""COMPUTED_VALUE"""),"")</f>
        <v/>
      </c>
      <c r="D1747" s="36" t="str">
        <f>IFERROR(__xludf.DUMMYFUNCTION("""COMPUTED_VALUE"""),"")</f>
        <v/>
      </c>
      <c r="E1747" s="36" t="str">
        <f>IFERROR(__xludf.DUMMYFUNCTION("""COMPUTED_VALUE"""),"08-38-02-20")</f>
        <v>08-38-02-20</v>
      </c>
      <c r="F1747" s="36"/>
      <c r="G1747" s="36" t="str">
        <f>IFERROR(__xludf.DUMMYFUNCTION("""COMPUTED_VALUE"""),"Maradona y Ramón Godoy ")</f>
        <v>Maradona y Ramón Godoy </v>
      </c>
      <c r="H1747" s="36" t="str">
        <f>IFERROR(__xludf.DUMMYFUNCTION("""COMPUTED_VALUE"""),"")</f>
        <v/>
      </c>
    </row>
    <row r="1748">
      <c r="A1748" s="36" t="str">
        <f>IFERROR(__xludf.DUMMYFUNCTION("""COMPUTED_VALUE"""),"03-48-10-129B")</f>
        <v>03-48-10-129B</v>
      </c>
      <c r="B1748" s="36" t="str">
        <f>IFERROR(__xludf.DUMMYFUNCTION("""COMPUTED_VALUE"""),"")</f>
        <v/>
      </c>
      <c r="C1748" s="36" t="str">
        <f>IFERROR(__xludf.DUMMYFUNCTION("""COMPUTED_VALUE"""),"")</f>
        <v/>
      </c>
      <c r="D1748" s="36" t="str">
        <f>IFERROR(__xludf.DUMMYFUNCTION("""COMPUTED_VALUE"""),"")</f>
        <v/>
      </c>
      <c r="E1748" s="36" t="str">
        <f>IFERROR(__xludf.DUMMYFUNCTION("""COMPUTED_VALUE"""),"08-40-02-17")</f>
        <v>08-40-02-17</v>
      </c>
      <c r="F1748" s="36"/>
      <c r="G1748" s="36" t="str">
        <f>IFERROR(__xludf.DUMMYFUNCTION("""COMPUTED_VALUE"""),"Maradona y Sta. Cruz E")</f>
        <v>Maradona y Sta. Cruz E</v>
      </c>
      <c r="H1748" s="36" t="str">
        <f>IFERROR(__xludf.DUMMYFUNCTION("""COMPUTED_VALUE"""),"")</f>
        <v/>
      </c>
    </row>
    <row r="1749">
      <c r="A1749" s="36" t="str">
        <f>IFERROR(__xludf.DUMMYFUNCTION("""COMPUTED_VALUE"""),"03-48-10-130A")</f>
        <v>03-48-10-130A</v>
      </c>
      <c r="B1749" s="36" t="str">
        <f>IFERROR(__xludf.DUMMYFUNCTION("""COMPUTED_VALUE"""),"")</f>
        <v/>
      </c>
      <c r="C1749" s="36" t="str">
        <f>IFERROR(__xludf.DUMMYFUNCTION("""COMPUTED_VALUE"""),"")</f>
        <v/>
      </c>
      <c r="D1749" s="36" t="str">
        <f>IFERROR(__xludf.DUMMYFUNCTION("""COMPUTED_VALUE"""),"")</f>
        <v/>
      </c>
      <c r="E1749" s="36" t="str">
        <f>IFERROR(__xludf.DUMMYFUNCTION("""COMPUTED_VALUE"""),"08-40-02-16")</f>
        <v>08-40-02-16</v>
      </c>
      <c r="F1749" s="36"/>
      <c r="G1749" s="36" t="str">
        <f>IFERROR(__xludf.DUMMYFUNCTION("""COMPUTED_VALUE"""),"Maradona y Sta. Cruz O")</f>
        <v>Maradona y Sta. Cruz O</v>
      </c>
      <c r="H1749" s="36" t="str">
        <f>IFERROR(__xludf.DUMMYFUNCTION("""COMPUTED_VALUE"""),"")</f>
        <v/>
      </c>
    </row>
    <row r="1750">
      <c r="A1750" s="36" t="str">
        <f>IFERROR(__xludf.DUMMYFUNCTION("""COMPUTED_VALUE"""),"03-48-10-2")</f>
        <v>03-48-10-2</v>
      </c>
      <c r="B1750" s="36" t="str">
        <f>IFERROR(__xludf.DUMMYFUNCTION("""COMPUTED_VALUE"""),"")</f>
        <v/>
      </c>
      <c r="C1750" s="36" t="str">
        <f>IFERROR(__xludf.DUMMYFUNCTION("""COMPUTED_VALUE"""),"")</f>
        <v/>
      </c>
      <c r="D1750" s="36" t="str">
        <f>IFERROR(__xludf.DUMMYFUNCTION("""COMPUTED_VALUE"""),"")</f>
        <v/>
      </c>
      <c r="E1750" s="36" t="str">
        <f>IFERROR(__xludf.DUMMYFUNCTION("""COMPUTED_VALUE"""),"04-22-14-33")</f>
        <v>04-22-14-33</v>
      </c>
      <c r="F1750" s="36"/>
      <c r="G1750" s="36" t="str">
        <f>IFERROR(__xludf.DUMMYFUNCTION("""COMPUTED_VALUE"""),"Margarita Mugnos y Antonio de la Torre")</f>
        <v>Margarita Mugnos y Antonio de la Torre</v>
      </c>
      <c r="H1750" s="36" t="str">
        <f>IFERROR(__xludf.DUMMYFUNCTION("""COMPUTED_VALUE"""),"")</f>
        <v/>
      </c>
    </row>
    <row r="1751">
      <c r="A1751" s="36" t="str">
        <f>IFERROR(__xludf.DUMMYFUNCTION("""COMPUTED_VALUE"""),"03-48-10-3")</f>
        <v>03-48-10-3</v>
      </c>
      <c r="B1751" s="36" t="str">
        <f>IFERROR(__xludf.DUMMYFUNCTION("""COMPUTED_VALUE"""),"")</f>
        <v/>
      </c>
      <c r="C1751" s="36" t="str">
        <f>IFERROR(__xludf.DUMMYFUNCTION("""COMPUTED_VALUE"""),"")</f>
        <v/>
      </c>
      <c r="D1751" s="36" t="str">
        <f>IFERROR(__xludf.DUMMYFUNCTION("""COMPUTED_VALUE"""),"")</f>
        <v/>
      </c>
      <c r="E1751" s="36" t="str">
        <f>IFERROR(__xludf.DUMMYFUNCTION("""COMPUTED_VALUE"""),"04-22-14-34")</f>
        <v>04-22-14-34</v>
      </c>
      <c r="F1751" s="36"/>
      <c r="G1751" s="36" t="str">
        <f>IFERROR(__xludf.DUMMYFUNCTION("""COMPUTED_VALUE"""),"Margarita Mugnos y Saturnino Sarassa")</f>
        <v>Margarita Mugnos y Saturnino Sarassa</v>
      </c>
      <c r="H1751" s="36" t="str">
        <f>IFERROR(__xludf.DUMMYFUNCTION("""COMPUTED_VALUE"""),"")</f>
        <v/>
      </c>
    </row>
    <row r="1752">
      <c r="A1752" s="36" t="str">
        <f>IFERROR(__xludf.DUMMYFUNCTION("""COMPUTED_VALUE"""),"03-48-10-3A")</f>
        <v>03-48-10-3A</v>
      </c>
      <c r="B1752" s="36" t="str">
        <f>IFERROR(__xludf.DUMMYFUNCTION("""COMPUTED_VALUE"""),"")</f>
        <v/>
      </c>
      <c r="C1752" s="36" t="str">
        <f>IFERROR(__xludf.DUMMYFUNCTION("""COMPUTED_VALUE"""),"")</f>
        <v/>
      </c>
      <c r="D1752" s="36" t="str">
        <f>IFERROR(__xludf.DUMMYFUNCTION("""COMPUTED_VALUE"""),"")</f>
        <v/>
      </c>
      <c r="E1752" s="36" t="str">
        <f>IFERROR(__xludf.DUMMYFUNCTION("""COMPUTED_VALUE"""),"01-55-13-240")</f>
        <v>01-55-13-240</v>
      </c>
      <c r="F1752" s="36"/>
      <c r="G1752" s="36" t="str">
        <f>IFERROR(__xludf.DUMMYFUNCTION("""COMPUTED_VALUE"""),"Mariano Moreno y Aberastain")</f>
        <v>Mariano Moreno y Aberastain</v>
      </c>
      <c r="H1752" s="36" t="str">
        <f>IFERROR(__xludf.DUMMYFUNCTION("""COMPUTED_VALUE"""),"")</f>
        <v/>
      </c>
    </row>
    <row r="1753">
      <c r="A1753" s="36" t="str">
        <f>IFERROR(__xludf.DUMMYFUNCTION("""COMPUTED_VALUE"""),"03-48-10-4")</f>
        <v>03-48-10-4</v>
      </c>
      <c r="B1753" s="36" t="str">
        <f>IFERROR(__xludf.DUMMYFUNCTION("""COMPUTED_VALUE"""),"")</f>
        <v/>
      </c>
      <c r="C1753" s="36" t="str">
        <f>IFERROR(__xludf.DUMMYFUNCTION("""COMPUTED_VALUE"""),"")</f>
        <v/>
      </c>
      <c r="D1753" s="36" t="str">
        <f>IFERROR(__xludf.DUMMYFUNCTION("""COMPUTED_VALUE"""),"")</f>
        <v/>
      </c>
      <c r="E1753" s="36" t="str">
        <f>IFERROR(__xludf.DUMMYFUNCTION("""COMPUTED_VALUE"""),"01-55-13-255")</f>
        <v>01-55-13-255</v>
      </c>
      <c r="F1753" s="36"/>
      <c r="G1753" s="36" t="str">
        <f>IFERROR(__xludf.DUMMYFUNCTION("""COMPUTED_VALUE"""),"Mariano Moreno y Av. Rawson")</f>
        <v>Mariano Moreno y Av. Rawson</v>
      </c>
      <c r="H1753" s="36" t="str">
        <f>IFERROR(__xludf.DUMMYFUNCTION("""COMPUTED_VALUE"""),"NOMBRE")</f>
        <v>NOMBRE</v>
      </c>
    </row>
    <row r="1754">
      <c r="A1754" s="36" t="str">
        <f>IFERROR(__xludf.DUMMYFUNCTION("""COMPUTED_VALUE"""),"03-48-10-4A")</f>
        <v>03-48-10-4A</v>
      </c>
      <c r="B1754" s="36" t="str">
        <f>IFERROR(__xludf.DUMMYFUNCTION("""COMPUTED_VALUE"""),"")</f>
        <v/>
      </c>
      <c r="C1754" s="36" t="str">
        <f>IFERROR(__xludf.DUMMYFUNCTION("""COMPUTED_VALUE"""),"")</f>
        <v/>
      </c>
      <c r="D1754" s="36" t="str">
        <f>IFERROR(__xludf.DUMMYFUNCTION("""COMPUTED_VALUE"""),"")</f>
        <v/>
      </c>
      <c r="E1754" s="36" t="str">
        <f>IFERROR(__xludf.DUMMYFUNCTION("""COMPUTED_VALUE"""),"01-55-13-255")</f>
        <v>01-55-13-255</v>
      </c>
      <c r="F1754" s="36"/>
      <c r="G1754" s="36" t="str">
        <f>IFERROR(__xludf.DUMMYFUNCTION("""COMPUTED_VALUE"""),"Mariano Moreno y Av. Rawson")</f>
        <v>Mariano Moreno y Av. Rawson</v>
      </c>
      <c r="H1754" s="36" t="str">
        <f>IFERROR(__xludf.DUMMYFUNCTION("""COMPUTED_VALUE"""),"")</f>
        <v/>
      </c>
    </row>
    <row r="1755">
      <c r="A1755" s="36" t="str">
        <f>IFERROR(__xludf.DUMMYFUNCTION("""COMPUTED_VALUE"""),"03-48-10-5")</f>
        <v>03-48-10-5</v>
      </c>
      <c r="B1755" s="36" t="str">
        <f>IFERROR(__xludf.DUMMYFUNCTION("""COMPUTED_VALUE"""),"")</f>
        <v/>
      </c>
      <c r="C1755" s="36" t="str">
        <f>IFERROR(__xludf.DUMMYFUNCTION("""COMPUTED_VALUE"""),"")</f>
        <v/>
      </c>
      <c r="D1755" s="36" t="str">
        <f>IFERROR(__xludf.DUMMYFUNCTION("""COMPUTED_VALUE"""),"")</f>
        <v/>
      </c>
      <c r="E1755" s="36" t="str">
        <f>IFERROR(__xludf.DUMMYFUNCTION("""COMPUTED_VALUE"""),"01-20-07-222")</f>
        <v>01-20-07-222</v>
      </c>
      <c r="F1755" s="36"/>
      <c r="G1755" s="36" t="str">
        <f>IFERROR(__xludf.DUMMYFUNCTION("""COMPUTED_VALUE"""),"Matías Zavalla y Dominguito")</f>
        <v>Matías Zavalla y Dominguito</v>
      </c>
      <c r="H1755" s="36" t="str">
        <f>IFERROR(__xludf.DUMMYFUNCTION("""COMPUTED_VALUE"""),"")</f>
        <v/>
      </c>
    </row>
    <row r="1756">
      <c r="A1756" s="36" t="str">
        <f>IFERROR(__xludf.DUMMYFUNCTION("""COMPUTED_VALUE"""),"03-48-10-5A")</f>
        <v>03-48-10-5A</v>
      </c>
      <c r="B1756" s="36" t="str">
        <f>IFERROR(__xludf.DUMMYFUNCTION("""COMPUTED_VALUE"""),"")</f>
        <v/>
      </c>
      <c r="C1756" s="36" t="str">
        <f>IFERROR(__xludf.DUMMYFUNCTION("""COMPUTED_VALUE"""),"")</f>
        <v/>
      </c>
      <c r="D1756" s="36" t="str">
        <f>IFERROR(__xludf.DUMMYFUNCTION("""COMPUTED_VALUE"""),"")</f>
        <v/>
      </c>
      <c r="E1756" s="36" t="str">
        <f>IFERROR(__xludf.DUMMYFUNCTION("""COMPUTED_VALUE"""),"01-34-07-230")</f>
        <v>01-34-07-230</v>
      </c>
      <c r="F1756" s="36"/>
      <c r="G1756" s="36" t="str">
        <f>IFERROR(__xludf.DUMMYFUNCTION("""COMPUTED_VALUE"""),"Matías Zavalla y Falucho")</f>
        <v>Matías Zavalla y Falucho</v>
      </c>
      <c r="H1756" s="36" t="str">
        <f>IFERROR(__xludf.DUMMYFUNCTION("""COMPUTED_VALUE"""),"")</f>
        <v/>
      </c>
    </row>
    <row r="1757">
      <c r="A1757" s="36" t="str">
        <f>IFERROR(__xludf.DUMMYFUNCTION("""COMPUTED_VALUE"""),"03-48-10-6")</f>
        <v>03-48-10-6</v>
      </c>
      <c r="B1757" s="36" t="str">
        <f>IFERROR(__xludf.DUMMYFUNCTION("""COMPUTED_VALUE"""),"")</f>
        <v/>
      </c>
      <c r="C1757" s="36" t="str">
        <f>IFERROR(__xludf.DUMMYFUNCTION("""COMPUTED_VALUE"""),"")</f>
        <v/>
      </c>
      <c r="D1757" s="36" t="str">
        <f>IFERROR(__xludf.DUMMYFUNCTION("""COMPUTED_VALUE"""),"")</f>
        <v/>
      </c>
      <c r="E1757" s="36" t="str">
        <f>IFERROR(__xludf.DUMMYFUNCTION("""COMPUTED_VALUE"""),"01-35-07-231")</f>
        <v>01-35-07-231</v>
      </c>
      <c r="F1757" s="36"/>
      <c r="G1757" s="36" t="str">
        <f>IFERROR(__xludf.DUMMYFUNCTION("""COMPUTED_VALUE"""),"Matías Zavalla y Noruega")</f>
        <v>Matías Zavalla y Noruega</v>
      </c>
      <c r="H1757" s="36" t="str">
        <f>IFERROR(__xludf.DUMMYFUNCTION("""COMPUTED_VALUE"""),"")</f>
        <v/>
      </c>
    </row>
    <row r="1758">
      <c r="A1758" s="36" t="str">
        <f>IFERROR(__xludf.DUMMYFUNCTION("""COMPUTED_VALUE"""),"03-48-10-6A")</f>
        <v>03-48-10-6A</v>
      </c>
      <c r="B1758" s="36" t="str">
        <f>IFERROR(__xludf.DUMMYFUNCTION("""COMPUTED_VALUE"""),"")</f>
        <v/>
      </c>
      <c r="C1758" s="36" t="str">
        <f>IFERROR(__xludf.DUMMYFUNCTION("""COMPUTED_VALUE"""),"")</f>
        <v/>
      </c>
      <c r="D1758" s="36" t="str">
        <f>IFERROR(__xludf.DUMMYFUNCTION("""COMPUTED_VALUE"""),"")</f>
        <v/>
      </c>
      <c r="E1758" s="36" t="str">
        <f>IFERROR(__xludf.DUMMYFUNCTION("""COMPUTED_VALUE"""),"01-30-07-228")</f>
        <v>01-30-07-228</v>
      </c>
      <c r="F1758" s="36"/>
      <c r="G1758" s="36" t="str">
        <f>IFERROR(__xludf.DUMMYFUNCTION("""COMPUTED_VALUE"""),"Matías Zavalla y San Lorenzo")</f>
        <v>Matías Zavalla y San Lorenzo</v>
      </c>
      <c r="H1758" s="36" t="str">
        <f>IFERROR(__xludf.DUMMYFUNCTION("""COMPUTED_VALUE"""),"")</f>
        <v/>
      </c>
    </row>
    <row r="1759">
      <c r="A1759" s="36" t="str">
        <f>IFERROR(__xludf.DUMMYFUNCTION("""COMPUTED_VALUE"""),"03-48-10-7")</f>
        <v>03-48-10-7</v>
      </c>
      <c r="B1759" s="36" t="str">
        <f>IFERROR(__xludf.DUMMYFUNCTION("""COMPUTED_VALUE"""),"")</f>
        <v/>
      </c>
      <c r="C1759" s="36" t="str">
        <f>IFERROR(__xludf.DUMMYFUNCTION("""COMPUTED_VALUE"""),"")</f>
        <v/>
      </c>
      <c r="D1759" s="36" t="str">
        <f>IFERROR(__xludf.DUMMYFUNCTION("""COMPUTED_VALUE"""),"")</f>
        <v/>
      </c>
      <c r="E1759" s="36" t="str">
        <f>IFERROR(__xludf.DUMMYFUNCTION("""COMPUTED_VALUE"""),"01-34-07-232")</f>
        <v>01-34-07-232</v>
      </c>
      <c r="F1759" s="36"/>
      <c r="G1759" s="36" t="str">
        <f>IFERROR(__xludf.DUMMYFUNCTION("""COMPUTED_VALUE"""),"Matías Zavalla y Suecia")</f>
        <v>Matías Zavalla y Suecia</v>
      </c>
      <c r="H1759" s="36" t="str">
        <f>IFERROR(__xludf.DUMMYFUNCTION("""COMPUTED_VALUE"""),"")</f>
        <v/>
      </c>
    </row>
    <row r="1760">
      <c r="A1760" s="36" t="str">
        <f>IFERROR(__xludf.DUMMYFUNCTION("""COMPUTED_VALUE"""),"03-48-10-7A")</f>
        <v>03-48-10-7A</v>
      </c>
      <c r="B1760" s="36" t="str">
        <f>IFERROR(__xludf.DUMMYFUNCTION("""COMPUTED_VALUE"""),"")</f>
        <v/>
      </c>
      <c r="C1760" s="36" t="str">
        <f>IFERROR(__xludf.DUMMYFUNCTION("""COMPUTED_VALUE"""),"")</f>
        <v/>
      </c>
      <c r="D1760" s="36" t="str">
        <f>IFERROR(__xludf.DUMMYFUNCTION("""COMPUTED_VALUE"""),"")</f>
        <v/>
      </c>
      <c r="E1760" s="36" t="str">
        <f>IFERROR(__xludf.DUMMYFUNCTION("""COMPUTED_VALUE"""),"01-20-07-220")</f>
        <v>01-20-07-220</v>
      </c>
      <c r="F1760" s="36"/>
      <c r="G1760" s="36" t="str">
        <f>IFERROR(__xludf.DUMMYFUNCTION("""COMPUTED_VALUE"""),"Matías Zavalla y Virgen de Lourdes")</f>
        <v>Matías Zavalla y Virgen de Lourdes</v>
      </c>
      <c r="H1760" s="36" t="str">
        <f>IFERROR(__xludf.DUMMYFUNCTION("""COMPUTED_VALUE"""),"")</f>
        <v/>
      </c>
    </row>
    <row r="1761">
      <c r="A1761" s="36" t="str">
        <f>IFERROR(__xludf.DUMMYFUNCTION("""COMPUTED_VALUE"""),"03-48-10-8A")</f>
        <v>03-48-10-8A</v>
      </c>
      <c r="B1761" s="36" t="str">
        <f>IFERROR(__xludf.DUMMYFUNCTION("""COMPUTED_VALUE"""),"")</f>
        <v/>
      </c>
      <c r="C1761" s="36" t="str">
        <f>IFERROR(__xludf.DUMMYFUNCTION("""COMPUTED_VALUE"""),"")</f>
        <v/>
      </c>
      <c r="D1761" s="36" t="str">
        <f>IFERROR(__xludf.DUMMYFUNCTION("""COMPUTED_VALUE"""),"")</f>
        <v/>
      </c>
      <c r="E1761" s="36" t="str">
        <f>IFERROR(__xludf.DUMMYFUNCTION("""COMPUTED_VALUE"""),"02-37-06-24A")</f>
        <v>02-37-06-24A</v>
      </c>
      <c r="F1761" s="36"/>
      <c r="G1761" s="36" t="str">
        <f>IFERROR(__xludf.DUMMYFUNCTION("""COMPUTED_VALUE"""),"Meglioli e Ituzaingo")</f>
        <v>Meglioli e Ituzaingo</v>
      </c>
      <c r="H1761" s="36" t="str">
        <f>IFERROR(__xludf.DUMMYFUNCTION("""COMPUTED_VALUE"""),"")</f>
        <v/>
      </c>
    </row>
    <row r="1762">
      <c r="A1762" s="36" t="str">
        <f>IFERROR(__xludf.DUMMYFUNCTION("""COMPUTED_VALUE"""),"03-48-10-9")</f>
        <v>03-48-10-9</v>
      </c>
      <c r="B1762" s="36" t="str">
        <f>IFERROR(__xludf.DUMMYFUNCTION("""COMPUTED_VALUE"""),"")</f>
        <v/>
      </c>
      <c r="C1762" s="36" t="str">
        <f>IFERROR(__xludf.DUMMYFUNCTION("""COMPUTED_VALUE"""),"")</f>
        <v/>
      </c>
      <c r="D1762" s="36" t="str">
        <f>IFERROR(__xludf.DUMMYFUNCTION("""COMPUTED_VALUE"""),"")</f>
        <v/>
      </c>
      <c r="E1762" s="36" t="str">
        <f>IFERROR(__xludf.DUMMYFUNCTION("""COMPUTED_VALUE"""),"04-36-11-75A")</f>
        <v>04-36-11-75A</v>
      </c>
      <c r="F1762" s="36"/>
      <c r="G1762" s="36" t="str">
        <f>IFERROR(__xludf.DUMMYFUNCTION("""COMPUTED_VALUE"""),"Meglioli e/Callejón Australia y Dr Ortega E")</f>
        <v>Meglioli e/Callejón Australia y Dr Ortega E</v>
      </c>
      <c r="H1762" s="36" t="str">
        <f>IFERROR(__xludf.DUMMYFUNCTION("""COMPUTED_VALUE"""),"")</f>
        <v/>
      </c>
    </row>
    <row r="1763">
      <c r="A1763" s="36" t="str">
        <f>IFERROR(__xludf.DUMMYFUNCTION("""COMPUTED_VALUE"""),"03-49-10-8")</f>
        <v>03-49-10-8</v>
      </c>
      <c r="B1763" s="36" t="str">
        <f>IFERROR(__xludf.DUMMYFUNCTION("""COMPUTED_VALUE"""),"")</f>
        <v/>
      </c>
      <c r="C1763" s="36" t="str">
        <f>IFERROR(__xludf.DUMMYFUNCTION("""COMPUTED_VALUE"""),"")</f>
        <v/>
      </c>
      <c r="D1763" s="36" t="str">
        <f>IFERROR(__xludf.DUMMYFUNCTION("""COMPUTED_VALUE"""),"")</f>
        <v/>
      </c>
      <c r="E1763" s="36" t="str">
        <f>IFERROR(__xludf.DUMMYFUNCTION("""COMPUTED_VALUE"""),"04-38-11-75")</f>
        <v>04-38-11-75</v>
      </c>
      <c r="F1763" s="36"/>
      <c r="G1763" s="36" t="str">
        <f>IFERROR(__xludf.DUMMYFUNCTION("""COMPUTED_VALUE"""),"Meglioli e/Callejón Australia y Dr Ortega O")</f>
        <v>Meglioli e/Callejón Australia y Dr Ortega O</v>
      </c>
      <c r="H1763" s="36" t="str">
        <f>IFERROR(__xludf.DUMMYFUNCTION("""COMPUTED_VALUE"""),"")</f>
        <v/>
      </c>
    </row>
    <row r="1764">
      <c r="A1764" s="36" t="str">
        <f>IFERROR(__xludf.DUMMYFUNCTION("""COMPUTED_VALUE"""),"03-49-10-8B")</f>
        <v>03-49-10-8B</v>
      </c>
      <c r="B1764" s="36" t="str">
        <f>IFERROR(__xludf.DUMMYFUNCTION("""COMPUTED_VALUE"""),"")</f>
        <v/>
      </c>
      <c r="C1764" s="36" t="str">
        <f>IFERROR(__xludf.DUMMYFUNCTION("""COMPUTED_VALUE"""),"")</f>
        <v/>
      </c>
      <c r="D1764" s="36" t="str">
        <f>IFERROR(__xludf.DUMMYFUNCTION("""COMPUTED_VALUE"""),"")</f>
        <v/>
      </c>
      <c r="E1764" s="36" t="str">
        <f>IFERROR(__xludf.DUMMYFUNCTION("""COMPUTED_VALUE"""),"04-43-11-63A")</f>
        <v>04-43-11-63A</v>
      </c>
      <c r="F1764" s="36"/>
      <c r="G1764" s="36" t="str">
        <f>IFERROR(__xludf.DUMMYFUNCTION("""COMPUTED_VALUE"""),"Meglioli Este")</f>
        <v>Meglioli Este</v>
      </c>
      <c r="H1764" s="36" t="str">
        <f>IFERROR(__xludf.DUMMYFUNCTION("""COMPUTED_VALUE"""),"")</f>
        <v/>
      </c>
    </row>
    <row r="1765">
      <c r="A1765" s="36" t="str">
        <f>IFERROR(__xludf.DUMMYFUNCTION("""COMPUTED_VALUE"""),"03-49-10-8C")</f>
        <v>03-49-10-8C</v>
      </c>
      <c r="B1765" s="36" t="str">
        <f>IFERROR(__xludf.DUMMYFUNCTION("""COMPUTED_VALUE"""),"")</f>
        <v/>
      </c>
      <c r="C1765" s="36" t="str">
        <f>IFERROR(__xludf.DUMMYFUNCTION("""COMPUTED_VALUE"""),"")</f>
        <v/>
      </c>
      <c r="D1765" s="36" t="str">
        <f>IFERROR(__xludf.DUMMYFUNCTION("""COMPUTED_VALUE"""),"")</f>
        <v/>
      </c>
      <c r="E1765" s="36" t="str">
        <f>IFERROR(__xludf.DUMMYFUNCTION("""COMPUTED_VALUE"""),"04-36-11-77A")</f>
        <v>04-36-11-77A</v>
      </c>
      <c r="F1765" s="36"/>
      <c r="G1765" s="36" t="str">
        <f>IFERROR(__xludf.DUMMYFUNCTION("""COMPUTED_VALUE"""),"Meglioli Este I")</f>
        <v>Meglioli Este I</v>
      </c>
      <c r="H1765" s="36" t="str">
        <f>IFERROR(__xludf.DUMMYFUNCTION("""COMPUTED_VALUE"""),"")</f>
        <v/>
      </c>
    </row>
    <row r="1766">
      <c r="A1766" s="36" t="str">
        <f>IFERROR(__xludf.DUMMYFUNCTION("""COMPUTED_VALUE"""),"03-49-10-8D")</f>
        <v>03-49-10-8D</v>
      </c>
      <c r="B1766" s="36" t="str">
        <f>IFERROR(__xludf.DUMMYFUNCTION("""COMPUTED_VALUE"""),"")</f>
        <v/>
      </c>
      <c r="C1766" s="36" t="str">
        <f>IFERROR(__xludf.DUMMYFUNCTION("""COMPUTED_VALUE"""),"")</f>
        <v/>
      </c>
      <c r="D1766" s="36" t="str">
        <f>IFERROR(__xludf.DUMMYFUNCTION("""COMPUTED_VALUE"""),"")</f>
        <v/>
      </c>
      <c r="E1766" s="36" t="str">
        <f>IFERROR(__xludf.DUMMYFUNCTION("""COMPUTED_VALUE"""),"04-36-11-76A")</f>
        <v>04-36-11-76A</v>
      </c>
      <c r="F1766" s="36"/>
      <c r="G1766" s="36" t="str">
        <f>IFERROR(__xludf.DUMMYFUNCTION("""COMPUTED_VALUE"""),"Meglioli Este y Callejón Australia")</f>
        <v>Meglioli Este y Callejón Australia</v>
      </c>
      <c r="H1766" s="36" t="str">
        <f>IFERROR(__xludf.DUMMYFUNCTION("""COMPUTED_VALUE"""),"")</f>
        <v/>
      </c>
    </row>
    <row r="1767">
      <c r="A1767" s="36" t="str">
        <f>IFERROR(__xludf.DUMMYFUNCTION("""COMPUTED_VALUE"""),"03-49-10-8E")</f>
        <v>03-49-10-8E</v>
      </c>
      <c r="B1767" s="36" t="str">
        <f>IFERROR(__xludf.DUMMYFUNCTION("""COMPUTED_VALUE"""),"")</f>
        <v/>
      </c>
      <c r="C1767" s="36" t="str">
        <f>IFERROR(__xludf.DUMMYFUNCTION("""COMPUTED_VALUE"""),"")</f>
        <v/>
      </c>
      <c r="D1767" s="36" t="str">
        <f>IFERROR(__xludf.DUMMYFUNCTION("""COMPUTED_VALUE"""),"")</f>
        <v/>
      </c>
      <c r="E1767" s="36" t="str">
        <f>IFERROR(__xludf.DUMMYFUNCTION("""COMPUTED_VALUE"""),"02-39-11-79A")</f>
        <v>02-39-11-79A</v>
      </c>
      <c r="F1767" s="36"/>
      <c r="G1767" s="36" t="str">
        <f>IFERROR(__xludf.DUMMYFUNCTION("""COMPUTED_VALUE"""),"Meglioli Este y Cte. Cabot")</f>
        <v>Meglioli Este y Cte. Cabot</v>
      </c>
      <c r="H1767" s="36" t="str">
        <f>IFERROR(__xludf.DUMMYFUNCTION("""COMPUTED_VALUE"""),"")</f>
        <v/>
      </c>
    </row>
    <row r="1768">
      <c r="A1768" s="36" t="str">
        <f>IFERROR(__xludf.DUMMYFUNCTION("""COMPUTED_VALUE"""),"03-49-10-8F")</f>
        <v>03-49-10-8F</v>
      </c>
      <c r="B1768" s="36" t="str">
        <f>IFERROR(__xludf.DUMMYFUNCTION("""COMPUTED_VALUE"""),"")</f>
        <v/>
      </c>
      <c r="C1768" s="36" t="str">
        <f>IFERROR(__xludf.DUMMYFUNCTION("""COMPUTED_VALUE"""),"")</f>
        <v/>
      </c>
      <c r="D1768" s="36" t="str">
        <f>IFERROR(__xludf.DUMMYFUNCTION("""COMPUTED_VALUE"""),"")</f>
        <v/>
      </c>
      <c r="E1768" s="36" t="str">
        <f>IFERROR(__xludf.DUMMYFUNCTION("""COMPUTED_VALUE"""),"02-39-11-80D")</f>
        <v>02-39-11-80D</v>
      </c>
      <c r="F1768" s="36"/>
      <c r="G1768" s="36" t="str">
        <f>IFERROR(__xludf.DUMMYFUNCTION("""COMPUTED_VALUE"""),"Meglioli Este y Di Próspero")</f>
        <v>Meglioli Este y Di Próspero</v>
      </c>
      <c r="H1768" s="36" t="str">
        <f>IFERROR(__xludf.DUMMYFUNCTION("""COMPUTED_VALUE"""),"")</f>
        <v/>
      </c>
    </row>
    <row r="1769">
      <c r="A1769" s="36" t="str">
        <f>IFERROR(__xludf.DUMMYFUNCTION("""COMPUTED_VALUE"""),"03-49-10-8G")</f>
        <v>03-49-10-8G</v>
      </c>
      <c r="B1769" s="36" t="str">
        <f>IFERROR(__xludf.DUMMYFUNCTION("""COMPUTED_VALUE"""),"")</f>
        <v/>
      </c>
      <c r="C1769" s="36" t="str">
        <f>IFERROR(__xludf.DUMMYFUNCTION("""COMPUTED_VALUE"""),"")</f>
        <v/>
      </c>
      <c r="D1769" s="36" t="str">
        <f>IFERROR(__xludf.DUMMYFUNCTION("""COMPUTED_VALUE"""),"")</f>
        <v/>
      </c>
      <c r="E1769" s="36" t="str">
        <f>IFERROR(__xludf.DUMMYFUNCTION("""COMPUTED_VALUE"""),"02-39-11-80B")</f>
        <v>02-39-11-80B</v>
      </c>
      <c r="F1769" s="36"/>
      <c r="G1769" s="36" t="str">
        <f>IFERROR(__xludf.DUMMYFUNCTION("""COMPUTED_VALUE"""),"Meglioli Este y Dr. Ramella ")</f>
        <v>Meglioli Este y Dr. Ramella </v>
      </c>
      <c r="H1769" s="36" t="str">
        <f>IFERROR(__xludf.DUMMYFUNCTION("""COMPUTED_VALUE"""),"")</f>
        <v/>
      </c>
    </row>
    <row r="1770">
      <c r="A1770" s="36" t="str">
        <f>IFERROR(__xludf.DUMMYFUNCTION("""COMPUTED_VALUE"""),"03-49-10-8H")</f>
        <v>03-49-10-8H</v>
      </c>
      <c r="B1770" s="36" t="str">
        <f>IFERROR(__xludf.DUMMYFUNCTION("""COMPUTED_VALUE"""),"")</f>
        <v/>
      </c>
      <c r="C1770" s="36" t="str">
        <f>IFERROR(__xludf.DUMMYFUNCTION("""COMPUTED_VALUE"""),"")</f>
        <v/>
      </c>
      <c r="D1770" s="36" t="str">
        <f>IFERROR(__xludf.DUMMYFUNCTION("""COMPUTED_VALUE"""),"")</f>
        <v/>
      </c>
      <c r="E1770" s="36" t="str">
        <f>IFERROR(__xludf.DUMMYFUNCTION("""COMPUTED_VALUE"""),"02-39-11-78A")</f>
        <v>02-39-11-78A</v>
      </c>
      <c r="F1770" s="36"/>
      <c r="G1770" s="36" t="str">
        <f>IFERROR(__xludf.DUMMYFUNCTION("""COMPUTED_VALUE"""),"Meglioli Este y Rep. del Líbano")</f>
        <v>Meglioli Este y Rep. del Líbano</v>
      </c>
      <c r="H1770" s="36" t="str">
        <f>IFERROR(__xludf.DUMMYFUNCTION("""COMPUTED_VALUE"""),"")</f>
        <v/>
      </c>
    </row>
    <row r="1771">
      <c r="A1771" s="36" t="str">
        <f>IFERROR(__xludf.DUMMYFUNCTION("""COMPUTED_VALUE"""),"03-49-10-8I")</f>
        <v>03-49-10-8I</v>
      </c>
      <c r="B1771" s="36" t="str">
        <f>IFERROR(__xludf.DUMMYFUNCTION("""COMPUTED_VALUE"""),"")</f>
        <v/>
      </c>
      <c r="C1771" s="36" t="str">
        <f>IFERROR(__xludf.DUMMYFUNCTION("""COMPUTED_VALUE"""),"")</f>
        <v/>
      </c>
      <c r="D1771" s="36" t="str">
        <f>IFERROR(__xludf.DUMMYFUNCTION("""COMPUTED_VALUE"""),"")</f>
        <v/>
      </c>
      <c r="E1771" s="36" t="str">
        <f>IFERROR(__xludf.DUMMYFUNCTION("""COMPUTED_VALUE"""),"04-42-11-63A")</f>
        <v>04-42-11-63A</v>
      </c>
      <c r="F1771" s="36"/>
      <c r="G1771" s="36" t="str">
        <f>IFERROR(__xludf.DUMMYFUNCTION("""COMPUTED_VALUE"""),"Meglioli Oeste")</f>
        <v>Meglioli Oeste</v>
      </c>
      <c r="H1771" s="36" t="str">
        <f>IFERROR(__xludf.DUMMYFUNCTION("""COMPUTED_VALUE"""),"")</f>
        <v/>
      </c>
    </row>
    <row r="1772">
      <c r="A1772" s="36" t="str">
        <f>IFERROR(__xludf.DUMMYFUNCTION("""COMPUTED_VALUE"""),"03-49-10-8J")</f>
        <v>03-49-10-8J</v>
      </c>
      <c r="B1772" s="36" t="str">
        <f>IFERROR(__xludf.DUMMYFUNCTION("""COMPUTED_VALUE"""),"")</f>
        <v/>
      </c>
      <c r="C1772" s="36" t="str">
        <f>IFERROR(__xludf.DUMMYFUNCTION("""COMPUTED_VALUE"""),"")</f>
        <v/>
      </c>
      <c r="D1772" s="36" t="str">
        <f>IFERROR(__xludf.DUMMYFUNCTION("""COMPUTED_VALUE"""),"")</f>
        <v/>
      </c>
      <c r="E1772" s="36" t="str">
        <f>IFERROR(__xludf.DUMMYFUNCTION("""COMPUTED_VALUE"""),"04-38-11-77")</f>
        <v>04-38-11-77</v>
      </c>
      <c r="F1772" s="36"/>
      <c r="G1772" s="36" t="str">
        <f>IFERROR(__xludf.DUMMYFUNCTION("""COMPUTED_VALUE"""),"Meglioli Oeste I")</f>
        <v>Meglioli Oeste I</v>
      </c>
      <c r="H1772" s="36" t="str">
        <f>IFERROR(__xludf.DUMMYFUNCTION("""COMPUTED_VALUE"""),"")</f>
        <v/>
      </c>
    </row>
    <row r="1773">
      <c r="A1773" s="36" t="str">
        <f>IFERROR(__xludf.DUMMYFUNCTION("""COMPUTED_VALUE"""),"03-50-10-115A")</f>
        <v>03-50-10-115A</v>
      </c>
      <c r="B1773" s="36" t="str">
        <f>IFERROR(__xludf.DUMMYFUNCTION("""COMPUTED_VALUE"""),"")</f>
        <v/>
      </c>
      <c r="C1773" s="36" t="str">
        <f>IFERROR(__xludf.DUMMYFUNCTION("""COMPUTED_VALUE"""),"")</f>
        <v/>
      </c>
      <c r="D1773" s="36" t="str">
        <f>IFERROR(__xludf.DUMMYFUNCTION("""COMPUTED_VALUE"""),"")</f>
        <v/>
      </c>
      <c r="E1773" s="36" t="str">
        <f>IFERROR(__xludf.DUMMYFUNCTION("""COMPUTED_VALUE"""),"04-38-11-76")</f>
        <v>04-38-11-76</v>
      </c>
      <c r="F1773" s="36"/>
      <c r="G1773" s="36" t="str">
        <f>IFERROR(__xludf.DUMMYFUNCTION("""COMPUTED_VALUE"""),"Meglioli Oeste y Callejón Australia")</f>
        <v>Meglioli Oeste y Callejón Australia</v>
      </c>
      <c r="H1773" s="36" t="str">
        <f>IFERROR(__xludf.DUMMYFUNCTION("""COMPUTED_VALUE"""),"")</f>
        <v/>
      </c>
    </row>
    <row r="1774">
      <c r="A1774" s="36" t="str">
        <f>IFERROR(__xludf.DUMMYFUNCTION("""COMPUTED_VALUE"""),"03-50-10-115B")</f>
        <v>03-50-10-115B</v>
      </c>
      <c r="B1774" s="36" t="str">
        <f>IFERROR(__xludf.DUMMYFUNCTION("""COMPUTED_VALUE"""),"")</f>
        <v/>
      </c>
      <c r="C1774" s="36" t="str">
        <f>IFERROR(__xludf.DUMMYFUNCTION("""COMPUTED_VALUE"""),"")</f>
        <v/>
      </c>
      <c r="D1774" s="36" t="str">
        <f>IFERROR(__xludf.DUMMYFUNCTION("""COMPUTED_VALUE"""),"")</f>
        <v/>
      </c>
      <c r="E1774" s="36" t="str">
        <f>IFERROR(__xludf.DUMMYFUNCTION("""COMPUTED_VALUE"""),"02-40-11-79")</f>
        <v>02-40-11-79</v>
      </c>
      <c r="F1774" s="36"/>
      <c r="G1774" s="36" t="str">
        <f>IFERROR(__xludf.DUMMYFUNCTION("""COMPUTED_VALUE"""),"Meglioli Oeste y Cte. Cabot")</f>
        <v>Meglioli Oeste y Cte. Cabot</v>
      </c>
      <c r="H1774" s="36" t="str">
        <f>IFERROR(__xludf.DUMMYFUNCTION("""COMPUTED_VALUE"""),"")</f>
        <v/>
      </c>
    </row>
    <row r="1775">
      <c r="A1775" s="36" t="str">
        <f>IFERROR(__xludf.DUMMYFUNCTION("""COMPUTED_VALUE"""),"03-50-10-116A")</f>
        <v>03-50-10-116A</v>
      </c>
      <c r="B1775" s="36" t="str">
        <f>IFERROR(__xludf.DUMMYFUNCTION("""COMPUTED_VALUE"""),"")</f>
        <v/>
      </c>
      <c r="C1775" s="36" t="str">
        <f>IFERROR(__xludf.DUMMYFUNCTION("""COMPUTED_VALUE"""),"")</f>
        <v/>
      </c>
      <c r="D1775" s="36" t="str">
        <f>IFERROR(__xludf.DUMMYFUNCTION("""COMPUTED_VALUE"""),"")</f>
        <v/>
      </c>
      <c r="E1775" s="36" t="str">
        <f>IFERROR(__xludf.DUMMYFUNCTION("""COMPUTED_VALUE"""),"02-40-11-80E")</f>
        <v>02-40-11-80E</v>
      </c>
      <c r="F1775" s="36"/>
      <c r="G1775" s="36" t="str">
        <f>IFERROR(__xludf.DUMMYFUNCTION("""COMPUTED_VALUE"""),"Meglioli Oeste y Di Próspero")</f>
        <v>Meglioli Oeste y Di Próspero</v>
      </c>
      <c r="H1775" s="36" t="str">
        <f>IFERROR(__xludf.DUMMYFUNCTION("""COMPUTED_VALUE"""),"")</f>
        <v/>
      </c>
    </row>
    <row r="1776">
      <c r="A1776" s="36" t="str">
        <f>IFERROR(__xludf.DUMMYFUNCTION("""COMPUTED_VALUE"""),"03-50-10-116B")</f>
        <v>03-50-10-116B</v>
      </c>
      <c r="B1776" s="36" t="str">
        <f>IFERROR(__xludf.DUMMYFUNCTION("""COMPUTED_VALUE"""),"")</f>
        <v/>
      </c>
      <c r="C1776" s="36" t="str">
        <f>IFERROR(__xludf.DUMMYFUNCTION("""COMPUTED_VALUE"""),"")</f>
        <v/>
      </c>
      <c r="D1776" s="36" t="str">
        <f>IFERROR(__xludf.DUMMYFUNCTION("""COMPUTED_VALUE"""),"")</f>
        <v/>
      </c>
      <c r="E1776" s="36" t="str">
        <f>IFERROR(__xludf.DUMMYFUNCTION("""COMPUTED_VALUE"""),"04-38-11-74")</f>
        <v>04-38-11-74</v>
      </c>
      <c r="F1776" s="36"/>
      <c r="G1776" s="36" t="str">
        <f>IFERROR(__xludf.DUMMYFUNCTION("""COMPUTED_VALUE"""),"Meglioli Oeste y Doctor Ortega")</f>
        <v>Meglioli Oeste y Doctor Ortega</v>
      </c>
      <c r="H1776" s="36" t="str">
        <f>IFERROR(__xludf.DUMMYFUNCTION("""COMPUTED_VALUE"""),"")</f>
        <v/>
      </c>
    </row>
    <row r="1777">
      <c r="A1777" s="36" t="str">
        <f>IFERROR(__xludf.DUMMYFUNCTION("""COMPUTED_VALUE"""),"03-50-10-117A")</f>
        <v>03-50-10-117A</v>
      </c>
      <c r="B1777" s="36" t="str">
        <f>IFERROR(__xludf.DUMMYFUNCTION("""COMPUTED_VALUE"""),"")</f>
        <v/>
      </c>
      <c r="C1777" s="36" t="str">
        <f>IFERROR(__xludf.DUMMYFUNCTION("""COMPUTED_VALUE"""),"")</f>
        <v/>
      </c>
      <c r="D1777" s="36" t="str">
        <f>IFERROR(__xludf.DUMMYFUNCTION("""COMPUTED_VALUE"""),"")</f>
        <v/>
      </c>
      <c r="E1777" s="36" t="str">
        <f>IFERROR(__xludf.DUMMYFUNCTION("""COMPUTED_VALUE"""),"04-43-11-74A")</f>
        <v>04-43-11-74A</v>
      </c>
      <c r="F1777" s="36"/>
      <c r="G1777" s="36" t="str">
        <f>IFERROR(__xludf.DUMMYFUNCTION("""COMPUTED_VALUE"""),"Meglioli Oeste y Dr. Ortega")</f>
        <v>Meglioli Oeste y Dr. Ortega</v>
      </c>
      <c r="H1777" s="36" t="str">
        <f>IFERROR(__xludf.DUMMYFUNCTION("""COMPUTED_VALUE"""),"")</f>
        <v/>
      </c>
    </row>
    <row r="1778">
      <c r="A1778" s="36" t="str">
        <f>IFERROR(__xludf.DUMMYFUNCTION("""COMPUTED_VALUE"""),"03-50-10-117B")</f>
        <v>03-50-10-117B</v>
      </c>
      <c r="B1778" s="36" t="str">
        <f>IFERROR(__xludf.DUMMYFUNCTION("""COMPUTED_VALUE"""),"")</f>
        <v/>
      </c>
      <c r="C1778" s="36" t="str">
        <f>IFERROR(__xludf.DUMMYFUNCTION("""COMPUTED_VALUE"""),"")</f>
        <v/>
      </c>
      <c r="D1778" s="36" t="str">
        <f>IFERROR(__xludf.DUMMYFUNCTION("""COMPUTED_VALUE"""),"")</f>
        <v/>
      </c>
      <c r="E1778" s="36" t="str">
        <f>IFERROR(__xludf.DUMMYFUNCTION("""COMPUTED_VALUE"""),"02-40-11-80C")</f>
        <v>02-40-11-80C</v>
      </c>
      <c r="F1778" s="36"/>
      <c r="G1778" s="36" t="str">
        <f>IFERROR(__xludf.DUMMYFUNCTION("""COMPUTED_VALUE"""),"Meglioli Oeste y Dr. Ramella ")</f>
        <v>Meglioli Oeste y Dr. Ramella </v>
      </c>
      <c r="H1778" s="36" t="str">
        <f>IFERROR(__xludf.DUMMYFUNCTION("""COMPUTED_VALUE"""),"")</f>
        <v/>
      </c>
    </row>
    <row r="1779">
      <c r="A1779" s="36" t="str">
        <f>IFERROR(__xludf.DUMMYFUNCTION("""COMPUTED_VALUE"""),"03-50-10-18A")</f>
        <v>03-50-10-18A</v>
      </c>
      <c r="B1779" s="36" t="str">
        <f>IFERROR(__xludf.DUMMYFUNCTION("""COMPUTED_VALUE"""),"")</f>
        <v/>
      </c>
      <c r="C1779" s="36" t="str">
        <f>IFERROR(__xludf.DUMMYFUNCTION("""COMPUTED_VALUE"""),"")</f>
        <v/>
      </c>
      <c r="D1779" s="36" t="str">
        <f>IFERROR(__xludf.DUMMYFUNCTION("""COMPUTED_VALUE"""),"")</f>
        <v/>
      </c>
      <c r="E1779" s="36" t="str">
        <f>IFERROR(__xludf.DUMMYFUNCTION("""COMPUTED_VALUE"""),"02-40-11-78")</f>
        <v>02-40-11-78</v>
      </c>
      <c r="F1779" s="36"/>
      <c r="G1779" s="36" t="str">
        <f>IFERROR(__xludf.DUMMYFUNCTION("""COMPUTED_VALUE"""),"Meglioli Oeste y Rep. del Líbano")</f>
        <v>Meglioli Oeste y Rep. del Líbano</v>
      </c>
      <c r="H1779" s="36" t="str">
        <f>IFERROR(__xludf.DUMMYFUNCTION("""COMPUTED_VALUE"""),"")</f>
        <v/>
      </c>
    </row>
    <row r="1780">
      <c r="A1780" s="36" t="str">
        <f>IFERROR(__xludf.DUMMYFUNCTION("""COMPUTED_VALUE"""),"03-50-10-22B")</f>
        <v>03-50-10-22B</v>
      </c>
      <c r="B1780" s="36" t="str">
        <f>IFERROR(__xludf.DUMMYFUNCTION("""COMPUTED_VALUE"""),"")</f>
        <v/>
      </c>
      <c r="C1780" s="36" t="str">
        <f>IFERROR(__xludf.DUMMYFUNCTION("""COMPUTED_VALUE"""),"")</f>
        <v/>
      </c>
      <c r="D1780" s="36" t="str">
        <f>IFERROR(__xludf.DUMMYFUNCTION("""COMPUTED_VALUE"""),"")</f>
        <v/>
      </c>
      <c r="E1780" s="36" t="str">
        <f>IFERROR(__xludf.DUMMYFUNCTION("""COMPUTED_VALUE"""),"02-38-12-231")</f>
        <v>02-38-12-231</v>
      </c>
      <c r="F1780" s="36"/>
      <c r="G1780" s="36" t="str">
        <f>IFERROR(__xludf.DUMMYFUNCTION("""COMPUTED_VALUE"""),"Meglioli y  Alferez Sanchez")</f>
        <v>Meglioli y  Alferez Sanchez</v>
      </c>
      <c r="H1780" s="36" t="str">
        <f>IFERROR(__xludf.DUMMYFUNCTION("""COMPUTED_VALUE"""),"")</f>
        <v/>
      </c>
    </row>
    <row r="1781">
      <c r="A1781" s="36" t="str">
        <f>IFERROR(__xludf.DUMMYFUNCTION("""COMPUTED_VALUE"""),"03-50-10-23B")</f>
        <v>03-50-10-23B</v>
      </c>
      <c r="B1781" s="36" t="str">
        <f>IFERROR(__xludf.DUMMYFUNCTION("""COMPUTED_VALUE"""),"")</f>
        <v/>
      </c>
      <c r="C1781" s="36" t="str">
        <f>IFERROR(__xludf.DUMMYFUNCTION("""COMPUTED_VALUE"""),"")</f>
        <v/>
      </c>
      <c r="D1781" s="36" t="str">
        <f>IFERROR(__xludf.DUMMYFUNCTION("""COMPUTED_VALUE"""),"")</f>
        <v/>
      </c>
      <c r="E1781" s="36" t="str">
        <f>IFERROR(__xludf.DUMMYFUNCTION("""COMPUTED_VALUE"""),"02-39-12-230")</f>
        <v>02-39-12-230</v>
      </c>
      <c r="F1781" s="36"/>
      <c r="G1781" s="36" t="str">
        <f>IFERROR(__xludf.DUMMYFUNCTION("""COMPUTED_VALUE"""),"Meglioli y Alpatacal")</f>
        <v>Meglioli y Alpatacal</v>
      </c>
      <c r="H1781" s="36" t="str">
        <f>IFERROR(__xludf.DUMMYFUNCTION("""COMPUTED_VALUE"""),"")</f>
        <v/>
      </c>
    </row>
    <row r="1782">
      <c r="A1782" s="36" t="str">
        <f>IFERROR(__xludf.DUMMYFUNCTION("""COMPUTED_VALUE"""),"03-50-10-25B")</f>
        <v>03-50-10-25B</v>
      </c>
      <c r="B1782" s="36" t="str">
        <f>IFERROR(__xludf.DUMMYFUNCTION("""COMPUTED_VALUE"""),"")</f>
        <v/>
      </c>
      <c r="C1782" s="36" t="str">
        <f>IFERROR(__xludf.DUMMYFUNCTION("""COMPUTED_VALUE"""),"")</f>
        <v/>
      </c>
      <c r="D1782" s="36" t="str">
        <f>IFERROR(__xludf.DUMMYFUNCTION("""COMPUTED_VALUE"""),"")</f>
        <v/>
      </c>
      <c r="E1782" s="36" t="str">
        <f>IFERROR(__xludf.DUMMYFUNCTION("""COMPUTED_VALUE"""),"02-38-12-242")</f>
        <v>02-38-12-242</v>
      </c>
      <c r="F1782" s="36"/>
      <c r="G1782" s="36" t="str">
        <f>IFERROR(__xludf.DUMMYFUNCTION("""COMPUTED_VALUE"""),"Meglioli y America")</f>
        <v>Meglioli y America</v>
      </c>
      <c r="H1782" s="36" t="str">
        <f>IFERROR(__xludf.DUMMYFUNCTION("""COMPUTED_VALUE"""),"")</f>
        <v/>
      </c>
    </row>
    <row r="1783">
      <c r="A1783" s="36" t="str">
        <f>IFERROR(__xludf.DUMMYFUNCTION("""COMPUTED_VALUE"""),"03-52-10-15A")</f>
        <v>03-52-10-15A</v>
      </c>
      <c r="B1783" s="36" t="str">
        <f>IFERROR(__xludf.DUMMYFUNCTION("""COMPUTED_VALUE"""),"")</f>
        <v/>
      </c>
      <c r="C1783" s="36" t="str">
        <f>IFERROR(__xludf.DUMMYFUNCTION("""COMPUTED_VALUE"""),"")</f>
        <v/>
      </c>
      <c r="D1783" s="36" t="str">
        <f>IFERROR(__xludf.DUMMYFUNCTION("""COMPUTED_VALUE"""),"")</f>
        <v/>
      </c>
      <c r="E1783" s="36" t="str">
        <f>IFERROR(__xludf.DUMMYFUNCTION("""COMPUTED_VALUE"""),"02-39-12-246")</f>
        <v>02-39-12-246</v>
      </c>
      <c r="F1783" s="36"/>
      <c r="G1783" s="36" t="str">
        <f>IFERROR(__xludf.DUMMYFUNCTION("""COMPUTED_VALUE"""),"Meglioli y Arenales Oeste")</f>
        <v>Meglioli y Arenales Oeste</v>
      </c>
      <c r="H1783" s="36" t="str">
        <f>IFERROR(__xludf.DUMMYFUNCTION("""COMPUTED_VALUE"""),"")</f>
        <v/>
      </c>
    </row>
    <row r="1784">
      <c r="A1784" s="36" t="str">
        <f>IFERROR(__xludf.DUMMYFUNCTION("""COMPUTED_VALUE"""),"03-52-10-16A")</f>
        <v>03-52-10-16A</v>
      </c>
      <c r="B1784" s="36" t="str">
        <f>IFERROR(__xludf.DUMMYFUNCTION("""COMPUTED_VALUE"""),"")</f>
        <v/>
      </c>
      <c r="C1784" s="36" t="str">
        <f>IFERROR(__xludf.DUMMYFUNCTION("""COMPUTED_VALUE"""),"")</f>
        <v/>
      </c>
      <c r="D1784" s="36" t="str">
        <f>IFERROR(__xludf.DUMMYFUNCTION("""COMPUTED_VALUE"""),"")</f>
        <v/>
      </c>
      <c r="E1784" s="36" t="str">
        <f>IFERROR(__xludf.DUMMYFUNCTION("""COMPUTED_VALUE"""),"02-39-11-80A")</f>
        <v>02-39-11-80A</v>
      </c>
      <c r="F1784" s="36"/>
      <c r="G1784" s="36" t="str">
        <f>IFERROR(__xludf.DUMMYFUNCTION("""COMPUTED_VALUE"""),"Meglioli y Av. Coratina Norte")</f>
        <v>Meglioli y Av. Coratina Norte</v>
      </c>
      <c r="H1784" s="36" t="str">
        <f>IFERROR(__xludf.DUMMYFUNCTION("""COMPUTED_VALUE"""),"")</f>
        <v/>
      </c>
    </row>
    <row r="1785">
      <c r="A1785" s="36" t="str">
        <f>IFERROR(__xludf.DUMMYFUNCTION("""COMPUTED_VALUE"""),"03-52-10-17")</f>
        <v>03-52-10-17</v>
      </c>
      <c r="B1785" s="36" t="str">
        <f>IFERROR(__xludf.DUMMYFUNCTION("""COMPUTED_VALUE"""),"")</f>
        <v/>
      </c>
      <c r="C1785" s="36" t="str">
        <f>IFERROR(__xludf.DUMMYFUNCTION("""COMPUTED_VALUE"""),"")</f>
        <v/>
      </c>
      <c r="D1785" s="36" t="str">
        <f>IFERROR(__xludf.DUMMYFUNCTION("""COMPUTED_VALUE"""),"")</f>
        <v/>
      </c>
      <c r="E1785" s="36" t="str">
        <f>IFERROR(__xludf.DUMMYFUNCTION("""COMPUTED_VALUE"""),"02-39-11-80")</f>
        <v>02-39-11-80</v>
      </c>
      <c r="F1785" s="36"/>
      <c r="G1785" s="36" t="str">
        <f>IFERROR(__xludf.DUMMYFUNCTION("""COMPUTED_VALUE"""),"Meglioli y Av. Coratina Sur")</f>
        <v>Meglioli y Av. Coratina Sur</v>
      </c>
      <c r="H1785" s="36" t="str">
        <f>IFERROR(__xludf.DUMMYFUNCTION("""COMPUTED_VALUE"""),"")</f>
        <v/>
      </c>
    </row>
    <row r="1786">
      <c r="A1786" s="36" t="str">
        <f>IFERROR(__xludf.DUMMYFUNCTION("""COMPUTED_VALUE"""),"03-52-10-17A")</f>
        <v>03-52-10-17A</v>
      </c>
      <c r="B1786" s="36" t="str">
        <f>IFERROR(__xludf.DUMMYFUNCTION("""COMPUTED_VALUE"""),"")</f>
        <v/>
      </c>
      <c r="C1786" s="36" t="str">
        <f>IFERROR(__xludf.DUMMYFUNCTION("""COMPUTED_VALUE"""),"")</f>
        <v/>
      </c>
      <c r="D1786" s="36" t="str">
        <f>IFERROR(__xludf.DUMMYFUNCTION("""COMPUTED_VALUE"""),"")</f>
        <v/>
      </c>
      <c r="E1786" s="36" t="str">
        <f>IFERROR(__xludf.DUMMYFUNCTION("""COMPUTED_VALUE"""),"02-36-11-81A")</f>
        <v>02-36-11-81A</v>
      </c>
      <c r="F1786" s="36"/>
      <c r="G1786" s="36" t="str">
        <f>IFERROR(__xludf.DUMMYFUNCTION("""COMPUTED_VALUE"""),"Meglioli y Av. I. de la Roza")</f>
        <v>Meglioli y Av. I. de la Roza</v>
      </c>
      <c r="H1786" s="36" t="str">
        <f>IFERROR(__xludf.DUMMYFUNCTION("""COMPUTED_VALUE"""),"")</f>
        <v/>
      </c>
    </row>
    <row r="1787">
      <c r="A1787" s="36" t="str">
        <f>IFERROR(__xludf.DUMMYFUNCTION("""COMPUTED_VALUE"""),"03-52-10-18")</f>
        <v>03-52-10-18</v>
      </c>
      <c r="B1787" s="36" t="str">
        <f>IFERROR(__xludf.DUMMYFUNCTION("""COMPUTED_VALUE"""),"")</f>
        <v/>
      </c>
      <c r="C1787" s="36" t="str">
        <f>IFERROR(__xludf.DUMMYFUNCTION("""COMPUTED_VALUE"""),"")</f>
        <v/>
      </c>
      <c r="D1787" s="36" t="str">
        <f>IFERROR(__xludf.DUMMYFUNCTION("""COMPUTED_VALUE"""),"")</f>
        <v/>
      </c>
      <c r="E1787" s="36" t="str">
        <f>IFERROR(__xludf.DUMMYFUNCTION("""COMPUTED_VALUE"""),"02-37-06-31C")</f>
        <v>02-37-06-31C</v>
      </c>
      <c r="F1787" s="36"/>
      <c r="G1787" s="36" t="str">
        <f>IFERROR(__xludf.DUMMYFUNCTION("""COMPUTED_VALUE"""),"Meglioli y Av. Libertador")</f>
        <v>Meglioli y Av. Libertador</v>
      </c>
      <c r="H1787" s="36" t="str">
        <f>IFERROR(__xludf.DUMMYFUNCTION("""COMPUTED_VALUE"""),"")</f>
        <v/>
      </c>
    </row>
    <row r="1788">
      <c r="A1788" s="36" t="str">
        <f>IFERROR(__xludf.DUMMYFUNCTION("""COMPUTED_VALUE"""),"03-52-10-22A")</f>
        <v>03-52-10-22A</v>
      </c>
      <c r="B1788" s="36" t="str">
        <f>IFERROR(__xludf.DUMMYFUNCTION("""COMPUTED_VALUE"""),"")</f>
        <v/>
      </c>
      <c r="C1788" s="36" t="str">
        <f>IFERROR(__xludf.DUMMYFUNCTION("""COMPUTED_VALUE"""),"")</f>
        <v/>
      </c>
      <c r="D1788" s="36" t="str">
        <f>IFERROR(__xludf.DUMMYFUNCTION("""COMPUTED_VALUE"""),"")</f>
        <v/>
      </c>
      <c r="E1788" s="36" t="str">
        <f>IFERROR(__xludf.DUMMYFUNCTION("""COMPUTED_VALUE"""),"02-38-12-228")</f>
        <v>02-38-12-228</v>
      </c>
      <c r="F1788" s="36"/>
      <c r="G1788" s="36" t="str">
        <f>IFERROR(__xludf.DUMMYFUNCTION("""COMPUTED_VALUE"""),"Meglioli y Comandante Cabot Norte")</f>
        <v>Meglioli y Comandante Cabot Norte</v>
      </c>
      <c r="H1788" s="36" t="str">
        <f>IFERROR(__xludf.DUMMYFUNCTION("""COMPUTED_VALUE"""),"")</f>
        <v/>
      </c>
    </row>
    <row r="1789">
      <c r="A1789" s="36" t="str">
        <f>IFERROR(__xludf.DUMMYFUNCTION("""COMPUTED_VALUE"""),"03-52-10-23A")</f>
        <v>03-52-10-23A</v>
      </c>
      <c r="B1789" s="36" t="str">
        <f>IFERROR(__xludf.DUMMYFUNCTION("""COMPUTED_VALUE"""),"")</f>
        <v/>
      </c>
      <c r="C1789" s="36" t="str">
        <f>IFERROR(__xludf.DUMMYFUNCTION("""COMPUTED_VALUE"""),"")</f>
        <v/>
      </c>
      <c r="D1789" s="36" t="str">
        <f>IFERROR(__xludf.DUMMYFUNCTION("""COMPUTED_VALUE"""),"")</f>
        <v/>
      </c>
      <c r="E1789" s="36" t="str">
        <f>IFERROR(__xludf.DUMMYFUNCTION("""COMPUTED_VALUE"""),"02-38-12-229")</f>
        <v>02-38-12-229</v>
      </c>
      <c r="F1789" s="36"/>
      <c r="G1789" s="36" t="str">
        <f>IFERROR(__xludf.DUMMYFUNCTION("""COMPUTED_VALUE"""),"Meglioli y Comandante Cabot Sur")</f>
        <v>Meglioli y Comandante Cabot Sur</v>
      </c>
      <c r="H1789" s="36" t="str">
        <f>IFERROR(__xludf.DUMMYFUNCTION("""COMPUTED_VALUE"""),"")</f>
        <v/>
      </c>
    </row>
    <row r="1790">
      <c r="A1790" s="36" t="str">
        <f>IFERROR(__xludf.DUMMYFUNCTION("""COMPUTED_VALUE"""),"04-24-10-13")</f>
        <v>04-24-10-13</v>
      </c>
      <c r="B1790" s="36" t="str">
        <f>IFERROR(__xludf.DUMMYFUNCTION("""COMPUTED_VALUE"""),"")</f>
        <v/>
      </c>
      <c r="C1790" s="36" t="str">
        <f>IFERROR(__xludf.DUMMYFUNCTION("""COMPUTED_VALUE"""),"")</f>
        <v/>
      </c>
      <c r="D1790" s="36" t="str">
        <f>IFERROR(__xludf.DUMMYFUNCTION("""COMPUTED_VALUE"""),"")</f>
        <v/>
      </c>
      <c r="E1790" s="36" t="str">
        <f>IFERROR(__xludf.DUMMYFUNCTION("""COMPUTED_VALUE"""),"02-40-11-81E")</f>
        <v>02-40-11-81E</v>
      </c>
      <c r="F1790" s="36"/>
      <c r="G1790" s="36" t="str">
        <f>IFERROR(__xludf.DUMMYFUNCTION("""COMPUTED_VALUE"""),"Meglioli y Dr. Pablo Ramella Este ")</f>
        <v>Meglioli y Dr. Pablo Ramella Este </v>
      </c>
      <c r="H1790" s="36" t="str">
        <f>IFERROR(__xludf.DUMMYFUNCTION("""COMPUTED_VALUE"""),"")</f>
        <v/>
      </c>
    </row>
    <row r="1791">
      <c r="A1791" s="36" t="str">
        <f>IFERROR(__xludf.DUMMYFUNCTION("""COMPUTED_VALUE"""),"04-26-10-14")</f>
        <v>04-26-10-14</v>
      </c>
      <c r="B1791" s="36" t="str">
        <f>IFERROR(__xludf.DUMMYFUNCTION("""COMPUTED_VALUE"""),"")</f>
        <v/>
      </c>
      <c r="C1791" s="36" t="str">
        <f>IFERROR(__xludf.DUMMYFUNCTION("""COMPUTED_VALUE"""),"")</f>
        <v/>
      </c>
      <c r="D1791" s="36" t="str">
        <f>IFERROR(__xludf.DUMMYFUNCTION("""COMPUTED_VALUE"""),"")</f>
        <v/>
      </c>
      <c r="E1791" s="36" t="str">
        <f>IFERROR(__xludf.DUMMYFUNCTION("""COMPUTED_VALUE"""),"02-40-11-81C")</f>
        <v>02-40-11-81C</v>
      </c>
      <c r="F1791" s="36"/>
      <c r="G1791" s="36" t="str">
        <f>IFERROR(__xludf.DUMMYFUNCTION("""COMPUTED_VALUE"""),"Meglioli y Escri. Abel Di Prospero")</f>
        <v>Meglioli y Escri. Abel Di Prospero</v>
      </c>
      <c r="H1791" s="36" t="str">
        <f>IFERROR(__xludf.DUMMYFUNCTION("""COMPUTED_VALUE"""),"")</f>
        <v/>
      </c>
    </row>
    <row r="1792">
      <c r="A1792" s="36" t="str">
        <f>IFERROR(__xludf.DUMMYFUNCTION("""COMPUTED_VALUE"""),"04-26-10-15")</f>
        <v>04-26-10-15</v>
      </c>
      <c r="B1792" s="36" t="str">
        <f>IFERROR(__xludf.DUMMYFUNCTION("""COMPUTED_VALUE"""),"")</f>
        <v/>
      </c>
      <c r="C1792" s="36" t="str">
        <f>IFERROR(__xludf.DUMMYFUNCTION("""COMPUTED_VALUE"""),"")</f>
        <v/>
      </c>
      <c r="D1792" s="36" t="str">
        <f>IFERROR(__xludf.DUMMYFUNCTION("""COMPUTED_VALUE"""),"")</f>
        <v/>
      </c>
      <c r="E1792" s="36" t="str">
        <f>IFERROR(__xludf.DUMMYFUNCTION("""COMPUTED_VALUE"""),"02-38-12-244")</f>
        <v>02-38-12-244</v>
      </c>
      <c r="F1792" s="36"/>
      <c r="G1792" s="36" t="str">
        <f>IFERROR(__xludf.DUMMYFUNCTION("""COMPUTED_VALUE"""),"Meglioli y Pasaje Santa María de Oro")</f>
        <v>Meglioli y Pasaje Santa María de Oro</v>
      </c>
      <c r="H1792" s="36" t="str">
        <f>IFERROR(__xludf.DUMMYFUNCTION("""COMPUTED_VALUE"""),"")</f>
        <v/>
      </c>
    </row>
    <row r="1793">
      <c r="A1793" s="36" t="str">
        <f>IFERROR(__xludf.DUMMYFUNCTION("""COMPUTED_VALUE"""),"04-26-10-16")</f>
        <v>04-26-10-16</v>
      </c>
      <c r="B1793" s="36" t="str">
        <f>IFERROR(__xludf.DUMMYFUNCTION("""COMPUTED_VALUE"""),"")</f>
        <v/>
      </c>
      <c r="C1793" s="36" t="str">
        <f>IFERROR(__xludf.DUMMYFUNCTION("""COMPUTED_VALUE"""),"")</f>
        <v/>
      </c>
      <c r="D1793" s="36" t="str">
        <f>IFERROR(__xludf.DUMMYFUNCTION("""COMPUTED_VALUE"""),"")</f>
        <v/>
      </c>
      <c r="E1793" s="36" t="str">
        <f>IFERROR(__xludf.DUMMYFUNCTION("""COMPUTED_VALUE"""),"02-37-11-81C")</f>
        <v>02-37-11-81C</v>
      </c>
      <c r="F1793" s="36"/>
      <c r="G1793" s="36" t="str">
        <f>IFERROR(__xludf.DUMMYFUNCTION("""COMPUTED_VALUE"""),"Meglioli y Reconquista")</f>
        <v>Meglioli y Reconquista</v>
      </c>
      <c r="H1793" s="36" t="str">
        <f>IFERROR(__xludf.DUMMYFUNCTION("""COMPUTED_VALUE"""),"")</f>
        <v/>
      </c>
    </row>
    <row r="1794">
      <c r="A1794" s="36" t="str">
        <f>IFERROR(__xludf.DUMMYFUNCTION("""COMPUTED_VALUE"""),"09-20-10-109A")</f>
        <v>09-20-10-109A</v>
      </c>
      <c r="B1794" s="36" t="str">
        <f>IFERROR(__xludf.DUMMYFUNCTION("""COMPUTED_VALUE"""),"")</f>
        <v/>
      </c>
      <c r="C1794" s="36" t="str">
        <f>IFERROR(__xludf.DUMMYFUNCTION("""COMPUTED_VALUE"""),"")</f>
        <v/>
      </c>
      <c r="D1794" s="36" t="str">
        <f>IFERROR(__xludf.DUMMYFUNCTION("""COMPUTED_VALUE"""),"")</f>
        <v/>
      </c>
      <c r="E1794" s="36" t="str">
        <f>IFERROR(__xludf.DUMMYFUNCTION("""COMPUTED_VALUE"""),"02-37-06-25B")</f>
        <v>02-37-06-25B</v>
      </c>
      <c r="F1794" s="36"/>
      <c r="G1794" s="36" t="str">
        <f>IFERROR(__xludf.DUMMYFUNCTION("""COMPUTED_VALUE"""),"Meglioli y Sancassani E")</f>
        <v>Meglioli y Sancassani E</v>
      </c>
      <c r="H1794" s="36" t="str">
        <f>IFERROR(__xludf.DUMMYFUNCTION("""COMPUTED_VALUE"""),"")</f>
        <v/>
      </c>
    </row>
    <row r="1795">
      <c r="A1795" s="36" t="str">
        <f>IFERROR(__xludf.DUMMYFUNCTION("""COMPUTED_VALUE"""),"09-20-10-109B")</f>
        <v>09-20-10-109B</v>
      </c>
      <c r="B1795" s="36" t="str">
        <f>IFERROR(__xludf.DUMMYFUNCTION("""COMPUTED_VALUE"""),"")</f>
        <v/>
      </c>
      <c r="C1795" s="36" t="str">
        <f>IFERROR(__xludf.DUMMYFUNCTION("""COMPUTED_VALUE"""),"")</f>
        <v/>
      </c>
      <c r="D1795" s="36" t="str">
        <f>IFERROR(__xludf.DUMMYFUNCTION("""COMPUTED_VALUE"""),"")</f>
        <v/>
      </c>
      <c r="E1795" s="36" t="str">
        <f>IFERROR(__xludf.DUMMYFUNCTION("""COMPUTED_VALUE"""),"02-36-06-25C")</f>
        <v>02-36-06-25C</v>
      </c>
      <c r="F1795" s="36"/>
      <c r="G1795" s="36" t="str">
        <f>IFERROR(__xludf.DUMMYFUNCTION("""COMPUTED_VALUE"""),"Meglioli y Sancassani O")</f>
        <v>Meglioli y Sancassani O</v>
      </c>
      <c r="H1795" s="36" t="str">
        <f>IFERROR(__xludf.DUMMYFUNCTION("""COMPUTED_VALUE"""),"")</f>
        <v/>
      </c>
    </row>
    <row r="1796">
      <c r="A1796" s="36" t="str">
        <f>IFERROR(__xludf.DUMMYFUNCTION("""COMPUTED_VALUE"""),"09-20-10-34B")</f>
        <v>09-20-10-34B</v>
      </c>
      <c r="B1796" s="36" t="str">
        <f>IFERROR(__xludf.DUMMYFUNCTION("""COMPUTED_VALUE"""),"")</f>
        <v/>
      </c>
      <c r="C1796" s="36" t="str">
        <f>IFERROR(__xludf.DUMMYFUNCTION("""COMPUTED_VALUE"""),"")</f>
        <v/>
      </c>
      <c r="D1796" s="36" t="str">
        <f>IFERROR(__xludf.DUMMYFUNCTION("""COMPUTED_VALUE"""),"")</f>
        <v/>
      </c>
      <c r="E1796" s="36" t="str">
        <f>IFERROR(__xludf.DUMMYFUNCTION("""COMPUTED_VALUE"""),"02-39-12-245")</f>
        <v>02-39-12-245</v>
      </c>
      <c r="F1796" s="36"/>
      <c r="G1796" s="36" t="str">
        <f>IFERROR(__xludf.DUMMYFUNCTION("""COMPUTED_VALUE"""),"Meglioli y Tulum")</f>
        <v>Meglioli y Tulum</v>
      </c>
      <c r="H1796" s="36" t="str">
        <f>IFERROR(__xludf.DUMMYFUNCTION("""COMPUTED_VALUE"""),"")</f>
        <v/>
      </c>
    </row>
    <row r="1797">
      <c r="A1797" s="36" t="str">
        <f>IFERROR(__xludf.DUMMYFUNCTION("""COMPUTED_VALUE"""),"09-20-10-35B")</f>
        <v>09-20-10-35B</v>
      </c>
      <c r="B1797" s="36" t="str">
        <f>IFERROR(__xludf.DUMMYFUNCTION("""COMPUTED_VALUE"""),"")</f>
        <v/>
      </c>
      <c r="C1797" s="36" t="str">
        <f>IFERROR(__xludf.DUMMYFUNCTION("""COMPUTED_VALUE"""),"")</f>
        <v/>
      </c>
      <c r="D1797" s="36" t="str">
        <f>IFERROR(__xludf.DUMMYFUNCTION("""COMPUTED_VALUE"""),"")</f>
        <v/>
      </c>
      <c r="E1797" s="36" t="str">
        <f>IFERROR(__xludf.DUMMYFUNCTION("""COMPUTED_VALUE"""),"08-28-03-24")</f>
        <v>08-28-03-24</v>
      </c>
      <c r="F1797" s="36"/>
      <c r="G1797" s="36" t="str">
        <f>IFERROR(__xludf.DUMMYFUNCTION("""COMPUTED_VALUE"""),"Mendoza e H. Yrigoyen")</f>
        <v>Mendoza e H. Yrigoyen</v>
      </c>
      <c r="H1797" s="36" t="str">
        <f>IFERROR(__xludf.DUMMYFUNCTION("""COMPUTED_VALUE"""),"")</f>
        <v/>
      </c>
    </row>
    <row r="1798">
      <c r="A1798" s="36" t="str">
        <f>IFERROR(__xludf.DUMMYFUNCTION("""COMPUTED_VALUE"""),"09-20-10-36B")</f>
        <v>09-20-10-36B</v>
      </c>
      <c r="B1798" s="36" t="str">
        <f>IFERROR(__xludf.DUMMYFUNCTION("""COMPUTED_VALUE"""),"")</f>
        <v/>
      </c>
      <c r="C1798" s="36" t="str">
        <f>IFERROR(__xludf.DUMMYFUNCTION("""COMPUTED_VALUE"""),"")</f>
        <v/>
      </c>
      <c r="D1798" s="36" t="str">
        <f>IFERROR(__xludf.DUMMYFUNCTION("""COMPUTED_VALUE"""),"")</f>
        <v/>
      </c>
      <c r="E1798" s="36" t="str">
        <f>IFERROR(__xludf.DUMMYFUNCTION("""COMPUTED_VALUE"""),"01-23-08-106")</f>
        <v>01-23-08-106</v>
      </c>
      <c r="F1798" s="36"/>
      <c r="G1798" s="36" t="str">
        <f>IFERROR(__xludf.DUMMYFUNCTION("""COMPUTED_VALUE"""),"Mendoza y  Almirante Brown")</f>
        <v>Mendoza y  Almirante Brown</v>
      </c>
      <c r="H1798" s="36" t="str">
        <f>IFERROR(__xludf.DUMMYFUNCTION("""COMPUTED_VALUE"""),"")</f>
        <v/>
      </c>
    </row>
    <row r="1799">
      <c r="A1799" s="36" t="str">
        <f>IFERROR(__xludf.DUMMYFUNCTION("""COMPUTED_VALUE"""),"09-24-10-24B")</f>
        <v>09-24-10-24B</v>
      </c>
      <c r="B1799" s="36" t="str">
        <f>IFERROR(__xludf.DUMMYFUNCTION("""COMPUTED_VALUE"""),"")</f>
        <v/>
      </c>
      <c r="C1799" s="36" t="str">
        <f>IFERROR(__xludf.DUMMYFUNCTION("""COMPUTED_VALUE"""),"")</f>
        <v/>
      </c>
      <c r="D1799" s="36" t="str">
        <f>IFERROR(__xludf.DUMMYFUNCTION("""COMPUTED_VALUE"""),"")</f>
        <v/>
      </c>
      <c r="E1799" s="36" t="str">
        <f>IFERROR(__xludf.DUMMYFUNCTION("""COMPUTED_VALUE"""),"08-26-03-99")</f>
        <v>08-26-03-99</v>
      </c>
      <c r="F1799" s="36"/>
      <c r="G1799" s="36" t="str">
        <f>IFERROR(__xludf.DUMMYFUNCTION("""COMPUTED_VALUE"""),"Mendoza y 11 de Septiembre")</f>
        <v>Mendoza y 11 de Septiembre</v>
      </c>
      <c r="H1799" s="36" t="str">
        <f>IFERROR(__xludf.DUMMYFUNCTION("""COMPUTED_VALUE"""),"")</f>
        <v/>
      </c>
    </row>
    <row r="1800">
      <c r="A1800" s="36" t="str">
        <f>IFERROR(__xludf.DUMMYFUNCTION("""COMPUTED_VALUE"""),"09-24-10-26B")</f>
        <v>09-24-10-26B</v>
      </c>
      <c r="B1800" s="36" t="str">
        <f>IFERROR(__xludf.DUMMYFUNCTION("""COMPUTED_VALUE"""),"")</f>
        <v/>
      </c>
      <c r="C1800" s="36" t="str">
        <f>IFERROR(__xludf.DUMMYFUNCTION("""COMPUTED_VALUE"""),"")</f>
        <v/>
      </c>
      <c r="D1800" s="36" t="str">
        <f>IFERROR(__xludf.DUMMYFUNCTION("""COMPUTED_VALUE"""),"")</f>
        <v/>
      </c>
      <c r="E1800" s="36" t="str">
        <f>IFERROR(__xludf.DUMMYFUNCTION("""COMPUTED_VALUE"""),"04-21-13-167")</f>
        <v>04-21-13-167</v>
      </c>
      <c r="F1800" s="36"/>
      <c r="G1800" s="36" t="str">
        <f>IFERROR(__xludf.DUMMYFUNCTION("""COMPUTED_VALUE"""),"Mendoza y 12 de Octubre")</f>
        <v>Mendoza y 12 de Octubre</v>
      </c>
      <c r="H1800" s="36" t="str">
        <f>IFERROR(__xludf.DUMMYFUNCTION("""COMPUTED_VALUE"""),"")</f>
        <v/>
      </c>
    </row>
    <row r="1801">
      <c r="A1801" s="36" t="str">
        <f>IFERROR(__xludf.DUMMYFUNCTION("""COMPUTED_VALUE"""),"09-24-10-27B")</f>
        <v>09-24-10-27B</v>
      </c>
      <c r="B1801" s="36" t="str">
        <f>IFERROR(__xludf.DUMMYFUNCTION("""COMPUTED_VALUE"""),"")</f>
        <v/>
      </c>
      <c r="C1801" s="36" t="str">
        <f>IFERROR(__xludf.DUMMYFUNCTION("""COMPUTED_VALUE"""),"")</f>
        <v/>
      </c>
      <c r="D1801" s="36" t="str">
        <f>IFERROR(__xludf.DUMMYFUNCTION("""COMPUTED_VALUE"""),"")</f>
        <v/>
      </c>
      <c r="E1801" s="36" t="str">
        <f>IFERROR(__xludf.DUMMYFUNCTION("""COMPUTED_VALUE"""),"08-28-03-25")</f>
        <v>08-28-03-25</v>
      </c>
      <c r="F1801" s="36"/>
      <c r="G1801" s="36" t="str">
        <f>IFERROR(__xludf.DUMMYFUNCTION("""COMPUTED_VALUE"""),"Mendoza y 5 de Octubre")</f>
        <v>Mendoza y 5 de Octubre</v>
      </c>
      <c r="H1801" s="36" t="str">
        <f>IFERROR(__xludf.DUMMYFUNCTION("""COMPUTED_VALUE"""),"")</f>
        <v/>
      </c>
    </row>
    <row r="1802">
      <c r="A1802" s="36" t="str">
        <f>IFERROR(__xludf.DUMMYFUNCTION("""COMPUTED_VALUE"""),"09-24-10-28A")</f>
        <v>09-24-10-28A</v>
      </c>
      <c r="B1802" s="36" t="str">
        <f>IFERROR(__xludf.DUMMYFUNCTION("""COMPUTED_VALUE"""),"")</f>
        <v/>
      </c>
      <c r="C1802" s="36" t="str">
        <f>IFERROR(__xludf.DUMMYFUNCTION("""COMPUTED_VALUE"""),"")</f>
        <v/>
      </c>
      <c r="D1802" s="36" t="str">
        <f>IFERROR(__xludf.DUMMYFUNCTION("""COMPUTED_VALUE"""),"")</f>
        <v/>
      </c>
      <c r="E1802" s="36" t="str">
        <f>IFERROR(__xludf.DUMMYFUNCTION("""COMPUTED_VALUE"""),"01-51-08-21A")</f>
        <v>01-51-08-21A</v>
      </c>
      <c r="F1802" s="36"/>
      <c r="G1802" s="36" t="str">
        <f>IFERROR(__xludf.DUMMYFUNCTION("""COMPUTED_VALUE"""),"Mendoza y 9 de Julio")</f>
        <v>Mendoza y 9 de Julio</v>
      </c>
      <c r="H1802" s="36" t="str">
        <f>IFERROR(__xludf.DUMMYFUNCTION("""COMPUTED_VALUE"""),"")</f>
        <v/>
      </c>
    </row>
    <row r="1803">
      <c r="A1803" s="36" t="str">
        <f>IFERROR(__xludf.DUMMYFUNCTION("""COMPUTED_VALUE"""),"09-24-10-28B")</f>
        <v>09-24-10-28B</v>
      </c>
      <c r="B1803" s="36" t="str">
        <f>IFERROR(__xludf.DUMMYFUNCTION("""COMPUTED_VALUE"""),"")</f>
        <v/>
      </c>
      <c r="C1803" s="36" t="str">
        <f>IFERROR(__xludf.DUMMYFUNCTION("""COMPUTED_VALUE"""),"")</f>
        <v/>
      </c>
      <c r="D1803" s="36" t="str">
        <f>IFERROR(__xludf.DUMMYFUNCTION("""COMPUTED_VALUE"""),"")</f>
        <v/>
      </c>
      <c r="E1803" s="36" t="str">
        <f>IFERROR(__xludf.DUMMYFUNCTION("""COMPUTED_VALUE"""),"01-56-13-56")</f>
        <v>01-56-13-56</v>
      </c>
      <c r="F1803" s="36"/>
      <c r="G1803" s="36" t="str">
        <f>IFERROR(__xludf.DUMMYFUNCTION("""COMPUTED_VALUE"""),"Mendoza y Abraham Tapia")</f>
        <v>Mendoza y Abraham Tapia</v>
      </c>
      <c r="H1803" s="36" t="str">
        <f>IFERROR(__xludf.DUMMYFUNCTION("""COMPUTED_VALUE"""),"")</f>
        <v/>
      </c>
    </row>
    <row r="1804">
      <c r="A1804" s="36" t="str">
        <f>IFERROR(__xludf.DUMMYFUNCTION("""COMPUTED_VALUE"""),"09-24-10-29A")</f>
        <v>09-24-10-29A</v>
      </c>
      <c r="B1804" s="36" t="str">
        <f>IFERROR(__xludf.DUMMYFUNCTION("""COMPUTED_VALUE"""),"")</f>
        <v/>
      </c>
      <c r="C1804" s="36" t="str">
        <f>IFERROR(__xludf.DUMMYFUNCTION("""COMPUTED_VALUE"""),"")</f>
        <v/>
      </c>
      <c r="D1804" s="36" t="str">
        <f>IFERROR(__xludf.DUMMYFUNCTION("""COMPUTED_VALUE"""),"")</f>
        <v/>
      </c>
      <c r="E1804" s="36" t="str">
        <f>IFERROR(__xludf.DUMMYFUNCTION("""COMPUTED_VALUE"""),"04-46-13-95")</f>
        <v>04-46-13-95</v>
      </c>
      <c r="F1804" s="36"/>
      <c r="G1804" s="36" t="str">
        <f>IFERROR(__xludf.DUMMYFUNCTION("""COMPUTED_VALUE"""),"Mendoza y Aguilar")</f>
        <v>Mendoza y Aguilar</v>
      </c>
      <c r="H1804" s="36" t="str">
        <f>IFERROR(__xludf.DUMMYFUNCTION("""COMPUTED_VALUE"""),"")</f>
        <v/>
      </c>
    </row>
    <row r="1805">
      <c r="A1805" s="36" t="str">
        <f>IFERROR(__xludf.DUMMYFUNCTION("""COMPUTED_VALUE"""),"02-32-11-101")</f>
        <v>02-32-11-101</v>
      </c>
      <c r="B1805" s="36" t="str">
        <f>IFERROR(__xludf.DUMMYFUNCTION("""COMPUTED_VALUE"""),"")</f>
        <v/>
      </c>
      <c r="C1805" s="36" t="str">
        <f>IFERROR(__xludf.DUMMYFUNCTION("""COMPUTED_VALUE"""),"")</f>
        <v/>
      </c>
      <c r="D1805" s="36" t="str">
        <f>IFERROR(__xludf.DUMMYFUNCTION("""COMPUTED_VALUE"""),"")</f>
        <v/>
      </c>
      <c r="E1805" s="36" t="str">
        <f>IFERROR(__xludf.DUMMYFUNCTION("""COMPUTED_VALUE"""),"01-37-08-121")</f>
        <v>01-37-08-121</v>
      </c>
      <c r="F1805" s="36"/>
      <c r="G1805" s="36" t="str">
        <f>IFERROR(__xludf.DUMMYFUNCTION("""COMPUTED_VALUE"""),"Mendoza y Alberdi")</f>
        <v>Mendoza y Alberdi</v>
      </c>
      <c r="H1805" s="36" t="str">
        <f>IFERROR(__xludf.DUMMYFUNCTION("""COMPUTED_VALUE"""),"")</f>
        <v/>
      </c>
    </row>
    <row r="1806">
      <c r="A1806" s="36" t="str">
        <f>IFERROR(__xludf.DUMMYFUNCTION("""COMPUTED_VALUE"""),"02-32-11-102")</f>
        <v>02-32-11-102</v>
      </c>
      <c r="B1806" s="36" t="str">
        <f>IFERROR(__xludf.DUMMYFUNCTION("""COMPUTED_VALUE"""),"")</f>
        <v/>
      </c>
      <c r="C1806" s="36" t="str">
        <f>IFERROR(__xludf.DUMMYFUNCTION("""COMPUTED_VALUE"""),"")</f>
        <v/>
      </c>
      <c r="D1806" s="36" t="str">
        <f>IFERROR(__xludf.DUMMYFUNCTION("""COMPUTED_VALUE"""),"")</f>
        <v/>
      </c>
      <c r="E1806" s="36" t="str">
        <f>IFERROR(__xludf.DUMMYFUNCTION("""COMPUTED_VALUE"""),"08-42-03-85")</f>
        <v>08-42-03-85</v>
      </c>
      <c r="F1806" s="36"/>
      <c r="G1806" s="36" t="str">
        <f>IFERROR(__xludf.DUMMYFUNCTION("""COMPUTED_VALUE"""),"Mendoza y Av. N. Benavídez")</f>
        <v>Mendoza y Av. N. Benavídez</v>
      </c>
      <c r="H1806" s="36" t="str">
        <f>IFERROR(__xludf.DUMMYFUNCTION("""COMPUTED_VALUE"""),"")</f>
        <v/>
      </c>
    </row>
    <row r="1807">
      <c r="A1807" s="36" t="str">
        <f>IFERROR(__xludf.DUMMYFUNCTION("""COMPUTED_VALUE"""),"02-32-11-102A")</f>
        <v>02-32-11-102A</v>
      </c>
      <c r="B1807" s="36" t="str">
        <f>IFERROR(__xludf.DUMMYFUNCTION("""COMPUTED_VALUE"""),"")</f>
        <v/>
      </c>
      <c r="C1807" s="36" t="str">
        <f>IFERROR(__xludf.DUMMYFUNCTION("""COMPUTED_VALUE"""),"")</f>
        <v/>
      </c>
      <c r="D1807" s="36" t="str">
        <f>IFERROR(__xludf.DUMMYFUNCTION("""COMPUTED_VALUE"""),"")</f>
        <v/>
      </c>
      <c r="E1807" s="36" t="str">
        <f>IFERROR(__xludf.DUMMYFUNCTION("""COMPUTED_VALUE"""),"08-28-03-69")</f>
        <v>08-28-03-69</v>
      </c>
      <c r="F1807" s="36"/>
      <c r="G1807" s="36" t="str">
        <f>IFERROR(__xludf.DUMMYFUNCTION("""COMPUTED_VALUE"""),"Mendoza y Báez Laspiur E")</f>
        <v>Mendoza y Báez Laspiur E</v>
      </c>
      <c r="H1807" s="36" t="str">
        <f>IFERROR(__xludf.DUMMYFUNCTION("""COMPUTED_VALUE"""),"")</f>
        <v/>
      </c>
    </row>
    <row r="1808">
      <c r="A1808" s="36" t="str">
        <f>IFERROR(__xludf.DUMMYFUNCTION("""COMPUTED_VALUE"""),"02-32-11-103")</f>
        <v>02-32-11-103</v>
      </c>
      <c r="B1808" s="36" t="str">
        <f>IFERROR(__xludf.DUMMYFUNCTION("""COMPUTED_VALUE"""),"")</f>
        <v/>
      </c>
      <c r="C1808" s="36" t="str">
        <f>IFERROR(__xludf.DUMMYFUNCTION("""COMPUTED_VALUE"""),"")</f>
        <v/>
      </c>
      <c r="D1808" s="36" t="str">
        <f>IFERROR(__xludf.DUMMYFUNCTION("""COMPUTED_VALUE"""),"")</f>
        <v/>
      </c>
      <c r="E1808" s="36" t="str">
        <f>IFERROR(__xludf.DUMMYFUNCTION("""COMPUTED_VALUE"""),"08-28-03-69A")</f>
        <v>08-28-03-69A</v>
      </c>
      <c r="F1808" s="36"/>
      <c r="G1808" s="36" t="str">
        <f>IFERROR(__xludf.DUMMYFUNCTION("""COMPUTED_VALUE"""),"Mendoza y Báez Laspiur O")</f>
        <v>Mendoza y Báez Laspiur O</v>
      </c>
      <c r="H1808" s="36" t="str">
        <f>IFERROR(__xludf.DUMMYFUNCTION("""COMPUTED_VALUE"""),"")</f>
        <v/>
      </c>
    </row>
    <row r="1809">
      <c r="A1809" s="36" t="str">
        <f>IFERROR(__xludf.DUMMYFUNCTION("""COMPUTED_VALUE"""),"02-32-11-103A")</f>
        <v>02-32-11-103A</v>
      </c>
      <c r="B1809" s="36" t="str">
        <f>IFERROR(__xludf.DUMMYFUNCTION("""COMPUTED_VALUE"""),"")</f>
        <v/>
      </c>
      <c r="C1809" s="36" t="str">
        <f>IFERROR(__xludf.DUMMYFUNCTION("""COMPUTED_VALUE"""),"")</f>
        <v/>
      </c>
      <c r="D1809" s="36" t="str">
        <f>IFERROR(__xludf.DUMMYFUNCTION("""COMPUTED_VALUE"""),"")</f>
        <v/>
      </c>
      <c r="E1809" s="36" t="str">
        <f>IFERROR(__xludf.DUMMYFUNCTION("""COMPUTED_VALUE"""),"08-44-03-92")</f>
        <v>08-44-03-92</v>
      </c>
      <c r="F1809" s="36"/>
      <c r="G1809" s="36" t="str">
        <f>IFERROR(__xludf.DUMMYFUNCTION("""COMPUTED_VALUE"""),"Mendoza y Bandera Argentina E")</f>
        <v>Mendoza y Bandera Argentina E</v>
      </c>
      <c r="H1809" s="36" t="str">
        <f>IFERROR(__xludf.DUMMYFUNCTION("""COMPUTED_VALUE"""),"")</f>
        <v/>
      </c>
    </row>
    <row r="1810">
      <c r="A1810" s="36" t="str">
        <f>IFERROR(__xludf.DUMMYFUNCTION("""COMPUTED_VALUE"""),"02-32-11-104")</f>
        <v>02-32-11-104</v>
      </c>
      <c r="B1810" s="36" t="str">
        <f>IFERROR(__xludf.DUMMYFUNCTION("""COMPUTED_VALUE"""),"")</f>
        <v/>
      </c>
      <c r="C1810" s="36" t="str">
        <f>IFERROR(__xludf.DUMMYFUNCTION("""COMPUTED_VALUE"""),"")</f>
        <v/>
      </c>
      <c r="D1810" s="36" t="str">
        <f>IFERROR(__xludf.DUMMYFUNCTION("""COMPUTED_VALUE"""),"")</f>
        <v/>
      </c>
      <c r="E1810" s="36" t="str">
        <f>IFERROR(__xludf.DUMMYFUNCTION("""COMPUTED_VALUE"""),"08-42-03-93")</f>
        <v>08-42-03-93</v>
      </c>
      <c r="F1810" s="36"/>
      <c r="G1810" s="36" t="str">
        <f>IFERROR(__xludf.DUMMYFUNCTION("""COMPUTED_VALUE"""),"Mendoza y Bandera Argentina O")</f>
        <v>Mendoza y Bandera Argentina O</v>
      </c>
      <c r="H1810" s="36" t="str">
        <f>IFERROR(__xludf.DUMMYFUNCTION("""COMPUTED_VALUE"""),"")</f>
        <v/>
      </c>
    </row>
    <row r="1811">
      <c r="A1811" s="36" t="str">
        <f>IFERROR(__xludf.DUMMYFUNCTION("""COMPUTED_VALUE"""),"02-32-11-104A")</f>
        <v>02-32-11-104A</v>
      </c>
      <c r="B1811" s="36" t="str">
        <f>IFERROR(__xludf.DUMMYFUNCTION("""COMPUTED_VALUE"""),"")</f>
        <v/>
      </c>
      <c r="C1811" s="36" t="str">
        <f>IFERROR(__xludf.DUMMYFUNCTION("""COMPUTED_VALUE"""),"")</f>
        <v/>
      </c>
      <c r="D1811" s="36" t="str">
        <f>IFERROR(__xludf.DUMMYFUNCTION("""COMPUTED_VALUE"""),"")</f>
        <v/>
      </c>
      <c r="E1811" s="36" t="str">
        <f>IFERROR(__xludf.DUMMYFUNCTION("""COMPUTED_VALUE"""),"01-41-08-15")</f>
        <v>01-41-08-15</v>
      </c>
      <c r="F1811" s="36"/>
      <c r="G1811" s="36" t="str">
        <f>IFERROR(__xludf.DUMMYFUNCTION("""COMPUTED_VALUE"""),"Mendoza y Bartolomé Mitre")</f>
        <v>Mendoza y Bartolomé Mitre</v>
      </c>
      <c r="H1811" s="36" t="str">
        <f>IFERROR(__xludf.DUMMYFUNCTION("""COMPUTED_VALUE"""),"")</f>
        <v/>
      </c>
    </row>
    <row r="1812">
      <c r="A1812" s="36" t="str">
        <f>IFERROR(__xludf.DUMMYFUNCTION("""COMPUTED_VALUE"""),"02-32-11-105")</f>
        <v>02-32-11-105</v>
      </c>
      <c r="B1812" s="36" t="str">
        <f>IFERROR(__xludf.DUMMYFUNCTION("""COMPUTED_VALUE"""),"")</f>
        <v/>
      </c>
      <c r="C1812" s="36" t="str">
        <f>IFERROR(__xludf.DUMMYFUNCTION("""COMPUTED_VALUE"""),"")</f>
        <v/>
      </c>
      <c r="D1812" s="36" t="str">
        <f>IFERROR(__xludf.DUMMYFUNCTION("""COMPUTED_VALUE"""),"")</f>
        <v/>
      </c>
      <c r="E1812" s="36" t="str">
        <f>IFERROR(__xludf.DUMMYFUNCTION("""COMPUTED_VALUE"""),"01-56-13-58")</f>
        <v>01-56-13-58</v>
      </c>
      <c r="F1812" s="36"/>
      <c r="G1812" s="36" t="str">
        <f>IFERROR(__xludf.DUMMYFUNCTION("""COMPUTED_VALUE"""),"Mendoza y Belgrano")</f>
        <v>Mendoza y Belgrano</v>
      </c>
      <c r="H1812" s="36" t="str">
        <f>IFERROR(__xludf.DUMMYFUNCTION("""COMPUTED_VALUE"""),"")</f>
        <v/>
      </c>
    </row>
    <row r="1813">
      <c r="A1813" s="36" t="str">
        <f>IFERROR(__xludf.DUMMYFUNCTION("""COMPUTED_VALUE"""),"02-32-11-105A")</f>
        <v>02-32-11-105A</v>
      </c>
      <c r="B1813" s="36" t="str">
        <f>IFERROR(__xludf.DUMMYFUNCTION("""COMPUTED_VALUE"""),"")</f>
        <v/>
      </c>
      <c r="C1813" s="36" t="str">
        <f>IFERROR(__xludf.DUMMYFUNCTION("""COMPUTED_VALUE"""),"")</f>
        <v/>
      </c>
      <c r="D1813" s="36" t="str">
        <f>IFERROR(__xludf.DUMMYFUNCTION("""COMPUTED_VALUE"""),"")</f>
        <v/>
      </c>
      <c r="E1813" s="36" t="str">
        <f>IFERROR(__xludf.DUMMYFUNCTION("""COMPUTED_VALUE"""),"04-47-13-103")</f>
        <v>04-47-13-103</v>
      </c>
      <c r="F1813" s="36"/>
      <c r="G1813" s="36" t="str">
        <f>IFERROR(__xludf.DUMMYFUNCTION("""COMPUTED_VALUE"""),"Mendoza y Blvd. Sarmiento -E")</f>
        <v>Mendoza y Blvd. Sarmiento -E</v>
      </c>
      <c r="H1813" s="36" t="str">
        <f>IFERROR(__xludf.DUMMYFUNCTION("""COMPUTED_VALUE"""),"")</f>
        <v/>
      </c>
    </row>
    <row r="1814">
      <c r="A1814" s="36" t="str">
        <f>IFERROR(__xludf.DUMMYFUNCTION("""COMPUTED_VALUE"""),"02-32-11-106")</f>
        <v>02-32-11-106</v>
      </c>
      <c r="B1814" s="36" t="str">
        <f>IFERROR(__xludf.DUMMYFUNCTION("""COMPUTED_VALUE"""),"")</f>
        <v/>
      </c>
      <c r="C1814" s="36" t="str">
        <f>IFERROR(__xludf.DUMMYFUNCTION("""COMPUTED_VALUE"""),"")</f>
        <v/>
      </c>
      <c r="D1814" s="36" t="str">
        <f>IFERROR(__xludf.DUMMYFUNCTION("""COMPUTED_VALUE"""),"")</f>
        <v/>
      </c>
      <c r="E1814" s="36" t="str">
        <f>IFERROR(__xludf.DUMMYFUNCTION("""COMPUTED_VALUE"""),"04-46-13-104A")</f>
        <v>04-46-13-104A</v>
      </c>
      <c r="F1814" s="36"/>
      <c r="G1814" s="36" t="str">
        <f>IFERROR(__xludf.DUMMYFUNCTION("""COMPUTED_VALUE"""),"Mendoza y Blvd. Sarmiento -N")</f>
        <v>Mendoza y Blvd. Sarmiento -N</v>
      </c>
      <c r="H1814" s="36" t="str">
        <f>IFERROR(__xludf.DUMMYFUNCTION("""COMPUTED_VALUE"""),"")</f>
        <v/>
      </c>
    </row>
    <row r="1815">
      <c r="A1815" s="36" t="str">
        <f>IFERROR(__xludf.DUMMYFUNCTION("""COMPUTED_VALUE"""),"02-32-11-108A")</f>
        <v>02-32-11-108A</v>
      </c>
      <c r="B1815" s="36" t="str">
        <f>IFERROR(__xludf.DUMMYFUNCTION("""COMPUTED_VALUE"""),"")</f>
        <v/>
      </c>
      <c r="C1815" s="36" t="str">
        <f>IFERROR(__xludf.DUMMYFUNCTION("""COMPUTED_VALUE"""),"")</f>
        <v/>
      </c>
      <c r="D1815" s="36" t="str">
        <f>IFERROR(__xludf.DUMMYFUNCTION("""COMPUTED_VALUE"""),"")</f>
        <v/>
      </c>
      <c r="E1815" s="36" t="str">
        <f>IFERROR(__xludf.DUMMYFUNCTION("""COMPUTED_VALUE"""),"04-46-13-104")</f>
        <v>04-46-13-104</v>
      </c>
      <c r="F1815" s="36"/>
      <c r="G1815" s="36" t="str">
        <f>IFERROR(__xludf.DUMMYFUNCTION("""COMPUTED_VALUE"""),"Mendoza y Blvd. Sarmiento -O")</f>
        <v>Mendoza y Blvd. Sarmiento -O</v>
      </c>
      <c r="H1815" s="36" t="str">
        <f>IFERROR(__xludf.DUMMYFUNCTION("""COMPUTED_VALUE"""),"")</f>
        <v/>
      </c>
    </row>
    <row r="1816">
      <c r="A1816" s="36" t="str">
        <f>IFERROR(__xludf.DUMMYFUNCTION("""COMPUTED_VALUE"""),"02-32-11-109")</f>
        <v>02-32-11-109</v>
      </c>
      <c r="B1816" s="36" t="str">
        <f>IFERROR(__xludf.DUMMYFUNCTION("""COMPUTED_VALUE"""),"")</f>
        <v/>
      </c>
      <c r="C1816" s="36" t="str">
        <f>IFERROR(__xludf.DUMMYFUNCTION("""COMPUTED_VALUE"""),"")</f>
        <v/>
      </c>
      <c r="D1816" s="36" t="str">
        <f>IFERROR(__xludf.DUMMYFUNCTION("""COMPUTED_VALUE"""),"")</f>
        <v/>
      </c>
      <c r="E1816" s="36" t="str">
        <f>IFERROR(__xludf.DUMMYFUNCTION("""COMPUTED_VALUE"""),"01-56-13-59")</f>
        <v>01-56-13-59</v>
      </c>
      <c r="F1816" s="36"/>
      <c r="G1816" s="36" t="str">
        <f>IFERROR(__xludf.DUMMYFUNCTION("""COMPUTED_VALUE"""),"Mendoza y Brasil")</f>
        <v>Mendoza y Brasil</v>
      </c>
      <c r="H1816" s="36" t="str">
        <f>IFERROR(__xludf.DUMMYFUNCTION("""COMPUTED_VALUE"""),"")</f>
        <v/>
      </c>
    </row>
    <row r="1817">
      <c r="A1817" s="36" t="str">
        <f>IFERROR(__xludf.DUMMYFUNCTION("""COMPUTED_VALUE"""),"02-32-11-91")</f>
        <v>02-32-11-91</v>
      </c>
      <c r="B1817" s="36" t="str">
        <f>IFERROR(__xludf.DUMMYFUNCTION("""COMPUTED_VALUE"""),"")</f>
        <v/>
      </c>
      <c r="C1817" s="36" t="str">
        <f>IFERROR(__xludf.DUMMYFUNCTION("""COMPUTED_VALUE"""),"")</f>
        <v/>
      </c>
      <c r="D1817" s="36" t="str">
        <f>IFERROR(__xludf.DUMMYFUNCTION("""COMPUTED_VALUE"""),"")</f>
        <v/>
      </c>
      <c r="E1817" s="36" t="str">
        <f>IFERROR(__xludf.DUMMYFUNCTION("""COMPUTED_VALUE"""),"04-33-13-172")</f>
        <v>04-33-13-172</v>
      </c>
      <c r="F1817" s="36"/>
      <c r="G1817" s="36" t="str">
        <f>IFERROR(__xludf.DUMMYFUNCTION("""COMPUTED_VALUE"""),"Mendoza y Cabildo")</f>
        <v>Mendoza y Cabildo</v>
      </c>
      <c r="H1817" s="36" t="str">
        <f>IFERROR(__xludf.DUMMYFUNCTION("""COMPUTED_VALUE"""),"")</f>
        <v/>
      </c>
    </row>
    <row r="1818">
      <c r="A1818" s="36" t="str">
        <f>IFERROR(__xludf.DUMMYFUNCTION("""COMPUTED_VALUE"""),"02-32-11-93")</f>
        <v>02-32-11-93</v>
      </c>
      <c r="B1818" s="36" t="str">
        <f>IFERROR(__xludf.DUMMYFUNCTION("""COMPUTED_VALUE"""),"")</f>
        <v/>
      </c>
      <c r="C1818" s="36" t="str">
        <f>IFERROR(__xludf.DUMMYFUNCTION("""COMPUTED_VALUE"""),"")</f>
        <v/>
      </c>
      <c r="D1818" s="36" t="str">
        <f>IFERROR(__xludf.DUMMYFUNCTION("""COMPUTED_VALUE"""),"")</f>
        <v/>
      </c>
      <c r="E1818" s="36" t="str">
        <f>IFERROR(__xludf.DUMMYFUNCTION("""COMPUTED_VALUE"""),"04-32-13-184")</f>
        <v>04-32-13-184</v>
      </c>
      <c r="F1818" s="36"/>
      <c r="G1818" s="36" t="str">
        <f>IFERROR(__xludf.DUMMYFUNCTION("""COMPUTED_VALUE"""),"Mendoza y Calvento")</f>
        <v>Mendoza y Calvento</v>
      </c>
      <c r="H1818" s="36" t="str">
        <f>IFERROR(__xludf.DUMMYFUNCTION("""COMPUTED_VALUE"""),"")</f>
        <v/>
      </c>
    </row>
    <row r="1819">
      <c r="A1819" s="36" t="str">
        <f>IFERROR(__xludf.DUMMYFUNCTION("""COMPUTED_VALUE"""),"02-32-11-94")</f>
        <v>02-32-11-94</v>
      </c>
      <c r="B1819" s="36" t="str">
        <f>IFERROR(__xludf.DUMMYFUNCTION("""COMPUTED_VALUE"""),"")</f>
        <v/>
      </c>
      <c r="C1819" s="36" t="str">
        <f>IFERROR(__xludf.DUMMYFUNCTION("""COMPUTED_VALUE"""),"")</f>
        <v/>
      </c>
      <c r="D1819" s="36" t="str">
        <f>IFERROR(__xludf.DUMMYFUNCTION("""COMPUTED_VALUE"""),"")</f>
        <v/>
      </c>
      <c r="E1819" s="36" t="str">
        <f>IFERROR(__xludf.DUMMYFUNCTION("""COMPUTED_VALUE"""),"08-42-03-98")</f>
        <v>08-42-03-98</v>
      </c>
      <c r="F1819" s="36"/>
      <c r="G1819" s="36" t="str">
        <f>IFERROR(__xludf.DUMMYFUNCTION("""COMPUTED_VALUE"""),"Mendoza y Canal Mogote")</f>
        <v>Mendoza y Canal Mogote</v>
      </c>
      <c r="H1819" s="36" t="str">
        <f>IFERROR(__xludf.DUMMYFUNCTION("""COMPUTED_VALUE"""),"")</f>
        <v/>
      </c>
    </row>
    <row r="1820">
      <c r="A1820" s="36" t="str">
        <f>IFERROR(__xludf.DUMMYFUNCTION("""COMPUTED_VALUE"""),"02-32-11-94A")</f>
        <v>02-32-11-94A</v>
      </c>
      <c r="B1820" s="36" t="str">
        <f>IFERROR(__xludf.DUMMYFUNCTION("""COMPUTED_VALUE"""),"")</f>
        <v/>
      </c>
      <c r="C1820" s="36" t="str">
        <f>IFERROR(__xludf.DUMMYFUNCTION("""COMPUTED_VALUE"""),"")</f>
        <v/>
      </c>
      <c r="D1820" s="36" t="str">
        <f>IFERROR(__xludf.DUMMYFUNCTION("""COMPUTED_VALUE"""),"")</f>
        <v/>
      </c>
      <c r="E1820" s="36" t="str">
        <f>IFERROR(__xludf.DUMMYFUNCTION("""COMPUTED_VALUE"""),"01-28-08-120")</f>
        <v>01-28-08-120</v>
      </c>
      <c r="F1820" s="36"/>
      <c r="G1820" s="36" t="str">
        <f>IFERROR(__xludf.DUMMYFUNCTION("""COMPUTED_VALUE"""),"Mendoza y Cereceto")</f>
        <v>Mendoza y Cereceto</v>
      </c>
      <c r="H1820" s="36" t="str">
        <f>IFERROR(__xludf.DUMMYFUNCTION("""COMPUTED_VALUE"""),"")</f>
        <v/>
      </c>
    </row>
    <row r="1821">
      <c r="A1821" s="36" t="str">
        <f>IFERROR(__xludf.DUMMYFUNCTION("""COMPUTED_VALUE"""),"02-32-11-95")</f>
        <v>02-32-11-95</v>
      </c>
      <c r="B1821" s="36" t="str">
        <f>IFERROR(__xludf.DUMMYFUNCTION("""COMPUTED_VALUE"""),"")</f>
        <v/>
      </c>
      <c r="C1821" s="36" t="str">
        <f>IFERROR(__xludf.DUMMYFUNCTION("""COMPUTED_VALUE"""),"")</f>
        <v/>
      </c>
      <c r="D1821" s="36" t="str">
        <f>IFERROR(__xludf.DUMMYFUNCTION("""COMPUTED_VALUE"""),"")</f>
        <v/>
      </c>
      <c r="E1821" s="36" t="str">
        <f>IFERROR(__xludf.DUMMYFUNCTION("""COMPUTED_VALUE"""),"08-44-03-86")</f>
        <v>08-44-03-86</v>
      </c>
      <c r="F1821" s="36"/>
      <c r="G1821" s="36" t="str">
        <f>IFERROR(__xludf.DUMMYFUNCTION("""COMPUTED_VALUE"""),"Mendoza y Chubut E")</f>
        <v>Mendoza y Chubut E</v>
      </c>
      <c r="H1821" s="36" t="str">
        <f>IFERROR(__xludf.DUMMYFUNCTION("""COMPUTED_VALUE"""),"")</f>
        <v/>
      </c>
    </row>
    <row r="1822">
      <c r="A1822" s="36" t="str">
        <f>IFERROR(__xludf.DUMMYFUNCTION("""COMPUTED_VALUE"""),"02-32-11-95A")</f>
        <v>02-32-11-95A</v>
      </c>
      <c r="B1822" s="36" t="str">
        <f>IFERROR(__xludf.DUMMYFUNCTION("""COMPUTED_VALUE"""),"")</f>
        <v/>
      </c>
      <c r="C1822" s="36" t="str">
        <f>IFERROR(__xludf.DUMMYFUNCTION("""COMPUTED_VALUE"""),"")</f>
        <v/>
      </c>
      <c r="D1822" s="36" t="str">
        <f>IFERROR(__xludf.DUMMYFUNCTION("""COMPUTED_VALUE"""),"")</f>
        <v/>
      </c>
      <c r="E1822" s="36" t="str">
        <f>IFERROR(__xludf.DUMMYFUNCTION("""COMPUTED_VALUE"""),"08-42-03-87")</f>
        <v>08-42-03-87</v>
      </c>
      <c r="F1822" s="36"/>
      <c r="G1822" s="36" t="str">
        <f>IFERROR(__xludf.DUMMYFUNCTION("""COMPUTED_VALUE"""),"Mendoza y Chubut O")</f>
        <v>Mendoza y Chubut O</v>
      </c>
      <c r="H1822" s="36" t="str">
        <f>IFERROR(__xludf.DUMMYFUNCTION("""COMPUTED_VALUE"""),"")</f>
        <v/>
      </c>
    </row>
    <row r="1823">
      <c r="A1823" s="36" t="str">
        <f>IFERROR(__xludf.DUMMYFUNCTION("""COMPUTED_VALUE"""),"02-32-11-95B")</f>
        <v>02-32-11-95B</v>
      </c>
      <c r="B1823" s="36" t="str">
        <f>IFERROR(__xludf.DUMMYFUNCTION("""COMPUTED_VALUE"""),"")</f>
        <v/>
      </c>
      <c r="C1823" s="36" t="str">
        <f>IFERROR(__xludf.DUMMYFUNCTION("""COMPUTED_VALUE"""),"")</f>
        <v/>
      </c>
      <c r="D1823" s="36" t="str">
        <f>IFERROR(__xludf.DUMMYFUNCTION("""COMPUTED_VALUE"""),"")</f>
        <v/>
      </c>
      <c r="E1823" s="36" t="str">
        <f>IFERROR(__xludf.DUMMYFUNCTION("""COMPUTED_VALUE"""),"01-27-08-108")</f>
        <v>01-27-08-108</v>
      </c>
      <c r="F1823" s="36"/>
      <c r="G1823" s="36" t="str">
        <f>IFERROR(__xludf.DUMMYFUNCTION("""COMPUTED_VALUE"""),"Mendoza y Circunvalación N")</f>
        <v>Mendoza y Circunvalación N</v>
      </c>
      <c r="H1823" s="36" t="str">
        <f>IFERROR(__xludf.DUMMYFUNCTION("""COMPUTED_VALUE"""),"")</f>
        <v/>
      </c>
    </row>
    <row r="1824">
      <c r="A1824" s="36" t="str">
        <f>IFERROR(__xludf.DUMMYFUNCTION("""COMPUTED_VALUE"""),"02-32-11-96")</f>
        <v>02-32-11-96</v>
      </c>
      <c r="B1824" s="36" t="str">
        <f>IFERROR(__xludf.DUMMYFUNCTION("""COMPUTED_VALUE"""),"")</f>
        <v/>
      </c>
      <c r="C1824" s="36" t="str">
        <f>IFERROR(__xludf.DUMMYFUNCTION("""COMPUTED_VALUE"""),"")</f>
        <v/>
      </c>
      <c r="D1824" s="36" t="str">
        <f>IFERROR(__xludf.DUMMYFUNCTION("""COMPUTED_VALUE"""),"")</f>
        <v/>
      </c>
      <c r="E1824" s="36" t="str">
        <f>IFERROR(__xludf.DUMMYFUNCTION("""COMPUTED_VALUE"""),"04-21-13-168")</f>
        <v>04-21-13-168</v>
      </c>
      <c r="F1824" s="36"/>
      <c r="G1824" s="36" t="str">
        <f>IFERROR(__xludf.DUMMYFUNCTION("""COMPUTED_VALUE"""),"Mendoza y Cisneros")</f>
        <v>Mendoza y Cisneros</v>
      </c>
      <c r="H1824" s="36" t="str">
        <f>IFERROR(__xludf.DUMMYFUNCTION("""COMPUTED_VALUE"""),"")</f>
        <v/>
      </c>
    </row>
    <row r="1825">
      <c r="A1825" s="36" t="str">
        <f>IFERROR(__xludf.DUMMYFUNCTION("""COMPUTED_VALUE"""),"02-32-11-96A")</f>
        <v>02-32-11-96A</v>
      </c>
      <c r="B1825" s="36" t="str">
        <f>IFERROR(__xludf.DUMMYFUNCTION("""COMPUTED_VALUE"""),"")</f>
        <v/>
      </c>
      <c r="C1825" s="36" t="str">
        <f>IFERROR(__xludf.DUMMYFUNCTION("""COMPUTED_VALUE"""),"")</f>
        <v/>
      </c>
      <c r="D1825" s="36" t="str">
        <f>IFERROR(__xludf.DUMMYFUNCTION("""COMPUTED_VALUE"""),"")</f>
        <v/>
      </c>
      <c r="E1825" s="36" t="str">
        <f>IFERROR(__xludf.DUMMYFUNCTION("""COMPUTED_VALUE"""),"01-66-13-161")</f>
        <v>01-66-13-161</v>
      </c>
      <c r="F1825" s="36"/>
      <c r="G1825" s="36" t="str">
        <f>IFERROR(__xludf.DUMMYFUNCTION("""COMPUTED_VALUE"""),"Mendoza y Comandante Cabot -N")</f>
        <v>Mendoza y Comandante Cabot -N</v>
      </c>
      <c r="H1825" s="36" t="str">
        <f>IFERROR(__xludf.DUMMYFUNCTION("""COMPUTED_VALUE"""),"")</f>
        <v/>
      </c>
    </row>
    <row r="1826">
      <c r="A1826" s="36" t="str">
        <f>IFERROR(__xludf.DUMMYFUNCTION("""COMPUTED_VALUE"""),"02-32-11-97")</f>
        <v>02-32-11-97</v>
      </c>
      <c r="B1826" s="36" t="str">
        <f>IFERROR(__xludf.DUMMYFUNCTION("""COMPUTED_VALUE"""),"")</f>
        <v/>
      </c>
      <c r="C1826" s="36" t="str">
        <f>IFERROR(__xludf.DUMMYFUNCTION("""COMPUTED_VALUE"""),"")</f>
        <v/>
      </c>
      <c r="D1826" s="36" t="str">
        <f>IFERROR(__xludf.DUMMYFUNCTION("""COMPUTED_VALUE"""),"")</f>
        <v/>
      </c>
      <c r="E1826" s="36" t="str">
        <f>IFERROR(__xludf.DUMMYFUNCTION("""COMPUTED_VALUE"""),"04-21-13-162A")</f>
        <v>04-21-13-162A</v>
      </c>
      <c r="F1826" s="36"/>
      <c r="G1826" s="36" t="str">
        <f>IFERROR(__xludf.DUMMYFUNCTION("""COMPUTED_VALUE"""),"Mendoza y Comandante Cabot -S")</f>
        <v>Mendoza y Comandante Cabot -S</v>
      </c>
      <c r="H1826" s="36" t="str">
        <f>IFERROR(__xludf.DUMMYFUNCTION("""COMPUTED_VALUE"""),"")</f>
        <v/>
      </c>
    </row>
    <row r="1827">
      <c r="A1827" s="36" t="str">
        <f>IFERROR(__xludf.DUMMYFUNCTION("""COMPUTED_VALUE"""),"02-32-11-97A")</f>
        <v>02-32-11-97A</v>
      </c>
      <c r="B1827" s="36" t="str">
        <f>IFERROR(__xludf.DUMMYFUNCTION("""COMPUTED_VALUE"""),"")</f>
        <v/>
      </c>
      <c r="C1827" s="36" t="str">
        <f>IFERROR(__xludf.DUMMYFUNCTION("""COMPUTED_VALUE"""),"")</f>
        <v/>
      </c>
      <c r="D1827" s="36" t="str">
        <f>IFERROR(__xludf.DUMMYFUNCTION("""COMPUTED_VALUE"""),"")</f>
        <v/>
      </c>
      <c r="E1827" s="36" t="str">
        <f>IFERROR(__xludf.DUMMYFUNCTION("""COMPUTED_VALUE"""),"01-22-08-105")</f>
        <v>01-22-08-105</v>
      </c>
      <c r="F1827" s="36"/>
      <c r="G1827" s="36" t="str">
        <f>IFERROR(__xludf.DUMMYFUNCTION("""COMPUTED_VALUE"""),"Mendoza y Correa")</f>
        <v>Mendoza y Correa</v>
      </c>
      <c r="H1827" s="36" t="str">
        <f>IFERROR(__xludf.DUMMYFUNCTION("""COMPUTED_VALUE"""),"")</f>
        <v/>
      </c>
    </row>
    <row r="1828">
      <c r="A1828" s="36" t="str">
        <f>IFERROR(__xludf.DUMMYFUNCTION("""COMPUTED_VALUE"""),"02-32-11-98")</f>
        <v>02-32-11-98</v>
      </c>
      <c r="B1828" s="36" t="str">
        <f>IFERROR(__xludf.DUMMYFUNCTION("""COMPUTED_VALUE"""),"")</f>
        <v/>
      </c>
      <c r="C1828" s="36" t="str">
        <f>IFERROR(__xludf.DUMMYFUNCTION("""COMPUTED_VALUE"""),"")</f>
        <v/>
      </c>
      <c r="D1828" s="36" t="str">
        <f>IFERROR(__xludf.DUMMYFUNCTION("""COMPUTED_VALUE"""),"")</f>
        <v/>
      </c>
      <c r="E1828" s="36" t="str">
        <f>IFERROR(__xludf.DUMMYFUNCTION("""COMPUTED_VALUE"""),"01-28-08-112")</f>
        <v>01-28-08-112</v>
      </c>
      <c r="F1828" s="36"/>
      <c r="G1828" s="36" t="str">
        <f>IFERROR(__xludf.DUMMYFUNCTION("""COMPUTED_VALUE"""),"Mendoza y Corrientes")</f>
        <v>Mendoza y Corrientes</v>
      </c>
      <c r="H1828" s="36" t="str">
        <f>IFERROR(__xludf.DUMMYFUNCTION("""COMPUTED_VALUE"""),"")</f>
        <v/>
      </c>
    </row>
    <row r="1829">
      <c r="A1829" s="36" t="str">
        <f>IFERROR(__xludf.DUMMYFUNCTION("""COMPUTED_VALUE"""),"02-32-11-98A")</f>
        <v>02-32-11-98A</v>
      </c>
      <c r="B1829" s="36" t="str">
        <f>IFERROR(__xludf.DUMMYFUNCTION("""COMPUTED_VALUE"""),"")</f>
        <v/>
      </c>
      <c r="C1829" s="36" t="str">
        <f>IFERROR(__xludf.DUMMYFUNCTION("""COMPUTED_VALUE"""),"")</f>
        <v/>
      </c>
      <c r="D1829" s="36" t="str">
        <f>IFERROR(__xludf.DUMMYFUNCTION("""COMPUTED_VALUE"""),"")</f>
        <v/>
      </c>
      <c r="E1829" s="36" t="str">
        <f>IFERROR(__xludf.DUMMYFUNCTION("""COMPUTED_VALUE"""),"01-22-08-107")</f>
        <v>01-22-08-107</v>
      </c>
      <c r="F1829" s="36"/>
      <c r="G1829" s="36" t="str">
        <f>IFERROR(__xludf.DUMMYFUNCTION("""COMPUTED_VALUE"""),"Mendoza y Corrientes ")</f>
        <v>Mendoza y Corrientes </v>
      </c>
      <c r="H1829" s="36" t="str">
        <f>IFERROR(__xludf.DUMMYFUNCTION("""COMPUTED_VALUE"""),"")</f>
        <v/>
      </c>
    </row>
    <row r="1830">
      <c r="A1830" s="36" t="str">
        <f>IFERROR(__xludf.DUMMYFUNCTION("""COMPUTED_VALUE"""),"02-32-11-99")</f>
        <v>02-32-11-99</v>
      </c>
      <c r="B1830" s="36" t="str">
        <f>IFERROR(__xludf.DUMMYFUNCTION("""COMPUTED_VALUE"""),"")</f>
        <v/>
      </c>
      <c r="C1830" s="36" t="str">
        <f>IFERROR(__xludf.DUMMYFUNCTION("""COMPUTED_VALUE"""),"")</f>
        <v/>
      </c>
      <c r="D1830" s="36" t="str">
        <f>IFERROR(__xludf.DUMMYFUNCTION("""COMPUTED_VALUE"""),"")</f>
        <v/>
      </c>
      <c r="E1830" s="36" t="str">
        <f>IFERROR(__xludf.DUMMYFUNCTION("""COMPUTED_VALUE"""),"01-22-08-108")</f>
        <v>01-22-08-108</v>
      </c>
      <c r="F1830" s="36"/>
      <c r="G1830" s="36" t="str">
        <f>IFERROR(__xludf.DUMMYFUNCTION("""COMPUTED_VALUE"""),"Mendoza y Corrientes E")</f>
        <v>Mendoza y Corrientes E</v>
      </c>
      <c r="H1830" s="36" t="str">
        <f>IFERROR(__xludf.DUMMYFUNCTION("""COMPUTED_VALUE"""),"")</f>
        <v/>
      </c>
    </row>
    <row r="1831">
      <c r="A1831" s="36" t="str">
        <f>IFERROR(__xludf.DUMMYFUNCTION("""COMPUTED_VALUE"""),"02-32-11-99A")</f>
        <v>02-32-11-99A</v>
      </c>
      <c r="B1831" s="36" t="str">
        <f>IFERROR(__xludf.DUMMYFUNCTION("""COMPUTED_VALUE"""),"")</f>
        <v/>
      </c>
      <c r="C1831" s="36" t="str">
        <f>IFERROR(__xludf.DUMMYFUNCTION("""COMPUTED_VALUE"""),"")</f>
        <v/>
      </c>
      <c r="D1831" s="36" t="str">
        <f>IFERROR(__xludf.DUMMYFUNCTION("""COMPUTED_VALUE"""),"")</f>
        <v/>
      </c>
      <c r="E1831" s="36" t="str">
        <f>IFERROR(__xludf.DUMMYFUNCTION("""COMPUTED_VALUE"""),"04-47-13-94")</f>
        <v>04-47-13-94</v>
      </c>
      <c r="F1831" s="36"/>
      <c r="G1831" s="36" t="str">
        <f>IFERROR(__xludf.DUMMYFUNCTION("""COMPUTED_VALUE"""),"Mendoza y Cúneo")</f>
        <v>Mendoza y Cúneo</v>
      </c>
      <c r="H1831" s="36" t="str">
        <f>IFERROR(__xludf.DUMMYFUNCTION("""COMPUTED_VALUE"""),"")</f>
        <v/>
      </c>
    </row>
    <row r="1832">
      <c r="A1832" s="36" t="str">
        <f>IFERROR(__xludf.DUMMYFUNCTION("""COMPUTED_VALUE"""),"02-34-11-10")</f>
        <v>02-34-11-10</v>
      </c>
      <c r="B1832" s="36" t="str">
        <f>IFERROR(__xludf.DUMMYFUNCTION("""COMPUTED_VALUE"""),"")</f>
        <v/>
      </c>
      <c r="C1832" s="36" t="str">
        <f>IFERROR(__xludf.DUMMYFUNCTION("""COMPUTED_VALUE"""),"")</f>
        <v/>
      </c>
      <c r="D1832" s="36" t="str">
        <f>IFERROR(__xludf.DUMMYFUNCTION("""COMPUTED_VALUE"""),"")</f>
        <v/>
      </c>
      <c r="E1832" s="36" t="str">
        <f>IFERROR(__xludf.DUMMYFUNCTION("""COMPUTED_VALUE"""),"04-32-13-185A")</f>
        <v>04-32-13-185A</v>
      </c>
      <c r="F1832" s="36"/>
      <c r="G1832" s="36" t="str">
        <f>IFERROR(__xludf.DUMMYFUNCTION("""COMPUTED_VALUE"""),"Mendoza y Devoto")</f>
        <v>Mendoza y Devoto</v>
      </c>
      <c r="H1832" s="36" t="str">
        <f>IFERROR(__xludf.DUMMYFUNCTION("""COMPUTED_VALUE"""),"")</f>
        <v/>
      </c>
    </row>
    <row r="1833">
      <c r="A1833" s="36" t="str">
        <f>IFERROR(__xludf.DUMMYFUNCTION("""COMPUTED_VALUE"""),"02-34-11-18A")</f>
        <v>02-34-11-18A</v>
      </c>
      <c r="B1833" s="36" t="str">
        <f>IFERROR(__xludf.DUMMYFUNCTION("""COMPUTED_VALUE"""),"")</f>
        <v/>
      </c>
      <c r="C1833" s="36" t="str">
        <f>IFERROR(__xludf.DUMMYFUNCTION("""COMPUTED_VALUE"""),"")</f>
        <v/>
      </c>
      <c r="D1833" s="36" t="str">
        <f>IFERROR(__xludf.DUMMYFUNCTION("""COMPUTED_VALUE"""),"")</f>
        <v/>
      </c>
      <c r="E1833" s="36" t="str">
        <f>IFERROR(__xludf.DUMMYFUNCTION("""COMPUTED_VALUE"""),"04-33-13-181")</f>
        <v>04-33-13-181</v>
      </c>
      <c r="F1833" s="36"/>
      <c r="G1833" s="36" t="str">
        <f>IFERROR(__xludf.DUMMYFUNCTION("""COMPUTED_VALUE"""),"Mendoza y Dr. Ortega")</f>
        <v>Mendoza y Dr. Ortega</v>
      </c>
      <c r="H1833" s="36" t="str">
        <f>IFERROR(__xludf.DUMMYFUNCTION("""COMPUTED_VALUE"""),"")</f>
        <v/>
      </c>
    </row>
    <row r="1834">
      <c r="A1834" s="36" t="str">
        <f>IFERROR(__xludf.DUMMYFUNCTION("""COMPUTED_VALUE"""),"02-34-11-19A")</f>
        <v>02-34-11-19A</v>
      </c>
      <c r="B1834" s="36" t="str">
        <f>IFERROR(__xludf.DUMMYFUNCTION("""COMPUTED_VALUE"""),"")</f>
        <v/>
      </c>
      <c r="C1834" s="36" t="str">
        <f>IFERROR(__xludf.DUMMYFUNCTION("""COMPUTED_VALUE"""),"")</f>
        <v/>
      </c>
      <c r="D1834" s="36" t="str">
        <f>IFERROR(__xludf.DUMMYFUNCTION("""COMPUTED_VALUE"""),"")</f>
        <v/>
      </c>
      <c r="E1834" s="36" t="str">
        <f>IFERROR(__xludf.DUMMYFUNCTION("""COMPUTED_VALUE"""),"04-21-13-165")</f>
        <v>04-21-13-165</v>
      </c>
      <c r="F1834" s="36"/>
      <c r="G1834" s="36" t="str">
        <f>IFERROR(__xludf.DUMMYFUNCTION("""COMPUTED_VALUE"""),"Mendoza y El Cano -E")</f>
        <v>Mendoza y El Cano -E</v>
      </c>
      <c r="H1834" s="36" t="str">
        <f>IFERROR(__xludf.DUMMYFUNCTION("""COMPUTED_VALUE"""),"")</f>
        <v/>
      </c>
    </row>
    <row r="1835">
      <c r="A1835" s="36" t="str">
        <f>IFERROR(__xludf.DUMMYFUNCTION("""COMPUTED_VALUE"""),"02-34-11-1A")</f>
        <v>02-34-11-1A</v>
      </c>
      <c r="B1835" s="36" t="str">
        <f>IFERROR(__xludf.DUMMYFUNCTION("""COMPUTED_VALUE"""),"")</f>
        <v/>
      </c>
      <c r="C1835" s="36" t="str">
        <f>IFERROR(__xludf.DUMMYFUNCTION("""COMPUTED_VALUE"""),"")</f>
        <v/>
      </c>
      <c r="D1835" s="36" t="str">
        <f>IFERROR(__xludf.DUMMYFUNCTION("""COMPUTED_VALUE"""),"")</f>
        <v/>
      </c>
      <c r="E1835" s="36" t="str">
        <f>IFERROR(__xludf.DUMMYFUNCTION("""COMPUTED_VALUE"""),"04-21-13-164")</f>
        <v>04-21-13-164</v>
      </c>
      <c r="F1835" s="36"/>
      <c r="G1835" s="36" t="str">
        <f>IFERROR(__xludf.DUMMYFUNCTION("""COMPUTED_VALUE"""),"Mendoza y El Cano -O")</f>
        <v>Mendoza y El Cano -O</v>
      </c>
      <c r="H1835" s="36" t="str">
        <f>IFERROR(__xludf.DUMMYFUNCTION("""COMPUTED_VALUE"""),"")</f>
        <v/>
      </c>
    </row>
    <row r="1836">
      <c r="A1836" s="36" t="str">
        <f>IFERROR(__xludf.DUMMYFUNCTION("""COMPUTED_VALUE"""),"02-34-11-2")</f>
        <v>02-34-11-2</v>
      </c>
      <c r="B1836" s="36" t="str">
        <f>IFERROR(__xludf.DUMMYFUNCTION("""COMPUTED_VALUE"""),"")</f>
        <v/>
      </c>
      <c r="C1836" s="36" t="str">
        <f>IFERROR(__xludf.DUMMYFUNCTION("""COMPUTED_VALUE"""),"")</f>
        <v/>
      </c>
      <c r="D1836" s="36" t="str">
        <f>IFERROR(__xludf.DUMMYFUNCTION("""COMPUTED_VALUE"""),"")</f>
        <v/>
      </c>
      <c r="E1836" s="36" t="str">
        <f>IFERROR(__xludf.DUMMYFUNCTION("""COMPUTED_VALUE"""),"04-32-13-175")</f>
        <v>04-32-13-175</v>
      </c>
      <c r="F1836" s="36"/>
      <c r="G1836" s="36" t="str">
        <f>IFERROR(__xludf.DUMMYFUNCTION("""COMPUTED_VALUE"""),"Mendoza y Fermín Rodríguez -E")</f>
        <v>Mendoza y Fermín Rodríguez -E</v>
      </c>
      <c r="H1836" s="36" t="str">
        <f>IFERROR(__xludf.DUMMYFUNCTION("""COMPUTED_VALUE"""),"")</f>
        <v/>
      </c>
    </row>
    <row r="1837">
      <c r="A1837" s="36" t="str">
        <f>IFERROR(__xludf.DUMMYFUNCTION("""COMPUTED_VALUE"""),"02-34-11-21A")</f>
        <v>02-34-11-21A</v>
      </c>
      <c r="B1837" s="36" t="str">
        <f>IFERROR(__xludf.DUMMYFUNCTION("""COMPUTED_VALUE"""),"")</f>
        <v/>
      </c>
      <c r="C1837" s="36" t="str">
        <f>IFERROR(__xludf.DUMMYFUNCTION("""COMPUTED_VALUE"""),"")</f>
        <v/>
      </c>
      <c r="D1837" s="36" t="str">
        <f>IFERROR(__xludf.DUMMYFUNCTION("""COMPUTED_VALUE"""),"")</f>
        <v/>
      </c>
      <c r="E1837" s="36" t="str">
        <f>IFERROR(__xludf.DUMMYFUNCTION("""COMPUTED_VALUE"""),"04-33-13-174")</f>
        <v>04-33-13-174</v>
      </c>
      <c r="F1837" s="36"/>
      <c r="G1837" s="36" t="str">
        <f>IFERROR(__xludf.DUMMYFUNCTION("""COMPUTED_VALUE"""),"Mendoza y Fermín Rodríguez -O")</f>
        <v>Mendoza y Fermín Rodríguez -O</v>
      </c>
      <c r="H1837" s="36" t="str">
        <f>IFERROR(__xludf.DUMMYFUNCTION("""COMPUTED_VALUE"""),"")</f>
        <v/>
      </c>
    </row>
    <row r="1838">
      <c r="A1838" s="36" t="str">
        <f>IFERROR(__xludf.DUMMYFUNCTION("""COMPUTED_VALUE"""),"02-34-11-22A")</f>
        <v>02-34-11-22A</v>
      </c>
      <c r="B1838" s="36" t="str">
        <f>IFERROR(__xludf.DUMMYFUNCTION("""COMPUTED_VALUE"""),"")</f>
        <v/>
      </c>
      <c r="C1838" s="36" t="str">
        <f>IFERROR(__xludf.DUMMYFUNCTION("""COMPUTED_VALUE"""),"")</f>
        <v/>
      </c>
      <c r="D1838" s="36" t="str">
        <f>IFERROR(__xludf.DUMMYFUNCTION("""COMPUTED_VALUE"""),"")</f>
        <v/>
      </c>
      <c r="E1838" s="36" t="str">
        <f>IFERROR(__xludf.DUMMYFUNCTION("""COMPUTED_VALUE"""),"01-56-13-126A")</f>
        <v>01-56-13-126A</v>
      </c>
      <c r="F1838" s="36"/>
      <c r="G1838" s="36" t="str">
        <f>IFERROR(__xludf.DUMMYFUNCTION("""COMPUTED_VALUE"""),"Mendoza y Fray Mamerto Esquiú")</f>
        <v>Mendoza y Fray Mamerto Esquiú</v>
      </c>
      <c r="H1838" s="36" t="str">
        <f>IFERROR(__xludf.DUMMYFUNCTION("""COMPUTED_VALUE"""),"")</f>
        <v/>
      </c>
    </row>
    <row r="1839">
      <c r="A1839" s="36" t="str">
        <f>IFERROR(__xludf.DUMMYFUNCTION("""COMPUTED_VALUE"""),"02-34-11-23")</f>
        <v>02-34-11-23</v>
      </c>
      <c r="B1839" s="36" t="str">
        <f>IFERROR(__xludf.DUMMYFUNCTION("""COMPUTED_VALUE"""),"")</f>
        <v/>
      </c>
      <c r="C1839" s="36" t="str">
        <f>IFERROR(__xludf.DUMMYFUNCTION("""COMPUTED_VALUE"""),"")</f>
        <v/>
      </c>
      <c r="D1839" s="36" t="str">
        <f>IFERROR(__xludf.DUMMYFUNCTION("""COMPUTED_VALUE"""),"")</f>
        <v/>
      </c>
      <c r="E1839" s="36" t="str">
        <f>IFERROR(__xludf.DUMMYFUNCTION("""COMPUTED_VALUE"""),"04-32-13-180")</f>
        <v>04-32-13-180</v>
      </c>
      <c r="F1839" s="36"/>
      <c r="G1839" s="36" t="str">
        <f>IFERROR(__xludf.DUMMYFUNCTION("""COMPUTED_VALUE"""),"Mendoza y José Castro -E")</f>
        <v>Mendoza y José Castro -E</v>
      </c>
      <c r="H1839" s="36" t="str">
        <f>IFERROR(__xludf.DUMMYFUNCTION("""COMPUTED_VALUE"""),"")</f>
        <v/>
      </c>
    </row>
    <row r="1840">
      <c r="A1840" s="36" t="str">
        <f>IFERROR(__xludf.DUMMYFUNCTION("""COMPUTED_VALUE"""),"02-34-11-23A")</f>
        <v>02-34-11-23A</v>
      </c>
      <c r="B1840" s="36" t="str">
        <f>IFERROR(__xludf.DUMMYFUNCTION("""COMPUTED_VALUE"""),"")</f>
        <v/>
      </c>
      <c r="C1840" s="36" t="str">
        <f>IFERROR(__xludf.DUMMYFUNCTION("""COMPUTED_VALUE"""),"")</f>
        <v/>
      </c>
      <c r="D1840" s="36" t="str">
        <f>IFERROR(__xludf.DUMMYFUNCTION("""COMPUTED_VALUE"""),"")</f>
        <v/>
      </c>
      <c r="E1840" s="36" t="str">
        <f>IFERROR(__xludf.DUMMYFUNCTION("""COMPUTED_VALUE"""),"04-33-13-179")</f>
        <v>04-33-13-179</v>
      </c>
      <c r="F1840" s="36"/>
      <c r="G1840" s="36" t="str">
        <f>IFERROR(__xludf.DUMMYFUNCTION("""COMPUTED_VALUE"""),"Mendoza y José Castro -O")</f>
        <v>Mendoza y José Castro -O</v>
      </c>
      <c r="H1840" s="36" t="str">
        <f>IFERROR(__xludf.DUMMYFUNCTION("""COMPUTED_VALUE"""),"")</f>
        <v/>
      </c>
    </row>
    <row r="1841">
      <c r="A1841" s="36" t="str">
        <f>IFERROR(__xludf.DUMMYFUNCTION("""COMPUTED_VALUE"""),"02-34-11-24")</f>
        <v>02-34-11-24</v>
      </c>
      <c r="B1841" s="36" t="str">
        <f>IFERROR(__xludf.DUMMYFUNCTION("""COMPUTED_VALUE"""),"")</f>
        <v/>
      </c>
      <c r="C1841" s="36" t="str">
        <f>IFERROR(__xludf.DUMMYFUNCTION("""COMPUTED_VALUE"""),"")</f>
        <v/>
      </c>
      <c r="D1841" s="36" t="str">
        <f>IFERROR(__xludf.DUMMYFUNCTION("""COMPUTED_VALUE"""),"")</f>
        <v/>
      </c>
      <c r="E1841" s="36" t="str">
        <f>IFERROR(__xludf.DUMMYFUNCTION("""COMPUTED_VALUE"""),"04-32-13-173")</f>
        <v>04-32-13-173</v>
      </c>
      <c r="F1841" s="36"/>
      <c r="G1841" s="36" t="str">
        <f>IFERROR(__xludf.DUMMYFUNCTION("""COMPUTED_VALUE"""),"Mendoza y José Dolores")</f>
        <v>Mendoza y José Dolores</v>
      </c>
      <c r="H1841" s="36" t="str">
        <f>IFERROR(__xludf.DUMMYFUNCTION("""COMPUTED_VALUE"""),"")</f>
        <v/>
      </c>
    </row>
    <row r="1842">
      <c r="A1842" s="36" t="str">
        <f>IFERROR(__xludf.DUMMYFUNCTION("""COMPUTED_VALUE"""),"02-34-11-24A")</f>
        <v>02-34-11-24A</v>
      </c>
      <c r="B1842" s="36" t="str">
        <f>IFERROR(__xludf.DUMMYFUNCTION("""COMPUTED_VALUE"""),"")</f>
        <v/>
      </c>
      <c r="C1842" s="36" t="str">
        <f>IFERROR(__xludf.DUMMYFUNCTION("""COMPUTED_VALUE"""),"")</f>
        <v/>
      </c>
      <c r="D1842" s="36" t="str">
        <f>IFERROR(__xludf.DUMMYFUNCTION("""COMPUTED_VALUE"""),"")</f>
        <v/>
      </c>
      <c r="E1842" s="36" t="str">
        <f>IFERROR(__xludf.DUMMYFUNCTION("""COMPUTED_VALUE"""),"01-27-08-117")</f>
        <v>01-27-08-117</v>
      </c>
      <c r="F1842" s="36"/>
      <c r="G1842" s="36" t="str">
        <f>IFERROR(__xludf.DUMMYFUNCTION("""COMPUTED_VALUE"""),"Mendoza y Juan Jufré")</f>
        <v>Mendoza y Juan Jufré</v>
      </c>
      <c r="H1842" s="36" t="str">
        <f>IFERROR(__xludf.DUMMYFUNCTION("""COMPUTED_VALUE"""),"")</f>
        <v/>
      </c>
    </row>
    <row r="1843">
      <c r="A1843" s="36" t="str">
        <f>IFERROR(__xludf.DUMMYFUNCTION("""COMPUTED_VALUE"""),"02-34-11-25")</f>
        <v>02-34-11-25</v>
      </c>
      <c r="B1843" s="36" t="str">
        <f>IFERROR(__xludf.DUMMYFUNCTION("""COMPUTED_VALUE"""),"")</f>
        <v/>
      </c>
      <c r="C1843" s="36" t="str">
        <f>IFERROR(__xludf.DUMMYFUNCTION("""COMPUTED_VALUE"""),"")</f>
        <v/>
      </c>
      <c r="D1843" s="36" t="str">
        <f>IFERROR(__xludf.DUMMYFUNCTION("""COMPUTED_VALUE"""),"")</f>
        <v/>
      </c>
      <c r="E1843" s="36" t="str">
        <f>IFERROR(__xludf.DUMMYFUNCTION("""COMPUTED_VALUE"""),"01-28-08-118")</f>
        <v>01-28-08-118</v>
      </c>
      <c r="F1843" s="36"/>
      <c r="G1843" s="36" t="str">
        <f>IFERROR(__xludf.DUMMYFUNCTION("""COMPUTED_VALUE"""),"Mendoza y Juan Jufré - O")</f>
        <v>Mendoza y Juan Jufré - O</v>
      </c>
      <c r="H1843" s="36" t="str">
        <f>IFERROR(__xludf.DUMMYFUNCTION("""COMPUTED_VALUE"""),"")</f>
        <v/>
      </c>
    </row>
    <row r="1844">
      <c r="A1844" s="36" t="str">
        <f>IFERROR(__xludf.DUMMYFUNCTION("""COMPUTED_VALUE"""),"02-34-11-25A")</f>
        <v>02-34-11-25A</v>
      </c>
      <c r="B1844" s="36" t="str">
        <f>IFERROR(__xludf.DUMMYFUNCTION("""COMPUTED_VALUE"""),"")</f>
        <v/>
      </c>
      <c r="C1844" s="36" t="str">
        <f>IFERROR(__xludf.DUMMYFUNCTION("""COMPUTED_VALUE"""),"")</f>
        <v/>
      </c>
      <c r="D1844" s="36" t="str">
        <f>IFERROR(__xludf.DUMMYFUNCTION("""COMPUTED_VALUE"""),"")</f>
        <v/>
      </c>
      <c r="E1844" s="36" t="str">
        <f>IFERROR(__xludf.DUMMYFUNCTION("""COMPUTED_VALUE"""),"01-23-08-102")</f>
        <v>01-23-08-102</v>
      </c>
      <c r="F1844" s="36"/>
      <c r="G1844" s="36" t="str">
        <f>IFERROR(__xludf.DUMMYFUNCTION("""COMPUTED_VALUE"""),"Mendoza y L. Sanchez")</f>
        <v>Mendoza y L. Sanchez</v>
      </c>
      <c r="H1844" s="36" t="str">
        <f>IFERROR(__xludf.DUMMYFUNCTION("""COMPUTED_VALUE"""),"")</f>
        <v/>
      </c>
    </row>
    <row r="1845">
      <c r="A1845" s="36" t="str">
        <f>IFERROR(__xludf.DUMMYFUNCTION("""COMPUTED_VALUE"""),"02-34-11-26")</f>
        <v>02-34-11-26</v>
      </c>
      <c r="B1845" s="36" t="str">
        <f>IFERROR(__xludf.DUMMYFUNCTION("""COMPUTED_VALUE"""),"")</f>
        <v/>
      </c>
      <c r="C1845" s="36" t="str">
        <f>IFERROR(__xludf.DUMMYFUNCTION("""COMPUTED_VALUE"""),"")</f>
        <v/>
      </c>
      <c r="D1845" s="36" t="str">
        <f>IFERROR(__xludf.DUMMYFUNCTION("""COMPUTED_VALUE"""),"")</f>
        <v/>
      </c>
      <c r="E1845" s="36" t="str">
        <f>IFERROR(__xludf.DUMMYFUNCTION("""COMPUTED_VALUE"""),"04-33-13-176")</f>
        <v>04-33-13-176</v>
      </c>
      <c r="F1845" s="36"/>
      <c r="G1845" s="36" t="str">
        <f>IFERROR(__xludf.DUMMYFUNCTION("""COMPUTED_VALUE"""),"Mendoza y Laprida -N")</f>
        <v>Mendoza y Laprida -N</v>
      </c>
      <c r="H1845" s="36" t="str">
        <f>IFERROR(__xludf.DUMMYFUNCTION("""COMPUTED_VALUE"""),"")</f>
        <v/>
      </c>
    </row>
    <row r="1846">
      <c r="A1846" s="36" t="str">
        <f>IFERROR(__xludf.DUMMYFUNCTION("""COMPUTED_VALUE"""),"02-34-11-26A")</f>
        <v>02-34-11-26A</v>
      </c>
      <c r="B1846" s="36" t="str">
        <f>IFERROR(__xludf.DUMMYFUNCTION("""COMPUTED_VALUE"""),"")</f>
        <v/>
      </c>
      <c r="C1846" s="36" t="str">
        <f>IFERROR(__xludf.DUMMYFUNCTION("""COMPUTED_VALUE"""),"")</f>
        <v/>
      </c>
      <c r="D1846" s="36" t="str">
        <f>IFERROR(__xludf.DUMMYFUNCTION("""COMPUTED_VALUE"""),"")</f>
        <v/>
      </c>
      <c r="E1846" s="36" t="str">
        <f>IFERROR(__xludf.DUMMYFUNCTION("""COMPUTED_VALUE"""),"04-32-13-177")</f>
        <v>04-32-13-177</v>
      </c>
      <c r="F1846" s="36"/>
      <c r="G1846" s="36" t="str">
        <f>IFERROR(__xludf.DUMMYFUNCTION("""COMPUTED_VALUE"""),"Mendoza y Laprida -S")</f>
        <v>Mendoza y Laprida -S</v>
      </c>
      <c r="H1846" s="36" t="str">
        <f>IFERROR(__xludf.DUMMYFUNCTION("""COMPUTED_VALUE"""),"")</f>
        <v/>
      </c>
    </row>
    <row r="1847">
      <c r="A1847" s="36" t="str">
        <f>IFERROR(__xludf.DUMMYFUNCTION("""COMPUTED_VALUE"""),"02-34-11-26B")</f>
        <v>02-34-11-26B</v>
      </c>
      <c r="B1847" s="36" t="str">
        <f>IFERROR(__xludf.DUMMYFUNCTION("""COMPUTED_VALUE"""),"")</f>
        <v/>
      </c>
      <c r="C1847" s="36" t="str">
        <f>IFERROR(__xludf.DUMMYFUNCTION("""COMPUTED_VALUE"""),"")</f>
        <v/>
      </c>
      <c r="D1847" s="36" t="str">
        <f>IFERROR(__xludf.DUMMYFUNCTION("""COMPUTED_VALUE"""),"")</f>
        <v/>
      </c>
      <c r="E1847" s="36" t="str">
        <f>IFERROR(__xludf.DUMMYFUNCTION("""COMPUTED_VALUE"""),"01-27-08-114")</f>
        <v>01-27-08-114</v>
      </c>
      <c r="F1847" s="36"/>
      <c r="G1847" s="36" t="str">
        <f>IFERROR(__xludf.DUMMYFUNCTION("""COMPUTED_VALUE"""),"Mendoza y Lautaro")</f>
        <v>Mendoza y Lautaro</v>
      </c>
      <c r="H1847" s="36" t="str">
        <f>IFERROR(__xludf.DUMMYFUNCTION("""COMPUTED_VALUE"""),"")</f>
        <v/>
      </c>
    </row>
    <row r="1848">
      <c r="A1848" s="36" t="str">
        <f>IFERROR(__xludf.DUMMYFUNCTION("""COMPUTED_VALUE"""),"02-34-11-27")</f>
        <v>02-34-11-27</v>
      </c>
      <c r="B1848" s="36" t="str">
        <f>IFERROR(__xludf.DUMMYFUNCTION("""COMPUTED_VALUE"""),"")</f>
        <v/>
      </c>
      <c r="C1848" s="36" t="str">
        <f>IFERROR(__xludf.DUMMYFUNCTION("""COMPUTED_VALUE"""),"")</f>
        <v/>
      </c>
      <c r="D1848" s="36" t="str">
        <f>IFERROR(__xludf.DUMMYFUNCTION("""COMPUTED_VALUE"""),"")</f>
        <v/>
      </c>
      <c r="E1848" s="36" t="str">
        <f>IFERROR(__xludf.DUMMYFUNCTION("""COMPUTED_VALUE"""),"04-21-13-170")</f>
        <v>04-21-13-170</v>
      </c>
      <c r="F1848" s="36"/>
      <c r="G1848" s="36" t="str">
        <f>IFERROR(__xludf.DUMMYFUNCTION("""COMPUTED_VALUE"""),"Mendoza y Luna")</f>
        <v>Mendoza y Luna</v>
      </c>
      <c r="H1848" s="36" t="str">
        <f>IFERROR(__xludf.DUMMYFUNCTION("""COMPUTED_VALUE"""),"")</f>
        <v/>
      </c>
    </row>
    <row r="1849">
      <c r="A1849" s="36" t="str">
        <f>IFERROR(__xludf.DUMMYFUNCTION("""COMPUTED_VALUE"""),"02-34-11-27A")</f>
        <v>02-34-11-27A</v>
      </c>
      <c r="B1849" s="36" t="str">
        <f>IFERROR(__xludf.DUMMYFUNCTION("""COMPUTED_VALUE"""),"")</f>
        <v/>
      </c>
      <c r="C1849" s="36" t="str">
        <f>IFERROR(__xludf.DUMMYFUNCTION("""COMPUTED_VALUE"""),"")</f>
        <v/>
      </c>
      <c r="D1849" s="36" t="str">
        <f>IFERROR(__xludf.DUMMYFUNCTION("""COMPUTED_VALUE"""),"")</f>
        <v/>
      </c>
      <c r="E1849" s="36" t="str">
        <f>IFERROR(__xludf.DUMMYFUNCTION("""COMPUTED_VALUE"""),"08-28-03-70")</f>
        <v>08-28-03-70</v>
      </c>
      <c r="F1849" s="36"/>
      <c r="G1849" s="36" t="str">
        <f>IFERROR(__xludf.DUMMYFUNCTION("""COMPUTED_VALUE"""),"Mendoza y M. Di Stéfano")</f>
        <v>Mendoza y M. Di Stéfano</v>
      </c>
      <c r="H1849" s="36" t="str">
        <f>IFERROR(__xludf.DUMMYFUNCTION("""COMPUTED_VALUE"""),"")</f>
        <v/>
      </c>
    </row>
    <row r="1850">
      <c r="A1850" s="36" t="str">
        <f>IFERROR(__xludf.DUMMYFUNCTION("""COMPUTED_VALUE"""),"02-34-11-2A")</f>
        <v>02-34-11-2A</v>
      </c>
      <c r="B1850" s="36" t="str">
        <f>IFERROR(__xludf.DUMMYFUNCTION("""COMPUTED_VALUE"""),"")</f>
        <v/>
      </c>
      <c r="C1850" s="36" t="str">
        <f>IFERROR(__xludf.DUMMYFUNCTION("""COMPUTED_VALUE"""),"")</f>
        <v/>
      </c>
      <c r="D1850" s="36" t="str">
        <f>IFERROR(__xludf.DUMMYFUNCTION("""COMPUTED_VALUE"""),"")</f>
        <v/>
      </c>
      <c r="E1850" s="36" t="str">
        <f>IFERROR(__xludf.DUMMYFUNCTION("""COMPUTED_VALUE"""),"01-37-08-72A")</f>
        <v>01-37-08-72A</v>
      </c>
      <c r="F1850" s="36"/>
      <c r="G1850" s="36" t="str">
        <f>IFERROR(__xludf.DUMMYFUNCTION("""COMPUTED_VALUE"""),"Mendoza y Maipú")</f>
        <v>Mendoza y Maipú</v>
      </c>
      <c r="H1850" s="36" t="str">
        <f>IFERROR(__xludf.DUMMYFUNCTION("""COMPUTED_VALUE"""),"")</f>
        <v/>
      </c>
    </row>
    <row r="1851">
      <c r="A1851" s="36" t="str">
        <f>IFERROR(__xludf.DUMMYFUNCTION("""COMPUTED_VALUE"""),"02-34-11-3A")</f>
        <v>02-34-11-3A</v>
      </c>
      <c r="B1851" s="36" t="str">
        <f>IFERROR(__xludf.DUMMYFUNCTION("""COMPUTED_VALUE"""),"")</f>
        <v/>
      </c>
      <c r="C1851" s="36" t="str">
        <f>IFERROR(__xludf.DUMMYFUNCTION("""COMPUTED_VALUE"""),"")</f>
        <v/>
      </c>
      <c r="D1851" s="36" t="str">
        <f>IFERROR(__xludf.DUMMYFUNCTION("""COMPUTED_VALUE"""),"")</f>
        <v/>
      </c>
      <c r="E1851" s="36" t="str">
        <f>IFERROR(__xludf.DUMMYFUNCTION("""COMPUTED_VALUE"""),"01-37-08-72")</f>
        <v>01-37-08-72</v>
      </c>
      <c r="F1851" s="36"/>
      <c r="G1851" s="36" t="str">
        <f>IFERROR(__xludf.DUMMYFUNCTION("""COMPUTED_VALUE"""),"Mendoza y Maipú -N")</f>
        <v>Mendoza y Maipú -N</v>
      </c>
      <c r="H1851" s="36" t="str">
        <f>IFERROR(__xludf.DUMMYFUNCTION("""COMPUTED_VALUE"""),"")</f>
        <v/>
      </c>
    </row>
    <row r="1852">
      <c r="A1852" s="36" t="str">
        <f>IFERROR(__xludf.DUMMYFUNCTION("""COMPUTED_VALUE"""),"02-34-11-4")</f>
        <v>02-34-11-4</v>
      </c>
      <c r="B1852" s="36" t="str">
        <f>IFERROR(__xludf.DUMMYFUNCTION("""COMPUTED_VALUE"""),"")</f>
        <v/>
      </c>
      <c r="C1852" s="36" t="str">
        <f>IFERROR(__xludf.DUMMYFUNCTION("""COMPUTED_VALUE"""),"")</f>
        <v/>
      </c>
      <c r="D1852" s="36" t="str">
        <f>IFERROR(__xludf.DUMMYFUNCTION("""COMPUTED_VALUE"""),"")</f>
        <v/>
      </c>
      <c r="E1852" s="36" t="str">
        <f>IFERROR(__xludf.DUMMYFUNCTION("""COMPUTED_VALUE"""),"01-56-13-57")</f>
        <v>01-56-13-57</v>
      </c>
      <c r="F1852" s="36"/>
      <c r="G1852" s="36" t="str">
        <f>IFERROR(__xludf.DUMMYFUNCTION("""COMPUTED_VALUE"""),"Mendoza y Mariano Moreno")</f>
        <v>Mendoza y Mariano Moreno</v>
      </c>
      <c r="H1852" s="36" t="str">
        <f>IFERROR(__xludf.DUMMYFUNCTION("""COMPUTED_VALUE"""),"")</f>
        <v/>
      </c>
    </row>
    <row r="1853">
      <c r="A1853" s="36" t="str">
        <f>IFERROR(__xludf.DUMMYFUNCTION("""COMPUTED_VALUE"""),"02-34-11-42")</f>
        <v>02-34-11-42</v>
      </c>
      <c r="B1853" s="36" t="str">
        <f>IFERROR(__xludf.DUMMYFUNCTION("""COMPUTED_VALUE"""),"")</f>
        <v/>
      </c>
      <c r="C1853" s="36" t="str">
        <f>IFERROR(__xludf.DUMMYFUNCTION("""COMPUTED_VALUE"""),"")</f>
        <v/>
      </c>
      <c r="D1853" s="36" t="str">
        <f>IFERROR(__xludf.DUMMYFUNCTION("""COMPUTED_VALUE"""),"")</f>
        <v/>
      </c>
      <c r="E1853" s="36" t="str">
        <f>IFERROR(__xludf.DUMMYFUNCTION("""COMPUTED_VALUE"""),"01-23-08-104")</f>
        <v>01-23-08-104</v>
      </c>
      <c r="F1853" s="36"/>
      <c r="G1853" s="36" t="str">
        <f>IFERROR(__xludf.DUMMYFUNCTION("""COMPUTED_VALUE"""),"Mendoza y Mary O. Graham")</f>
        <v>Mendoza y Mary O. Graham</v>
      </c>
      <c r="H1853" s="36" t="str">
        <f>IFERROR(__xludf.DUMMYFUNCTION("""COMPUTED_VALUE"""),"")</f>
        <v/>
      </c>
    </row>
    <row r="1854">
      <c r="A1854" s="36" t="str">
        <f>IFERROR(__xludf.DUMMYFUNCTION("""COMPUTED_VALUE"""),"02-34-11-5")</f>
        <v>02-34-11-5</v>
      </c>
      <c r="B1854" s="36" t="str">
        <f>IFERROR(__xludf.DUMMYFUNCTION("""COMPUTED_VALUE"""),"")</f>
        <v/>
      </c>
      <c r="C1854" s="36" t="str">
        <f>IFERROR(__xludf.DUMMYFUNCTION("""COMPUTED_VALUE"""),"")</f>
        <v/>
      </c>
      <c r="D1854" s="36" t="str">
        <f>IFERROR(__xludf.DUMMYFUNCTION("""COMPUTED_VALUE"""),"")</f>
        <v/>
      </c>
      <c r="E1854" s="36" t="str">
        <f>IFERROR(__xludf.DUMMYFUNCTION("""COMPUTED_VALUE"""),"01-27-08-111")</f>
        <v>01-27-08-111</v>
      </c>
      <c r="F1854" s="36"/>
      <c r="G1854" s="36" t="str">
        <f>IFERROR(__xludf.DUMMYFUNCTION("""COMPUTED_VALUE"""),"Mendoza y Monteagudo ")</f>
        <v>Mendoza y Monteagudo </v>
      </c>
      <c r="H1854" s="36" t="str">
        <f>IFERROR(__xludf.DUMMYFUNCTION("""COMPUTED_VALUE"""),"")</f>
        <v/>
      </c>
    </row>
    <row r="1855">
      <c r="A1855" s="36" t="str">
        <f>IFERROR(__xludf.DUMMYFUNCTION("""COMPUTED_VALUE"""),"02-34-11-6")</f>
        <v>02-34-11-6</v>
      </c>
      <c r="B1855" s="36" t="str">
        <f>IFERROR(__xludf.DUMMYFUNCTION("""COMPUTED_VALUE"""),"")</f>
        <v/>
      </c>
      <c r="C1855" s="36" t="str">
        <f>IFERROR(__xludf.DUMMYFUNCTION("""COMPUTED_VALUE"""),"")</f>
        <v/>
      </c>
      <c r="D1855" s="36" t="str">
        <f>IFERROR(__xludf.DUMMYFUNCTION("""COMPUTED_VALUE"""),"")</f>
        <v/>
      </c>
      <c r="E1855" s="36" t="str">
        <f>IFERROR(__xludf.DUMMYFUNCTION("""COMPUTED_VALUE"""),"01-65-13-160A")</f>
        <v>01-65-13-160A</v>
      </c>
      <c r="F1855" s="36"/>
      <c r="G1855" s="36" t="str">
        <f>IFERROR(__xludf.DUMMYFUNCTION("""COMPUTED_VALUE"""),"Mendoza y Nicanor Larraín -E")</f>
        <v>Mendoza y Nicanor Larraín -E</v>
      </c>
      <c r="H1855" s="36" t="str">
        <f>IFERROR(__xludf.DUMMYFUNCTION("""COMPUTED_VALUE"""),"")</f>
        <v/>
      </c>
    </row>
    <row r="1856">
      <c r="A1856" s="36" t="str">
        <f>IFERROR(__xludf.DUMMYFUNCTION("""COMPUTED_VALUE"""),"02-34-11-7")</f>
        <v>02-34-11-7</v>
      </c>
      <c r="B1856" s="36" t="str">
        <f>IFERROR(__xludf.DUMMYFUNCTION("""COMPUTED_VALUE"""),"")</f>
        <v/>
      </c>
      <c r="C1856" s="36" t="str">
        <f>IFERROR(__xludf.DUMMYFUNCTION("""COMPUTED_VALUE"""),"")</f>
        <v/>
      </c>
      <c r="D1856" s="36" t="str">
        <f>IFERROR(__xludf.DUMMYFUNCTION("""COMPUTED_VALUE"""),"")</f>
        <v/>
      </c>
      <c r="E1856" s="36" t="str">
        <f>IFERROR(__xludf.DUMMYFUNCTION("""COMPUTED_VALUE"""),"01-66-13-160")</f>
        <v>01-66-13-160</v>
      </c>
      <c r="F1856" s="36"/>
      <c r="G1856" s="36" t="str">
        <f>IFERROR(__xludf.DUMMYFUNCTION("""COMPUTED_VALUE"""),"Mendoza y Nicanor Larraín -O")</f>
        <v>Mendoza y Nicanor Larraín -O</v>
      </c>
      <c r="H1856" s="36" t="str">
        <f>IFERROR(__xludf.DUMMYFUNCTION("""COMPUTED_VALUE"""),"")</f>
        <v/>
      </c>
    </row>
    <row r="1857">
      <c r="A1857" s="36" t="str">
        <f>IFERROR(__xludf.DUMMYFUNCTION("""COMPUTED_VALUE"""),"02-34-11-8")</f>
        <v>02-34-11-8</v>
      </c>
      <c r="B1857" s="36" t="str">
        <f>IFERROR(__xludf.DUMMYFUNCTION("""COMPUTED_VALUE"""),"")</f>
        <v/>
      </c>
      <c r="C1857" s="36" t="str">
        <f>IFERROR(__xludf.DUMMYFUNCTION("""COMPUTED_VALUE"""),"")</f>
        <v/>
      </c>
      <c r="D1857" s="36" t="str">
        <f>IFERROR(__xludf.DUMMYFUNCTION("""COMPUTED_VALUE"""),"")</f>
        <v/>
      </c>
      <c r="E1857" s="36" t="str">
        <f>IFERROR(__xludf.DUMMYFUNCTION("""COMPUTED_VALUE"""),"08-44-03-96")</f>
        <v>08-44-03-96</v>
      </c>
      <c r="F1857" s="36"/>
      <c r="G1857" s="36" t="str">
        <f>IFERROR(__xludf.DUMMYFUNCTION("""COMPUTED_VALUE"""),"Mendoza y Oro E")</f>
        <v>Mendoza y Oro E</v>
      </c>
      <c r="H1857" s="36" t="str">
        <f>IFERROR(__xludf.DUMMYFUNCTION("""COMPUTED_VALUE"""),"")</f>
        <v/>
      </c>
    </row>
    <row r="1858">
      <c r="A1858" s="36" t="str">
        <f>IFERROR(__xludf.DUMMYFUNCTION("""COMPUTED_VALUE"""),"02-34-11-9")</f>
        <v>02-34-11-9</v>
      </c>
      <c r="B1858" s="36" t="str">
        <f>IFERROR(__xludf.DUMMYFUNCTION("""COMPUTED_VALUE"""),"")</f>
        <v/>
      </c>
      <c r="C1858" s="36" t="str">
        <f>IFERROR(__xludf.DUMMYFUNCTION("""COMPUTED_VALUE"""),"")</f>
        <v/>
      </c>
      <c r="D1858" s="36" t="str">
        <f>IFERROR(__xludf.DUMMYFUNCTION("""COMPUTED_VALUE"""),"")</f>
        <v/>
      </c>
      <c r="E1858" s="36" t="str">
        <f>IFERROR(__xludf.DUMMYFUNCTION("""COMPUTED_VALUE"""),"08-42-03-97")</f>
        <v>08-42-03-97</v>
      </c>
      <c r="F1858" s="36"/>
      <c r="G1858" s="36" t="str">
        <f>IFERROR(__xludf.DUMMYFUNCTION("""COMPUTED_VALUE"""),"Mendoza y Oro O")</f>
        <v>Mendoza y Oro O</v>
      </c>
      <c r="H1858" s="36" t="str">
        <f>IFERROR(__xludf.DUMMYFUNCTION("""COMPUTED_VALUE"""),"")</f>
        <v/>
      </c>
    </row>
    <row r="1859">
      <c r="A1859" s="36" t="str">
        <f>IFERROR(__xludf.DUMMYFUNCTION("""COMPUTED_VALUE"""),"02-36-11-106A")</f>
        <v>02-36-11-106A</v>
      </c>
      <c r="B1859" s="36" t="str">
        <f>IFERROR(__xludf.DUMMYFUNCTION("""COMPUTED_VALUE"""),"")</f>
        <v/>
      </c>
      <c r="C1859" s="36" t="str">
        <f>IFERROR(__xludf.DUMMYFUNCTION("""COMPUTED_VALUE"""),"")</f>
        <v/>
      </c>
      <c r="D1859" s="36" t="str">
        <f>IFERROR(__xludf.DUMMYFUNCTION("""COMPUTED_VALUE"""),"")</f>
        <v/>
      </c>
      <c r="E1859" s="36" t="str">
        <f>IFERROR(__xludf.DUMMYFUNCTION("""COMPUTED_VALUE"""),"04-21-13-169")</f>
        <v>04-21-13-169</v>
      </c>
      <c r="F1859" s="36"/>
      <c r="G1859" s="36" t="str">
        <f>IFERROR(__xludf.DUMMYFUNCTION("""COMPUTED_VALUE"""),"Mendoza y Pasteur")</f>
        <v>Mendoza y Pasteur</v>
      </c>
      <c r="H1859" s="36" t="str">
        <f>IFERROR(__xludf.DUMMYFUNCTION("""COMPUTED_VALUE"""),"")</f>
        <v/>
      </c>
    </row>
    <row r="1860">
      <c r="A1860" s="36" t="str">
        <f>IFERROR(__xludf.DUMMYFUNCTION("""COMPUTED_VALUE"""),"02-36-11-107")</f>
        <v>02-36-11-107</v>
      </c>
      <c r="B1860" s="36" t="str">
        <f>IFERROR(__xludf.DUMMYFUNCTION("""COMPUTED_VALUE"""),"")</f>
        <v/>
      </c>
      <c r="C1860" s="36" t="str">
        <f>IFERROR(__xludf.DUMMYFUNCTION("""COMPUTED_VALUE"""),"")</f>
        <v/>
      </c>
      <c r="D1860" s="36" t="str">
        <f>IFERROR(__xludf.DUMMYFUNCTION("""COMPUTED_VALUE"""),"")</f>
        <v/>
      </c>
      <c r="E1860" s="36" t="str">
        <f>IFERROR(__xludf.DUMMYFUNCTION("""COMPUTED_VALUE"""),"08-44-03-88")</f>
        <v>08-44-03-88</v>
      </c>
      <c r="F1860" s="36"/>
      <c r="G1860" s="36" t="str">
        <f>IFERROR(__xludf.DUMMYFUNCTION("""COMPUTED_VALUE"""),"Mendoza y Patagonia E")</f>
        <v>Mendoza y Patagonia E</v>
      </c>
      <c r="H1860" s="36" t="str">
        <f>IFERROR(__xludf.DUMMYFUNCTION("""COMPUTED_VALUE"""),"")</f>
        <v/>
      </c>
    </row>
    <row r="1861">
      <c r="A1861" s="36" t="str">
        <f>IFERROR(__xludf.DUMMYFUNCTION("""COMPUTED_VALUE"""),"02-36-11-108")</f>
        <v>02-36-11-108</v>
      </c>
      <c r="B1861" s="36" t="str">
        <f>IFERROR(__xludf.DUMMYFUNCTION("""COMPUTED_VALUE"""),"")</f>
        <v/>
      </c>
      <c r="C1861" s="36" t="str">
        <f>IFERROR(__xludf.DUMMYFUNCTION("""COMPUTED_VALUE"""),"")</f>
        <v/>
      </c>
      <c r="D1861" s="36" t="str">
        <f>IFERROR(__xludf.DUMMYFUNCTION("""COMPUTED_VALUE"""),"")</f>
        <v/>
      </c>
      <c r="E1861" s="36" t="str">
        <f>IFERROR(__xludf.DUMMYFUNCTION("""COMPUTED_VALUE"""),"08-42-03-89")</f>
        <v>08-42-03-89</v>
      </c>
      <c r="F1861" s="36"/>
      <c r="G1861" s="36" t="str">
        <f>IFERROR(__xludf.DUMMYFUNCTION("""COMPUTED_VALUE"""),"Mendoza y Patagonia O")</f>
        <v>Mendoza y Patagonia O</v>
      </c>
      <c r="H1861" s="36" t="str">
        <f>IFERROR(__xludf.DUMMYFUNCTION("""COMPUTED_VALUE"""),"")</f>
        <v/>
      </c>
    </row>
    <row r="1862">
      <c r="A1862" s="36" t="str">
        <f>IFERROR(__xludf.DUMMYFUNCTION("""COMPUTED_VALUE"""),"02-36-11-109A")</f>
        <v>02-36-11-109A</v>
      </c>
      <c r="B1862" s="36" t="str">
        <f>IFERROR(__xludf.DUMMYFUNCTION("""COMPUTED_VALUE"""),"")</f>
        <v/>
      </c>
      <c r="C1862" s="36" t="str">
        <f>IFERROR(__xludf.DUMMYFUNCTION("""COMPUTED_VALUE"""),"")</f>
        <v/>
      </c>
      <c r="D1862" s="36" t="str">
        <f>IFERROR(__xludf.DUMMYFUNCTION("""COMPUTED_VALUE"""),"")</f>
        <v/>
      </c>
      <c r="E1862" s="36" t="str">
        <f>IFERROR(__xludf.DUMMYFUNCTION("""COMPUTED_VALUE"""),"01-56-13-55")</f>
        <v>01-56-13-55</v>
      </c>
      <c r="F1862" s="36"/>
      <c r="G1862" s="36" t="str">
        <f>IFERROR(__xludf.DUMMYFUNCTION("""COMPUTED_VALUE"""),"Mendoza y Pedro de Valdivia -O")</f>
        <v>Mendoza y Pedro de Valdivia -O</v>
      </c>
      <c r="H1862" s="36" t="str">
        <f>IFERROR(__xludf.DUMMYFUNCTION("""COMPUTED_VALUE"""),"")</f>
        <v/>
      </c>
    </row>
    <row r="1863">
      <c r="A1863" s="36" t="str">
        <f>IFERROR(__xludf.DUMMYFUNCTION("""COMPUTED_VALUE"""),"02-36-11-110")</f>
        <v>02-36-11-110</v>
      </c>
      <c r="B1863" s="36" t="str">
        <f>IFERROR(__xludf.DUMMYFUNCTION("""COMPUTED_VALUE"""),"")</f>
        <v/>
      </c>
      <c r="C1863" s="36" t="str">
        <f>IFERROR(__xludf.DUMMYFUNCTION("""COMPUTED_VALUE"""),"")</f>
        <v/>
      </c>
      <c r="D1863" s="36" t="str">
        <f>IFERROR(__xludf.DUMMYFUNCTION("""COMPUTED_VALUE"""),"")</f>
        <v/>
      </c>
      <c r="E1863" s="36" t="str">
        <f>IFERROR(__xludf.DUMMYFUNCTION("""COMPUTED_VALUE"""),"01-61-13-132")</f>
        <v>01-61-13-132</v>
      </c>
      <c r="F1863" s="36"/>
      <c r="G1863" s="36" t="str">
        <f>IFERROR(__xludf.DUMMYFUNCTION("""COMPUTED_VALUE"""),"Mendoza y Pedro de Valdivia -S")</f>
        <v>Mendoza y Pedro de Valdivia -S</v>
      </c>
      <c r="H1863" s="36" t="str">
        <f>IFERROR(__xludf.DUMMYFUNCTION("""COMPUTED_VALUE"""),"")</f>
        <v/>
      </c>
    </row>
    <row r="1864">
      <c r="A1864" s="36" t="str">
        <f>IFERROR(__xludf.DUMMYFUNCTION("""COMPUTED_VALUE"""),"02-36-11-110A")</f>
        <v>02-36-11-110A</v>
      </c>
      <c r="B1864" s="36" t="str">
        <f>IFERROR(__xludf.DUMMYFUNCTION("""COMPUTED_VALUE"""),"")</f>
        <v/>
      </c>
      <c r="C1864" s="36" t="str">
        <f>IFERROR(__xludf.DUMMYFUNCTION("""COMPUTED_VALUE"""),"")</f>
        <v/>
      </c>
      <c r="D1864" s="36" t="str">
        <f>IFERROR(__xludf.DUMMYFUNCTION("""COMPUTED_VALUE"""),"")</f>
        <v/>
      </c>
      <c r="E1864" s="36" t="str">
        <f>IFERROR(__xludf.DUMMYFUNCTION("""COMPUTED_VALUE"""),"01-37-08-48")</f>
        <v>01-37-08-48</v>
      </c>
      <c r="F1864" s="36"/>
      <c r="G1864" s="36" t="str">
        <f>IFERROR(__xludf.DUMMYFUNCTION("""COMPUTED_VALUE"""),"Mendoza y Pedro Echagüe")</f>
        <v>Mendoza y Pedro Echagüe</v>
      </c>
      <c r="H1864" s="36" t="str">
        <f>IFERROR(__xludf.DUMMYFUNCTION("""COMPUTED_VALUE"""),"")</f>
        <v/>
      </c>
    </row>
    <row r="1865">
      <c r="A1865" s="36" t="str">
        <f>IFERROR(__xludf.DUMMYFUNCTION("""COMPUTED_VALUE"""),"02-36-11-81A")</f>
        <v>02-36-11-81A</v>
      </c>
      <c r="B1865" s="36" t="str">
        <f>IFERROR(__xludf.DUMMYFUNCTION("""COMPUTED_VALUE"""),"")</f>
        <v/>
      </c>
      <c r="C1865" s="36" t="str">
        <f>IFERROR(__xludf.DUMMYFUNCTION("""COMPUTED_VALUE"""),"")</f>
        <v/>
      </c>
      <c r="D1865" s="36" t="str">
        <f>IFERROR(__xludf.DUMMYFUNCTION("""COMPUTED_VALUE"""),"")</f>
        <v/>
      </c>
      <c r="E1865" s="36" t="str">
        <f>IFERROR(__xludf.DUMMYFUNCTION("""COMPUTED_VALUE"""),"04-32-13-178")</f>
        <v>04-32-13-178</v>
      </c>
      <c r="F1865" s="36"/>
      <c r="G1865" s="36" t="str">
        <f>IFERROR(__xludf.DUMMYFUNCTION("""COMPUTED_VALUE"""),"Mendoza y Perona")</f>
        <v>Mendoza y Perona</v>
      </c>
      <c r="H1865" s="36" t="str">
        <f>IFERROR(__xludf.DUMMYFUNCTION("""COMPUTED_VALUE"""),"")</f>
        <v/>
      </c>
    </row>
    <row r="1866">
      <c r="A1866" s="36" t="str">
        <f>IFERROR(__xludf.DUMMYFUNCTION("""COMPUTED_VALUE"""),"02-36-11-82A")</f>
        <v>02-36-11-82A</v>
      </c>
      <c r="B1866" s="36" t="str">
        <f>IFERROR(__xludf.DUMMYFUNCTION("""COMPUTED_VALUE"""),"")</f>
        <v/>
      </c>
      <c r="C1866" s="36" t="str">
        <f>IFERROR(__xludf.DUMMYFUNCTION("""COMPUTED_VALUE"""),"")</f>
        <v/>
      </c>
      <c r="D1866" s="36" t="str">
        <f>IFERROR(__xludf.DUMMYFUNCTION("""COMPUTED_VALUE"""),"")</f>
        <v/>
      </c>
      <c r="E1866" s="36" t="str">
        <f>IFERROR(__xludf.DUMMYFUNCTION("""COMPUTED_VALUE"""),"04-47-13-185B")</f>
        <v>04-47-13-185B</v>
      </c>
      <c r="F1866" s="36"/>
      <c r="G1866" s="36" t="str">
        <f>IFERROR(__xludf.DUMMYFUNCTION("""COMPUTED_VALUE"""),"Mendoza y Progreso")</f>
        <v>Mendoza y Progreso</v>
      </c>
      <c r="H1866" s="36" t="str">
        <f>IFERROR(__xludf.DUMMYFUNCTION("""COMPUTED_VALUE"""),"")</f>
        <v/>
      </c>
    </row>
    <row r="1867">
      <c r="A1867" s="36" t="str">
        <f>IFERROR(__xludf.DUMMYFUNCTION("""COMPUTED_VALUE"""),"02-36-11-82B")</f>
        <v>02-36-11-82B</v>
      </c>
      <c r="B1867" s="36" t="str">
        <f>IFERROR(__xludf.DUMMYFUNCTION("""COMPUTED_VALUE"""),"")</f>
        <v/>
      </c>
      <c r="C1867" s="36" t="str">
        <f>IFERROR(__xludf.DUMMYFUNCTION("""COMPUTED_VALUE"""),"")</f>
        <v/>
      </c>
      <c r="D1867" s="36" t="str">
        <f>IFERROR(__xludf.DUMMYFUNCTION("""COMPUTED_VALUE"""),"")</f>
        <v/>
      </c>
      <c r="E1867" s="36" t="str">
        <f>IFERROR(__xludf.DUMMYFUNCTION("""COMPUTED_VALUE"""),"04-47-13-102")</f>
        <v>04-47-13-102</v>
      </c>
      <c r="F1867" s="36"/>
      <c r="G1867" s="36" t="str">
        <f>IFERROR(__xludf.DUMMYFUNCTION("""COMPUTED_VALUE"""),"Mendoza y Quiroga")</f>
        <v>Mendoza y Quiroga</v>
      </c>
      <c r="H1867" s="36" t="str">
        <f>IFERROR(__xludf.DUMMYFUNCTION("""COMPUTED_VALUE"""),"")</f>
        <v/>
      </c>
    </row>
    <row r="1868">
      <c r="A1868" s="36" t="str">
        <f>IFERROR(__xludf.DUMMYFUNCTION("""COMPUTED_VALUE"""),"02-36-11-82C")</f>
        <v>02-36-11-82C</v>
      </c>
      <c r="B1868" s="36" t="str">
        <f>IFERROR(__xludf.DUMMYFUNCTION("""COMPUTED_VALUE"""),"")</f>
        <v/>
      </c>
      <c r="C1868" s="36" t="str">
        <f>IFERROR(__xludf.DUMMYFUNCTION("""COMPUTED_VALUE"""),"")</f>
        <v/>
      </c>
      <c r="D1868" s="36" t="str">
        <f>IFERROR(__xludf.DUMMYFUNCTION("""COMPUTED_VALUE"""),"")</f>
        <v/>
      </c>
      <c r="E1868" s="36" t="str">
        <f>IFERROR(__xludf.DUMMYFUNCTION("""COMPUTED_VALUE"""),"04-47-13-96")</f>
        <v>04-47-13-96</v>
      </c>
      <c r="F1868" s="36"/>
      <c r="G1868" s="36" t="str">
        <f>IFERROR(__xludf.DUMMYFUNCTION("""COMPUTED_VALUE"""),"Mendoza y Quiróz")</f>
        <v>Mendoza y Quiróz</v>
      </c>
      <c r="H1868" s="36" t="str">
        <f>IFERROR(__xludf.DUMMYFUNCTION("""COMPUTED_VALUE"""),"")</f>
        <v/>
      </c>
    </row>
    <row r="1869">
      <c r="A1869" s="36" t="str">
        <f>IFERROR(__xludf.DUMMYFUNCTION("""COMPUTED_VALUE"""),"02-36-11-82D")</f>
        <v>02-36-11-82D</v>
      </c>
      <c r="B1869" s="36" t="str">
        <f>IFERROR(__xludf.DUMMYFUNCTION("""COMPUTED_VALUE"""),"")</f>
        <v/>
      </c>
      <c r="C1869" s="36" t="str">
        <f>IFERROR(__xludf.DUMMYFUNCTION("""COMPUTED_VALUE"""),"")</f>
        <v/>
      </c>
      <c r="D1869" s="36" t="str">
        <f>IFERROR(__xludf.DUMMYFUNCTION("""COMPUTED_VALUE"""),"")</f>
        <v/>
      </c>
      <c r="E1869" s="36" t="str">
        <f>IFERROR(__xludf.DUMMYFUNCTION("""COMPUTED_VALUE"""),"08-26-03-100")</f>
        <v>08-26-03-100</v>
      </c>
      <c r="F1869" s="36"/>
      <c r="G1869" s="36" t="str">
        <f>IFERROR(__xludf.DUMMYFUNCTION("""COMPUTED_VALUE"""),"Mendoza y R. E. de San Martín")</f>
        <v>Mendoza y R. E. de San Martín</v>
      </c>
      <c r="H1869" s="36" t="str">
        <f>IFERROR(__xludf.DUMMYFUNCTION("""COMPUTED_VALUE"""),"")</f>
        <v/>
      </c>
    </row>
    <row r="1870">
      <c r="A1870" s="36" t="str">
        <f>IFERROR(__xludf.DUMMYFUNCTION("""COMPUTED_VALUE"""),"02-36-11-83")</f>
        <v>02-36-11-83</v>
      </c>
      <c r="B1870" s="36" t="str">
        <f>IFERROR(__xludf.DUMMYFUNCTION("""COMPUTED_VALUE"""),"")</f>
        <v/>
      </c>
      <c r="C1870" s="36" t="str">
        <f>IFERROR(__xludf.DUMMYFUNCTION("""COMPUTED_VALUE"""),"")</f>
        <v/>
      </c>
      <c r="D1870" s="36" t="str">
        <f>IFERROR(__xludf.DUMMYFUNCTION("""COMPUTED_VALUE"""),"")</f>
        <v/>
      </c>
      <c r="E1870" s="36" t="str">
        <f>IFERROR(__xludf.DUMMYFUNCTION("""COMPUTED_VALUE"""),"08-44-03-94")</f>
        <v>08-44-03-94</v>
      </c>
      <c r="F1870" s="36"/>
      <c r="G1870" s="36" t="str">
        <f>IFERROR(__xludf.DUMMYFUNCTION("""COMPUTED_VALUE"""),"Mendoza y Reconquista E")</f>
        <v>Mendoza y Reconquista E</v>
      </c>
      <c r="H1870" s="36" t="str">
        <f>IFERROR(__xludf.DUMMYFUNCTION("""COMPUTED_VALUE"""),"")</f>
        <v/>
      </c>
    </row>
    <row r="1871">
      <c r="A1871" s="36" t="str">
        <f>IFERROR(__xludf.DUMMYFUNCTION("""COMPUTED_VALUE"""),"02-36-11-83A")</f>
        <v>02-36-11-83A</v>
      </c>
      <c r="B1871" s="36" t="str">
        <f>IFERROR(__xludf.DUMMYFUNCTION("""COMPUTED_VALUE"""),"")</f>
        <v/>
      </c>
      <c r="C1871" s="36" t="str">
        <f>IFERROR(__xludf.DUMMYFUNCTION("""COMPUTED_VALUE"""),"")</f>
        <v/>
      </c>
      <c r="D1871" s="36" t="str">
        <f>IFERROR(__xludf.DUMMYFUNCTION("""COMPUTED_VALUE"""),"")</f>
        <v/>
      </c>
      <c r="E1871" s="36" t="str">
        <f>IFERROR(__xludf.DUMMYFUNCTION("""COMPUTED_VALUE"""),"08-42-03-95")</f>
        <v>08-42-03-95</v>
      </c>
      <c r="F1871" s="36"/>
      <c r="G1871" s="36" t="str">
        <f>IFERROR(__xludf.DUMMYFUNCTION("""COMPUTED_VALUE"""),"Mendoza y Reconquista O")</f>
        <v>Mendoza y Reconquista O</v>
      </c>
      <c r="H1871" s="36" t="str">
        <f>IFERROR(__xludf.DUMMYFUNCTION("""COMPUTED_VALUE"""),"")</f>
        <v/>
      </c>
    </row>
    <row r="1872">
      <c r="A1872" s="36" t="str">
        <f>IFERROR(__xludf.DUMMYFUNCTION("""COMPUTED_VALUE"""),"02-36-11-83B")</f>
        <v>02-36-11-83B</v>
      </c>
      <c r="B1872" s="36" t="str">
        <f>IFERROR(__xludf.DUMMYFUNCTION("""COMPUTED_VALUE"""),"")</f>
        <v/>
      </c>
      <c r="C1872" s="36" t="str">
        <f>IFERROR(__xludf.DUMMYFUNCTION("""COMPUTED_VALUE"""),"")</f>
        <v/>
      </c>
      <c r="D1872" s="36" t="str">
        <f>IFERROR(__xludf.DUMMYFUNCTION("""COMPUTED_VALUE"""),"")</f>
        <v/>
      </c>
      <c r="E1872" s="36" t="str">
        <f>IFERROR(__xludf.DUMMYFUNCTION("""COMPUTED_VALUE"""),"04-32-13-171")</f>
        <v>04-32-13-171</v>
      </c>
      <c r="F1872" s="36"/>
      <c r="G1872" s="36" t="str">
        <f>IFERROR(__xludf.DUMMYFUNCTION("""COMPUTED_VALUE"""),"Mendoza y República del Líbano")</f>
        <v>Mendoza y República del Líbano</v>
      </c>
      <c r="H1872" s="36" t="str">
        <f>IFERROR(__xludf.DUMMYFUNCTION("""COMPUTED_VALUE"""),"")</f>
        <v/>
      </c>
    </row>
    <row r="1873">
      <c r="A1873" s="36" t="str">
        <f>IFERROR(__xludf.DUMMYFUNCTION("""COMPUTED_VALUE"""),"02-36-11-84")</f>
        <v>02-36-11-84</v>
      </c>
      <c r="B1873" s="36" t="str">
        <f>IFERROR(__xludf.DUMMYFUNCTION("""COMPUTED_VALUE"""),"")</f>
        <v/>
      </c>
      <c r="C1873" s="36" t="str">
        <f>IFERROR(__xludf.DUMMYFUNCTION("""COMPUTED_VALUE"""),"")</f>
        <v/>
      </c>
      <c r="D1873" s="36" t="str">
        <f>IFERROR(__xludf.DUMMYFUNCTION("""COMPUTED_VALUE"""),"")</f>
        <v/>
      </c>
      <c r="E1873" s="36" t="str">
        <f>IFERROR(__xludf.DUMMYFUNCTION("""COMPUTED_VALUE"""),"08-28-03-101A")</f>
        <v>08-28-03-101A</v>
      </c>
      <c r="F1873" s="36"/>
      <c r="G1873" s="36" t="str">
        <f>IFERROR(__xludf.DUMMYFUNCTION("""COMPUTED_VALUE"""),"Mendoza y Rodríguez O")</f>
        <v>Mendoza y Rodríguez O</v>
      </c>
      <c r="H1873" s="36" t="str">
        <f>IFERROR(__xludf.DUMMYFUNCTION("""COMPUTED_VALUE"""),"")</f>
        <v/>
      </c>
    </row>
    <row r="1874">
      <c r="A1874" s="36" t="str">
        <f>IFERROR(__xludf.DUMMYFUNCTION("""COMPUTED_VALUE"""),"02-36-11-84A")</f>
        <v>02-36-11-84A</v>
      </c>
      <c r="B1874" s="36" t="str">
        <f>IFERROR(__xludf.DUMMYFUNCTION("""COMPUTED_VALUE"""),"")</f>
        <v/>
      </c>
      <c r="C1874" s="36" t="str">
        <f>IFERROR(__xludf.DUMMYFUNCTION("""COMPUTED_VALUE"""),"")</f>
        <v/>
      </c>
      <c r="D1874" s="36" t="str">
        <f>IFERROR(__xludf.DUMMYFUNCTION("""COMPUTED_VALUE"""),"")</f>
        <v/>
      </c>
      <c r="E1874" s="36" t="str">
        <f>IFERROR(__xludf.DUMMYFUNCTION("""COMPUTED_VALUE"""),"04-21-13-163")</f>
        <v>04-21-13-163</v>
      </c>
      <c r="F1874" s="36"/>
      <c r="G1874" s="36" t="str">
        <f>IFERROR(__xludf.DUMMYFUNCTION("""COMPUTED_VALUE"""),"Mendoza y Sabattini")</f>
        <v>Mendoza y Sabattini</v>
      </c>
      <c r="H1874" s="36" t="str">
        <f>IFERROR(__xludf.DUMMYFUNCTION("""COMPUTED_VALUE"""),"")</f>
        <v/>
      </c>
    </row>
    <row r="1875">
      <c r="A1875" s="36" t="str">
        <f>IFERROR(__xludf.DUMMYFUNCTION("""COMPUTED_VALUE"""),"02-36-11-85")</f>
        <v>02-36-11-85</v>
      </c>
      <c r="B1875" s="36" t="str">
        <f>IFERROR(__xludf.DUMMYFUNCTION("""COMPUTED_VALUE"""),"")</f>
        <v/>
      </c>
      <c r="C1875" s="36" t="str">
        <f>IFERROR(__xludf.DUMMYFUNCTION("""COMPUTED_VALUE"""),"")</f>
        <v/>
      </c>
      <c r="D1875" s="36" t="str">
        <f>IFERROR(__xludf.DUMMYFUNCTION("""COMPUTED_VALUE"""),"")</f>
        <v/>
      </c>
      <c r="E1875" s="36" t="str">
        <f>IFERROR(__xludf.DUMMYFUNCTION("""COMPUTED_VALUE"""),"01-61-13-158")</f>
        <v>01-61-13-158</v>
      </c>
      <c r="F1875" s="36"/>
      <c r="G1875" s="36" t="str">
        <f>IFERROR(__xludf.DUMMYFUNCTION("""COMPUTED_VALUE"""),"Mendoza y San Francisco del Monte")</f>
        <v>Mendoza y San Francisco del Monte</v>
      </c>
      <c r="H1875" s="36" t="str">
        <f>IFERROR(__xludf.DUMMYFUNCTION("""COMPUTED_VALUE"""),"")</f>
        <v/>
      </c>
    </row>
    <row r="1876">
      <c r="A1876" s="36" t="str">
        <f>IFERROR(__xludf.DUMMYFUNCTION("""COMPUTED_VALUE"""),"02-36-11-85A")</f>
        <v>02-36-11-85A</v>
      </c>
      <c r="B1876" s="36" t="str">
        <f>IFERROR(__xludf.DUMMYFUNCTION("""COMPUTED_VALUE"""),"")</f>
        <v/>
      </c>
      <c r="C1876" s="36" t="str">
        <f>IFERROR(__xludf.DUMMYFUNCTION("""COMPUTED_VALUE"""),"")</f>
        <v/>
      </c>
      <c r="D1876" s="36" t="str">
        <f>IFERROR(__xludf.DUMMYFUNCTION("""COMPUTED_VALUE"""),"")</f>
        <v/>
      </c>
      <c r="E1876" s="36" t="str">
        <f>IFERROR(__xludf.DUMMYFUNCTION("""COMPUTED_VALUE"""),"08-44-03-90")</f>
        <v>08-44-03-90</v>
      </c>
      <c r="F1876" s="36"/>
      <c r="G1876" s="36" t="str">
        <f>IFERROR(__xludf.DUMMYFUNCTION("""COMPUTED_VALUE"""),"Mendoza y Santa Cruz E")</f>
        <v>Mendoza y Santa Cruz E</v>
      </c>
      <c r="H1876" s="36" t="str">
        <f>IFERROR(__xludf.DUMMYFUNCTION("""COMPUTED_VALUE"""),"")</f>
        <v/>
      </c>
    </row>
    <row r="1877">
      <c r="A1877" s="36" t="str">
        <f>IFERROR(__xludf.DUMMYFUNCTION("""COMPUTED_VALUE"""),"02-36-11-86")</f>
        <v>02-36-11-86</v>
      </c>
      <c r="B1877" s="36" t="str">
        <f>IFERROR(__xludf.DUMMYFUNCTION("""COMPUTED_VALUE"""),"")</f>
        <v/>
      </c>
      <c r="C1877" s="36" t="str">
        <f>IFERROR(__xludf.DUMMYFUNCTION("""COMPUTED_VALUE"""),"")</f>
        <v/>
      </c>
      <c r="D1877" s="36" t="str">
        <f>IFERROR(__xludf.DUMMYFUNCTION("""COMPUTED_VALUE"""),"")</f>
        <v/>
      </c>
      <c r="E1877" s="36" t="str">
        <f>IFERROR(__xludf.DUMMYFUNCTION("""COMPUTED_VALUE"""),"08-42-03-91")</f>
        <v>08-42-03-91</v>
      </c>
      <c r="F1877" s="36"/>
      <c r="G1877" s="36" t="str">
        <f>IFERROR(__xludf.DUMMYFUNCTION("""COMPUTED_VALUE"""),"Mendoza y Santa Cruz O")</f>
        <v>Mendoza y Santa Cruz O</v>
      </c>
      <c r="H1877" s="36" t="str">
        <f>IFERROR(__xludf.DUMMYFUNCTION("""COMPUTED_VALUE"""),"")</f>
        <v/>
      </c>
    </row>
    <row r="1878">
      <c r="A1878" s="36" t="str">
        <f>IFERROR(__xludf.DUMMYFUNCTION("""COMPUTED_VALUE"""),"02-36-11-86A")</f>
        <v>02-36-11-86A</v>
      </c>
      <c r="B1878" s="36" t="str">
        <f>IFERROR(__xludf.DUMMYFUNCTION("""COMPUTED_VALUE"""),"")</f>
        <v/>
      </c>
      <c r="C1878" s="36" t="str">
        <f>IFERROR(__xludf.DUMMYFUNCTION("""COMPUTED_VALUE"""),"")</f>
        <v/>
      </c>
      <c r="D1878" s="36" t="str">
        <f>IFERROR(__xludf.DUMMYFUNCTION("""COMPUTED_VALUE"""),"")</f>
        <v/>
      </c>
      <c r="E1878" s="36" t="str">
        <f>IFERROR(__xludf.DUMMYFUNCTION("""COMPUTED_VALUE"""),"01-51-08-19")</f>
        <v>01-51-08-19</v>
      </c>
      <c r="F1878" s="36"/>
      <c r="G1878" s="36" t="str">
        <f>IFERROR(__xludf.DUMMYFUNCTION("""COMPUTED_VALUE"""),"Mendoza y Santa Fe")</f>
        <v>Mendoza y Santa Fe</v>
      </c>
      <c r="H1878" s="36" t="str">
        <f>IFERROR(__xludf.DUMMYFUNCTION("""COMPUTED_VALUE"""),"")</f>
        <v/>
      </c>
    </row>
    <row r="1879">
      <c r="A1879" s="36" t="str">
        <f>IFERROR(__xludf.DUMMYFUNCTION("""COMPUTED_VALUE"""),"02-36-11-87")</f>
        <v>02-36-11-87</v>
      </c>
      <c r="B1879" s="36" t="str">
        <f>IFERROR(__xludf.DUMMYFUNCTION("""COMPUTED_VALUE"""),"")</f>
        <v/>
      </c>
      <c r="C1879" s="36" t="str">
        <f>IFERROR(__xludf.DUMMYFUNCTION("""COMPUTED_VALUE"""),"")</f>
        <v/>
      </c>
      <c r="D1879" s="36" t="str">
        <f>IFERROR(__xludf.DUMMYFUNCTION("""COMPUTED_VALUE"""),"")</f>
        <v/>
      </c>
      <c r="E1879" s="36" t="str">
        <f>IFERROR(__xludf.DUMMYFUNCTION("""COMPUTED_VALUE"""),"08-28-03-23")</f>
        <v>08-28-03-23</v>
      </c>
      <c r="F1879" s="36"/>
      <c r="G1879" s="36" t="str">
        <f>IFERROR(__xludf.DUMMYFUNCTION("""COMPUTED_VALUE"""),"Mendoza y Valdez")</f>
        <v>Mendoza y Valdez</v>
      </c>
      <c r="H1879" s="36" t="str">
        <f>IFERROR(__xludf.DUMMYFUNCTION("""COMPUTED_VALUE"""),"")</f>
        <v/>
      </c>
    </row>
    <row r="1880">
      <c r="A1880" s="36" t="str">
        <f>IFERROR(__xludf.DUMMYFUNCTION("""COMPUTED_VALUE"""),"02-36-11-87A")</f>
        <v>02-36-11-87A</v>
      </c>
      <c r="B1880" s="36" t="str">
        <f>IFERROR(__xludf.DUMMYFUNCTION("""COMPUTED_VALUE"""),"")</f>
        <v/>
      </c>
      <c r="C1880" s="36" t="str">
        <f>IFERROR(__xludf.DUMMYFUNCTION("""COMPUTED_VALUE"""),"")</f>
        <v/>
      </c>
      <c r="D1880" s="36" t="str">
        <f>IFERROR(__xludf.DUMMYFUNCTION("""COMPUTED_VALUE"""),"")</f>
        <v/>
      </c>
      <c r="E1880" s="36" t="str">
        <f>IFERROR(__xludf.DUMMYFUNCTION("""COMPUTED_VALUE"""),"02-31-06-63A")</f>
        <v>02-31-06-63A</v>
      </c>
      <c r="F1880" s="36"/>
      <c r="G1880" s="36" t="str">
        <f>IFERROR(__xludf.DUMMYFUNCTION("""COMPUTED_VALUE"""),"Mercedario y 21 de Setiembre")</f>
        <v>Mercedario y 21 de Setiembre</v>
      </c>
      <c r="H1880" s="36" t="str">
        <f>IFERROR(__xludf.DUMMYFUNCTION("""COMPUTED_VALUE"""),"")</f>
        <v/>
      </c>
    </row>
    <row r="1881">
      <c r="A1881" s="36" t="str">
        <f>IFERROR(__xludf.DUMMYFUNCTION("""COMPUTED_VALUE"""),"02-36-11-88")</f>
        <v>02-36-11-88</v>
      </c>
      <c r="B1881" s="36" t="str">
        <f>IFERROR(__xludf.DUMMYFUNCTION("""COMPUTED_VALUE"""),"")</f>
        <v/>
      </c>
      <c r="C1881" s="36" t="str">
        <f>IFERROR(__xludf.DUMMYFUNCTION("""COMPUTED_VALUE"""),"")</f>
        <v/>
      </c>
      <c r="D1881" s="36" t="str">
        <f>IFERROR(__xludf.DUMMYFUNCTION("""COMPUTED_VALUE"""),"")</f>
        <v/>
      </c>
      <c r="E1881" s="36" t="str">
        <f>IFERROR(__xludf.DUMMYFUNCTION("""COMPUTED_VALUE"""),"02-31-06-62")</f>
        <v>02-31-06-62</v>
      </c>
      <c r="F1881" s="36"/>
      <c r="G1881" s="36" t="str">
        <f>IFERROR(__xludf.DUMMYFUNCTION("""COMPUTED_VALUE"""),"Mercedario y Mercado E")</f>
        <v>Mercedario y Mercado E</v>
      </c>
      <c r="H1881" s="36" t="str">
        <f>IFERROR(__xludf.DUMMYFUNCTION("""COMPUTED_VALUE"""),"")</f>
        <v/>
      </c>
    </row>
    <row r="1882">
      <c r="A1882" s="36" t="str">
        <f>IFERROR(__xludf.DUMMYFUNCTION("""COMPUTED_VALUE"""),"02-36-11-89")</f>
        <v>02-36-11-89</v>
      </c>
      <c r="B1882" s="36" t="str">
        <f>IFERROR(__xludf.DUMMYFUNCTION("""COMPUTED_VALUE"""),"")</f>
        <v/>
      </c>
      <c r="C1882" s="36" t="str">
        <f>IFERROR(__xludf.DUMMYFUNCTION("""COMPUTED_VALUE"""),"")</f>
        <v/>
      </c>
      <c r="D1882" s="36" t="str">
        <f>IFERROR(__xludf.DUMMYFUNCTION("""COMPUTED_VALUE"""),"")</f>
        <v/>
      </c>
      <c r="E1882" s="36" t="str">
        <f>IFERROR(__xludf.DUMMYFUNCTION("""COMPUTED_VALUE"""),"02-31-06-62A")</f>
        <v>02-31-06-62A</v>
      </c>
      <c r="F1882" s="36"/>
      <c r="G1882" s="36" t="str">
        <f>IFERROR(__xludf.DUMMYFUNCTION("""COMPUTED_VALUE"""),"Mercedario y Mercado O")</f>
        <v>Mercedario y Mercado O</v>
      </c>
      <c r="H1882" s="36" t="str">
        <f>IFERROR(__xludf.DUMMYFUNCTION("""COMPUTED_VALUE"""),"")</f>
        <v/>
      </c>
    </row>
    <row r="1883">
      <c r="A1883" s="36" t="str">
        <f>IFERROR(__xludf.DUMMYFUNCTION("""COMPUTED_VALUE"""),"02-36-11-92")</f>
        <v>02-36-11-92</v>
      </c>
      <c r="B1883" s="36" t="str">
        <f>IFERROR(__xludf.DUMMYFUNCTION("""COMPUTED_VALUE"""),"")</f>
        <v/>
      </c>
      <c r="C1883" s="36" t="str">
        <f>IFERROR(__xludf.DUMMYFUNCTION("""COMPUTED_VALUE"""),"")</f>
        <v/>
      </c>
      <c r="D1883" s="36" t="str">
        <f>IFERROR(__xludf.DUMMYFUNCTION("""COMPUTED_VALUE"""),"")</f>
        <v/>
      </c>
      <c r="E1883" s="36" t="str">
        <f>IFERROR(__xludf.DUMMYFUNCTION("""COMPUTED_VALUE"""),"02-31-06-61A")</f>
        <v>02-31-06-61A</v>
      </c>
      <c r="F1883" s="36"/>
      <c r="G1883" s="36" t="str">
        <f>IFERROR(__xludf.DUMMYFUNCTION("""COMPUTED_VALUE"""),"Mercedario y Sgto. Cabral")</f>
        <v>Mercedario y Sgto. Cabral</v>
      </c>
      <c r="H1883" s="36" t="str">
        <f>IFERROR(__xludf.DUMMYFUNCTION("""COMPUTED_VALUE"""),"")</f>
        <v/>
      </c>
    </row>
    <row r="1884">
      <c r="A1884" s="36" t="str">
        <f>IFERROR(__xludf.DUMMYFUNCTION("""COMPUTED_VALUE"""),"02-36-11-95A")</f>
        <v>02-36-11-95A</v>
      </c>
      <c r="B1884" s="36" t="str">
        <f>IFERROR(__xludf.DUMMYFUNCTION("""COMPUTED_VALUE"""),"")</f>
        <v/>
      </c>
      <c r="C1884" s="36" t="str">
        <f>IFERROR(__xludf.DUMMYFUNCTION("""COMPUTED_VALUE"""),"")</f>
        <v/>
      </c>
      <c r="D1884" s="36" t="str">
        <f>IFERROR(__xludf.DUMMYFUNCTION("""COMPUTED_VALUE"""),"")</f>
        <v/>
      </c>
      <c r="E1884" s="36" t="str">
        <f>IFERROR(__xludf.DUMMYFUNCTION("""COMPUTED_VALUE"""),"04-30-14-147")</f>
        <v>04-30-14-147</v>
      </c>
      <c r="F1884" s="36"/>
      <c r="G1884" s="36" t="str">
        <f>IFERROR(__xludf.DUMMYFUNCTION("""COMPUTED_VALUE"""),"Mir y Callejón Muñóz")</f>
        <v>Mir y Callejón Muñóz</v>
      </c>
      <c r="H1884" s="36" t="str">
        <f>IFERROR(__xludf.DUMMYFUNCTION("""COMPUTED_VALUE"""),"")</f>
        <v/>
      </c>
    </row>
    <row r="1885">
      <c r="A1885" s="36" t="str">
        <f>IFERROR(__xludf.DUMMYFUNCTION("""COMPUTED_VALUE"""),"02-37-11-81B")</f>
        <v>02-37-11-81B</v>
      </c>
      <c r="B1885" s="36" t="str">
        <f>IFERROR(__xludf.DUMMYFUNCTION("""COMPUTED_VALUE"""),"")</f>
        <v/>
      </c>
      <c r="C1885" s="36" t="str">
        <f>IFERROR(__xludf.DUMMYFUNCTION("""COMPUTED_VALUE"""),"")</f>
        <v/>
      </c>
      <c r="D1885" s="36" t="str">
        <f>IFERROR(__xludf.DUMMYFUNCTION("""COMPUTED_VALUE"""),"")</f>
        <v/>
      </c>
      <c r="E1885" s="36" t="str">
        <f>IFERROR(__xludf.DUMMYFUNCTION("""COMPUTED_VALUE"""),"08-28-03-20")</f>
        <v>08-28-03-20</v>
      </c>
      <c r="F1885" s="36"/>
      <c r="G1885" s="36" t="str">
        <f>IFERROR(__xludf.DUMMYFUNCTION("""COMPUTED_VALUE"""),"Misiones e H. Yrigoyen")</f>
        <v>Misiones e H. Yrigoyen</v>
      </c>
      <c r="H1885" s="36" t="str">
        <f>IFERROR(__xludf.DUMMYFUNCTION("""COMPUTED_VALUE"""),"")</f>
        <v/>
      </c>
    </row>
    <row r="1886">
      <c r="A1886" s="36" t="str">
        <f>IFERROR(__xludf.DUMMYFUNCTION("""COMPUTED_VALUE"""),"02-37-11-81C")</f>
        <v>02-37-11-81C</v>
      </c>
      <c r="B1886" s="36" t="str">
        <f>IFERROR(__xludf.DUMMYFUNCTION("""COMPUTED_VALUE"""),"")</f>
        <v/>
      </c>
      <c r="C1886" s="36" t="str">
        <f>IFERROR(__xludf.DUMMYFUNCTION("""COMPUTED_VALUE"""),"")</f>
        <v/>
      </c>
      <c r="D1886" s="36" t="str">
        <f>IFERROR(__xludf.DUMMYFUNCTION("""COMPUTED_VALUE"""),"")</f>
        <v/>
      </c>
      <c r="E1886" s="36" t="str">
        <f>IFERROR(__xludf.DUMMYFUNCTION("""COMPUTED_VALUE"""),"04-33-13-544")</f>
        <v>04-33-13-544</v>
      </c>
      <c r="F1886" s="36"/>
      <c r="G1886" s="36" t="str">
        <f>IFERROR(__xludf.DUMMYFUNCTION("""COMPUTED_VALUE"""),"Misiones y Almirante Brown")</f>
        <v>Misiones y Almirante Brown</v>
      </c>
      <c r="H1886" s="36" t="str">
        <f>IFERROR(__xludf.DUMMYFUNCTION("""COMPUTED_VALUE"""),"")</f>
        <v/>
      </c>
    </row>
    <row r="1887">
      <c r="A1887" s="36" t="str">
        <f>IFERROR(__xludf.DUMMYFUNCTION("""COMPUTED_VALUE"""),"02-39-11-78A")</f>
        <v>02-39-11-78A</v>
      </c>
      <c r="B1887" s="36" t="str">
        <f>IFERROR(__xludf.DUMMYFUNCTION("""COMPUTED_VALUE"""),"")</f>
        <v/>
      </c>
      <c r="C1887" s="36" t="str">
        <f>IFERROR(__xludf.DUMMYFUNCTION("""COMPUTED_VALUE"""),"")</f>
        <v/>
      </c>
      <c r="D1887" s="36" t="str">
        <f>IFERROR(__xludf.DUMMYFUNCTION("""COMPUTED_VALUE"""),"")</f>
        <v/>
      </c>
      <c r="E1887" s="36" t="str">
        <f>IFERROR(__xludf.DUMMYFUNCTION("""COMPUTED_VALUE"""),"04-33-13-545")</f>
        <v>04-33-13-545</v>
      </c>
      <c r="F1887" s="36"/>
      <c r="G1887" s="36" t="str">
        <f>IFERROR(__xludf.DUMMYFUNCTION("""COMPUTED_VALUE"""),"Misiones y Ávila")</f>
        <v>Misiones y Ávila</v>
      </c>
      <c r="H1887" s="36" t="str">
        <f>IFERROR(__xludf.DUMMYFUNCTION("""COMPUTED_VALUE"""),"")</f>
        <v/>
      </c>
    </row>
    <row r="1888">
      <c r="A1888" s="36" t="str">
        <f>IFERROR(__xludf.DUMMYFUNCTION("""COMPUTED_VALUE"""),"02-39-11-79A")</f>
        <v>02-39-11-79A</v>
      </c>
      <c r="B1888" s="36" t="str">
        <f>IFERROR(__xludf.DUMMYFUNCTION("""COMPUTED_VALUE"""),"")</f>
        <v/>
      </c>
      <c r="C1888" s="36" t="str">
        <f>IFERROR(__xludf.DUMMYFUNCTION("""COMPUTED_VALUE"""),"")</f>
        <v/>
      </c>
      <c r="D1888" s="36" t="str">
        <f>IFERROR(__xludf.DUMMYFUNCTION("""COMPUTED_VALUE"""),"")</f>
        <v/>
      </c>
      <c r="E1888" s="36" t="str">
        <f>IFERROR(__xludf.DUMMYFUNCTION("""COMPUTED_VALUE"""),"04-33-13-546")</f>
        <v>04-33-13-546</v>
      </c>
      <c r="F1888" s="36"/>
      <c r="G1888" s="36" t="str">
        <f>IFERROR(__xludf.DUMMYFUNCTION("""COMPUTED_VALUE"""),"Misiones y Cenobia Bustos")</f>
        <v>Misiones y Cenobia Bustos</v>
      </c>
      <c r="H1888" s="36" t="str">
        <f>IFERROR(__xludf.DUMMYFUNCTION("""COMPUTED_VALUE"""),"")</f>
        <v/>
      </c>
    </row>
    <row r="1889">
      <c r="A1889" s="36" t="str">
        <f>IFERROR(__xludf.DUMMYFUNCTION("""COMPUTED_VALUE"""),"02-39-11-80")</f>
        <v>02-39-11-80</v>
      </c>
      <c r="B1889" s="36" t="str">
        <f>IFERROR(__xludf.DUMMYFUNCTION("""COMPUTED_VALUE"""),"")</f>
        <v/>
      </c>
      <c r="C1889" s="36" t="str">
        <f>IFERROR(__xludf.DUMMYFUNCTION("""COMPUTED_VALUE"""),"")</f>
        <v/>
      </c>
      <c r="D1889" s="36" t="str">
        <f>IFERROR(__xludf.DUMMYFUNCTION("""COMPUTED_VALUE"""),"")</f>
        <v/>
      </c>
      <c r="E1889" s="36" t="str">
        <f>IFERROR(__xludf.DUMMYFUNCTION("""COMPUTED_VALUE"""),"08-28-03-22")</f>
        <v>08-28-03-22</v>
      </c>
      <c r="F1889" s="36"/>
      <c r="G1889" s="36" t="str">
        <f>IFERROR(__xludf.DUMMYFUNCTION("""COMPUTED_VALUE"""),"Misiones y Centenario")</f>
        <v>Misiones y Centenario</v>
      </c>
      <c r="H1889" s="36" t="str">
        <f>IFERROR(__xludf.DUMMYFUNCTION("""COMPUTED_VALUE"""),"")</f>
        <v/>
      </c>
    </row>
    <row r="1890">
      <c r="A1890" s="36" t="str">
        <f>IFERROR(__xludf.DUMMYFUNCTION("""COMPUTED_VALUE"""),"02-39-11-80A")</f>
        <v>02-39-11-80A</v>
      </c>
      <c r="B1890" s="36" t="str">
        <f>IFERROR(__xludf.DUMMYFUNCTION("""COMPUTED_VALUE"""),"")</f>
        <v/>
      </c>
      <c r="C1890" s="36" t="str">
        <f>IFERROR(__xludf.DUMMYFUNCTION("""COMPUTED_VALUE"""),"")</f>
        <v/>
      </c>
      <c r="D1890" s="36" t="str">
        <f>IFERROR(__xludf.DUMMYFUNCTION("""COMPUTED_VALUE"""),"")</f>
        <v/>
      </c>
      <c r="E1890" s="36" t="str">
        <f>IFERROR(__xludf.DUMMYFUNCTION("""COMPUTED_VALUE"""),"04-33-13-541A")</f>
        <v>04-33-13-541A</v>
      </c>
      <c r="F1890" s="36"/>
      <c r="G1890" s="36" t="str">
        <f>IFERROR(__xludf.DUMMYFUNCTION("""COMPUTED_VALUE"""),"Misiones y República del Líbano")</f>
        <v>Misiones y República del Líbano</v>
      </c>
      <c r="H1890" s="36" t="str">
        <f>IFERROR(__xludf.DUMMYFUNCTION("""COMPUTED_VALUE"""),"")</f>
        <v/>
      </c>
    </row>
    <row r="1891">
      <c r="A1891" s="36" t="str">
        <f>IFERROR(__xludf.DUMMYFUNCTION("""COMPUTED_VALUE"""),"02-39-11-80B")</f>
        <v>02-39-11-80B</v>
      </c>
      <c r="B1891" s="36" t="str">
        <f>IFERROR(__xludf.DUMMYFUNCTION("""COMPUTED_VALUE"""),"")</f>
        <v/>
      </c>
      <c r="C1891" s="36" t="str">
        <f>IFERROR(__xludf.DUMMYFUNCTION("""COMPUTED_VALUE"""),"")</f>
        <v/>
      </c>
      <c r="D1891" s="36" t="str">
        <f>IFERROR(__xludf.DUMMYFUNCTION("""COMPUTED_VALUE"""),"")</f>
        <v/>
      </c>
      <c r="E1891" s="36" t="str">
        <f>IFERROR(__xludf.DUMMYFUNCTION("""COMPUTED_VALUE"""),"04-33-13-543")</f>
        <v>04-33-13-543</v>
      </c>
      <c r="F1891" s="36"/>
      <c r="G1891" s="36" t="str">
        <f>IFERROR(__xludf.DUMMYFUNCTION("""COMPUTED_VALUE"""),"Misiones y San Martín")</f>
        <v>Misiones y San Martín</v>
      </c>
      <c r="H1891" s="36" t="str">
        <f>IFERROR(__xludf.DUMMYFUNCTION("""COMPUTED_VALUE"""),"")</f>
        <v/>
      </c>
    </row>
    <row r="1892">
      <c r="A1892" s="36" t="str">
        <f>IFERROR(__xludf.DUMMYFUNCTION("""COMPUTED_VALUE"""),"02-39-11-80D")</f>
        <v>02-39-11-80D</v>
      </c>
      <c r="B1892" s="36" t="str">
        <f>IFERROR(__xludf.DUMMYFUNCTION("""COMPUTED_VALUE"""),"")</f>
        <v/>
      </c>
      <c r="C1892" s="36" t="str">
        <f>IFERROR(__xludf.DUMMYFUNCTION("""COMPUTED_VALUE"""),"")</f>
        <v/>
      </c>
      <c r="D1892" s="36" t="str">
        <f>IFERROR(__xludf.DUMMYFUNCTION("""COMPUTED_VALUE"""),"")</f>
        <v/>
      </c>
      <c r="E1892" s="36" t="str">
        <f>IFERROR(__xludf.DUMMYFUNCTION("""COMPUTED_VALUE"""),"02-28-06-101")</f>
        <v>02-28-06-101</v>
      </c>
      <c r="F1892" s="36"/>
      <c r="G1892" s="36" t="str">
        <f>IFERROR(__xludf.DUMMYFUNCTION("""COMPUTED_VALUE"""),"Molina y Cipolletti ")</f>
        <v>Molina y Cipolletti </v>
      </c>
      <c r="H1892" s="36" t="str">
        <f>IFERROR(__xludf.DUMMYFUNCTION("""COMPUTED_VALUE"""),"")</f>
        <v/>
      </c>
    </row>
    <row r="1893">
      <c r="A1893" s="36" t="str">
        <f>IFERROR(__xludf.DUMMYFUNCTION("""COMPUTED_VALUE"""),"02-39-11-81D")</f>
        <v>02-39-11-81D</v>
      </c>
      <c r="B1893" s="36" t="str">
        <f>IFERROR(__xludf.DUMMYFUNCTION("""COMPUTED_VALUE"""),"")</f>
        <v/>
      </c>
      <c r="C1893" s="36" t="str">
        <f>IFERROR(__xludf.DUMMYFUNCTION("""COMPUTED_VALUE"""),"")</f>
        <v/>
      </c>
      <c r="D1893" s="36" t="str">
        <f>IFERROR(__xludf.DUMMYFUNCTION("""COMPUTED_VALUE"""),"")</f>
        <v/>
      </c>
      <c r="E1893" s="36" t="str">
        <f>IFERROR(__xludf.DUMMYFUNCTION("""COMPUTED_VALUE"""),"01-27-08-52M")</f>
        <v>01-27-08-52M</v>
      </c>
      <c r="F1893" s="36"/>
      <c r="G1893" s="36" t="str">
        <f>IFERROR(__xludf.DUMMYFUNCTION("""COMPUTED_VALUE"""),"Monteagudo y Jujuy")</f>
        <v>Monteagudo y Jujuy</v>
      </c>
      <c r="H1893" s="36" t="str">
        <f>IFERROR(__xludf.DUMMYFUNCTION("""COMPUTED_VALUE"""),"")</f>
        <v/>
      </c>
    </row>
    <row r="1894">
      <c r="A1894" s="36" t="str">
        <f>IFERROR(__xludf.DUMMYFUNCTION("""COMPUTED_VALUE"""),"02-39-11-81F")</f>
        <v>02-39-11-81F</v>
      </c>
      <c r="B1894" s="36" t="str">
        <f>IFERROR(__xludf.DUMMYFUNCTION("""COMPUTED_VALUE"""),"")</f>
        <v/>
      </c>
      <c r="C1894" s="36" t="str">
        <f>IFERROR(__xludf.DUMMYFUNCTION("""COMPUTED_VALUE"""),"")</f>
        <v/>
      </c>
      <c r="D1894" s="36" t="str">
        <f>IFERROR(__xludf.DUMMYFUNCTION("""COMPUTED_VALUE"""),"")</f>
        <v/>
      </c>
      <c r="E1894" s="36" t="str">
        <f>IFERROR(__xludf.DUMMYFUNCTION("""COMPUTED_VALUE"""),"04-30-14-94")</f>
        <v>04-30-14-94</v>
      </c>
      <c r="F1894" s="36"/>
      <c r="G1894" s="36" t="str">
        <f>IFERROR(__xludf.DUMMYFUNCTION("""COMPUTED_VALUE"""),"Montevideo y Gral. Acha")</f>
        <v>Montevideo y Gral. Acha</v>
      </c>
      <c r="H1894" s="36" t="str">
        <f>IFERROR(__xludf.DUMMYFUNCTION("""COMPUTED_VALUE"""),"")</f>
        <v/>
      </c>
    </row>
    <row r="1895">
      <c r="A1895" s="36" t="str">
        <f>IFERROR(__xludf.DUMMYFUNCTION("""COMPUTED_VALUE"""),"02-40-11-111")</f>
        <v>02-40-11-111</v>
      </c>
      <c r="B1895" s="36" t="str">
        <f>IFERROR(__xludf.DUMMYFUNCTION("""COMPUTED_VALUE"""),"")</f>
        <v/>
      </c>
      <c r="C1895" s="36" t="str">
        <f>IFERROR(__xludf.DUMMYFUNCTION("""COMPUTED_VALUE"""),"")</f>
        <v/>
      </c>
      <c r="D1895" s="36" t="str">
        <f>IFERROR(__xludf.DUMMYFUNCTION("""COMPUTED_VALUE"""),"")</f>
        <v/>
      </c>
      <c r="E1895" s="36" t="str">
        <f>IFERROR(__xludf.DUMMYFUNCTION("""COMPUTED_VALUE"""),"04-30-14-90")</f>
        <v>04-30-14-90</v>
      </c>
      <c r="F1895" s="36"/>
      <c r="G1895" s="36" t="str">
        <f>IFERROR(__xludf.DUMMYFUNCTION("""COMPUTED_VALUE"""),"Montevideo y Pérez Esquivel -N")</f>
        <v>Montevideo y Pérez Esquivel -N</v>
      </c>
      <c r="H1895" s="36" t="str">
        <f>IFERROR(__xludf.DUMMYFUNCTION("""COMPUTED_VALUE"""),"")</f>
        <v/>
      </c>
    </row>
    <row r="1896">
      <c r="A1896" s="36" t="str">
        <f>IFERROR(__xludf.DUMMYFUNCTION("""COMPUTED_VALUE"""),"02-40-11-112")</f>
        <v>02-40-11-112</v>
      </c>
      <c r="B1896" s="36" t="str">
        <f>IFERROR(__xludf.DUMMYFUNCTION("""COMPUTED_VALUE"""),"")</f>
        <v/>
      </c>
      <c r="C1896" s="36" t="str">
        <f>IFERROR(__xludf.DUMMYFUNCTION("""COMPUTED_VALUE"""),"")</f>
        <v/>
      </c>
      <c r="D1896" s="36" t="str">
        <f>IFERROR(__xludf.DUMMYFUNCTION("""COMPUTED_VALUE"""),"")</f>
        <v/>
      </c>
      <c r="E1896" s="36" t="str">
        <f>IFERROR(__xludf.DUMMYFUNCTION("""COMPUTED_VALUE"""),"04-30-14-91")</f>
        <v>04-30-14-91</v>
      </c>
      <c r="F1896" s="36"/>
      <c r="G1896" s="36" t="str">
        <f>IFERROR(__xludf.DUMMYFUNCTION("""COMPUTED_VALUE"""),"Montevideo y Pérez Esquivel -S")</f>
        <v>Montevideo y Pérez Esquivel -S</v>
      </c>
      <c r="H1896" s="36" t="str">
        <f>IFERROR(__xludf.DUMMYFUNCTION("""COMPUTED_VALUE"""),"")</f>
        <v/>
      </c>
    </row>
    <row r="1897">
      <c r="A1897" s="36" t="str">
        <f>IFERROR(__xludf.DUMMYFUNCTION("""COMPUTED_VALUE"""),"02-40-11-113")</f>
        <v>02-40-11-113</v>
      </c>
      <c r="B1897" s="36" t="str">
        <f>IFERROR(__xludf.DUMMYFUNCTION("""COMPUTED_VALUE"""),"")</f>
        <v/>
      </c>
      <c r="C1897" s="36" t="str">
        <f>IFERROR(__xludf.DUMMYFUNCTION("""COMPUTED_VALUE"""),"")</f>
        <v/>
      </c>
      <c r="D1897" s="36" t="str">
        <f>IFERROR(__xludf.DUMMYFUNCTION("""COMPUTED_VALUE"""),"")</f>
        <v/>
      </c>
      <c r="E1897" s="36" t="str">
        <f>IFERROR(__xludf.DUMMYFUNCTION("""COMPUTED_VALUE"""),"04-30-14-92")</f>
        <v>04-30-14-92</v>
      </c>
      <c r="F1897" s="36"/>
      <c r="G1897" s="36" t="str">
        <f>IFERROR(__xludf.DUMMYFUNCTION("""COMPUTED_VALUE"""),"Montevideo y René Favaloro -N")</f>
        <v>Montevideo y René Favaloro -N</v>
      </c>
      <c r="H1897" s="36" t="str">
        <f>IFERROR(__xludf.DUMMYFUNCTION("""COMPUTED_VALUE"""),"")</f>
        <v/>
      </c>
    </row>
    <row r="1898">
      <c r="A1898" s="36" t="str">
        <f>IFERROR(__xludf.DUMMYFUNCTION("""COMPUTED_VALUE"""),"02-40-11-113A")</f>
        <v>02-40-11-113A</v>
      </c>
      <c r="B1898" s="36" t="str">
        <f>IFERROR(__xludf.DUMMYFUNCTION("""COMPUTED_VALUE"""),"")</f>
        <v/>
      </c>
      <c r="C1898" s="36" t="str">
        <f>IFERROR(__xludf.DUMMYFUNCTION("""COMPUTED_VALUE"""),"")</f>
        <v/>
      </c>
      <c r="D1898" s="36" t="str">
        <f>IFERROR(__xludf.DUMMYFUNCTION("""COMPUTED_VALUE"""),"")</f>
        <v/>
      </c>
      <c r="E1898" s="36" t="str">
        <f>IFERROR(__xludf.DUMMYFUNCTION("""COMPUTED_VALUE"""),"04-30-14-93")</f>
        <v>04-30-14-93</v>
      </c>
      <c r="F1898" s="36"/>
      <c r="G1898" s="36" t="str">
        <f>IFERROR(__xludf.DUMMYFUNCTION("""COMPUTED_VALUE"""),"Montevideo y René Favaloro -S")</f>
        <v>Montevideo y René Favaloro -S</v>
      </c>
      <c r="H1898" s="36" t="str">
        <f>IFERROR(__xludf.DUMMYFUNCTION("""COMPUTED_VALUE"""),"")</f>
        <v/>
      </c>
    </row>
    <row r="1899">
      <c r="A1899" s="36" t="str">
        <f>IFERROR(__xludf.DUMMYFUNCTION("""COMPUTED_VALUE"""),"02-40-11-114")</f>
        <v>02-40-11-114</v>
      </c>
      <c r="B1899" s="36" t="str">
        <f>IFERROR(__xludf.DUMMYFUNCTION("""COMPUTED_VALUE"""),"")</f>
        <v/>
      </c>
      <c r="C1899" s="36" t="str">
        <f>IFERROR(__xludf.DUMMYFUNCTION("""COMPUTED_VALUE"""),"")</f>
        <v/>
      </c>
      <c r="D1899" s="36" t="str">
        <f>IFERROR(__xludf.DUMMYFUNCTION("""COMPUTED_VALUE"""),"")</f>
        <v/>
      </c>
      <c r="E1899" s="36" t="str">
        <f>IFERROR(__xludf.DUMMYFUNCTION("""COMPUTED_VALUE"""),"02-46-11-3")</f>
        <v>02-46-11-3</v>
      </c>
      <c r="F1899" s="36"/>
      <c r="G1899" s="36" t="str">
        <f>IFERROR(__xludf.DUMMYFUNCTION("""COMPUTED_VALUE"""),"Morón Este")</f>
        <v>Morón Este</v>
      </c>
      <c r="H1899" s="36" t="str">
        <f>IFERROR(__xludf.DUMMYFUNCTION("""COMPUTED_VALUE"""),"")</f>
        <v/>
      </c>
    </row>
    <row r="1900">
      <c r="A1900" s="36" t="str">
        <f>IFERROR(__xludf.DUMMYFUNCTION("""COMPUTED_VALUE"""),"02-40-11-114A")</f>
        <v>02-40-11-114A</v>
      </c>
      <c r="B1900" s="36" t="str">
        <f>IFERROR(__xludf.DUMMYFUNCTION("""COMPUTED_VALUE"""),"")</f>
        <v/>
      </c>
      <c r="C1900" s="36" t="str">
        <f>IFERROR(__xludf.DUMMYFUNCTION("""COMPUTED_VALUE"""),"")</f>
        <v/>
      </c>
      <c r="D1900" s="36" t="str">
        <f>IFERROR(__xludf.DUMMYFUNCTION("""COMPUTED_VALUE"""),"")</f>
        <v/>
      </c>
      <c r="E1900" s="36" t="str">
        <f>IFERROR(__xludf.DUMMYFUNCTION("""COMPUTED_VALUE"""),"02-34-11-3A")</f>
        <v>02-34-11-3A</v>
      </c>
      <c r="F1900" s="36"/>
      <c r="G1900" s="36" t="str">
        <f>IFERROR(__xludf.DUMMYFUNCTION("""COMPUTED_VALUE"""),"Morón Oeste")</f>
        <v>Morón Oeste</v>
      </c>
      <c r="H1900" s="36" t="str">
        <f>IFERROR(__xludf.DUMMYFUNCTION("""COMPUTED_VALUE"""),"")</f>
        <v/>
      </c>
    </row>
    <row r="1901">
      <c r="A1901" s="36" t="str">
        <f>IFERROR(__xludf.DUMMYFUNCTION("""COMPUTED_VALUE"""),"02-40-11-115")</f>
        <v>02-40-11-115</v>
      </c>
      <c r="B1901" s="36" t="str">
        <f>IFERROR(__xludf.DUMMYFUNCTION("""COMPUTED_VALUE"""),"")</f>
        <v/>
      </c>
      <c r="C1901" s="36" t="str">
        <f>IFERROR(__xludf.DUMMYFUNCTION("""COMPUTED_VALUE"""),"")</f>
        <v/>
      </c>
      <c r="D1901" s="36" t="str">
        <f>IFERROR(__xludf.DUMMYFUNCTION("""COMPUTED_VALUE"""),"")</f>
        <v/>
      </c>
      <c r="E1901" s="36" t="str">
        <f>IFERROR(__xludf.DUMMYFUNCTION("""COMPUTED_VALUE"""),"02-34-11-5")</f>
        <v>02-34-11-5</v>
      </c>
      <c r="F1901" s="36"/>
      <c r="G1901" s="36" t="str">
        <f>IFERROR(__xludf.DUMMYFUNCTION("""COMPUTED_VALUE"""),"Morón y Agustin Roberto")</f>
        <v>Morón y Agustin Roberto</v>
      </c>
      <c r="H1901" s="36" t="str">
        <f>IFERROR(__xludf.DUMMYFUNCTION("""COMPUTED_VALUE"""),"")</f>
        <v/>
      </c>
    </row>
    <row r="1902">
      <c r="A1902" s="36" t="str">
        <f>IFERROR(__xludf.DUMMYFUNCTION("""COMPUTED_VALUE"""),"02-40-11-115A")</f>
        <v>02-40-11-115A</v>
      </c>
      <c r="B1902" s="36" t="str">
        <f>IFERROR(__xludf.DUMMYFUNCTION("""COMPUTED_VALUE"""),"")</f>
        <v/>
      </c>
      <c r="C1902" s="36" t="str">
        <f>IFERROR(__xludf.DUMMYFUNCTION("""COMPUTED_VALUE"""),"")</f>
        <v/>
      </c>
      <c r="D1902" s="36" t="str">
        <f>IFERROR(__xludf.DUMMYFUNCTION("""COMPUTED_VALUE"""),"")</f>
        <v/>
      </c>
      <c r="E1902" s="36" t="str">
        <f>IFERROR(__xludf.DUMMYFUNCTION("""COMPUTED_VALUE"""),"02-34-11-4")</f>
        <v>02-34-11-4</v>
      </c>
      <c r="F1902" s="36"/>
      <c r="G1902" s="36" t="str">
        <f>IFERROR(__xludf.DUMMYFUNCTION("""COMPUTED_VALUE"""),"Morón y Atencio")</f>
        <v>Morón y Atencio</v>
      </c>
      <c r="H1902" s="36" t="str">
        <f>IFERROR(__xludf.DUMMYFUNCTION("""COMPUTED_VALUE"""),"")</f>
        <v/>
      </c>
    </row>
    <row r="1903">
      <c r="A1903" s="36" t="str">
        <f>IFERROR(__xludf.DUMMYFUNCTION("""COMPUTED_VALUE"""),"02-40-11-116")</f>
        <v>02-40-11-116</v>
      </c>
      <c r="B1903" s="36" t="str">
        <f>IFERROR(__xludf.DUMMYFUNCTION("""COMPUTED_VALUE"""),"")</f>
        <v/>
      </c>
      <c r="C1903" s="36" t="str">
        <f>IFERROR(__xludf.DUMMYFUNCTION("""COMPUTED_VALUE"""),"")</f>
        <v/>
      </c>
      <c r="D1903" s="36" t="str">
        <f>IFERROR(__xludf.DUMMYFUNCTION("""COMPUTED_VALUE"""),"")</f>
        <v/>
      </c>
      <c r="E1903" s="36" t="str">
        <f>IFERROR(__xludf.DUMMYFUNCTION("""COMPUTED_VALUE"""),"02-34-11-2")</f>
        <v>02-34-11-2</v>
      </c>
      <c r="F1903" s="36"/>
      <c r="G1903" s="36" t="str">
        <f>IFERROR(__xludf.DUMMYFUNCTION("""COMPUTED_VALUE"""),"Morón y Av. Libertador")</f>
        <v>Morón y Av. Libertador</v>
      </c>
      <c r="H1903" s="36" t="str">
        <f>IFERROR(__xludf.DUMMYFUNCTION("""COMPUTED_VALUE"""),"")</f>
        <v/>
      </c>
    </row>
    <row r="1904">
      <c r="A1904" s="36" t="str">
        <f>IFERROR(__xludf.DUMMYFUNCTION("""COMPUTED_VALUE"""),"02-40-11-116A")</f>
        <v>02-40-11-116A</v>
      </c>
      <c r="B1904" s="36" t="str">
        <f>IFERROR(__xludf.DUMMYFUNCTION("""COMPUTED_VALUE"""),"")</f>
        <v/>
      </c>
      <c r="C1904" s="36" t="str">
        <f>IFERROR(__xludf.DUMMYFUNCTION("""COMPUTED_VALUE"""),"")</f>
        <v/>
      </c>
      <c r="D1904" s="36" t="str">
        <f>IFERROR(__xludf.DUMMYFUNCTION("""COMPUTED_VALUE"""),"")</f>
        <v/>
      </c>
      <c r="E1904" s="36" t="str">
        <f>IFERROR(__xludf.DUMMYFUNCTION("""COMPUTED_VALUE"""),"02-34-11-6")</f>
        <v>02-34-11-6</v>
      </c>
      <c r="F1904" s="36"/>
      <c r="G1904" s="36" t="str">
        <f>IFERROR(__xludf.DUMMYFUNCTION("""COMPUTED_VALUE"""),"Morón y Tierra del Fuego")</f>
        <v>Morón y Tierra del Fuego</v>
      </c>
      <c r="H1904" s="36" t="str">
        <f>IFERROR(__xludf.DUMMYFUNCTION("""COMPUTED_VALUE"""),"")</f>
        <v/>
      </c>
    </row>
    <row r="1905">
      <c r="A1905" s="36" t="str">
        <f>IFERROR(__xludf.DUMMYFUNCTION("""COMPUTED_VALUE"""),"02-40-11-117A")</f>
        <v>02-40-11-117A</v>
      </c>
      <c r="B1905" s="36" t="str">
        <f>IFERROR(__xludf.DUMMYFUNCTION("""COMPUTED_VALUE"""),"")</f>
        <v/>
      </c>
      <c r="C1905" s="36" t="str">
        <f>IFERROR(__xludf.DUMMYFUNCTION("""COMPUTED_VALUE"""),"")</f>
        <v/>
      </c>
      <c r="D1905" s="36" t="str">
        <f>IFERROR(__xludf.DUMMYFUNCTION("""COMPUTED_VALUE"""),"")</f>
        <v/>
      </c>
      <c r="E1905" s="36" t="str">
        <f>IFERROR(__xludf.DUMMYFUNCTION("""COMPUTED_VALUE"""),"01-43-07-38A")</f>
        <v>01-43-07-38A</v>
      </c>
      <c r="F1905" s="36"/>
      <c r="G1905" s="36" t="str">
        <f>IFERROR(__xludf.DUMMYFUNCTION("""COMPUTED_VALUE"""),"Museo Franklin Rawson")</f>
        <v>Museo Franklin Rawson</v>
      </c>
      <c r="H1905" s="36" t="str">
        <f>IFERROR(__xludf.DUMMYFUNCTION("""COMPUTED_VALUE"""),"")</f>
        <v/>
      </c>
    </row>
    <row r="1906">
      <c r="A1906" s="36" t="str">
        <f>IFERROR(__xludf.DUMMYFUNCTION("""COMPUTED_VALUE"""),"02-40-11-117C")</f>
        <v>02-40-11-117C</v>
      </c>
      <c r="B1906" s="36" t="str">
        <f>IFERROR(__xludf.DUMMYFUNCTION("""COMPUTED_VALUE"""),"")</f>
        <v/>
      </c>
      <c r="C1906" s="36" t="str">
        <f>IFERROR(__xludf.DUMMYFUNCTION("""COMPUTED_VALUE"""),"")</f>
        <v/>
      </c>
      <c r="D1906" s="36" t="str">
        <f>IFERROR(__xludf.DUMMYFUNCTION("""COMPUTED_VALUE"""),"")</f>
        <v/>
      </c>
      <c r="E1906" s="36" t="str">
        <f>IFERROR(__xludf.DUMMYFUNCTION("""COMPUTED_VALUE"""),"02-29-07-105")</f>
        <v>02-29-07-105</v>
      </c>
      <c r="F1906" s="36"/>
      <c r="G1906" s="36" t="str">
        <f>IFERROR(__xludf.DUMMYFUNCTION("""COMPUTED_VALUE"""),"Músicos RIM 22 y Bolívar")</f>
        <v>Músicos RIM 22 y Bolívar</v>
      </c>
      <c r="H1906" s="36" t="str">
        <f>IFERROR(__xludf.DUMMYFUNCTION("""COMPUTED_VALUE"""),"")</f>
        <v/>
      </c>
    </row>
    <row r="1907">
      <c r="A1907" s="36" t="str">
        <f>IFERROR(__xludf.DUMMYFUNCTION("""COMPUTED_VALUE"""),"02-40-11-78")</f>
        <v>02-40-11-78</v>
      </c>
      <c r="B1907" s="36" t="str">
        <f>IFERROR(__xludf.DUMMYFUNCTION("""COMPUTED_VALUE"""),"")</f>
        <v/>
      </c>
      <c r="C1907" s="36" t="str">
        <f>IFERROR(__xludf.DUMMYFUNCTION("""COMPUTED_VALUE"""),"")</f>
        <v/>
      </c>
      <c r="D1907" s="36" t="str">
        <f>IFERROR(__xludf.DUMMYFUNCTION("""COMPUTED_VALUE"""),"")</f>
        <v/>
      </c>
      <c r="E1907" s="36" t="str">
        <f>IFERROR(__xludf.DUMMYFUNCTION("""COMPUTED_VALUE"""),"02-29-07-107")</f>
        <v>02-29-07-107</v>
      </c>
      <c r="F1907" s="36"/>
      <c r="G1907" s="36" t="str">
        <f>IFERROR(__xludf.DUMMYFUNCTION("""COMPUTED_VALUE"""),"Músicos RIM 22 y Virgen de Lourdes")</f>
        <v>Músicos RIM 22 y Virgen de Lourdes</v>
      </c>
      <c r="H1907" s="36" t="str">
        <f>IFERROR(__xludf.DUMMYFUNCTION("""COMPUTED_VALUE"""),"")</f>
        <v/>
      </c>
    </row>
    <row r="1908">
      <c r="A1908" s="36" t="str">
        <f>IFERROR(__xludf.DUMMYFUNCTION("""COMPUTED_VALUE"""),"02-40-11-79")</f>
        <v>02-40-11-79</v>
      </c>
      <c r="B1908" s="36" t="str">
        <f>IFERROR(__xludf.DUMMYFUNCTION("""COMPUTED_VALUE"""),"")</f>
        <v/>
      </c>
      <c r="C1908" s="36" t="str">
        <f>IFERROR(__xludf.DUMMYFUNCTION("""COMPUTED_VALUE"""),"")</f>
        <v/>
      </c>
      <c r="D1908" s="36" t="str">
        <f>IFERROR(__xludf.DUMMYFUNCTION("""COMPUTED_VALUE"""),"")</f>
        <v/>
      </c>
      <c r="E1908" s="36" t="str">
        <f>IFERROR(__xludf.DUMMYFUNCTION("""COMPUTED_VALUE"""),"03-34-10-50")</f>
        <v>03-34-10-50</v>
      </c>
      <c r="F1908" s="36"/>
      <c r="G1908" s="36" t="str">
        <f>IFERROR(__xludf.DUMMYFUNCTION("""COMPUTED_VALUE"""),"Natania 24")</f>
        <v>Natania 24</v>
      </c>
      <c r="H1908" s="36" t="str">
        <f>IFERROR(__xludf.DUMMYFUNCTION("""COMPUTED_VALUE"""),"")</f>
        <v/>
      </c>
    </row>
    <row r="1909">
      <c r="A1909" s="36" t="str">
        <f>IFERROR(__xludf.DUMMYFUNCTION("""COMPUTED_VALUE"""),"02-40-11-80C")</f>
        <v>02-40-11-80C</v>
      </c>
      <c r="B1909" s="36" t="str">
        <f>IFERROR(__xludf.DUMMYFUNCTION("""COMPUTED_VALUE"""),"")</f>
        <v/>
      </c>
      <c r="C1909" s="36" t="str">
        <f>IFERROR(__xludf.DUMMYFUNCTION("""COMPUTED_VALUE"""),"")</f>
        <v/>
      </c>
      <c r="D1909" s="36" t="str">
        <f>IFERROR(__xludf.DUMMYFUNCTION("""COMPUTED_VALUE"""),"")</f>
        <v/>
      </c>
      <c r="E1909" s="36" t="str">
        <f>IFERROR(__xludf.DUMMYFUNCTION("""COMPUTED_VALUE"""),"04-34-12-45")</f>
        <v>04-34-12-45</v>
      </c>
      <c r="F1909" s="36"/>
      <c r="G1909" s="36" t="str">
        <f>IFERROR(__xludf.DUMMYFUNCTION("""COMPUTED_VALUE"""),"Nazca y Franklin Rawson Norte")</f>
        <v>Nazca y Franklin Rawson Norte</v>
      </c>
      <c r="H1909" s="36" t="str">
        <f>IFERROR(__xludf.DUMMYFUNCTION("""COMPUTED_VALUE"""),"")</f>
        <v/>
      </c>
    </row>
    <row r="1910">
      <c r="A1910" s="36" t="str">
        <f>IFERROR(__xludf.DUMMYFUNCTION("""COMPUTED_VALUE"""),"02-40-11-80E")</f>
        <v>02-40-11-80E</v>
      </c>
      <c r="B1910" s="36" t="str">
        <f>IFERROR(__xludf.DUMMYFUNCTION("""COMPUTED_VALUE"""),"")</f>
        <v/>
      </c>
      <c r="C1910" s="36" t="str">
        <f>IFERROR(__xludf.DUMMYFUNCTION("""COMPUTED_VALUE"""),"")</f>
        <v/>
      </c>
      <c r="D1910" s="36" t="str">
        <f>IFERROR(__xludf.DUMMYFUNCTION("""COMPUTED_VALUE"""),"")</f>
        <v/>
      </c>
      <c r="E1910" s="36" t="str">
        <f>IFERROR(__xludf.DUMMYFUNCTION("""COMPUTED_VALUE"""),"04-34-12-44")</f>
        <v>04-34-12-44</v>
      </c>
      <c r="F1910" s="36"/>
      <c r="G1910" s="36" t="str">
        <f>IFERROR(__xludf.DUMMYFUNCTION("""COMPUTED_VALUE"""),"Nazca y Franklin Rawson Sur")</f>
        <v>Nazca y Franklin Rawson Sur</v>
      </c>
      <c r="H1910" s="36" t="str">
        <f>IFERROR(__xludf.DUMMYFUNCTION("""COMPUTED_VALUE"""),"")</f>
        <v/>
      </c>
    </row>
    <row r="1911">
      <c r="A1911" s="36" t="str">
        <f>IFERROR(__xludf.DUMMYFUNCTION("""COMPUTED_VALUE"""),"02-40-11-81")</f>
        <v>02-40-11-81</v>
      </c>
      <c r="B1911" s="36" t="str">
        <f>IFERROR(__xludf.DUMMYFUNCTION("""COMPUTED_VALUE"""),"")</f>
        <v/>
      </c>
      <c r="C1911" s="36" t="str">
        <f>IFERROR(__xludf.DUMMYFUNCTION("""COMPUTED_VALUE"""),"")</f>
        <v/>
      </c>
      <c r="D1911" s="36" t="str">
        <f>IFERROR(__xludf.DUMMYFUNCTION("""COMPUTED_VALUE"""),"")</f>
        <v/>
      </c>
      <c r="E1911" s="36" t="str">
        <f>IFERROR(__xludf.DUMMYFUNCTION("""COMPUTED_VALUE"""),"04-34-12-46")</f>
        <v>04-34-12-46</v>
      </c>
      <c r="F1911" s="36"/>
      <c r="G1911" s="36" t="str">
        <f>IFERROR(__xludf.DUMMYFUNCTION("""COMPUTED_VALUE"""),"Nazca y Jachal")</f>
        <v>Nazca y Jachal</v>
      </c>
      <c r="H1911" s="36" t="str">
        <f>IFERROR(__xludf.DUMMYFUNCTION("""COMPUTED_VALUE"""),"")</f>
        <v/>
      </c>
    </row>
    <row r="1912">
      <c r="A1912" s="36" t="str">
        <f>IFERROR(__xludf.DUMMYFUNCTION("""COMPUTED_VALUE"""),"02-40-11-81C")</f>
        <v>02-40-11-81C</v>
      </c>
      <c r="B1912" s="36" t="str">
        <f>IFERROR(__xludf.DUMMYFUNCTION("""COMPUTED_VALUE"""),"")</f>
        <v/>
      </c>
      <c r="C1912" s="36" t="str">
        <f>IFERROR(__xludf.DUMMYFUNCTION("""COMPUTED_VALUE"""),"")</f>
        <v/>
      </c>
      <c r="D1912" s="36" t="str">
        <f>IFERROR(__xludf.DUMMYFUNCTION("""COMPUTED_VALUE"""),"")</f>
        <v/>
      </c>
      <c r="E1912" s="36" t="str">
        <f>IFERROR(__xludf.DUMMYFUNCTION("""COMPUTED_VALUE"""),"04-34-12-43")</f>
        <v>04-34-12-43</v>
      </c>
      <c r="F1912" s="36"/>
      <c r="G1912" s="36" t="str">
        <f>IFERROR(__xludf.DUMMYFUNCTION("""COMPUTED_VALUE"""),"Nazca y Paula Albarracín")</f>
        <v>Nazca y Paula Albarracín</v>
      </c>
      <c r="H1912" s="36" t="str">
        <f>IFERROR(__xludf.DUMMYFUNCTION("""COMPUTED_VALUE"""),"")</f>
        <v/>
      </c>
    </row>
    <row r="1913">
      <c r="A1913" s="36" t="str">
        <f>IFERROR(__xludf.DUMMYFUNCTION("""COMPUTED_VALUE"""),"02-40-11-81E")</f>
        <v>02-40-11-81E</v>
      </c>
      <c r="B1913" s="36" t="str">
        <f>IFERROR(__xludf.DUMMYFUNCTION("""COMPUTED_VALUE"""),"")</f>
        <v/>
      </c>
      <c r="C1913" s="36" t="str">
        <f>IFERROR(__xludf.DUMMYFUNCTION("""COMPUTED_VALUE"""),"")</f>
        <v/>
      </c>
      <c r="D1913" s="36" t="str">
        <f>IFERROR(__xludf.DUMMYFUNCTION("""COMPUTED_VALUE"""),"")</f>
        <v/>
      </c>
      <c r="E1913" s="36" t="str">
        <f>IFERROR(__xludf.DUMMYFUNCTION("""COMPUTED_VALUE"""),"03-20-04-93")</f>
        <v>03-20-04-93</v>
      </c>
      <c r="F1913" s="36"/>
      <c r="G1913" s="36" t="str">
        <f>IFERROR(__xludf.DUMMYFUNCTION("""COMPUTED_VALUE"""),"Necochea y Av. N. Benavídez")</f>
        <v>Necochea y Av. N. Benavídez</v>
      </c>
      <c r="H1913" s="36" t="str">
        <f>IFERROR(__xludf.DUMMYFUNCTION("""COMPUTED_VALUE"""),"")</f>
        <v/>
      </c>
    </row>
    <row r="1914">
      <c r="A1914" s="36" t="str">
        <f>IFERROR(__xludf.DUMMYFUNCTION("""COMPUTED_VALUE"""),"02-40-11-82")</f>
        <v>02-40-11-82</v>
      </c>
      <c r="B1914" s="36" t="str">
        <f>IFERROR(__xludf.DUMMYFUNCTION("""COMPUTED_VALUE"""),"")</f>
        <v/>
      </c>
      <c r="C1914" s="36" t="str">
        <f>IFERROR(__xludf.DUMMYFUNCTION("""COMPUTED_VALUE"""),"")</f>
        <v/>
      </c>
      <c r="D1914" s="36" t="str">
        <f>IFERROR(__xludf.DUMMYFUNCTION("""COMPUTED_VALUE"""),"")</f>
        <v/>
      </c>
      <c r="E1914" s="36" t="str">
        <f>IFERROR(__xludf.DUMMYFUNCTION("""COMPUTED_VALUE"""),"01-26-09-116C")</f>
        <v>01-26-09-116C</v>
      </c>
      <c r="F1914" s="36"/>
      <c r="G1914" s="36" t="str">
        <f>IFERROR(__xludf.DUMMYFUNCTION("""COMPUTED_VALUE"""),"Necochea y Cabral")</f>
        <v>Necochea y Cabral</v>
      </c>
      <c r="H1914" s="36" t="str">
        <f>IFERROR(__xludf.DUMMYFUNCTION("""COMPUTED_VALUE"""),"")</f>
        <v/>
      </c>
    </row>
    <row r="1915">
      <c r="A1915" s="36" t="str">
        <f>IFERROR(__xludf.DUMMYFUNCTION("""COMPUTED_VALUE"""),"02-40-11-82C")</f>
        <v>02-40-11-82C</v>
      </c>
      <c r="B1915" s="36" t="str">
        <f>IFERROR(__xludf.DUMMYFUNCTION("""COMPUTED_VALUE"""),"")</f>
        <v/>
      </c>
      <c r="C1915" s="36" t="str">
        <f>IFERROR(__xludf.DUMMYFUNCTION("""COMPUTED_VALUE"""),"")</f>
        <v/>
      </c>
      <c r="D1915" s="36" t="str">
        <f>IFERROR(__xludf.DUMMYFUNCTION("""COMPUTED_VALUE"""),"")</f>
        <v/>
      </c>
      <c r="E1915" s="36" t="str">
        <f>IFERROR(__xludf.DUMMYFUNCTION("""COMPUTED_VALUE"""),"08-23-04-65")</f>
        <v>08-23-04-65</v>
      </c>
      <c r="F1915" s="36"/>
      <c r="G1915" s="36" t="str">
        <f>IFERROR(__xludf.DUMMYFUNCTION("""COMPUTED_VALUE"""),"Necochea y Callejón E")</f>
        <v>Necochea y Callejón E</v>
      </c>
      <c r="H1915" s="36" t="str">
        <f>IFERROR(__xludf.DUMMYFUNCTION("""COMPUTED_VALUE"""),"")</f>
        <v/>
      </c>
    </row>
    <row r="1916">
      <c r="A1916" s="36" t="str">
        <f>IFERROR(__xludf.DUMMYFUNCTION("""COMPUTED_VALUE"""),"02-40-11-82E")</f>
        <v>02-40-11-82E</v>
      </c>
      <c r="B1916" s="36" t="str">
        <f>IFERROR(__xludf.DUMMYFUNCTION("""COMPUTED_VALUE"""),"")</f>
        <v/>
      </c>
      <c r="C1916" s="36" t="str">
        <f>IFERROR(__xludf.DUMMYFUNCTION("""COMPUTED_VALUE"""),"")</f>
        <v/>
      </c>
      <c r="D1916" s="36" t="str">
        <f>IFERROR(__xludf.DUMMYFUNCTION("""COMPUTED_VALUE"""),"")</f>
        <v/>
      </c>
      <c r="E1916" s="36" t="str">
        <f>IFERROR(__xludf.DUMMYFUNCTION("""COMPUTED_VALUE"""),"08-26-04-64")</f>
        <v>08-26-04-64</v>
      </c>
      <c r="F1916" s="36"/>
      <c r="G1916" s="36" t="str">
        <f>IFERROR(__xludf.DUMMYFUNCTION("""COMPUTED_VALUE"""),"Necochea y Callejón O")</f>
        <v>Necochea y Callejón O</v>
      </c>
      <c r="H1916" s="36" t="str">
        <f>IFERROR(__xludf.DUMMYFUNCTION("""COMPUTED_VALUE"""),"")</f>
        <v/>
      </c>
    </row>
    <row r="1917">
      <c r="A1917" s="36" t="str">
        <f>IFERROR(__xludf.DUMMYFUNCTION("""COMPUTED_VALUE"""),"02-40-11-90")</f>
        <v>02-40-11-90</v>
      </c>
      <c r="B1917" s="36" t="str">
        <f>IFERROR(__xludf.DUMMYFUNCTION("""COMPUTED_VALUE"""),"")</f>
        <v/>
      </c>
      <c r="C1917" s="36" t="str">
        <f>IFERROR(__xludf.DUMMYFUNCTION("""COMPUTED_VALUE"""),"")</f>
        <v/>
      </c>
      <c r="D1917" s="36" t="str">
        <f>IFERROR(__xludf.DUMMYFUNCTION("""COMPUTED_VALUE"""),"")</f>
        <v/>
      </c>
      <c r="E1917" s="36" t="str">
        <f>IFERROR(__xludf.DUMMYFUNCTION("""COMPUTED_VALUE"""),"03-20-09-116I")</f>
        <v>03-20-09-116I</v>
      </c>
      <c r="F1917" s="36"/>
      <c r="G1917" s="36" t="str">
        <f>IFERROR(__xludf.DUMMYFUNCTION("""COMPUTED_VALUE"""),"Necochea y Callejón Olivares")</f>
        <v>Necochea y Callejón Olivares</v>
      </c>
      <c r="H1917" s="36" t="str">
        <f>IFERROR(__xludf.DUMMYFUNCTION("""COMPUTED_VALUE"""),"")</f>
        <v/>
      </c>
    </row>
    <row r="1918">
      <c r="A1918" s="36" t="str">
        <f>IFERROR(__xludf.DUMMYFUNCTION("""COMPUTED_VALUE"""),"02-42-11-10A")</f>
        <v>02-42-11-10A</v>
      </c>
      <c r="B1918" s="36" t="str">
        <f>IFERROR(__xludf.DUMMYFUNCTION("""COMPUTED_VALUE"""),"")</f>
        <v/>
      </c>
      <c r="C1918" s="36" t="str">
        <f>IFERROR(__xludf.DUMMYFUNCTION("""COMPUTED_VALUE"""),"")</f>
        <v/>
      </c>
      <c r="D1918" s="36" t="str">
        <f>IFERROR(__xludf.DUMMYFUNCTION("""COMPUTED_VALUE"""),"")</f>
        <v/>
      </c>
      <c r="E1918" s="36" t="str">
        <f>IFERROR(__xludf.DUMMYFUNCTION("""COMPUTED_VALUE"""),"01-25-09-116L")</f>
        <v>01-25-09-116L</v>
      </c>
      <c r="F1918" s="36"/>
      <c r="G1918" s="36" t="str">
        <f>IFERROR(__xludf.DUMMYFUNCTION("""COMPUTED_VALUE"""),"Necochea y Gertrudis Funes")</f>
        <v>Necochea y Gertrudis Funes</v>
      </c>
      <c r="H1918" s="36" t="str">
        <f>IFERROR(__xludf.DUMMYFUNCTION("""COMPUTED_VALUE"""),"NOMBRE")</f>
        <v>NOMBRE</v>
      </c>
    </row>
    <row r="1919">
      <c r="A1919" s="36" t="str">
        <f>IFERROR(__xludf.DUMMYFUNCTION("""COMPUTED_VALUE"""),"02-42-11-11")</f>
        <v>02-42-11-11</v>
      </c>
      <c r="B1919" s="36" t="str">
        <f>IFERROR(__xludf.DUMMYFUNCTION("""COMPUTED_VALUE"""),"")</f>
        <v/>
      </c>
      <c r="C1919" s="36" t="str">
        <f>IFERROR(__xludf.DUMMYFUNCTION("""COMPUTED_VALUE"""),"")</f>
        <v/>
      </c>
      <c r="D1919" s="36" t="str">
        <f>IFERROR(__xludf.DUMMYFUNCTION("""COMPUTED_VALUE"""),"")</f>
        <v/>
      </c>
      <c r="E1919" s="36" t="str">
        <f>IFERROR(__xludf.DUMMYFUNCTION("""COMPUTED_VALUE"""),"03-20-09-116K")</f>
        <v>03-20-09-116K</v>
      </c>
      <c r="F1919" s="36"/>
      <c r="G1919" s="36" t="str">
        <f>IFERROR(__xludf.DUMMYFUNCTION("""COMPUTED_VALUE"""),"Necochea y Gertrudis Funes")</f>
        <v>Necochea y Gertrudis Funes</v>
      </c>
      <c r="H1919" s="36" t="str">
        <f>IFERROR(__xludf.DUMMYFUNCTION("""COMPUTED_VALUE"""),"")</f>
        <v/>
      </c>
    </row>
    <row r="1920">
      <c r="A1920" s="36" t="str">
        <f>IFERROR(__xludf.DUMMYFUNCTION("""COMPUTED_VALUE"""),"02-42-11-18")</f>
        <v>02-42-11-18</v>
      </c>
      <c r="B1920" s="36" t="str">
        <f>IFERROR(__xludf.DUMMYFUNCTION("""COMPUTED_VALUE"""),"")</f>
        <v/>
      </c>
      <c r="C1920" s="36" t="str">
        <f>IFERROR(__xludf.DUMMYFUNCTION("""COMPUTED_VALUE"""),"")</f>
        <v/>
      </c>
      <c r="D1920" s="36" t="str">
        <f>IFERROR(__xludf.DUMMYFUNCTION("""COMPUTED_VALUE"""),"")</f>
        <v/>
      </c>
      <c r="E1920" s="36" t="str">
        <f>IFERROR(__xludf.DUMMYFUNCTION("""COMPUTED_VALUE"""),"03-31-09-116E")</f>
        <v>03-31-09-116E</v>
      </c>
      <c r="F1920" s="36"/>
      <c r="G1920" s="36" t="str">
        <f>IFERROR(__xludf.DUMMYFUNCTION("""COMPUTED_VALUE"""),"Necochea y Lat. Av. Circunvalación")</f>
        <v>Necochea y Lat. Av. Circunvalación</v>
      </c>
      <c r="H1920" s="36" t="str">
        <f>IFERROR(__xludf.DUMMYFUNCTION("""COMPUTED_VALUE"""),"")</f>
        <v/>
      </c>
    </row>
    <row r="1921">
      <c r="A1921" s="36" t="str">
        <f>IFERROR(__xludf.DUMMYFUNCTION("""COMPUTED_VALUE"""),"02-42-11-19")</f>
        <v>02-42-11-19</v>
      </c>
      <c r="B1921" s="36" t="str">
        <f>IFERROR(__xludf.DUMMYFUNCTION("""COMPUTED_VALUE"""),"")</f>
        <v/>
      </c>
      <c r="C1921" s="36" t="str">
        <f>IFERROR(__xludf.DUMMYFUNCTION("""COMPUTED_VALUE"""),"")</f>
        <v/>
      </c>
      <c r="D1921" s="36" t="str">
        <f>IFERROR(__xludf.DUMMYFUNCTION("""COMPUTED_VALUE"""),"")</f>
        <v/>
      </c>
      <c r="E1921" s="36" t="str">
        <f>IFERROR(__xludf.DUMMYFUNCTION("""COMPUTED_VALUE"""),"03-31-09-116D")</f>
        <v>03-31-09-116D</v>
      </c>
      <c r="F1921" s="36"/>
      <c r="G1921" s="36" t="str">
        <f>IFERROR(__xludf.DUMMYFUNCTION("""COMPUTED_VALUE"""),"Necochea y Lat. Av.Circunvalación -E")</f>
        <v>Necochea y Lat. Av.Circunvalación -E</v>
      </c>
      <c r="H1921" s="36" t="str">
        <f>IFERROR(__xludf.DUMMYFUNCTION("""COMPUTED_VALUE"""),"")</f>
        <v/>
      </c>
    </row>
    <row r="1922">
      <c r="A1922" s="36" t="str">
        <f>IFERROR(__xludf.DUMMYFUNCTION("""COMPUTED_VALUE"""),"02-42-11-20")</f>
        <v>02-42-11-20</v>
      </c>
      <c r="B1922" s="36" t="str">
        <f>IFERROR(__xludf.DUMMYFUNCTION("""COMPUTED_VALUE"""),"")</f>
        <v/>
      </c>
      <c r="C1922" s="36" t="str">
        <f>IFERROR(__xludf.DUMMYFUNCTION("""COMPUTED_VALUE"""),"")</f>
        <v/>
      </c>
      <c r="D1922" s="36" t="str">
        <f>IFERROR(__xludf.DUMMYFUNCTION("""COMPUTED_VALUE"""),"")</f>
        <v/>
      </c>
      <c r="E1922" s="36" t="str">
        <f>IFERROR(__xludf.DUMMYFUNCTION("""COMPUTED_VALUE"""),"01-26-09-116F")</f>
        <v>01-26-09-116F</v>
      </c>
      <c r="F1922" s="36"/>
      <c r="G1922" s="36" t="str">
        <f>IFERROR(__xludf.DUMMYFUNCTION("""COMPUTED_VALUE"""),"Necochea y Lat. de Circunvalación -N")</f>
        <v>Necochea y Lat. de Circunvalación -N</v>
      </c>
      <c r="H1922" s="36" t="str">
        <f>IFERROR(__xludf.DUMMYFUNCTION("""COMPUTED_VALUE"""),"")</f>
        <v/>
      </c>
    </row>
    <row r="1923">
      <c r="A1923" s="36" t="str">
        <f>IFERROR(__xludf.DUMMYFUNCTION("""COMPUTED_VALUE"""),"02-42-11-21")</f>
        <v>02-42-11-21</v>
      </c>
      <c r="B1923" s="36" t="str">
        <f>IFERROR(__xludf.DUMMYFUNCTION("""COMPUTED_VALUE"""),"")</f>
        <v/>
      </c>
      <c r="C1923" s="36" t="str">
        <f>IFERROR(__xludf.DUMMYFUNCTION("""COMPUTED_VALUE"""),"")</f>
        <v/>
      </c>
      <c r="D1923" s="36" t="str">
        <f>IFERROR(__xludf.DUMMYFUNCTION("""COMPUTED_VALUE"""),"")</f>
        <v/>
      </c>
      <c r="E1923" s="36" t="str">
        <f>IFERROR(__xludf.DUMMYFUNCTION("""COMPUTED_VALUE"""),"01-25-09-238")</f>
        <v>01-25-09-238</v>
      </c>
      <c r="F1923" s="36"/>
      <c r="G1923" s="36" t="str">
        <f>IFERROR(__xludf.DUMMYFUNCTION("""COMPUTED_VALUE"""),"Necochea y Leónidas Escudero")</f>
        <v>Necochea y Leónidas Escudero</v>
      </c>
      <c r="H1923" s="36" t="str">
        <f>IFERROR(__xludf.DUMMYFUNCTION("""COMPUTED_VALUE"""),"")</f>
        <v/>
      </c>
    </row>
    <row r="1924">
      <c r="A1924" s="36" t="str">
        <f>IFERROR(__xludf.DUMMYFUNCTION("""COMPUTED_VALUE"""),"02-42-11-22")</f>
        <v>02-42-11-22</v>
      </c>
      <c r="B1924" s="36" t="str">
        <f>IFERROR(__xludf.DUMMYFUNCTION("""COMPUTED_VALUE"""),"")</f>
        <v/>
      </c>
      <c r="C1924" s="36" t="str">
        <f>IFERROR(__xludf.DUMMYFUNCTION("""COMPUTED_VALUE"""),"")</f>
        <v/>
      </c>
      <c r="D1924" s="36" t="str">
        <f>IFERROR(__xludf.DUMMYFUNCTION("""COMPUTED_VALUE"""),"")</f>
        <v/>
      </c>
      <c r="E1924" s="36" t="str">
        <f>IFERROR(__xludf.DUMMYFUNCTION("""COMPUTED_VALUE"""),"03-20-09-237")</f>
        <v>03-20-09-237</v>
      </c>
      <c r="F1924" s="36"/>
      <c r="G1924" s="36" t="str">
        <f>IFERROR(__xludf.DUMMYFUNCTION("""COMPUTED_VALUE"""),"Necochea y Leónidas Escuderos")</f>
        <v>Necochea y Leónidas Escuderos</v>
      </c>
      <c r="H1924" s="36" t="str">
        <f>IFERROR(__xludf.DUMMYFUNCTION("""COMPUTED_VALUE"""),"")</f>
        <v/>
      </c>
    </row>
    <row r="1925">
      <c r="A1925" s="36" t="str">
        <f>IFERROR(__xludf.DUMMYFUNCTION("""COMPUTED_VALUE"""),"02-42-11-30")</f>
        <v>02-42-11-30</v>
      </c>
      <c r="B1925" s="36" t="str">
        <f>IFERROR(__xludf.DUMMYFUNCTION("""COMPUTED_VALUE"""),"")</f>
        <v/>
      </c>
      <c r="C1925" s="36" t="str">
        <f>IFERROR(__xludf.DUMMYFUNCTION("""COMPUTED_VALUE"""),"")</f>
        <v/>
      </c>
      <c r="D1925" s="36" t="str">
        <f>IFERROR(__xludf.DUMMYFUNCTION("""COMPUTED_VALUE"""),"")</f>
        <v/>
      </c>
      <c r="E1925" s="36" t="str">
        <f>IFERROR(__xludf.DUMMYFUNCTION("""COMPUTED_VALUE"""),"01-25-09-116H")</f>
        <v>01-25-09-116H</v>
      </c>
      <c r="F1925" s="36"/>
      <c r="G1925" s="36" t="str">
        <f>IFERROR(__xludf.DUMMYFUNCTION("""COMPUTED_VALUE"""),"Necochea y Lucero")</f>
        <v>Necochea y Lucero</v>
      </c>
      <c r="H1925" s="36" t="str">
        <f>IFERROR(__xludf.DUMMYFUNCTION("""COMPUTED_VALUE"""),"NOMBRE")</f>
        <v>NOMBRE</v>
      </c>
    </row>
    <row r="1926">
      <c r="A1926" s="36" t="str">
        <f>IFERROR(__xludf.DUMMYFUNCTION("""COMPUTED_VALUE"""),"02-42-11-30A")</f>
        <v>02-42-11-30A</v>
      </c>
      <c r="B1926" s="36" t="str">
        <f>IFERROR(__xludf.DUMMYFUNCTION("""COMPUTED_VALUE"""),"")</f>
        <v/>
      </c>
      <c r="C1926" s="36" t="str">
        <f>IFERROR(__xludf.DUMMYFUNCTION("""COMPUTED_VALUE"""),"")</f>
        <v/>
      </c>
      <c r="D1926" s="36" t="str">
        <f>IFERROR(__xludf.DUMMYFUNCTION("""COMPUTED_VALUE"""),"")</f>
        <v/>
      </c>
      <c r="E1926" s="36" t="str">
        <f>IFERROR(__xludf.DUMMYFUNCTION("""COMPUTED_VALUE"""),"03-20-09-116G")</f>
        <v>03-20-09-116G</v>
      </c>
      <c r="F1926" s="36"/>
      <c r="G1926" s="36" t="str">
        <f>IFERROR(__xludf.DUMMYFUNCTION("""COMPUTED_VALUE"""),"Necochea y Lucero")</f>
        <v>Necochea y Lucero</v>
      </c>
      <c r="H1926" s="36" t="str">
        <f>IFERROR(__xludf.DUMMYFUNCTION("""COMPUTED_VALUE"""),"")</f>
        <v/>
      </c>
    </row>
    <row r="1927">
      <c r="A1927" s="36" t="str">
        <f>IFERROR(__xludf.DUMMYFUNCTION("""COMPUTED_VALUE"""),"02-42-11-31")</f>
        <v>02-42-11-31</v>
      </c>
      <c r="B1927" s="36" t="str">
        <f>IFERROR(__xludf.DUMMYFUNCTION("""COMPUTED_VALUE"""),"")</f>
        <v/>
      </c>
      <c r="C1927" s="36" t="str">
        <f>IFERROR(__xludf.DUMMYFUNCTION("""COMPUTED_VALUE"""),"")</f>
        <v/>
      </c>
      <c r="D1927" s="36" t="str">
        <f>IFERROR(__xludf.DUMMYFUNCTION("""COMPUTED_VALUE"""),"")</f>
        <v/>
      </c>
      <c r="E1927" s="36" t="str">
        <f>IFERROR(__xludf.DUMMYFUNCTION("""COMPUTED_VALUE"""),"08-26-04-68")</f>
        <v>08-26-04-68</v>
      </c>
      <c r="F1927" s="36"/>
      <c r="G1927" s="36" t="str">
        <f>IFERROR(__xludf.DUMMYFUNCTION("""COMPUTED_VALUE"""),"Necochea y Oro")</f>
        <v>Necochea y Oro</v>
      </c>
      <c r="H1927" s="36" t="str">
        <f>IFERROR(__xludf.DUMMYFUNCTION("""COMPUTED_VALUE"""),"")</f>
        <v/>
      </c>
    </row>
    <row r="1928">
      <c r="A1928" s="36" t="str">
        <f>IFERROR(__xludf.DUMMYFUNCTION("""COMPUTED_VALUE"""),"02-42-11-31A")</f>
        <v>02-42-11-31A</v>
      </c>
      <c r="B1928" s="36" t="str">
        <f>IFERROR(__xludf.DUMMYFUNCTION("""COMPUTED_VALUE"""),"")</f>
        <v/>
      </c>
      <c r="C1928" s="36" t="str">
        <f>IFERROR(__xludf.DUMMYFUNCTION("""COMPUTED_VALUE"""),"")</f>
        <v/>
      </c>
      <c r="D1928" s="36" t="str">
        <f>IFERROR(__xludf.DUMMYFUNCTION("""COMPUTED_VALUE"""),"")</f>
        <v/>
      </c>
      <c r="E1928" s="36" t="str">
        <f>IFERROR(__xludf.DUMMYFUNCTION("""COMPUTED_VALUE"""),"08-26-04-66")</f>
        <v>08-26-04-66</v>
      </c>
      <c r="F1928" s="36"/>
      <c r="G1928" s="36" t="str">
        <f>IFERROR(__xludf.DUMMYFUNCTION("""COMPUTED_VALUE"""),"Necochea y Oro N")</f>
        <v>Necochea y Oro N</v>
      </c>
      <c r="H1928" s="36" t="str">
        <f>IFERROR(__xludf.DUMMYFUNCTION("""COMPUTED_VALUE"""),"")</f>
        <v/>
      </c>
    </row>
    <row r="1929">
      <c r="A1929" s="36" t="str">
        <f>IFERROR(__xludf.DUMMYFUNCTION("""COMPUTED_VALUE"""),"02-42-11-32")</f>
        <v>02-42-11-32</v>
      </c>
      <c r="B1929" s="36" t="str">
        <f>IFERROR(__xludf.DUMMYFUNCTION("""COMPUTED_VALUE"""),"")</f>
        <v/>
      </c>
      <c r="C1929" s="36" t="str">
        <f>IFERROR(__xludf.DUMMYFUNCTION("""COMPUTED_VALUE"""),"")</f>
        <v/>
      </c>
      <c r="D1929" s="36" t="str">
        <f>IFERROR(__xludf.DUMMYFUNCTION("""COMPUTED_VALUE"""),"")</f>
        <v/>
      </c>
      <c r="E1929" s="36" t="str">
        <f>IFERROR(__xludf.DUMMYFUNCTION("""COMPUTED_VALUE"""),"08-23-04-67")</f>
        <v>08-23-04-67</v>
      </c>
      <c r="F1929" s="36"/>
      <c r="G1929" s="36" t="str">
        <f>IFERROR(__xludf.DUMMYFUNCTION("""COMPUTED_VALUE"""),"Necochea y Oro S")</f>
        <v>Necochea y Oro S</v>
      </c>
      <c r="H1929" s="36" t="str">
        <f>IFERROR(__xludf.DUMMYFUNCTION("""COMPUTED_VALUE"""),"")</f>
        <v/>
      </c>
    </row>
    <row r="1930">
      <c r="A1930" s="36" t="str">
        <f>IFERROR(__xludf.DUMMYFUNCTION("""COMPUTED_VALUE"""),"02-42-11-32A")</f>
        <v>02-42-11-32A</v>
      </c>
      <c r="B1930" s="36" t="str">
        <f>IFERROR(__xludf.DUMMYFUNCTION("""COMPUTED_VALUE"""),"")</f>
        <v/>
      </c>
      <c r="C1930" s="36" t="str">
        <f>IFERROR(__xludf.DUMMYFUNCTION("""COMPUTED_VALUE"""),"")</f>
        <v/>
      </c>
      <c r="D1930" s="36" t="str">
        <f>IFERROR(__xludf.DUMMYFUNCTION("""COMPUTED_VALUE"""),"")</f>
        <v/>
      </c>
      <c r="E1930" s="36" t="str">
        <f>IFERROR(__xludf.DUMMYFUNCTION("""COMPUTED_VALUE"""),"01-25-09-239")</f>
        <v>01-25-09-239</v>
      </c>
      <c r="F1930" s="36"/>
      <c r="G1930" s="36" t="str">
        <f>IFERROR(__xludf.DUMMYFUNCTION("""COMPUTED_VALUE"""),"Necochea y Rubí Alos")</f>
        <v>Necochea y Rubí Alos</v>
      </c>
      <c r="H1930" s="36" t="str">
        <f>IFERROR(__xludf.DUMMYFUNCTION("""COMPUTED_VALUE"""),"")</f>
        <v/>
      </c>
    </row>
    <row r="1931">
      <c r="A1931" s="36" t="str">
        <f>IFERROR(__xludf.DUMMYFUNCTION("""COMPUTED_VALUE"""),"02-42-11-33")</f>
        <v>02-42-11-33</v>
      </c>
      <c r="B1931" s="36" t="str">
        <f>IFERROR(__xludf.DUMMYFUNCTION("""COMPUTED_VALUE"""),"")</f>
        <v/>
      </c>
      <c r="C1931" s="36" t="str">
        <f>IFERROR(__xludf.DUMMYFUNCTION("""COMPUTED_VALUE"""),"")</f>
        <v/>
      </c>
      <c r="D1931" s="36" t="str">
        <f>IFERROR(__xludf.DUMMYFUNCTION("""COMPUTED_VALUE"""),"")</f>
        <v/>
      </c>
      <c r="E1931" s="36" t="str">
        <f>IFERROR(__xludf.DUMMYFUNCTION("""COMPUTED_VALUE"""),"01-26-09-116A")</f>
        <v>01-26-09-116A</v>
      </c>
      <c r="F1931" s="36"/>
      <c r="G1931" s="36" t="str">
        <f>IFERROR(__xludf.DUMMYFUNCTION("""COMPUTED_VALUE"""),"Necochea y San Lorenzo")</f>
        <v>Necochea y San Lorenzo</v>
      </c>
      <c r="H1931" s="36" t="str">
        <f>IFERROR(__xludf.DUMMYFUNCTION("""COMPUTED_VALUE"""),"")</f>
        <v/>
      </c>
    </row>
    <row r="1932">
      <c r="A1932" s="36" t="str">
        <f>IFERROR(__xludf.DUMMYFUNCTION("""COMPUTED_VALUE"""),"02-42-11-33A")</f>
        <v>02-42-11-33A</v>
      </c>
      <c r="B1932" s="36" t="str">
        <f>IFERROR(__xludf.DUMMYFUNCTION("""COMPUTED_VALUE"""),"")</f>
        <v/>
      </c>
      <c r="C1932" s="36" t="str">
        <f>IFERROR(__xludf.DUMMYFUNCTION("""COMPUTED_VALUE"""),"")</f>
        <v/>
      </c>
      <c r="D1932" s="36" t="str">
        <f>IFERROR(__xludf.DUMMYFUNCTION("""COMPUTED_VALUE"""),"")</f>
        <v/>
      </c>
      <c r="E1932" s="36" t="str">
        <f>IFERROR(__xludf.DUMMYFUNCTION("""COMPUTED_VALUE"""),"03-31-09-116B")</f>
        <v>03-31-09-116B</v>
      </c>
      <c r="F1932" s="36"/>
      <c r="G1932" s="36" t="str">
        <f>IFERROR(__xludf.DUMMYFUNCTION("""COMPUTED_VALUE"""),"Necochea y Sargento Cabral")</f>
        <v>Necochea y Sargento Cabral</v>
      </c>
      <c r="H1932" s="36" t="str">
        <f>IFERROR(__xludf.DUMMYFUNCTION("""COMPUTED_VALUE"""),"")</f>
        <v/>
      </c>
    </row>
    <row r="1933">
      <c r="A1933" s="36" t="str">
        <f>IFERROR(__xludf.DUMMYFUNCTION("""COMPUTED_VALUE"""),"02-42-11-34")</f>
        <v>02-42-11-34</v>
      </c>
      <c r="B1933" s="36" t="str">
        <f>IFERROR(__xludf.DUMMYFUNCTION("""COMPUTED_VALUE"""),"")</f>
        <v/>
      </c>
      <c r="C1933" s="36" t="str">
        <f>IFERROR(__xludf.DUMMYFUNCTION("""COMPUTED_VALUE"""),"")</f>
        <v/>
      </c>
      <c r="D1933" s="36" t="str">
        <f>IFERROR(__xludf.DUMMYFUNCTION("""COMPUTED_VALUE"""),"")</f>
        <v/>
      </c>
      <c r="E1933" s="36" t="str">
        <f>IFERROR(__xludf.DUMMYFUNCTION("""COMPUTED_VALUE"""),"01-25-09-241")</f>
        <v>01-25-09-241</v>
      </c>
      <c r="F1933" s="36"/>
      <c r="G1933" s="36" t="str">
        <f>IFERROR(__xludf.DUMMYFUNCTION("""COMPUTED_VALUE"""),"Necochea y Saúl Quiroga")</f>
        <v>Necochea y Saúl Quiroga</v>
      </c>
      <c r="H1933" s="36" t="str">
        <f>IFERROR(__xludf.DUMMYFUNCTION("""COMPUTED_VALUE"""),"NOMBRE")</f>
        <v>NOMBRE</v>
      </c>
    </row>
    <row r="1934">
      <c r="A1934" s="36" t="str">
        <f>IFERROR(__xludf.DUMMYFUNCTION("""COMPUTED_VALUE"""),"02-42-11-35")</f>
        <v>02-42-11-35</v>
      </c>
      <c r="B1934" s="36" t="str">
        <f>IFERROR(__xludf.DUMMYFUNCTION("""COMPUTED_VALUE"""),"")</f>
        <v/>
      </c>
      <c r="C1934" s="36" t="str">
        <f>IFERROR(__xludf.DUMMYFUNCTION("""COMPUTED_VALUE"""),"")</f>
        <v/>
      </c>
      <c r="D1934" s="36" t="str">
        <f>IFERROR(__xludf.DUMMYFUNCTION("""COMPUTED_VALUE"""),"")</f>
        <v/>
      </c>
      <c r="E1934" s="36" t="str">
        <f>IFERROR(__xludf.DUMMYFUNCTION("""COMPUTED_VALUE"""),"03-20-09-241A")</f>
        <v>03-20-09-241A</v>
      </c>
      <c r="F1934" s="36"/>
      <c r="G1934" s="36" t="str">
        <f>IFERROR(__xludf.DUMMYFUNCTION("""COMPUTED_VALUE"""),"Necochea y Saúl Quiroga")</f>
        <v>Necochea y Saúl Quiroga</v>
      </c>
      <c r="H1934" s="36" t="str">
        <f>IFERROR(__xludf.DUMMYFUNCTION("""COMPUTED_VALUE"""),"")</f>
        <v/>
      </c>
    </row>
    <row r="1935">
      <c r="A1935" s="36" t="str">
        <f>IFERROR(__xludf.DUMMYFUNCTION("""COMPUTED_VALUE"""),"02-42-11-36")</f>
        <v>02-42-11-36</v>
      </c>
      <c r="B1935" s="36" t="str">
        <f>IFERROR(__xludf.DUMMYFUNCTION("""COMPUTED_VALUE"""),"")</f>
        <v/>
      </c>
      <c r="C1935" s="36" t="str">
        <f>IFERROR(__xludf.DUMMYFUNCTION("""COMPUTED_VALUE"""),"")</f>
        <v/>
      </c>
      <c r="D1935" s="36" t="str">
        <f>IFERROR(__xludf.DUMMYFUNCTION("""COMPUTED_VALUE"""),"")</f>
        <v/>
      </c>
      <c r="E1935" s="36" t="str">
        <f>IFERROR(__xludf.DUMMYFUNCTION("""COMPUTED_VALUE"""),"03-20-09-116M")</f>
        <v>03-20-09-116M</v>
      </c>
      <c r="F1935" s="36"/>
      <c r="G1935" s="36" t="str">
        <f>IFERROR(__xludf.DUMMYFUNCTION("""COMPUTED_VALUE"""),"Necochea y Thomas Edison")</f>
        <v>Necochea y Thomas Edison</v>
      </c>
      <c r="H1935" s="36" t="str">
        <f>IFERROR(__xludf.DUMMYFUNCTION("""COMPUTED_VALUE"""),"")</f>
        <v/>
      </c>
    </row>
    <row r="1936">
      <c r="A1936" s="36" t="str">
        <f>IFERROR(__xludf.DUMMYFUNCTION("""COMPUTED_VALUE"""),"02-42-11-37")</f>
        <v>02-42-11-37</v>
      </c>
      <c r="B1936" s="36" t="str">
        <f>IFERROR(__xludf.DUMMYFUNCTION("""COMPUTED_VALUE"""),"")</f>
        <v/>
      </c>
      <c r="C1936" s="36" t="str">
        <f>IFERROR(__xludf.DUMMYFUNCTION("""COMPUTED_VALUE"""),"")</f>
        <v/>
      </c>
      <c r="D1936" s="36" t="str">
        <f>IFERROR(__xludf.DUMMYFUNCTION("""COMPUTED_VALUE"""),"")</f>
        <v/>
      </c>
      <c r="E1936" s="36" t="str">
        <f>IFERROR(__xludf.DUMMYFUNCTION("""COMPUTED_VALUE"""),"01-25-09-240A")</f>
        <v>01-25-09-240A</v>
      </c>
      <c r="F1936" s="36"/>
      <c r="G1936" s="36" t="str">
        <f>IFERROR(__xludf.DUMMYFUNCTION("""COMPUTED_VALUE"""),"Necochea y Urquiza")</f>
        <v>Necochea y Urquiza</v>
      </c>
      <c r="H1936" s="36" t="str">
        <f>IFERROR(__xludf.DUMMYFUNCTION("""COMPUTED_VALUE"""),"NOMBRE")</f>
        <v>NOMBRE</v>
      </c>
    </row>
    <row r="1937">
      <c r="A1937" s="36" t="str">
        <f>IFERROR(__xludf.DUMMYFUNCTION("""COMPUTED_VALUE"""),"02-42-11-38")</f>
        <v>02-42-11-38</v>
      </c>
      <c r="B1937" s="36" t="str">
        <f>IFERROR(__xludf.DUMMYFUNCTION("""COMPUTED_VALUE"""),"")</f>
        <v/>
      </c>
      <c r="C1937" s="36" t="str">
        <f>IFERROR(__xludf.DUMMYFUNCTION("""COMPUTED_VALUE"""),"")</f>
        <v/>
      </c>
      <c r="D1937" s="36" t="str">
        <f>IFERROR(__xludf.DUMMYFUNCTION("""COMPUTED_VALUE"""),"")</f>
        <v/>
      </c>
      <c r="E1937" s="36" t="str">
        <f>IFERROR(__xludf.DUMMYFUNCTION("""COMPUTED_VALUE"""),"03-20-09-236")</f>
        <v>03-20-09-236</v>
      </c>
      <c r="F1937" s="36"/>
      <c r="G1937" s="36" t="str">
        <f>IFERROR(__xludf.DUMMYFUNCTION("""COMPUTED_VALUE"""),"Necochea y Urquiza")</f>
        <v>Necochea y Urquiza</v>
      </c>
      <c r="H1937" s="36" t="str">
        <f>IFERROR(__xludf.DUMMYFUNCTION("""COMPUTED_VALUE"""),"")</f>
        <v/>
      </c>
    </row>
    <row r="1938">
      <c r="A1938" s="36" t="str">
        <f>IFERROR(__xludf.DUMMYFUNCTION("""COMPUTED_VALUE"""),"02-42-11-39")</f>
        <v>02-42-11-39</v>
      </c>
      <c r="B1938" s="36" t="str">
        <f>IFERROR(__xludf.DUMMYFUNCTION("""COMPUTED_VALUE"""),"")</f>
        <v/>
      </c>
      <c r="C1938" s="36" t="str">
        <f>IFERROR(__xludf.DUMMYFUNCTION("""COMPUTED_VALUE"""),"")</f>
        <v/>
      </c>
      <c r="D1938" s="36" t="str">
        <f>IFERROR(__xludf.DUMMYFUNCTION("""COMPUTED_VALUE"""),"")</f>
        <v/>
      </c>
      <c r="E1938" s="36" t="str">
        <f>IFERROR(__xludf.DUMMYFUNCTION("""COMPUTED_VALUE"""),"08-40-02-8")</f>
        <v>08-40-02-8</v>
      </c>
      <c r="F1938" s="36"/>
      <c r="G1938" s="36" t="str">
        <f>IFERROR(__xludf.DUMMYFUNCTION("""COMPUTED_VALUE"""),"Neuquén  y Díaz Vélez")</f>
        <v>Neuquén  y Díaz Vélez</v>
      </c>
      <c r="H1938" s="36" t="str">
        <f>IFERROR(__xludf.DUMMYFUNCTION("""COMPUTED_VALUE"""),"")</f>
        <v/>
      </c>
    </row>
    <row r="1939">
      <c r="A1939" s="36" t="str">
        <f>IFERROR(__xludf.DUMMYFUNCTION("""COMPUTED_VALUE"""),"02-42-11-40")</f>
        <v>02-42-11-40</v>
      </c>
      <c r="B1939" s="36" t="str">
        <f>IFERROR(__xludf.DUMMYFUNCTION("""COMPUTED_VALUE"""),"")</f>
        <v/>
      </c>
      <c r="C1939" s="36" t="str">
        <f>IFERROR(__xludf.DUMMYFUNCTION("""COMPUTED_VALUE"""),"")</f>
        <v/>
      </c>
      <c r="D1939" s="36" t="str">
        <f>IFERROR(__xludf.DUMMYFUNCTION("""COMPUTED_VALUE"""),"")</f>
        <v/>
      </c>
      <c r="E1939" s="36" t="str">
        <f>IFERROR(__xludf.DUMMYFUNCTION("""COMPUTED_VALUE"""),"08-40-02-7")</f>
        <v>08-40-02-7</v>
      </c>
      <c r="F1939" s="36"/>
      <c r="G1939" s="36" t="str">
        <f>IFERROR(__xludf.DUMMYFUNCTION("""COMPUTED_VALUE"""),"Neuquén y J. J. Paso")</f>
        <v>Neuquén y J. J. Paso</v>
      </c>
      <c r="H1939" s="36" t="str">
        <f>IFERROR(__xludf.DUMMYFUNCTION("""COMPUTED_VALUE"""),"")</f>
        <v/>
      </c>
    </row>
    <row r="1940">
      <c r="A1940" s="36" t="str">
        <f>IFERROR(__xludf.DUMMYFUNCTION("""COMPUTED_VALUE"""),"02-42-11-41")</f>
        <v>02-42-11-41</v>
      </c>
      <c r="B1940" s="36" t="str">
        <f>IFERROR(__xludf.DUMMYFUNCTION("""COMPUTED_VALUE"""),"")</f>
        <v/>
      </c>
      <c r="C1940" s="36" t="str">
        <f>IFERROR(__xludf.DUMMYFUNCTION("""COMPUTED_VALUE"""),"")</f>
        <v/>
      </c>
      <c r="D1940" s="36" t="str">
        <f>IFERROR(__xludf.DUMMYFUNCTION("""COMPUTED_VALUE"""),"")</f>
        <v/>
      </c>
      <c r="E1940" s="36" t="str">
        <f>IFERROR(__xludf.DUMMYFUNCTION("""COMPUTED_VALUE"""),"08-40-02-6")</f>
        <v>08-40-02-6</v>
      </c>
      <c r="F1940" s="36"/>
      <c r="G1940" s="36" t="str">
        <f>IFERROR(__xludf.DUMMYFUNCTION("""COMPUTED_VALUE"""),"Neuquén y Río Gallegos ")</f>
        <v>Neuquén y Río Gallegos </v>
      </c>
      <c r="H1940" s="36" t="str">
        <f>IFERROR(__xludf.DUMMYFUNCTION("""COMPUTED_VALUE"""),"")</f>
        <v/>
      </c>
    </row>
    <row r="1941">
      <c r="A1941" s="36" t="str">
        <f>IFERROR(__xludf.DUMMYFUNCTION("""COMPUTED_VALUE"""),"02-42-11-44")</f>
        <v>02-42-11-44</v>
      </c>
      <c r="B1941" s="36" t="str">
        <f>IFERROR(__xludf.DUMMYFUNCTION("""COMPUTED_VALUE"""),"")</f>
        <v/>
      </c>
      <c r="C1941" s="36" t="str">
        <f>IFERROR(__xludf.DUMMYFUNCTION("""COMPUTED_VALUE"""),"")</f>
        <v/>
      </c>
      <c r="D1941" s="36" t="str">
        <f>IFERROR(__xludf.DUMMYFUNCTION("""COMPUTED_VALUE"""),"")</f>
        <v/>
      </c>
      <c r="E1941" s="36" t="str">
        <f>IFERROR(__xludf.DUMMYFUNCTION("""COMPUTED_VALUE"""),"08-40-02-5")</f>
        <v>08-40-02-5</v>
      </c>
      <c r="F1941" s="36"/>
      <c r="G1941" s="36" t="str">
        <f>IFERROR(__xludf.DUMMYFUNCTION("""COMPUTED_VALUE"""),"Neuquén y Salta ")</f>
        <v>Neuquén y Salta </v>
      </c>
      <c r="H1941" s="36" t="str">
        <f>IFERROR(__xludf.DUMMYFUNCTION("""COMPUTED_VALUE"""),"")</f>
        <v/>
      </c>
    </row>
    <row r="1942">
      <c r="A1942" s="36" t="str">
        <f>IFERROR(__xludf.DUMMYFUNCTION("""COMPUTED_VALUE"""),"02-42-11-45")</f>
        <v>02-42-11-45</v>
      </c>
      <c r="B1942" s="36" t="str">
        <f>IFERROR(__xludf.DUMMYFUNCTION("""COMPUTED_VALUE"""),"")</f>
        <v/>
      </c>
      <c r="C1942" s="36" t="str">
        <f>IFERROR(__xludf.DUMMYFUNCTION("""COMPUTED_VALUE"""),"")</f>
        <v/>
      </c>
      <c r="D1942" s="36" t="str">
        <f>IFERROR(__xludf.DUMMYFUNCTION("""COMPUTED_VALUE"""),"")</f>
        <v/>
      </c>
      <c r="E1942" s="36" t="str">
        <f>IFERROR(__xludf.DUMMYFUNCTION("""COMPUTED_VALUE"""),"01-49-07-77")</f>
        <v>01-49-07-77</v>
      </c>
      <c r="F1942" s="36"/>
      <c r="G1942" s="36" t="str">
        <f>IFERROR(__xludf.DUMMYFUNCTION("""COMPUTED_VALUE"""),"Nuche y Ameghino Norte")</f>
        <v>Nuche y Ameghino Norte</v>
      </c>
      <c r="H1942" s="36" t="str">
        <f>IFERROR(__xludf.DUMMYFUNCTION("""COMPUTED_VALUE"""),"")</f>
        <v/>
      </c>
    </row>
    <row r="1943">
      <c r="A1943" s="36" t="str">
        <f>IFERROR(__xludf.DUMMYFUNCTION("""COMPUTED_VALUE"""),"02-42-11-45A")</f>
        <v>02-42-11-45A</v>
      </c>
      <c r="B1943" s="36" t="str">
        <f>IFERROR(__xludf.DUMMYFUNCTION("""COMPUTED_VALUE"""),"")</f>
        <v/>
      </c>
      <c r="C1943" s="36" t="str">
        <f>IFERROR(__xludf.DUMMYFUNCTION("""COMPUTED_VALUE"""),"")</f>
        <v/>
      </c>
      <c r="D1943" s="36" t="str">
        <f>IFERROR(__xludf.DUMMYFUNCTION("""COMPUTED_VALUE"""),"")</f>
        <v/>
      </c>
      <c r="E1943" s="36" t="str">
        <f>IFERROR(__xludf.DUMMYFUNCTION("""COMPUTED_VALUE"""),"01-58-07-79")</f>
        <v>01-58-07-79</v>
      </c>
      <c r="F1943" s="36"/>
      <c r="G1943" s="36" t="str">
        <f>IFERROR(__xludf.DUMMYFUNCTION("""COMPUTED_VALUE"""),"Nuche y Ameghino Sur")</f>
        <v>Nuche y Ameghino Sur</v>
      </c>
      <c r="H1943" s="36" t="str">
        <f>IFERROR(__xludf.DUMMYFUNCTION("""COMPUTED_VALUE"""),"")</f>
        <v/>
      </c>
    </row>
    <row r="1944">
      <c r="A1944" s="36" t="str">
        <f>IFERROR(__xludf.DUMMYFUNCTION("""COMPUTED_VALUE"""),"02-42-11-46")</f>
        <v>02-42-11-46</v>
      </c>
      <c r="B1944" s="36" t="str">
        <f>IFERROR(__xludf.DUMMYFUNCTION("""COMPUTED_VALUE"""),"")</f>
        <v/>
      </c>
      <c r="C1944" s="36" t="str">
        <f>IFERROR(__xludf.DUMMYFUNCTION("""COMPUTED_VALUE"""),"")</f>
        <v/>
      </c>
      <c r="D1944" s="36" t="str">
        <f>IFERROR(__xludf.DUMMYFUNCTION("""COMPUTED_VALUE"""),"")</f>
        <v/>
      </c>
      <c r="E1944" s="36" t="str">
        <f>IFERROR(__xludf.DUMMYFUNCTION("""COMPUTED_VALUE"""),"01-58-07-80")</f>
        <v>01-58-07-80</v>
      </c>
      <c r="F1944" s="36"/>
      <c r="G1944" s="36" t="str">
        <f>IFERROR(__xludf.DUMMYFUNCTION("""COMPUTED_VALUE"""),"Nuche y Antequeda")</f>
        <v>Nuche y Antequeda</v>
      </c>
      <c r="H1944" s="36" t="str">
        <f>IFERROR(__xludf.DUMMYFUNCTION("""COMPUTED_VALUE"""),"")</f>
        <v/>
      </c>
    </row>
    <row r="1945">
      <c r="A1945" s="36" t="str">
        <f>IFERROR(__xludf.DUMMYFUNCTION("""COMPUTED_VALUE"""),"02-42-11-47")</f>
        <v>02-42-11-47</v>
      </c>
      <c r="B1945" s="36" t="str">
        <f>IFERROR(__xludf.DUMMYFUNCTION("""COMPUTED_VALUE"""),"")</f>
        <v/>
      </c>
      <c r="C1945" s="36" t="str">
        <f>IFERROR(__xludf.DUMMYFUNCTION("""COMPUTED_VALUE"""),"")</f>
        <v/>
      </c>
      <c r="D1945" s="36" t="str">
        <f>IFERROR(__xludf.DUMMYFUNCTION("""COMPUTED_VALUE"""),"")</f>
        <v/>
      </c>
      <c r="E1945" s="36" t="str">
        <f>IFERROR(__xludf.DUMMYFUNCTION("""COMPUTED_VALUE"""),"01-46-07-160")</f>
        <v>01-46-07-160</v>
      </c>
      <c r="F1945" s="36"/>
      <c r="G1945" s="36" t="str">
        <f>IFERROR(__xludf.DUMMYFUNCTION("""COMPUTED_VALUE"""),"Nuche y Esteban Echeverría")</f>
        <v>Nuche y Esteban Echeverría</v>
      </c>
      <c r="H1945" s="36" t="str">
        <f>IFERROR(__xludf.DUMMYFUNCTION("""COMPUTED_VALUE"""),"")</f>
        <v/>
      </c>
    </row>
    <row r="1946">
      <c r="A1946" s="36" t="str">
        <f>IFERROR(__xludf.DUMMYFUNCTION("""COMPUTED_VALUE"""),"02-42-11-48")</f>
        <v>02-42-11-48</v>
      </c>
      <c r="B1946" s="36" t="str">
        <f>IFERROR(__xludf.DUMMYFUNCTION("""COMPUTED_VALUE"""),"")</f>
        <v/>
      </c>
      <c r="C1946" s="36" t="str">
        <f>IFERROR(__xludf.DUMMYFUNCTION("""COMPUTED_VALUE"""),"")</f>
        <v/>
      </c>
      <c r="D1946" s="36" t="str">
        <f>IFERROR(__xludf.DUMMYFUNCTION("""COMPUTED_VALUE"""),"")</f>
        <v/>
      </c>
      <c r="E1946" s="36" t="str">
        <f>IFERROR(__xludf.DUMMYFUNCTION("""COMPUTED_VALUE"""),"01-47-07-159")</f>
        <v>01-47-07-159</v>
      </c>
      <c r="F1946" s="36"/>
      <c r="G1946" s="36" t="str">
        <f>IFERROR(__xludf.DUMMYFUNCTION("""COMPUTED_VALUE"""),"Nuche y Hermógenes Ruiz")</f>
        <v>Nuche y Hermógenes Ruiz</v>
      </c>
      <c r="H1946" s="36" t="str">
        <f>IFERROR(__xludf.DUMMYFUNCTION("""COMPUTED_VALUE"""),"")</f>
        <v/>
      </c>
    </row>
    <row r="1947">
      <c r="A1947" s="36" t="str">
        <f>IFERROR(__xludf.DUMMYFUNCTION("""COMPUTED_VALUE"""),"02-42-11-48A")</f>
        <v>02-42-11-48A</v>
      </c>
      <c r="B1947" s="36" t="str">
        <f>IFERROR(__xludf.DUMMYFUNCTION("""COMPUTED_VALUE"""),"")</f>
        <v/>
      </c>
      <c r="C1947" s="36" t="str">
        <f>IFERROR(__xludf.DUMMYFUNCTION("""COMPUTED_VALUE"""),"")</f>
        <v/>
      </c>
      <c r="D1947" s="36" t="str">
        <f>IFERROR(__xludf.DUMMYFUNCTION("""COMPUTED_VALUE"""),"")</f>
        <v/>
      </c>
      <c r="E1947" s="36" t="str">
        <f>IFERROR(__xludf.DUMMYFUNCTION("""COMPUTED_VALUE"""),"08-36-02-117")</f>
        <v>08-36-02-117</v>
      </c>
      <c r="F1947" s="36"/>
      <c r="G1947" s="36" t="str">
        <f>IFERROR(__xludf.DUMMYFUNCTION("""COMPUTED_VALUE"""),"Nueva Argentina ")</f>
        <v>Nueva Argentina </v>
      </c>
      <c r="H1947" s="36" t="str">
        <f>IFERROR(__xludf.DUMMYFUNCTION("""COMPUTED_VALUE"""),"")</f>
        <v/>
      </c>
    </row>
    <row r="1948">
      <c r="A1948" s="36" t="str">
        <f>IFERROR(__xludf.DUMMYFUNCTION("""COMPUTED_VALUE"""),"02-42-11-53a")</f>
        <v>02-42-11-53a</v>
      </c>
      <c r="B1948" s="36" t="str">
        <f>IFERROR(__xludf.DUMMYFUNCTION("""COMPUTED_VALUE"""),"")</f>
        <v/>
      </c>
      <c r="C1948" s="36" t="str">
        <f>IFERROR(__xludf.DUMMYFUNCTION("""COMPUTED_VALUE"""),"")</f>
        <v/>
      </c>
      <c r="D1948" s="36" t="str">
        <f>IFERROR(__xludf.DUMMYFUNCTION("""COMPUTED_VALUE"""),"")</f>
        <v/>
      </c>
      <c r="E1948" s="36" t="str">
        <f>IFERROR(__xludf.DUMMYFUNCTION("""COMPUTED_VALUE"""),"08-36-02-114")</f>
        <v>08-36-02-114</v>
      </c>
      <c r="F1948" s="36"/>
      <c r="G1948" s="36" t="str">
        <f>IFERROR(__xludf.DUMMYFUNCTION("""COMPUTED_VALUE"""),"Nueva Argentina y 2 de Septiembre N")</f>
        <v>Nueva Argentina y 2 de Septiembre N</v>
      </c>
      <c r="H1948" s="36" t="str">
        <f>IFERROR(__xludf.DUMMYFUNCTION("""COMPUTED_VALUE"""),"")</f>
        <v/>
      </c>
    </row>
    <row r="1949">
      <c r="A1949" s="36" t="str">
        <f>IFERROR(__xludf.DUMMYFUNCTION("""COMPUTED_VALUE"""),"02-42-11-53B")</f>
        <v>02-42-11-53B</v>
      </c>
      <c r="B1949" s="36" t="str">
        <f>IFERROR(__xludf.DUMMYFUNCTION("""COMPUTED_VALUE"""),"")</f>
        <v/>
      </c>
      <c r="C1949" s="36" t="str">
        <f>IFERROR(__xludf.DUMMYFUNCTION("""COMPUTED_VALUE"""),"")</f>
        <v/>
      </c>
      <c r="D1949" s="36" t="str">
        <f>IFERROR(__xludf.DUMMYFUNCTION("""COMPUTED_VALUE"""),"")</f>
        <v/>
      </c>
      <c r="E1949" s="36" t="str">
        <f>IFERROR(__xludf.DUMMYFUNCTION("""COMPUTED_VALUE"""),"08-36-02-115")</f>
        <v>08-36-02-115</v>
      </c>
      <c r="F1949" s="36"/>
      <c r="G1949" s="36" t="str">
        <f>IFERROR(__xludf.DUMMYFUNCTION("""COMPUTED_VALUE"""),"Nueva Argentina y 2 de Septiembre S")</f>
        <v>Nueva Argentina y 2 de Septiembre S</v>
      </c>
      <c r="H1949" s="36" t="str">
        <f>IFERROR(__xludf.DUMMYFUNCTION("""COMPUTED_VALUE"""),"")</f>
        <v/>
      </c>
    </row>
    <row r="1950">
      <c r="A1950" s="36" t="str">
        <f>IFERROR(__xludf.DUMMYFUNCTION("""COMPUTED_VALUE"""),"02-44-11-1")</f>
        <v>02-44-11-1</v>
      </c>
      <c r="B1950" s="36" t="str">
        <f>IFERROR(__xludf.DUMMYFUNCTION("""COMPUTED_VALUE"""),"")</f>
        <v/>
      </c>
      <c r="C1950" s="36" t="str">
        <f>IFERROR(__xludf.DUMMYFUNCTION("""COMPUTED_VALUE"""),"")</f>
        <v/>
      </c>
      <c r="D1950" s="36" t="str">
        <f>IFERROR(__xludf.DUMMYFUNCTION("""COMPUTED_VALUE"""),"")</f>
        <v/>
      </c>
      <c r="E1950" s="36" t="str">
        <f>IFERROR(__xludf.DUMMYFUNCTION("""COMPUTED_VALUE"""),"08-36-02-118")</f>
        <v>08-36-02-118</v>
      </c>
      <c r="F1950" s="36"/>
      <c r="G1950" s="36" t="str">
        <f>IFERROR(__xludf.DUMMYFUNCTION("""COMPUTED_VALUE"""),"Nueva Argentina y Díaz N")</f>
        <v>Nueva Argentina y Díaz N</v>
      </c>
      <c r="H1950" s="36" t="str">
        <f>IFERROR(__xludf.DUMMYFUNCTION("""COMPUTED_VALUE"""),"")</f>
        <v/>
      </c>
    </row>
    <row r="1951">
      <c r="A1951" s="36" t="str">
        <f>IFERROR(__xludf.DUMMYFUNCTION("""COMPUTED_VALUE"""),"02-46-11-10B")</f>
        <v>02-46-11-10B</v>
      </c>
      <c r="B1951" s="36" t="str">
        <f>IFERROR(__xludf.DUMMYFUNCTION("""COMPUTED_VALUE"""),"")</f>
        <v/>
      </c>
      <c r="C1951" s="36" t="str">
        <f>IFERROR(__xludf.DUMMYFUNCTION("""COMPUTED_VALUE"""),"")</f>
        <v/>
      </c>
      <c r="D1951" s="36" t="str">
        <f>IFERROR(__xludf.DUMMYFUNCTION("""COMPUTED_VALUE"""),"")</f>
        <v/>
      </c>
      <c r="E1951" s="36" t="str">
        <f>IFERROR(__xludf.DUMMYFUNCTION("""COMPUTED_VALUE"""),"08-36-02-119")</f>
        <v>08-36-02-119</v>
      </c>
      <c r="F1951" s="36"/>
      <c r="G1951" s="36" t="str">
        <f>IFERROR(__xludf.DUMMYFUNCTION("""COMPUTED_VALUE"""),"Nueva Argentina y Díaz S")</f>
        <v>Nueva Argentina y Díaz S</v>
      </c>
      <c r="H1951" s="36" t="str">
        <f>IFERROR(__xludf.DUMMYFUNCTION("""COMPUTED_VALUE"""),"")</f>
        <v/>
      </c>
    </row>
    <row r="1952">
      <c r="A1952" s="36" t="str">
        <f>IFERROR(__xludf.DUMMYFUNCTION("""COMPUTED_VALUE"""),"02-46-11-11A")</f>
        <v>02-46-11-11A</v>
      </c>
      <c r="B1952" s="36" t="str">
        <f>IFERROR(__xludf.DUMMYFUNCTION("""COMPUTED_VALUE"""),"")</f>
        <v/>
      </c>
      <c r="C1952" s="36" t="str">
        <f>IFERROR(__xludf.DUMMYFUNCTION("""COMPUTED_VALUE"""),"")</f>
        <v/>
      </c>
      <c r="D1952" s="36" t="str">
        <f>IFERROR(__xludf.DUMMYFUNCTION("""COMPUTED_VALUE"""),"")</f>
        <v/>
      </c>
      <c r="E1952" s="36" t="str">
        <f>IFERROR(__xludf.DUMMYFUNCTION("""COMPUTED_VALUE"""),"01-43-07-136B")</f>
        <v>01-43-07-136B</v>
      </c>
      <c r="F1952" s="36"/>
      <c r="G1952" s="36" t="str">
        <f>IFERROR(__xludf.DUMMYFUNCTION("""COMPUTED_VALUE"""),"Nuevo Museo de la Memoria Urbana")</f>
        <v>Nuevo Museo de la Memoria Urbana</v>
      </c>
      <c r="H1952" s="36" t="str">
        <f>IFERROR(__xludf.DUMMYFUNCTION("""COMPUTED_VALUE"""),"")</f>
        <v/>
      </c>
    </row>
    <row r="1953">
      <c r="A1953" s="36" t="str">
        <f>IFERROR(__xludf.DUMMYFUNCTION("""COMPUTED_VALUE"""),"02-46-11-12")</f>
        <v>02-46-11-12</v>
      </c>
      <c r="B1953" s="36" t="str">
        <f>IFERROR(__xludf.DUMMYFUNCTION("""COMPUTED_VALUE"""),"")</f>
        <v/>
      </c>
      <c r="C1953" s="36" t="str">
        <f>IFERROR(__xludf.DUMMYFUNCTION("""COMPUTED_VALUE"""),"")</f>
        <v/>
      </c>
      <c r="D1953" s="36" t="str">
        <f>IFERROR(__xludf.DUMMYFUNCTION("""COMPUTED_VALUE"""),"")</f>
        <v/>
      </c>
      <c r="E1953" s="36" t="str">
        <f>IFERROR(__xludf.DUMMYFUNCTION("""COMPUTED_VALUE"""),"04-34-12-43A")</f>
        <v>04-34-12-43A</v>
      </c>
      <c r="F1953" s="36"/>
      <c r="G1953" s="36" t="str">
        <f>IFERROR(__xludf.DUMMYFUNCTION("""COMPUTED_VALUE"""),"O'Higgins y Saenz Peña Norte")</f>
        <v>O'Higgins y Saenz Peña Norte</v>
      </c>
      <c r="H1953" s="36" t="str">
        <f>IFERROR(__xludf.DUMMYFUNCTION("""COMPUTED_VALUE"""),"")</f>
        <v/>
      </c>
    </row>
    <row r="1954">
      <c r="A1954" s="36" t="str">
        <f>IFERROR(__xludf.DUMMYFUNCTION("""COMPUTED_VALUE"""),"02-46-11-13")</f>
        <v>02-46-11-13</v>
      </c>
      <c r="B1954" s="36" t="str">
        <f>IFERROR(__xludf.DUMMYFUNCTION("""COMPUTED_VALUE"""),"")</f>
        <v/>
      </c>
      <c r="C1954" s="36" t="str">
        <f>IFERROR(__xludf.DUMMYFUNCTION("""COMPUTED_VALUE"""),"")</f>
        <v/>
      </c>
      <c r="D1954" s="36" t="str">
        <f>IFERROR(__xludf.DUMMYFUNCTION("""COMPUTED_VALUE"""),"")</f>
        <v/>
      </c>
      <c r="E1954" s="36" t="str">
        <f>IFERROR(__xludf.DUMMYFUNCTION("""COMPUTED_VALUE"""),"04-34-12-42A")</f>
        <v>04-34-12-42A</v>
      </c>
      <c r="F1954" s="36"/>
      <c r="G1954" s="36" t="str">
        <f>IFERROR(__xludf.DUMMYFUNCTION("""COMPUTED_VALUE"""),"O'Higgins y Saenz Peña Sur")</f>
        <v>O'Higgins y Saenz Peña Sur</v>
      </c>
      <c r="H1954" s="36" t="str">
        <f>IFERROR(__xludf.DUMMYFUNCTION("""COMPUTED_VALUE"""),"")</f>
        <v/>
      </c>
    </row>
    <row r="1955">
      <c r="A1955" s="36" t="str">
        <f>IFERROR(__xludf.DUMMYFUNCTION("""COMPUTED_VALUE"""),"02-46-11-14")</f>
        <v>02-46-11-14</v>
      </c>
      <c r="B1955" s="36" t="str">
        <f>IFERROR(__xludf.DUMMYFUNCTION("""COMPUTED_VALUE"""),"")</f>
        <v/>
      </c>
      <c r="C1955" s="36" t="str">
        <f>IFERROR(__xludf.DUMMYFUNCTION("""COMPUTED_VALUE"""),"")</f>
        <v/>
      </c>
      <c r="D1955" s="36" t="str">
        <f>IFERROR(__xludf.DUMMYFUNCTION("""COMPUTED_VALUE"""),"")</f>
        <v/>
      </c>
      <c r="E1955" s="36" t="str">
        <f>IFERROR(__xludf.DUMMYFUNCTION("""COMPUTED_VALUE"""),"04-34-12-39A")</f>
        <v>04-34-12-39A</v>
      </c>
      <c r="F1955" s="36"/>
      <c r="G1955" s="36" t="str">
        <f>IFERROR(__xludf.DUMMYFUNCTION("""COMPUTED_VALUE"""),"O'Higgins y Soldado Argentino Noreste")</f>
        <v>O'Higgins y Soldado Argentino Noreste</v>
      </c>
      <c r="H1955" s="36" t="str">
        <f>IFERROR(__xludf.DUMMYFUNCTION("""COMPUTED_VALUE"""),"")</f>
        <v/>
      </c>
    </row>
    <row r="1956">
      <c r="A1956" s="36" t="str">
        <f>IFERROR(__xludf.DUMMYFUNCTION("""COMPUTED_VALUE"""),"02-46-11-14A")</f>
        <v>02-46-11-14A</v>
      </c>
      <c r="B1956" s="36" t="str">
        <f>IFERROR(__xludf.DUMMYFUNCTION("""COMPUTED_VALUE"""),"")</f>
        <v/>
      </c>
      <c r="C1956" s="36" t="str">
        <f>IFERROR(__xludf.DUMMYFUNCTION("""COMPUTED_VALUE"""),"")</f>
        <v/>
      </c>
      <c r="D1956" s="36" t="str">
        <f>IFERROR(__xludf.DUMMYFUNCTION("""COMPUTED_VALUE"""),"")</f>
        <v/>
      </c>
      <c r="E1956" s="36" t="str">
        <f>IFERROR(__xludf.DUMMYFUNCTION("""COMPUTED_VALUE"""),"04-34-12-41A")</f>
        <v>04-34-12-41A</v>
      </c>
      <c r="F1956" s="36"/>
      <c r="G1956" s="36" t="str">
        <f>IFERROR(__xludf.DUMMYFUNCTION("""COMPUTED_VALUE"""),"O'Higgins y Soldado Argentino Noroeste")</f>
        <v>O'Higgins y Soldado Argentino Noroeste</v>
      </c>
      <c r="H1956" s="36" t="str">
        <f>IFERROR(__xludf.DUMMYFUNCTION("""COMPUTED_VALUE"""),"")</f>
        <v/>
      </c>
    </row>
    <row r="1957">
      <c r="A1957" s="36" t="str">
        <f>IFERROR(__xludf.DUMMYFUNCTION("""COMPUTED_VALUE"""),"02-46-11-15")</f>
        <v>02-46-11-15</v>
      </c>
      <c r="B1957" s="36" t="str">
        <f>IFERROR(__xludf.DUMMYFUNCTION("""COMPUTED_VALUE"""),"")</f>
        <v/>
      </c>
      <c r="C1957" s="36" t="str">
        <f>IFERROR(__xludf.DUMMYFUNCTION("""COMPUTED_VALUE"""),"")</f>
        <v/>
      </c>
      <c r="D1957" s="36" t="str">
        <f>IFERROR(__xludf.DUMMYFUNCTION("""COMPUTED_VALUE"""),"")</f>
        <v/>
      </c>
      <c r="E1957" s="36" t="str">
        <f>IFERROR(__xludf.DUMMYFUNCTION("""COMPUTED_VALUE"""),"04-34-12-40A")</f>
        <v>04-34-12-40A</v>
      </c>
      <c r="F1957" s="36"/>
      <c r="G1957" s="36" t="str">
        <f>IFERROR(__xludf.DUMMYFUNCTION("""COMPUTED_VALUE"""),"O'Higgins y Soldado Argentino Sur")</f>
        <v>O'Higgins y Soldado Argentino Sur</v>
      </c>
      <c r="H1957" s="36" t="str">
        <f>IFERROR(__xludf.DUMMYFUNCTION("""COMPUTED_VALUE"""),"")</f>
        <v/>
      </c>
    </row>
    <row r="1958">
      <c r="A1958" s="36" t="str">
        <f>IFERROR(__xludf.DUMMYFUNCTION("""COMPUTED_VALUE"""),"02-46-11-15A")</f>
        <v>02-46-11-15A</v>
      </c>
      <c r="B1958" s="36" t="str">
        <f>IFERROR(__xludf.DUMMYFUNCTION("""COMPUTED_VALUE"""),"")</f>
        <v/>
      </c>
      <c r="C1958" s="36" t="str">
        <f>IFERROR(__xludf.DUMMYFUNCTION("""COMPUTED_VALUE"""),"")</f>
        <v/>
      </c>
      <c r="D1958" s="36" t="str">
        <f>IFERROR(__xludf.DUMMYFUNCTION("""COMPUTED_VALUE"""),"")</f>
        <v/>
      </c>
      <c r="E1958" s="36" t="str">
        <f>IFERROR(__xludf.DUMMYFUNCTION("""COMPUTED_VALUE"""),"04-34-12-38A")</f>
        <v>04-34-12-38A</v>
      </c>
      <c r="F1958" s="36"/>
      <c r="G1958" s="36" t="str">
        <f>IFERROR(__xludf.DUMMYFUNCTION("""COMPUTED_VALUE"""),"O'Higgins y Zapiola")</f>
        <v>O'Higgins y Zapiola</v>
      </c>
      <c r="H1958" s="36" t="str">
        <f>IFERROR(__xludf.DUMMYFUNCTION("""COMPUTED_VALUE"""),"")</f>
        <v/>
      </c>
    </row>
    <row r="1959">
      <c r="A1959" s="36" t="str">
        <f>IFERROR(__xludf.DUMMYFUNCTION("""COMPUTED_VALUE"""),"02-46-11-16")</f>
        <v>02-46-11-16</v>
      </c>
      <c r="B1959" s="36" t="str">
        <f>IFERROR(__xludf.DUMMYFUNCTION("""COMPUTED_VALUE"""),"")</f>
        <v/>
      </c>
      <c r="C1959" s="36" t="str">
        <f>IFERROR(__xludf.DUMMYFUNCTION("""COMPUTED_VALUE"""),"")</f>
        <v/>
      </c>
      <c r="D1959" s="36" t="str">
        <f>IFERROR(__xludf.DUMMYFUNCTION("""COMPUTED_VALUE"""),"")</f>
        <v/>
      </c>
      <c r="E1959" s="36" t="str">
        <f>IFERROR(__xludf.DUMMYFUNCTION("""COMPUTED_VALUE"""),"01-54-14-18")</f>
        <v>01-54-14-18</v>
      </c>
      <c r="F1959" s="36"/>
      <c r="G1959" s="36" t="str">
        <f>IFERROR(__xludf.DUMMYFUNCTION("""COMPUTED_VALUE"""),"O´Higgins y Patricias Sanjuaninas")</f>
        <v>O´Higgins y Patricias Sanjuaninas</v>
      </c>
      <c r="H1959" s="36" t="str">
        <f>IFERROR(__xludf.DUMMYFUNCTION("""COMPUTED_VALUE"""),"")</f>
        <v/>
      </c>
    </row>
    <row r="1960">
      <c r="A1960" s="36" t="str">
        <f>IFERROR(__xludf.DUMMYFUNCTION("""COMPUTED_VALUE"""),"02-46-11-16A")</f>
        <v>02-46-11-16A</v>
      </c>
      <c r="B1960" s="36" t="str">
        <f>IFERROR(__xludf.DUMMYFUNCTION("""COMPUTED_VALUE"""),"")</f>
        <v/>
      </c>
      <c r="C1960" s="36" t="str">
        <f>IFERROR(__xludf.DUMMYFUNCTION("""COMPUTED_VALUE"""),"")</f>
        <v/>
      </c>
      <c r="D1960" s="36" t="str">
        <f>IFERROR(__xludf.DUMMYFUNCTION("""COMPUTED_VALUE"""),"")</f>
        <v/>
      </c>
      <c r="E1960" s="36" t="str">
        <f>IFERROR(__xludf.DUMMYFUNCTION("""COMPUTED_VALUE"""),"01-22-08-101A")</f>
        <v>01-22-08-101A</v>
      </c>
      <c r="F1960" s="36"/>
      <c r="G1960" s="36" t="str">
        <f>IFERROR(__xludf.DUMMYFUNCTION("""COMPUTED_VALUE"""),"Obrador IPV ")</f>
        <v>Obrador IPV </v>
      </c>
      <c r="H1960" s="36" t="str">
        <f>IFERROR(__xludf.DUMMYFUNCTION("""COMPUTED_VALUE"""),"")</f>
        <v/>
      </c>
    </row>
    <row r="1961">
      <c r="A1961" s="36" t="str">
        <f>IFERROR(__xludf.DUMMYFUNCTION("""COMPUTED_VALUE"""),"02-46-11-17")</f>
        <v>02-46-11-17</v>
      </c>
      <c r="B1961" s="36" t="str">
        <f>IFERROR(__xludf.DUMMYFUNCTION("""COMPUTED_VALUE"""),"")</f>
        <v/>
      </c>
      <c r="C1961" s="36" t="str">
        <f>IFERROR(__xludf.DUMMYFUNCTION("""COMPUTED_VALUE"""),"")</f>
        <v/>
      </c>
      <c r="D1961" s="36" t="str">
        <f>IFERROR(__xludf.DUMMYFUNCTION("""COMPUTED_VALUE"""),"")</f>
        <v/>
      </c>
      <c r="E1961" s="36" t="str">
        <f>IFERROR(__xludf.DUMMYFUNCTION("""COMPUTED_VALUE"""),"08-23-04-73")</f>
        <v>08-23-04-73</v>
      </c>
      <c r="F1961" s="36"/>
      <c r="G1961" s="36" t="str">
        <f>IFERROR(__xludf.DUMMYFUNCTION("""COMPUTED_VALUE"""),"Obrero Argentino y Alberdi E")</f>
        <v>Obrero Argentino y Alberdi E</v>
      </c>
      <c r="H1961" s="36" t="str">
        <f>IFERROR(__xludf.DUMMYFUNCTION("""COMPUTED_VALUE"""),"")</f>
        <v/>
      </c>
    </row>
    <row r="1962">
      <c r="A1962" s="36" t="str">
        <f>IFERROR(__xludf.DUMMYFUNCTION("""COMPUTED_VALUE"""),"02-46-11-17A")</f>
        <v>02-46-11-17A</v>
      </c>
      <c r="B1962" s="36" t="str">
        <f>IFERROR(__xludf.DUMMYFUNCTION("""COMPUTED_VALUE"""),"")</f>
        <v/>
      </c>
      <c r="C1962" s="36" t="str">
        <f>IFERROR(__xludf.DUMMYFUNCTION("""COMPUTED_VALUE"""),"")</f>
        <v/>
      </c>
      <c r="D1962" s="36" t="str">
        <f>IFERROR(__xludf.DUMMYFUNCTION("""COMPUTED_VALUE"""),"")</f>
        <v/>
      </c>
      <c r="E1962" s="36" t="str">
        <f>IFERROR(__xludf.DUMMYFUNCTION("""COMPUTED_VALUE"""),"08-23-04-72")</f>
        <v>08-23-04-72</v>
      </c>
      <c r="F1962" s="36"/>
      <c r="G1962" s="36" t="str">
        <f>IFERROR(__xludf.DUMMYFUNCTION("""COMPUTED_VALUE"""),"Obrero Argentino y Alberdi O")</f>
        <v>Obrero Argentino y Alberdi O</v>
      </c>
      <c r="H1962" s="36" t="str">
        <f>IFERROR(__xludf.DUMMYFUNCTION("""COMPUTED_VALUE"""),"")</f>
        <v/>
      </c>
    </row>
    <row r="1963">
      <c r="A1963" s="36" t="str">
        <f>IFERROR(__xludf.DUMMYFUNCTION("""COMPUTED_VALUE"""),"02-46-11-3")</f>
        <v>02-46-11-3</v>
      </c>
      <c r="B1963" s="36" t="str">
        <f>IFERROR(__xludf.DUMMYFUNCTION("""COMPUTED_VALUE"""),"")</f>
        <v/>
      </c>
      <c r="C1963" s="36" t="str">
        <f>IFERROR(__xludf.DUMMYFUNCTION("""COMPUTED_VALUE"""),"")</f>
        <v/>
      </c>
      <c r="D1963" s="36" t="str">
        <f>IFERROR(__xludf.DUMMYFUNCTION("""COMPUTED_VALUE"""),"")</f>
        <v/>
      </c>
      <c r="E1963" s="36" t="str">
        <f>IFERROR(__xludf.DUMMYFUNCTION("""COMPUTED_VALUE"""),"08-23-04-71")</f>
        <v>08-23-04-71</v>
      </c>
      <c r="F1963" s="36"/>
      <c r="G1963" s="36" t="str">
        <f>IFERROR(__xludf.DUMMYFUNCTION("""COMPUTED_VALUE"""),"Obrero Argentino y Oro")</f>
        <v>Obrero Argentino y Oro</v>
      </c>
      <c r="H1963" s="36" t="str">
        <f>IFERROR(__xludf.DUMMYFUNCTION("""COMPUTED_VALUE"""),"")</f>
        <v/>
      </c>
    </row>
    <row r="1964">
      <c r="A1964" s="36" t="str">
        <f>IFERROR(__xludf.DUMMYFUNCTION("""COMPUTED_VALUE"""),"02-46-11-34A")</f>
        <v>02-46-11-34A</v>
      </c>
      <c r="B1964" s="36" t="str">
        <f>IFERROR(__xludf.DUMMYFUNCTION("""COMPUTED_VALUE"""),"")</f>
        <v/>
      </c>
      <c r="C1964" s="36" t="str">
        <f>IFERROR(__xludf.DUMMYFUNCTION("""COMPUTED_VALUE"""),"")</f>
        <v/>
      </c>
      <c r="D1964" s="36" t="str">
        <f>IFERROR(__xludf.DUMMYFUNCTION("""COMPUTED_VALUE"""),"")</f>
        <v/>
      </c>
      <c r="E1964" s="36" t="str">
        <f>IFERROR(__xludf.DUMMYFUNCTION("""COMPUTED_VALUE"""),"01-21-07-248")</f>
        <v>01-21-07-248</v>
      </c>
      <c r="F1964" s="36"/>
      <c r="G1964" s="36" t="str">
        <f>IFERROR(__xludf.DUMMYFUNCTION("""COMPUTED_VALUE"""),"Octavio Gil y Cmte. Piedrabuena N")</f>
        <v>Octavio Gil y Cmte. Piedrabuena N</v>
      </c>
      <c r="H1964" s="36" t="str">
        <f>IFERROR(__xludf.DUMMYFUNCTION("""COMPUTED_VALUE"""),"")</f>
        <v/>
      </c>
    </row>
    <row r="1965">
      <c r="A1965" s="36" t="str">
        <f>IFERROR(__xludf.DUMMYFUNCTION("""COMPUTED_VALUE"""),"02-46-11-35A")</f>
        <v>02-46-11-35A</v>
      </c>
      <c r="B1965" s="36" t="str">
        <f>IFERROR(__xludf.DUMMYFUNCTION("""COMPUTED_VALUE"""),"")</f>
        <v/>
      </c>
      <c r="C1965" s="36" t="str">
        <f>IFERROR(__xludf.DUMMYFUNCTION("""COMPUTED_VALUE"""),"")</f>
        <v/>
      </c>
      <c r="D1965" s="36" t="str">
        <f>IFERROR(__xludf.DUMMYFUNCTION("""COMPUTED_VALUE"""),"")</f>
        <v/>
      </c>
      <c r="E1965" s="36" t="str">
        <f>IFERROR(__xludf.DUMMYFUNCTION("""COMPUTED_VALUE"""),"01-21-07-249")</f>
        <v>01-21-07-249</v>
      </c>
      <c r="F1965" s="36"/>
      <c r="G1965" s="36" t="str">
        <f>IFERROR(__xludf.DUMMYFUNCTION("""COMPUTED_VALUE"""),"Octavio Gil y Cmte. Piedrabuena S")</f>
        <v>Octavio Gil y Cmte. Piedrabuena S</v>
      </c>
      <c r="H1965" s="36" t="str">
        <f>IFERROR(__xludf.DUMMYFUNCTION("""COMPUTED_VALUE"""),"")</f>
        <v/>
      </c>
    </row>
    <row r="1966">
      <c r="A1966" s="36" t="str">
        <f>IFERROR(__xludf.DUMMYFUNCTION("""COMPUTED_VALUE"""),"02-48-11-43")</f>
        <v>02-48-11-43</v>
      </c>
      <c r="B1966" s="36" t="str">
        <f>IFERROR(__xludf.DUMMYFUNCTION("""COMPUTED_VALUE"""),"")</f>
        <v/>
      </c>
      <c r="C1966" s="36" t="str">
        <f>IFERROR(__xludf.DUMMYFUNCTION("""COMPUTED_VALUE"""),"")</f>
        <v/>
      </c>
      <c r="D1966" s="36" t="str">
        <f>IFERROR(__xludf.DUMMYFUNCTION("""COMPUTED_VALUE"""),"")</f>
        <v/>
      </c>
      <c r="E1966" s="36" t="str">
        <f>IFERROR(__xludf.DUMMYFUNCTION("""COMPUTED_VALUE"""),"08-23-04-69")</f>
        <v>08-23-04-69</v>
      </c>
      <c r="F1966" s="36"/>
      <c r="G1966" s="36" t="str">
        <f>IFERROR(__xludf.DUMMYFUNCTION("""COMPUTED_VALUE"""),"Oro y Necochea")</f>
        <v>Oro y Necochea</v>
      </c>
      <c r="H1966" s="36" t="str">
        <f>IFERROR(__xludf.DUMMYFUNCTION("""COMPUTED_VALUE"""),"")</f>
        <v/>
      </c>
    </row>
    <row r="1967">
      <c r="A1967" s="36" t="str">
        <f>IFERROR(__xludf.DUMMYFUNCTION("""COMPUTED_VALUE"""),"02-48-11-55")</f>
        <v>02-48-11-55</v>
      </c>
      <c r="B1967" s="36" t="str">
        <f>IFERROR(__xludf.DUMMYFUNCTION("""COMPUTED_VALUE"""),"")</f>
        <v/>
      </c>
      <c r="C1967" s="36" t="str">
        <f>IFERROR(__xludf.DUMMYFUNCTION("""COMPUTED_VALUE"""),"")</f>
        <v/>
      </c>
      <c r="D1967" s="36" t="str">
        <f>IFERROR(__xludf.DUMMYFUNCTION("""COMPUTED_VALUE"""),"")</f>
        <v/>
      </c>
      <c r="E1967" s="36" t="str">
        <f>IFERROR(__xludf.DUMMYFUNCTION("""COMPUTED_VALUE"""),"08-23-04-70")</f>
        <v>08-23-04-70</v>
      </c>
      <c r="F1967" s="36"/>
      <c r="G1967" s="36" t="str">
        <f>IFERROR(__xludf.DUMMYFUNCTION("""COMPUTED_VALUE"""),"Oro y Obrero Argentino")</f>
        <v>Oro y Obrero Argentino</v>
      </c>
      <c r="H1967" s="36" t="str">
        <f>IFERROR(__xludf.DUMMYFUNCTION("""COMPUTED_VALUE"""),"")</f>
        <v/>
      </c>
    </row>
    <row r="1968">
      <c r="A1968" s="36" t="str">
        <f>IFERROR(__xludf.DUMMYFUNCTION("""COMPUTED_VALUE"""),"02-48-11-56A")</f>
        <v>02-48-11-56A</v>
      </c>
      <c r="B1968" s="36" t="str">
        <f>IFERROR(__xludf.DUMMYFUNCTION("""COMPUTED_VALUE"""),"")</f>
        <v/>
      </c>
      <c r="C1968" s="36" t="str">
        <f>IFERROR(__xludf.DUMMYFUNCTION("""COMPUTED_VALUE"""),"")</f>
        <v/>
      </c>
      <c r="D1968" s="36" t="str">
        <f>IFERROR(__xludf.DUMMYFUNCTION("""COMPUTED_VALUE"""),"")</f>
        <v/>
      </c>
      <c r="E1968" s="36" t="str">
        <f>IFERROR(__xludf.DUMMYFUNCTION("""COMPUTED_VALUE"""),"08-26-03-52B")</f>
        <v>08-26-03-52B</v>
      </c>
      <c r="F1968" s="36"/>
      <c r="G1968" s="36" t="str">
        <f>IFERROR(__xludf.DUMMYFUNCTION("""COMPUTED_VALUE"""),"Oro y RN40 E")</f>
        <v>Oro y RN40 E</v>
      </c>
      <c r="H1968" s="36" t="str">
        <f>IFERROR(__xludf.DUMMYFUNCTION("""COMPUTED_VALUE"""),"")</f>
        <v/>
      </c>
    </row>
    <row r="1969">
      <c r="A1969" s="36" t="str">
        <f>IFERROR(__xludf.DUMMYFUNCTION("""COMPUTED_VALUE"""),"04-36-11-73C")</f>
        <v>04-36-11-73C</v>
      </c>
      <c r="B1969" s="36" t="str">
        <f>IFERROR(__xludf.DUMMYFUNCTION("""COMPUTED_VALUE"""),"")</f>
        <v/>
      </c>
      <c r="C1969" s="36" t="str">
        <f>IFERROR(__xludf.DUMMYFUNCTION("""COMPUTED_VALUE"""),"")</f>
        <v/>
      </c>
      <c r="D1969" s="36" t="str">
        <f>IFERROR(__xludf.DUMMYFUNCTION("""COMPUTED_VALUE"""),"")</f>
        <v/>
      </c>
      <c r="E1969" s="36" t="str">
        <f>IFERROR(__xludf.DUMMYFUNCTION("""COMPUTED_VALUE"""),"08-26-03-52A")</f>
        <v>08-26-03-52A</v>
      </c>
      <c r="F1969" s="36"/>
      <c r="G1969" s="36" t="str">
        <f>IFERROR(__xludf.DUMMYFUNCTION("""COMPUTED_VALUE"""),"Oro y RN40 O")</f>
        <v>Oro y RN40 O</v>
      </c>
      <c r="H1969" s="36" t="str">
        <f>IFERROR(__xludf.DUMMYFUNCTION("""COMPUTED_VALUE"""),"")</f>
        <v/>
      </c>
    </row>
    <row r="1970">
      <c r="A1970" s="36" t="str">
        <f>IFERROR(__xludf.DUMMYFUNCTION("""COMPUTED_VALUE"""),"04-36-11-75A")</f>
        <v>04-36-11-75A</v>
      </c>
      <c r="B1970" s="36" t="str">
        <f>IFERROR(__xludf.DUMMYFUNCTION("""COMPUTED_VALUE"""),"")</f>
        <v/>
      </c>
      <c r="C1970" s="36" t="str">
        <f>IFERROR(__xludf.DUMMYFUNCTION("""COMPUTED_VALUE"""),"")</f>
        <v/>
      </c>
      <c r="D1970" s="36" t="str">
        <f>IFERROR(__xludf.DUMMYFUNCTION("""COMPUTED_VALUE"""),"")</f>
        <v/>
      </c>
      <c r="E1970" s="36" t="str">
        <f>IFERROR(__xludf.DUMMYFUNCTION("""COMPUTED_VALUE"""),"08-44-03-52C")</f>
        <v>08-44-03-52C</v>
      </c>
      <c r="F1970" s="36"/>
      <c r="G1970" s="36" t="str">
        <f>IFERROR(__xludf.DUMMYFUNCTION("""COMPUTED_VALUE"""),"Oro y RN40 S")</f>
        <v>Oro y RN40 S</v>
      </c>
      <c r="H1970" s="36" t="str">
        <f>IFERROR(__xludf.DUMMYFUNCTION("""COMPUTED_VALUE"""),"")</f>
        <v/>
      </c>
    </row>
    <row r="1971">
      <c r="A1971" s="36" t="str">
        <f>IFERROR(__xludf.DUMMYFUNCTION("""COMPUTED_VALUE"""),"04-36-11-76A")</f>
        <v>04-36-11-76A</v>
      </c>
      <c r="B1971" s="36" t="str">
        <f>IFERROR(__xludf.DUMMYFUNCTION("""COMPUTED_VALUE"""),"")</f>
        <v/>
      </c>
      <c r="C1971" s="36" t="str">
        <f>IFERROR(__xludf.DUMMYFUNCTION("""COMPUTED_VALUE"""),"")</f>
        <v/>
      </c>
      <c r="D1971" s="36" t="str">
        <f>IFERROR(__xludf.DUMMYFUNCTION("""COMPUTED_VALUE"""),"")</f>
        <v/>
      </c>
      <c r="E1971" s="36" t="str">
        <f>IFERROR(__xludf.DUMMYFUNCTION("""COMPUTED_VALUE"""),"08-26-03-50")</f>
        <v>08-26-03-50</v>
      </c>
      <c r="F1971" s="36"/>
      <c r="G1971" s="36" t="str">
        <f>IFERROR(__xludf.DUMMYFUNCTION("""COMPUTED_VALUE"""),"Oro y San Juan")</f>
        <v>Oro y San Juan</v>
      </c>
      <c r="H1971" s="36" t="str">
        <f>IFERROR(__xludf.DUMMYFUNCTION("""COMPUTED_VALUE"""),"")</f>
        <v/>
      </c>
    </row>
    <row r="1972">
      <c r="A1972" s="36" t="str">
        <f>IFERROR(__xludf.DUMMYFUNCTION("""COMPUTED_VALUE"""),"04-36-11-77A")</f>
        <v>04-36-11-77A</v>
      </c>
      <c r="B1972" s="36" t="str">
        <f>IFERROR(__xludf.DUMMYFUNCTION("""COMPUTED_VALUE"""),"")</f>
        <v/>
      </c>
      <c r="C1972" s="36" t="str">
        <f>IFERROR(__xludf.DUMMYFUNCTION("""COMPUTED_VALUE"""),"")</f>
        <v/>
      </c>
      <c r="D1972" s="36" t="str">
        <f>IFERROR(__xludf.DUMMYFUNCTION("""COMPUTED_VALUE"""),"")</f>
        <v/>
      </c>
      <c r="E1972" s="36" t="str">
        <f>IFERROR(__xludf.DUMMYFUNCTION("""COMPUTED_VALUE"""),"08-26-03-52")</f>
        <v>08-26-03-52</v>
      </c>
      <c r="F1972" s="36"/>
      <c r="G1972" s="36" t="str">
        <f>IFERROR(__xludf.DUMMYFUNCTION("""COMPUTED_VALUE"""),"Oro y Urquiza N")</f>
        <v>Oro y Urquiza N</v>
      </c>
      <c r="H1972" s="36" t="str">
        <f>IFERROR(__xludf.DUMMYFUNCTION("""COMPUTED_VALUE"""),"")</f>
        <v/>
      </c>
    </row>
    <row r="1973">
      <c r="A1973" s="36" t="str">
        <f>IFERROR(__xludf.DUMMYFUNCTION("""COMPUTED_VALUE"""),"04-38-11-117")</f>
        <v>04-38-11-117</v>
      </c>
      <c r="B1973" s="36" t="str">
        <f>IFERROR(__xludf.DUMMYFUNCTION("""COMPUTED_VALUE"""),"")</f>
        <v/>
      </c>
      <c r="C1973" s="36" t="str">
        <f>IFERROR(__xludf.DUMMYFUNCTION("""COMPUTED_VALUE"""),"")</f>
        <v/>
      </c>
      <c r="D1973" s="36" t="str">
        <f>IFERROR(__xludf.DUMMYFUNCTION("""COMPUTED_VALUE"""),"")</f>
        <v/>
      </c>
      <c r="E1973" s="36" t="str">
        <f>IFERROR(__xludf.DUMMYFUNCTION("""COMPUTED_VALUE"""),"08-44-03-51")</f>
        <v>08-44-03-51</v>
      </c>
      <c r="F1973" s="36"/>
      <c r="G1973" s="36" t="str">
        <f>IFERROR(__xludf.DUMMYFUNCTION("""COMPUTED_VALUE"""),"Oro y Urquiza S")</f>
        <v>Oro y Urquiza S</v>
      </c>
      <c r="H1973" s="36" t="str">
        <f>IFERROR(__xludf.DUMMYFUNCTION("""COMPUTED_VALUE"""),"")</f>
        <v/>
      </c>
    </row>
    <row r="1974">
      <c r="A1974" s="36" t="str">
        <f>IFERROR(__xludf.DUMMYFUNCTION("""COMPUTED_VALUE"""),"04-38-11-117B")</f>
        <v>04-38-11-117B</v>
      </c>
      <c r="B1974" s="36" t="str">
        <f>IFERROR(__xludf.DUMMYFUNCTION("""COMPUTED_VALUE"""),"")</f>
        <v/>
      </c>
      <c r="C1974" s="36" t="str">
        <f>IFERROR(__xludf.DUMMYFUNCTION("""COMPUTED_VALUE"""),"")</f>
        <v/>
      </c>
      <c r="D1974" s="36" t="str">
        <f>IFERROR(__xludf.DUMMYFUNCTION("""COMPUTED_VALUE"""),"")</f>
        <v/>
      </c>
      <c r="E1974" s="36" t="str">
        <f>IFERROR(__xludf.DUMMYFUNCTION("""COMPUTED_VALUE"""),"02-24-05-33")</f>
        <v>02-24-05-33</v>
      </c>
      <c r="F1974" s="36"/>
      <c r="G1974" s="36" t="str">
        <f>IFERROR(__xludf.DUMMYFUNCTION("""COMPUTED_VALUE"""),"OSSE Marquesado")</f>
        <v>OSSE Marquesado</v>
      </c>
      <c r="H1974" s="36" t="str">
        <f>IFERROR(__xludf.DUMMYFUNCTION("""COMPUTED_VALUE"""),"")</f>
        <v/>
      </c>
    </row>
    <row r="1975">
      <c r="A1975" s="36" t="str">
        <f>IFERROR(__xludf.DUMMYFUNCTION("""COMPUTED_VALUE"""),"04-38-11-49A")</f>
        <v>04-38-11-49A</v>
      </c>
      <c r="B1975" s="36" t="str">
        <f>IFERROR(__xludf.DUMMYFUNCTION("""COMPUTED_VALUE"""),"")</f>
        <v/>
      </c>
      <c r="C1975" s="36" t="str">
        <f>IFERROR(__xludf.DUMMYFUNCTION("""COMPUTED_VALUE"""),"")</f>
        <v/>
      </c>
      <c r="D1975" s="36" t="str">
        <f>IFERROR(__xludf.DUMMYFUNCTION("""COMPUTED_VALUE"""),"")</f>
        <v/>
      </c>
      <c r="E1975" s="36" t="str">
        <f>IFERROR(__xludf.DUMMYFUNCTION("""COMPUTED_VALUE"""),"02-42-11-41")</f>
        <v>02-42-11-41</v>
      </c>
      <c r="F1975" s="36"/>
      <c r="G1975" s="36" t="str">
        <f>IFERROR(__xludf.DUMMYFUNCTION("""COMPUTED_VALUE"""),"Pacheco Norte")</f>
        <v>Pacheco Norte</v>
      </c>
      <c r="H1975" s="36" t="str">
        <f>IFERROR(__xludf.DUMMYFUNCTION("""COMPUTED_VALUE"""),"")</f>
        <v/>
      </c>
    </row>
    <row r="1976">
      <c r="A1976" s="36" t="str">
        <f>IFERROR(__xludf.DUMMYFUNCTION("""COMPUTED_VALUE"""),"04-38-11-74")</f>
        <v>04-38-11-74</v>
      </c>
      <c r="B1976" s="36" t="str">
        <f>IFERROR(__xludf.DUMMYFUNCTION("""COMPUTED_VALUE"""),"")</f>
        <v/>
      </c>
      <c r="C1976" s="36" t="str">
        <f>IFERROR(__xludf.DUMMYFUNCTION("""COMPUTED_VALUE"""),"")</f>
        <v/>
      </c>
      <c r="D1976" s="36" t="str">
        <f>IFERROR(__xludf.DUMMYFUNCTION("""COMPUTED_VALUE"""),"")</f>
        <v/>
      </c>
      <c r="E1976" s="36" t="str">
        <f>IFERROR(__xludf.DUMMYFUNCTION("""COMPUTED_VALUE"""),"02-42-11-40")</f>
        <v>02-42-11-40</v>
      </c>
      <c r="F1976" s="36"/>
      <c r="G1976" s="36" t="str">
        <f>IFERROR(__xludf.DUMMYFUNCTION("""COMPUTED_VALUE"""),"Pacheco y B. Rivadavia")</f>
        <v>Pacheco y B. Rivadavia</v>
      </c>
      <c r="H1976" s="36" t="str">
        <f>IFERROR(__xludf.DUMMYFUNCTION("""COMPUTED_VALUE"""),"")</f>
        <v/>
      </c>
    </row>
    <row r="1977">
      <c r="A1977" s="36" t="str">
        <f>IFERROR(__xludf.DUMMYFUNCTION("""COMPUTED_VALUE"""),"04-38-11-75")</f>
        <v>04-38-11-75</v>
      </c>
      <c r="B1977" s="36" t="str">
        <f>IFERROR(__xludf.DUMMYFUNCTION("""COMPUTED_VALUE"""),"")</f>
        <v/>
      </c>
      <c r="C1977" s="36" t="str">
        <f>IFERROR(__xludf.DUMMYFUNCTION("""COMPUTED_VALUE"""),"")</f>
        <v/>
      </c>
      <c r="D1977" s="36" t="str">
        <f>IFERROR(__xludf.DUMMYFUNCTION("""COMPUTED_VALUE"""),"")</f>
        <v/>
      </c>
      <c r="E1977" s="36" t="str">
        <f>IFERROR(__xludf.DUMMYFUNCTION("""COMPUTED_VALUE"""),"02-34-11-42")</f>
        <v>02-34-11-42</v>
      </c>
      <c r="F1977" s="36"/>
      <c r="G1977" s="36" t="str">
        <f>IFERROR(__xludf.DUMMYFUNCTION("""COMPUTED_VALUE"""),"Pacheco y Pellegrini")</f>
        <v>Pacheco y Pellegrini</v>
      </c>
      <c r="H1977" s="36" t="str">
        <f>IFERROR(__xludf.DUMMYFUNCTION("""COMPUTED_VALUE"""),"")</f>
        <v/>
      </c>
    </row>
    <row r="1978">
      <c r="A1978" s="36" t="str">
        <f>IFERROR(__xludf.DUMMYFUNCTION("""COMPUTED_VALUE"""),"04-38-11-76")</f>
        <v>04-38-11-76</v>
      </c>
      <c r="B1978" s="36" t="str">
        <f>IFERROR(__xludf.DUMMYFUNCTION("""COMPUTED_VALUE"""),"")</f>
        <v/>
      </c>
      <c r="C1978" s="36" t="str">
        <f>IFERROR(__xludf.DUMMYFUNCTION("""COMPUTED_VALUE"""),"")</f>
        <v/>
      </c>
      <c r="D1978" s="36" t="str">
        <f>IFERROR(__xludf.DUMMYFUNCTION("""COMPUTED_VALUE"""),"")</f>
        <v/>
      </c>
      <c r="E1978" s="36" t="str">
        <f>IFERROR(__xludf.DUMMYFUNCTION("""COMPUTED_VALUE"""),"08-34-01-35A")</f>
        <v>08-34-01-35A</v>
      </c>
      <c r="F1978" s="36"/>
      <c r="G1978" s="36" t="str">
        <f>IFERROR(__xludf.DUMMYFUNCTION("""COMPUTED_VALUE"""),"Padre M. Iannelli y El Sembrador E")</f>
        <v>Padre M. Iannelli y El Sembrador E</v>
      </c>
      <c r="H1978" s="36" t="str">
        <f>IFERROR(__xludf.DUMMYFUNCTION("""COMPUTED_VALUE"""),"")</f>
        <v/>
      </c>
    </row>
    <row r="1979">
      <c r="A1979" s="36" t="str">
        <f>IFERROR(__xludf.DUMMYFUNCTION("""COMPUTED_VALUE"""),"04-38-11-77")</f>
        <v>04-38-11-77</v>
      </c>
      <c r="B1979" s="36" t="str">
        <f>IFERROR(__xludf.DUMMYFUNCTION("""COMPUTED_VALUE"""),"")</f>
        <v/>
      </c>
      <c r="C1979" s="36" t="str">
        <f>IFERROR(__xludf.DUMMYFUNCTION("""COMPUTED_VALUE"""),"")</f>
        <v/>
      </c>
      <c r="D1979" s="36" t="str">
        <f>IFERROR(__xludf.DUMMYFUNCTION("""COMPUTED_VALUE"""),"")</f>
        <v/>
      </c>
      <c r="E1979" s="36" t="str">
        <f>IFERROR(__xludf.DUMMYFUNCTION("""COMPUTED_VALUE"""),"08-34-01-36")</f>
        <v>08-34-01-36</v>
      </c>
      <c r="F1979" s="36"/>
      <c r="G1979" s="36" t="str">
        <f>IFERROR(__xludf.DUMMYFUNCTION("""COMPUTED_VALUE"""),"Padre M. Iannelli y El Sembrador O")</f>
        <v>Padre M. Iannelli y El Sembrador O</v>
      </c>
      <c r="H1979" s="36" t="str">
        <f>IFERROR(__xludf.DUMMYFUNCTION("""COMPUTED_VALUE"""),"")</f>
        <v/>
      </c>
    </row>
    <row r="1980">
      <c r="A1980" s="36" t="str">
        <f>IFERROR(__xludf.DUMMYFUNCTION("""COMPUTED_VALUE"""),"04-42-11-49")</f>
        <v>04-42-11-49</v>
      </c>
      <c r="B1980" s="36" t="str">
        <f>IFERROR(__xludf.DUMMYFUNCTION("""COMPUTED_VALUE"""),"")</f>
        <v/>
      </c>
      <c r="C1980" s="36" t="str">
        <f>IFERROR(__xludf.DUMMYFUNCTION("""COMPUTED_VALUE"""),"")</f>
        <v/>
      </c>
      <c r="D1980" s="36" t="str">
        <f>IFERROR(__xludf.DUMMYFUNCTION("""COMPUTED_VALUE"""),"")</f>
        <v/>
      </c>
      <c r="E1980" s="36" t="str">
        <f>IFERROR(__xludf.DUMMYFUNCTION("""COMPUTED_VALUE"""),"08-34-01-38")</f>
        <v>08-34-01-38</v>
      </c>
      <c r="F1980" s="36"/>
      <c r="G1980" s="36" t="str">
        <f>IFERROR(__xludf.DUMMYFUNCTION("""COMPUTED_VALUE"""),"Padre Mariano Ianelli y Proyectada")</f>
        <v>Padre Mariano Ianelli y Proyectada</v>
      </c>
      <c r="H1980" s="36" t="str">
        <f>IFERROR(__xludf.DUMMYFUNCTION("""COMPUTED_VALUE"""),"")</f>
        <v/>
      </c>
    </row>
    <row r="1981">
      <c r="A1981" s="36" t="str">
        <f>IFERROR(__xludf.DUMMYFUNCTION("""COMPUTED_VALUE"""),"04-42-11-50")</f>
        <v>04-42-11-50</v>
      </c>
      <c r="B1981" s="36" t="str">
        <f>IFERROR(__xludf.DUMMYFUNCTION("""COMPUTED_VALUE"""),"")</f>
        <v/>
      </c>
      <c r="C1981" s="36" t="str">
        <f>IFERROR(__xludf.DUMMYFUNCTION("""COMPUTED_VALUE"""),"")</f>
        <v/>
      </c>
      <c r="D1981" s="36" t="str">
        <f>IFERROR(__xludf.DUMMYFUNCTION("""COMPUTED_VALUE"""),"")</f>
        <v/>
      </c>
      <c r="E1981" s="36" t="str">
        <f>IFERROR(__xludf.DUMMYFUNCTION("""COMPUTED_VALUE"""),"08-34-01-37A")</f>
        <v>08-34-01-37A</v>
      </c>
      <c r="F1981" s="36"/>
      <c r="G1981" s="36" t="str">
        <f>IFERROR(__xludf.DUMMYFUNCTION("""COMPUTED_VALUE"""),"Padre Mariano Ianelli Y Tulúm ")</f>
        <v>Padre Mariano Ianelli Y Tulúm </v>
      </c>
      <c r="H1981" s="36" t="str">
        <f>IFERROR(__xludf.DUMMYFUNCTION("""COMPUTED_VALUE"""),"")</f>
        <v/>
      </c>
    </row>
    <row r="1982">
      <c r="A1982" s="36" t="str">
        <f>IFERROR(__xludf.DUMMYFUNCTION("""COMPUTED_VALUE"""),"04-42-11-51")</f>
        <v>04-42-11-51</v>
      </c>
      <c r="B1982" s="36" t="str">
        <f>IFERROR(__xludf.DUMMYFUNCTION("""COMPUTED_VALUE"""),"")</f>
        <v/>
      </c>
      <c r="C1982" s="36" t="str">
        <f>IFERROR(__xludf.DUMMYFUNCTION("""COMPUTED_VALUE"""),"")</f>
        <v/>
      </c>
      <c r="D1982" s="36" t="str">
        <f>IFERROR(__xludf.DUMMYFUNCTION("""COMPUTED_VALUE"""),"")</f>
        <v/>
      </c>
      <c r="E1982" s="36" t="str">
        <f>IFERROR(__xludf.DUMMYFUNCTION("""COMPUTED_VALUE"""),"08-34-01-37")</f>
        <v>08-34-01-37</v>
      </c>
      <c r="F1982" s="36"/>
      <c r="G1982" s="36" t="str">
        <f>IFERROR(__xludf.DUMMYFUNCTION("""COMPUTED_VALUE"""),"Padre Mariano Iannelli y El Cosechero")</f>
        <v>Padre Mariano Iannelli y El Cosechero</v>
      </c>
      <c r="H1982" s="36" t="str">
        <f>IFERROR(__xludf.DUMMYFUNCTION("""COMPUTED_VALUE"""),"")</f>
        <v/>
      </c>
    </row>
    <row r="1983">
      <c r="A1983" s="36" t="str">
        <f>IFERROR(__xludf.DUMMYFUNCTION("""COMPUTED_VALUE"""),"04-42-11-52")</f>
        <v>04-42-11-52</v>
      </c>
      <c r="B1983" s="36" t="str">
        <f>IFERROR(__xludf.DUMMYFUNCTION("""COMPUTED_VALUE"""),"")</f>
        <v/>
      </c>
      <c r="C1983" s="36" t="str">
        <f>IFERROR(__xludf.DUMMYFUNCTION("""COMPUTED_VALUE"""),"")</f>
        <v/>
      </c>
      <c r="D1983" s="36" t="str">
        <f>IFERROR(__xludf.DUMMYFUNCTION("""COMPUTED_VALUE"""),"")</f>
        <v/>
      </c>
      <c r="E1983" s="36" t="str">
        <f>IFERROR(__xludf.DUMMYFUNCTION("""COMPUTED_VALUE"""),"08-34-01-41")</f>
        <v>08-34-01-41</v>
      </c>
      <c r="F1983" s="36"/>
      <c r="G1983" s="36" t="str">
        <f>IFERROR(__xludf.DUMMYFUNCTION("""COMPUTED_VALUE"""),"Padre Yanelli y Neuquén E")</f>
        <v>Padre Yanelli y Neuquén E</v>
      </c>
      <c r="H1983" s="36" t="str">
        <f>IFERROR(__xludf.DUMMYFUNCTION("""COMPUTED_VALUE"""),"")</f>
        <v/>
      </c>
    </row>
    <row r="1984">
      <c r="A1984" s="36" t="str">
        <f>IFERROR(__xludf.DUMMYFUNCTION("""COMPUTED_VALUE"""),"04-42-11-52A")</f>
        <v>04-42-11-52A</v>
      </c>
      <c r="B1984" s="36" t="str">
        <f>IFERROR(__xludf.DUMMYFUNCTION("""COMPUTED_VALUE"""),"")</f>
        <v/>
      </c>
      <c r="C1984" s="36" t="str">
        <f>IFERROR(__xludf.DUMMYFUNCTION("""COMPUTED_VALUE"""),"")</f>
        <v/>
      </c>
      <c r="D1984" s="36" t="str">
        <f>IFERROR(__xludf.DUMMYFUNCTION("""COMPUTED_VALUE"""),"")</f>
        <v/>
      </c>
      <c r="E1984" s="36" t="str">
        <f>IFERROR(__xludf.DUMMYFUNCTION("""COMPUTED_VALUE"""),"08-34-01-40")</f>
        <v>08-34-01-40</v>
      </c>
      <c r="F1984" s="36"/>
      <c r="G1984" s="36" t="str">
        <f>IFERROR(__xludf.DUMMYFUNCTION("""COMPUTED_VALUE"""),"Padre Yanelli y Neuquén O")</f>
        <v>Padre Yanelli y Neuquén O</v>
      </c>
      <c r="H1984" s="36" t="str">
        <f>IFERROR(__xludf.DUMMYFUNCTION("""COMPUTED_VALUE"""),"")</f>
        <v/>
      </c>
    </row>
    <row r="1985">
      <c r="A1985" s="36" t="str">
        <f>IFERROR(__xludf.DUMMYFUNCTION("""COMPUTED_VALUE"""),"04-42-11-52B")</f>
        <v>04-42-11-52B</v>
      </c>
      <c r="B1985" s="36" t="str">
        <f>IFERROR(__xludf.DUMMYFUNCTION("""COMPUTED_VALUE"""),"")</f>
        <v/>
      </c>
      <c r="C1985" s="36" t="str">
        <f>IFERROR(__xludf.DUMMYFUNCTION("""COMPUTED_VALUE"""),"")</f>
        <v/>
      </c>
      <c r="D1985" s="36" t="str">
        <f>IFERROR(__xludf.DUMMYFUNCTION("""COMPUTED_VALUE"""),"")</f>
        <v/>
      </c>
      <c r="E1985" s="36" t="str">
        <f>IFERROR(__xludf.DUMMYFUNCTION("""COMPUTED_VALUE"""),"04-30-14-145")</f>
        <v>04-30-14-145</v>
      </c>
      <c r="F1985" s="36"/>
      <c r="G1985" s="36" t="str">
        <f>IFERROR(__xludf.DUMMYFUNCTION("""COMPUTED_VALUE"""),"Palma y Callejón Muñóz")</f>
        <v>Palma y Callejón Muñóz</v>
      </c>
      <c r="H1985" s="36" t="str">
        <f>IFERROR(__xludf.DUMMYFUNCTION("""COMPUTED_VALUE"""),"")</f>
        <v/>
      </c>
    </row>
    <row r="1986">
      <c r="A1986" s="36" t="str">
        <f>IFERROR(__xludf.DUMMYFUNCTION("""COMPUTED_VALUE"""),"04-42-11-52C")</f>
        <v>04-42-11-52C</v>
      </c>
      <c r="B1986" s="36" t="str">
        <f>IFERROR(__xludf.DUMMYFUNCTION("""COMPUTED_VALUE"""),"")</f>
        <v/>
      </c>
      <c r="C1986" s="36" t="str">
        <f>IFERROR(__xludf.DUMMYFUNCTION("""COMPUTED_VALUE"""),"")</f>
        <v/>
      </c>
      <c r="D1986" s="36" t="str">
        <f>IFERROR(__xludf.DUMMYFUNCTION("""COMPUTED_VALUE"""),"")</f>
        <v/>
      </c>
      <c r="E1986" s="36" t="str">
        <f>IFERROR(__xludf.DUMMYFUNCTION("""COMPUTED_VALUE"""),"01-34-07-129")</f>
        <v>01-34-07-129</v>
      </c>
      <c r="F1986" s="36"/>
      <c r="G1986" s="36" t="str">
        <f>IFERROR(__xludf.DUMMYFUNCTION("""COMPUTED_VALUE"""),"Palomar UNSJ")</f>
        <v>Palomar UNSJ</v>
      </c>
      <c r="H1986" s="36" t="str">
        <f>IFERROR(__xludf.DUMMYFUNCTION("""COMPUTED_VALUE"""),"")</f>
        <v/>
      </c>
    </row>
    <row r="1987">
      <c r="A1987" s="36" t="str">
        <f>IFERROR(__xludf.DUMMYFUNCTION("""COMPUTED_VALUE"""),"04-42-11-53")</f>
        <v>04-42-11-53</v>
      </c>
      <c r="B1987" s="36" t="str">
        <f>IFERROR(__xludf.DUMMYFUNCTION("""COMPUTED_VALUE"""),"")</f>
        <v/>
      </c>
      <c r="C1987" s="36" t="str">
        <f>IFERROR(__xludf.DUMMYFUNCTION("""COMPUTED_VALUE"""),"")</f>
        <v/>
      </c>
      <c r="D1987" s="36" t="str">
        <f>IFERROR(__xludf.DUMMYFUNCTION("""COMPUTED_VALUE"""),"")</f>
        <v/>
      </c>
      <c r="E1987" s="36" t="str">
        <f>IFERROR(__xludf.DUMMYFUNCTION("""COMPUTED_VALUE"""),"08-22-03-36")</f>
        <v>08-22-03-36</v>
      </c>
      <c r="F1987" s="36"/>
      <c r="G1987" s="36" t="str">
        <f>IFERROR(__xludf.DUMMYFUNCTION("""COMPUTED_VALUE"""),"Paraguay y Rep. Argentina")</f>
        <v>Paraguay y Rep. Argentina</v>
      </c>
      <c r="H1987" s="36" t="str">
        <f>IFERROR(__xludf.DUMMYFUNCTION("""COMPUTED_VALUE"""),"")</f>
        <v/>
      </c>
    </row>
    <row r="1988">
      <c r="A1988" s="36" t="str">
        <f>IFERROR(__xludf.DUMMYFUNCTION("""COMPUTED_VALUE"""),"04-42-11-53A")</f>
        <v>04-42-11-53A</v>
      </c>
      <c r="B1988" s="36" t="str">
        <f>IFERROR(__xludf.DUMMYFUNCTION("""COMPUTED_VALUE"""),"")</f>
        <v/>
      </c>
      <c r="C1988" s="36" t="str">
        <f>IFERROR(__xludf.DUMMYFUNCTION("""COMPUTED_VALUE"""),"")</f>
        <v/>
      </c>
      <c r="D1988" s="36" t="str">
        <f>IFERROR(__xludf.DUMMYFUNCTION("""COMPUTED_VALUE"""),"")</f>
        <v/>
      </c>
      <c r="E1988" s="36" t="str">
        <f>IFERROR(__xludf.DUMMYFUNCTION("""COMPUTED_VALUE"""),"01-43-07-140")</f>
        <v>01-43-07-140</v>
      </c>
      <c r="F1988" s="36"/>
      <c r="G1988" s="36" t="str">
        <f>IFERROR(__xludf.DUMMYFUNCTION("""COMPUTED_VALUE"""),"Parque de Mayo - Juegos Infantiles")</f>
        <v>Parque de Mayo - Juegos Infantiles</v>
      </c>
      <c r="H1988" s="36" t="str">
        <f>IFERROR(__xludf.DUMMYFUNCTION("""COMPUTED_VALUE"""),"")</f>
        <v/>
      </c>
    </row>
    <row r="1989">
      <c r="A1989" s="36" t="str">
        <f>IFERROR(__xludf.DUMMYFUNCTION("""COMPUTED_VALUE"""),"04-42-11-54")</f>
        <v>04-42-11-54</v>
      </c>
      <c r="B1989" s="36" t="str">
        <f>IFERROR(__xludf.DUMMYFUNCTION("""COMPUTED_VALUE"""),"")</f>
        <v/>
      </c>
      <c r="C1989" s="36" t="str">
        <f>IFERROR(__xludf.DUMMYFUNCTION("""COMPUTED_VALUE"""),"")</f>
        <v/>
      </c>
      <c r="D1989" s="36" t="str">
        <f>IFERROR(__xludf.DUMMYFUNCTION("""COMPUTED_VALUE"""),"")</f>
        <v/>
      </c>
      <c r="E1989" s="36" t="str">
        <f>IFERROR(__xludf.DUMMYFUNCTION("""COMPUTED_VALUE"""),"02-36-05-19A")</f>
        <v>02-36-05-19A</v>
      </c>
      <c r="F1989" s="36"/>
      <c r="G1989" s="36" t="str">
        <f>IFERROR(__xludf.DUMMYFUNCTION("""COMPUTED_VALUE"""),"Parque de Rivadavia E")</f>
        <v>Parque de Rivadavia E</v>
      </c>
      <c r="H1989" s="36" t="str">
        <f>IFERROR(__xludf.DUMMYFUNCTION("""COMPUTED_VALUE"""),"")</f>
        <v/>
      </c>
    </row>
    <row r="1990">
      <c r="A1990" s="36" t="str">
        <f>IFERROR(__xludf.DUMMYFUNCTION("""COMPUTED_VALUE"""),"04-42-11-54A")</f>
        <v>04-42-11-54A</v>
      </c>
      <c r="B1990" s="36" t="str">
        <f>IFERROR(__xludf.DUMMYFUNCTION("""COMPUTED_VALUE"""),"")</f>
        <v/>
      </c>
      <c r="C1990" s="36" t="str">
        <f>IFERROR(__xludf.DUMMYFUNCTION("""COMPUTED_VALUE"""),"")</f>
        <v/>
      </c>
      <c r="D1990" s="36" t="str">
        <f>IFERROR(__xludf.DUMMYFUNCTION("""COMPUTED_VALUE"""),"")</f>
        <v/>
      </c>
      <c r="E1990" s="36" t="str">
        <f>IFERROR(__xludf.DUMMYFUNCTION("""COMPUTED_VALUE"""),"02-36-05-20")</f>
        <v>02-36-05-20</v>
      </c>
      <c r="F1990" s="36"/>
      <c r="G1990" s="36" t="str">
        <f>IFERROR(__xludf.DUMMYFUNCTION("""COMPUTED_VALUE"""),"Parque de Rivadavia N")</f>
        <v>Parque de Rivadavia N</v>
      </c>
      <c r="H1990" s="36" t="str">
        <f>IFERROR(__xludf.DUMMYFUNCTION("""COMPUTED_VALUE"""),"")</f>
        <v/>
      </c>
    </row>
    <row r="1991">
      <c r="A1991" s="36" t="str">
        <f>IFERROR(__xludf.DUMMYFUNCTION("""COMPUTED_VALUE"""),"04-42-11-55A")</f>
        <v>04-42-11-55A</v>
      </c>
      <c r="B1991" s="36" t="str">
        <f>IFERROR(__xludf.DUMMYFUNCTION("""COMPUTED_VALUE"""),"")</f>
        <v/>
      </c>
      <c r="C1991" s="36" t="str">
        <f>IFERROR(__xludf.DUMMYFUNCTION("""COMPUTED_VALUE"""),"")</f>
        <v/>
      </c>
      <c r="D1991" s="36" t="str">
        <f>IFERROR(__xludf.DUMMYFUNCTION("""COMPUTED_VALUE"""),"")</f>
        <v/>
      </c>
      <c r="E1991" s="36" t="str">
        <f>IFERROR(__xludf.DUMMYFUNCTION("""COMPUTED_VALUE"""),"02-32-05-19")</f>
        <v>02-32-05-19</v>
      </c>
      <c r="F1991" s="36"/>
      <c r="G1991" s="36" t="str">
        <f>IFERROR(__xludf.DUMMYFUNCTION("""COMPUTED_VALUE"""),"Parque de Rivadavia O")</f>
        <v>Parque de Rivadavia O</v>
      </c>
      <c r="H1991" s="36" t="str">
        <f>IFERROR(__xludf.DUMMYFUNCTION("""COMPUTED_VALUE"""),"")</f>
        <v/>
      </c>
    </row>
    <row r="1992">
      <c r="A1992" s="36" t="str">
        <f>IFERROR(__xludf.DUMMYFUNCTION("""COMPUTED_VALUE"""),"04-42-11-56")</f>
        <v>04-42-11-56</v>
      </c>
      <c r="B1992" s="36" t="str">
        <f>IFERROR(__xludf.DUMMYFUNCTION("""COMPUTED_VALUE"""),"")</f>
        <v/>
      </c>
      <c r="C1992" s="36" t="str">
        <f>IFERROR(__xludf.DUMMYFUNCTION("""COMPUTED_VALUE"""),"")</f>
        <v/>
      </c>
      <c r="D1992" s="36" t="str">
        <f>IFERROR(__xludf.DUMMYFUNCTION("""COMPUTED_VALUE"""),"")</f>
        <v/>
      </c>
      <c r="E1992" s="36" t="str">
        <f>IFERROR(__xludf.DUMMYFUNCTION("""COMPUTED_VALUE"""),"08-34-01-54")</f>
        <v>08-34-01-54</v>
      </c>
      <c r="F1992" s="36"/>
      <c r="G1992" s="36" t="str">
        <f>IFERROR(__xludf.DUMMYFUNCTION("""COMPUTED_VALUE"""),"Parque Industrial Chimbas N")</f>
        <v>Parque Industrial Chimbas N</v>
      </c>
      <c r="H1992" s="36" t="str">
        <f>IFERROR(__xludf.DUMMYFUNCTION("""COMPUTED_VALUE"""),"")</f>
        <v/>
      </c>
    </row>
    <row r="1993">
      <c r="A1993" s="36" t="str">
        <f>IFERROR(__xludf.DUMMYFUNCTION("""COMPUTED_VALUE"""),"04-42-11-57")</f>
        <v>04-42-11-57</v>
      </c>
      <c r="B1993" s="36" t="str">
        <f>IFERROR(__xludf.DUMMYFUNCTION("""COMPUTED_VALUE"""),"")</f>
        <v/>
      </c>
      <c r="C1993" s="36" t="str">
        <f>IFERROR(__xludf.DUMMYFUNCTION("""COMPUTED_VALUE"""),"")</f>
        <v/>
      </c>
      <c r="D1993" s="36" t="str">
        <f>IFERROR(__xludf.DUMMYFUNCTION("""COMPUTED_VALUE"""),"")</f>
        <v/>
      </c>
      <c r="E1993" s="36" t="str">
        <f>IFERROR(__xludf.DUMMYFUNCTION("""COMPUTED_VALUE"""),"08-34-01-53")</f>
        <v>08-34-01-53</v>
      </c>
      <c r="F1993" s="36"/>
      <c r="G1993" s="36" t="str">
        <f>IFERROR(__xludf.DUMMYFUNCTION("""COMPUTED_VALUE"""),"Parque Industrial Chimbas S")</f>
        <v>Parque Industrial Chimbas S</v>
      </c>
      <c r="H1993" s="36" t="str">
        <f>IFERROR(__xludf.DUMMYFUNCTION("""COMPUTED_VALUE"""),"")</f>
        <v/>
      </c>
    </row>
    <row r="1994">
      <c r="A1994" s="36" t="str">
        <f>IFERROR(__xludf.DUMMYFUNCTION("""COMPUTED_VALUE"""),"04-42-11-57A")</f>
        <v>04-42-11-57A</v>
      </c>
      <c r="B1994" s="36" t="str">
        <f>IFERROR(__xludf.DUMMYFUNCTION("""COMPUTED_VALUE"""),"")</f>
        <v/>
      </c>
      <c r="C1994" s="36" t="str">
        <f>IFERROR(__xludf.DUMMYFUNCTION("""COMPUTED_VALUE"""),"")</f>
        <v/>
      </c>
      <c r="D1994" s="36" t="str">
        <f>IFERROR(__xludf.DUMMYFUNCTION("""COMPUTED_VALUE"""),"")</f>
        <v/>
      </c>
      <c r="E1994" s="36" t="str">
        <f>IFERROR(__xludf.DUMMYFUNCTION("""COMPUTED_VALUE"""),"02-36-11-82C")</f>
        <v>02-36-11-82C</v>
      </c>
      <c r="F1994" s="36"/>
      <c r="G1994" s="36" t="str">
        <f>IFERROR(__xludf.DUMMYFUNCTION("""COMPUTED_VALUE"""),"Parroquia del Divino Salvador
")</f>
        <v>Parroquia del Divino Salvador
</v>
      </c>
      <c r="H1994" s="36" t="str">
        <f>IFERROR(__xludf.DUMMYFUNCTION("""COMPUTED_VALUE"""),"")</f>
        <v/>
      </c>
    </row>
    <row r="1995">
      <c r="A1995" s="36" t="str">
        <f>IFERROR(__xludf.DUMMYFUNCTION("""COMPUTED_VALUE"""),"04-42-11-58")</f>
        <v>04-42-11-58</v>
      </c>
      <c r="B1995" s="36" t="str">
        <f>IFERROR(__xludf.DUMMYFUNCTION("""COMPUTED_VALUE"""),"")</f>
        <v/>
      </c>
      <c r="C1995" s="36" t="str">
        <f>IFERROR(__xludf.DUMMYFUNCTION("""COMPUTED_VALUE"""),"")</f>
        <v/>
      </c>
      <c r="D1995" s="36" t="str">
        <f>IFERROR(__xludf.DUMMYFUNCTION("""COMPUTED_VALUE"""),"")</f>
        <v/>
      </c>
      <c r="E1995" s="36" t="str">
        <f>IFERROR(__xludf.DUMMYFUNCTION("""COMPUTED_VALUE"""),"01-53-08-34")</f>
        <v>01-53-08-34</v>
      </c>
      <c r="F1995" s="36"/>
      <c r="G1995" s="36" t="str">
        <f>IFERROR(__xludf.DUMMYFUNCTION("""COMPUTED_VALUE"""),"Parroquia Ntra. Sra. de la Merced")</f>
        <v>Parroquia Ntra. Sra. de la Merced</v>
      </c>
      <c r="H1995" s="36" t="str">
        <f>IFERROR(__xludf.DUMMYFUNCTION("""COMPUTED_VALUE"""),"")</f>
        <v/>
      </c>
    </row>
    <row r="1996">
      <c r="A1996" s="36" t="str">
        <f>IFERROR(__xludf.DUMMYFUNCTION("""COMPUTED_VALUE"""),"04-42-11-58A")</f>
        <v>04-42-11-58A</v>
      </c>
      <c r="B1996" s="36" t="str">
        <f>IFERROR(__xludf.DUMMYFUNCTION("""COMPUTED_VALUE"""),"")</f>
        <v/>
      </c>
      <c r="C1996" s="36" t="str">
        <f>IFERROR(__xludf.DUMMYFUNCTION("""COMPUTED_VALUE"""),"")</f>
        <v/>
      </c>
      <c r="D1996" s="36" t="str">
        <f>IFERROR(__xludf.DUMMYFUNCTION("""COMPUTED_VALUE"""),"")</f>
        <v/>
      </c>
      <c r="E1996" s="36" t="str">
        <f>IFERROR(__xludf.DUMMYFUNCTION("""COMPUTED_VALUE"""),"01-44-07-145")</f>
        <v>01-44-07-145</v>
      </c>
      <c r="F1996" s="36"/>
      <c r="G1996" s="36" t="str">
        <f>IFERROR(__xludf.DUMMYFUNCTION("""COMPUTED_VALUE"""),"Parroquia Nuestra Señora de Guadalupe")</f>
        <v>Parroquia Nuestra Señora de Guadalupe</v>
      </c>
      <c r="H1996" s="36" t="str">
        <f>IFERROR(__xludf.DUMMYFUNCTION("""COMPUTED_VALUE"""),"")</f>
        <v/>
      </c>
    </row>
    <row r="1997">
      <c r="A1997" s="36" t="str">
        <f>IFERROR(__xludf.DUMMYFUNCTION("""COMPUTED_VALUE"""),"04-42-11-59")</f>
        <v>04-42-11-59</v>
      </c>
      <c r="B1997" s="36" t="str">
        <f>IFERROR(__xludf.DUMMYFUNCTION("""COMPUTED_VALUE"""),"")</f>
        <v/>
      </c>
      <c r="C1997" s="36" t="str">
        <f>IFERROR(__xludf.DUMMYFUNCTION("""COMPUTED_VALUE"""),"")</f>
        <v/>
      </c>
      <c r="D1997" s="36" t="str">
        <f>IFERROR(__xludf.DUMMYFUNCTION("""COMPUTED_VALUE"""),"")</f>
        <v/>
      </c>
      <c r="E1997" s="36" t="str">
        <f>IFERROR(__xludf.DUMMYFUNCTION("""COMPUTED_VALUE"""),"02-26-01-32")</f>
        <v>02-26-01-32</v>
      </c>
      <c r="F1997" s="36"/>
      <c r="G1997" s="36" t="str">
        <f>IFERROR(__xludf.DUMMYFUNCTION("""COMPUTED_VALUE"""),"Parroquia Nuestra Señora De La Luz")</f>
        <v>Parroquia Nuestra Señora De La Luz</v>
      </c>
      <c r="H1997" s="36" t="str">
        <f>IFERROR(__xludf.DUMMYFUNCTION("""COMPUTED_VALUE"""),"")</f>
        <v/>
      </c>
    </row>
    <row r="1998">
      <c r="A1998" s="36" t="str">
        <f>IFERROR(__xludf.DUMMYFUNCTION("""COMPUTED_VALUE"""),"04-42-11-59A")</f>
        <v>04-42-11-59A</v>
      </c>
      <c r="B1998" s="36" t="str">
        <f>IFERROR(__xludf.DUMMYFUNCTION("""COMPUTED_VALUE"""),"")</f>
        <v/>
      </c>
      <c r="C1998" s="36" t="str">
        <f>IFERROR(__xludf.DUMMYFUNCTION("""COMPUTED_VALUE"""),"")</f>
        <v/>
      </c>
      <c r="D1998" s="36" t="str">
        <f>IFERROR(__xludf.DUMMYFUNCTION("""COMPUTED_VALUE"""),"")</f>
        <v/>
      </c>
      <c r="E1998" s="36" t="str">
        <f>IFERROR(__xludf.DUMMYFUNCTION("""COMPUTED_VALUE"""),"02-40-11-82C")</f>
        <v>02-40-11-82C</v>
      </c>
      <c r="F1998" s="36"/>
      <c r="G1998" s="36" t="str">
        <f>IFERROR(__xludf.DUMMYFUNCTION("""COMPUTED_VALUE"""),"Parroquia Perpetuo Socorro")</f>
        <v>Parroquia Perpetuo Socorro</v>
      </c>
      <c r="H1998" s="36" t="str">
        <f>IFERROR(__xludf.DUMMYFUNCTION("""COMPUTED_VALUE"""),"")</f>
        <v/>
      </c>
    </row>
    <row r="1999">
      <c r="A1999" s="36" t="str">
        <f>IFERROR(__xludf.DUMMYFUNCTION("""COMPUTED_VALUE"""),"04-42-11-61")</f>
        <v>04-42-11-61</v>
      </c>
      <c r="B1999" s="36" t="str">
        <f>IFERROR(__xludf.DUMMYFUNCTION("""COMPUTED_VALUE"""),"")</f>
        <v/>
      </c>
      <c r="C1999" s="36" t="str">
        <f>IFERROR(__xludf.DUMMYFUNCTION("""COMPUTED_VALUE"""),"")</f>
        <v/>
      </c>
      <c r="D1999" s="36" t="str">
        <f>IFERROR(__xludf.DUMMYFUNCTION("""COMPUTED_VALUE"""),"")</f>
        <v/>
      </c>
      <c r="E1999" s="36" t="str">
        <f>IFERROR(__xludf.DUMMYFUNCTION("""COMPUTED_VALUE"""),"04-46-13-601")</f>
        <v>04-46-13-601</v>
      </c>
      <c r="F1999" s="36"/>
      <c r="G1999" s="36" t="str">
        <f>IFERROR(__xludf.DUMMYFUNCTION("""COMPUTED_VALUE"""),"Pasaje Argentino y Quiroga")</f>
        <v>Pasaje Argentino y Quiroga</v>
      </c>
      <c r="H1999" s="36" t="str">
        <f>IFERROR(__xludf.DUMMYFUNCTION("""COMPUTED_VALUE"""),"")</f>
        <v/>
      </c>
    </row>
    <row r="2000">
      <c r="A2000" s="36" t="str">
        <f>IFERROR(__xludf.DUMMYFUNCTION("""COMPUTED_VALUE"""),"04-42-11-62")</f>
        <v>04-42-11-62</v>
      </c>
      <c r="B2000" s="36" t="str">
        <f>IFERROR(__xludf.DUMMYFUNCTION("""COMPUTED_VALUE"""),"")</f>
        <v/>
      </c>
      <c r="C2000" s="36" t="str">
        <f>IFERROR(__xludf.DUMMYFUNCTION("""COMPUTED_VALUE"""),"")</f>
        <v/>
      </c>
      <c r="D2000" s="36" t="str">
        <f>IFERROR(__xludf.DUMMYFUNCTION("""COMPUTED_VALUE"""),"")</f>
        <v/>
      </c>
      <c r="E2000" s="36" t="str">
        <f>IFERROR(__xludf.DUMMYFUNCTION("""COMPUTED_VALUE"""),"04-46-13-600")</f>
        <v>04-46-13-600</v>
      </c>
      <c r="F2000" s="36"/>
      <c r="G2000" s="36" t="str">
        <f>IFERROR(__xludf.DUMMYFUNCTION("""COMPUTED_VALUE"""),"Pasaje Argentino y Quiróz")</f>
        <v>Pasaje Argentino y Quiróz</v>
      </c>
      <c r="H2000" s="36" t="str">
        <f>IFERROR(__xludf.DUMMYFUNCTION("""COMPUTED_VALUE"""),"")</f>
        <v/>
      </c>
    </row>
    <row r="2001">
      <c r="A2001" s="36" t="str">
        <f>IFERROR(__xludf.DUMMYFUNCTION("""COMPUTED_VALUE"""),"04-42-11-63")</f>
        <v>04-42-11-63</v>
      </c>
      <c r="B2001" s="36" t="str">
        <f>IFERROR(__xludf.DUMMYFUNCTION("""COMPUTED_VALUE"""),"")</f>
        <v/>
      </c>
      <c r="C2001" s="36" t="str">
        <f>IFERROR(__xludf.DUMMYFUNCTION("""COMPUTED_VALUE"""),"")</f>
        <v/>
      </c>
      <c r="D2001" s="36" t="str">
        <f>IFERROR(__xludf.DUMMYFUNCTION("""COMPUTED_VALUE"""),"")</f>
        <v/>
      </c>
      <c r="E2001" s="36" t="str">
        <f>IFERROR(__xludf.DUMMYFUNCTION("""COMPUTED_VALUE"""),"08-36-01-48")</f>
        <v>08-36-01-48</v>
      </c>
      <c r="F2001" s="36"/>
      <c r="G2001" s="36" t="str">
        <f>IFERROR(__xludf.DUMMYFUNCTION("""COMPUTED_VALUE"""),"Pasaje Complejo Las Lajas II E")</f>
        <v>Pasaje Complejo Las Lajas II E</v>
      </c>
      <c r="H2001" s="36" t="str">
        <f>IFERROR(__xludf.DUMMYFUNCTION("""COMPUTED_VALUE"""),"")</f>
        <v/>
      </c>
    </row>
    <row r="2002">
      <c r="A2002" s="36" t="str">
        <f>IFERROR(__xludf.DUMMYFUNCTION("""COMPUTED_VALUE"""),"04-42-11-63A")</f>
        <v>04-42-11-63A</v>
      </c>
      <c r="B2002" s="36" t="str">
        <f>IFERROR(__xludf.DUMMYFUNCTION("""COMPUTED_VALUE"""),"")</f>
        <v/>
      </c>
      <c r="C2002" s="36" t="str">
        <f>IFERROR(__xludf.DUMMYFUNCTION("""COMPUTED_VALUE"""),"")</f>
        <v/>
      </c>
      <c r="D2002" s="36" t="str">
        <f>IFERROR(__xludf.DUMMYFUNCTION("""COMPUTED_VALUE"""),"")</f>
        <v/>
      </c>
      <c r="E2002" s="36" t="str">
        <f>IFERROR(__xludf.DUMMYFUNCTION("""COMPUTED_VALUE"""),"08-34-01-47")</f>
        <v>08-34-01-47</v>
      </c>
      <c r="F2002" s="36"/>
      <c r="G2002" s="36" t="str">
        <f>IFERROR(__xludf.DUMMYFUNCTION("""COMPUTED_VALUE"""),"Pasaje Complejo Las Lajas II O")</f>
        <v>Pasaje Complejo Las Lajas II O</v>
      </c>
      <c r="H2002" s="36" t="str">
        <f>IFERROR(__xludf.DUMMYFUNCTION("""COMPUTED_VALUE"""),"")</f>
        <v/>
      </c>
    </row>
    <row r="2003">
      <c r="A2003" s="36" t="str">
        <f>IFERROR(__xludf.DUMMYFUNCTION("""COMPUTED_VALUE"""),"04-42-11-64A")</f>
        <v>04-42-11-64A</v>
      </c>
      <c r="B2003" s="36" t="str">
        <f>IFERROR(__xludf.DUMMYFUNCTION("""COMPUTED_VALUE"""),"")</f>
        <v/>
      </c>
      <c r="C2003" s="36" t="str">
        <f>IFERROR(__xludf.DUMMYFUNCTION("""COMPUTED_VALUE"""),"")</f>
        <v/>
      </c>
      <c r="D2003" s="36" t="str">
        <f>IFERROR(__xludf.DUMMYFUNCTION("""COMPUTED_VALUE"""),"")</f>
        <v/>
      </c>
      <c r="E2003" s="36" t="str">
        <f>IFERROR(__xludf.DUMMYFUNCTION("""COMPUTED_VALUE"""),"02-32-05-21")</f>
        <v>02-32-05-21</v>
      </c>
      <c r="F2003" s="36"/>
      <c r="G2003" s="36" t="str">
        <f>IFERROR(__xludf.DUMMYFUNCTION("""COMPUTED_VALUE"""),"Paseo Punta de Rieles")</f>
        <v>Paseo Punta de Rieles</v>
      </c>
      <c r="H2003" s="36" t="str">
        <f>IFERROR(__xludf.DUMMYFUNCTION("""COMPUTED_VALUE"""),"")</f>
        <v/>
      </c>
    </row>
    <row r="2004">
      <c r="A2004" s="36" t="str">
        <f>IFERROR(__xludf.DUMMYFUNCTION("""COMPUTED_VALUE"""),"04-42-11-66A")</f>
        <v>04-42-11-66A</v>
      </c>
      <c r="B2004" s="36" t="str">
        <f>IFERROR(__xludf.DUMMYFUNCTION("""COMPUTED_VALUE"""),"")</f>
        <v/>
      </c>
      <c r="C2004" s="36" t="str">
        <f>IFERROR(__xludf.DUMMYFUNCTION("""COMPUTED_VALUE"""),"")</f>
        <v/>
      </c>
      <c r="D2004" s="36" t="str">
        <f>IFERROR(__xludf.DUMMYFUNCTION("""COMPUTED_VALUE"""),"")</f>
        <v/>
      </c>
      <c r="E2004" s="36" t="str">
        <f>IFERROR(__xludf.DUMMYFUNCTION("""COMPUTED_VALUE"""),"02-36-11-83B")</f>
        <v>02-36-11-83B</v>
      </c>
      <c r="F2004" s="36"/>
      <c r="G2004" s="36" t="str">
        <f>IFERROR(__xludf.DUMMYFUNCTION("""COMPUTED_VALUE"""),"Paso de los Andes e Ignacio de la Roza")</f>
        <v>Paso de los Andes e Ignacio de la Roza</v>
      </c>
      <c r="H2004" s="36" t="str">
        <f>IFERROR(__xludf.DUMMYFUNCTION("""COMPUTED_VALUE"""),"")</f>
        <v/>
      </c>
    </row>
    <row r="2005">
      <c r="A2005" s="36" t="str">
        <f>IFERROR(__xludf.DUMMYFUNCTION("""COMPUTED_VALUE"""),"04-42-11-67")</f>
        <v>04-42-11-67</v>
      </c>
      <c r="B2005" s="36" t="str">
        <f>IFERROR(__xludf.DUMMYFUNCTION("""COMPUTED_VALUE"""),"")</f>
        <v/>
      </c>
      <c r="C2005" s="36" t="str">
        <f>IFERROR(__xludf.DUMMYFUNCTION("""COMPUTED_VALUE"""),"")</f>
        <v/>
      </c>
      <c r="D2005" s="36" t="str">
        <f>IFERROR(__xludf.DUMMYFUNCTION("""COMPUTED_VALUE"""),"")</f>
        <v/>
      </c>
      <c r="E2005" s="36" t="str">
        <f>IFERROR(__xludf.DUMMYFUNCTION("""COMPUTED_VALUE"""),"02-36-11-84")</f>
        <v>02-36-11-84</v>
      </c>
      <c r="F2005" s="36"/>
      <c r="G2005" s="36" t="str">
        <f>IFERROR(__xludf.DUMMYFUNCTION("""COMPUTED_VALUE"""),"Paso de los Andes Este y Lavalle")</f>
        <v>Paso de los Andes Este y Lavalle</v>
      </c>
      <c r="H2005" s="36" t="str">
        <f>IFERROR(__xludf.DUMMYFUNCTION("""COMPUTED_VALUE"""),"")</f>
        <v/>
      </c>
    </row>
    <row r="2006">
      <c r="A2006" s="36" t="str">
        <f>IFERROR(__xludf.DUMMYFUNCTION("""COMPUTED_VALUE"""),"04-42-11-68A")</f>
        <v>04-42-11-68A</v>
      </c>
      <c r="B2006" s="36" t="str">
        <f>IFERROR(__xludf.DUMMYFUNCTION("""COMPUTED_VALUE"""),"")</f>
        <v/>
      </c>
      <c r="C2006" s="36" t="str">
        <f>IFERROR(__xludf.DUMMYFUNCTION("""COMPUTED_VALUE"""),"")</f>
        <v/>
      </c>
      <c r="D2006" s="36" t="str">
        <f>IFERROR(__xludf.DUMMYFUNCTION("""COMPUTED_VALUE"""),"")</f>
        <v/>
      </c>
      <c r="E2006" s="36" t="str">
        <f>IFERROR(__xludf.DUMMYFUNCTION("""COMPUTED_VALUE"""),"02-36-11-84A")</f>
        <v>02-36-11-84A</v>
      </c>
      <c r="F2006" s="36"/>
      <c r="G2006" s="36" t="str">
        <f>IFERROR(__xludf.DUMMYFUNCTION("""COMPUTED_VALUE"""),"Paso de los Andes Oeste y Lavalle")</f>
        <v>Paso de los Andes Oeste y Lavalle</v>
      </c>
      <c r="H2006" s="36" t="str">
        <f>IFERROR(__xludf.DUMMYFUNCTION("""COMPUTED_VALUE"""),"")</f>
        <v/>
      </c>
    </row>
    <row r="2007">
      <c r="A2007" s="36" t="str">
        <f>IFERROR(__xludf.DUMMYFUNCTION("""COMPUTED_VALUE"""),"04-42-11-69")</f>
        <v>04-42-11-69</v>
      </c>
      <c r="B2007" s="36" t="str">
        <f>IFERROR(__xludf.DUMMYFUNCTION("""COMPUTED_VALUE"""),"")</f>
        <v/>
      </c>
      <c r="C2007" s="36" t="str">
        <f>IFERROR(__xludf.DUMMYFUNCTION("""COMPUTED_VALUE"""),"")</f>
        <v/>
      </c>
      <c r="D2007" s="36" t="str">
        <f>IFERROR(__xludf.DUMMYFUNCTION("""COMPUTED_VALUE"""),"")</f>
        <v/>
      </c>
      <c r="E2007" s="36" t="str">
        <f>IFERROR(__xludf.DUMMYFUNCTION("""COMPUTED_VALUE"""),"02-36-11-83A")</f>
        <v>02-36-11-83A</v>
      </c>
      <c r="F2007" s="36"/>
      <c r="G2007" s="36" t="str">
        <f>IFERROR(__xludf.DUMMYFUNCTION("""COMPUTED_VALUE"""),"Paso de los Andes y Av. I. de la Roza")</f>
        <v>Paso de los Andes y Av. I. de la Roza</v>
      </c>
      <c r="H2007" s="36" t="str">
        <f>IFERROR(__xludf.DUMMYFUNCTION("""COMPUTED_VALUE"""),"")</f>
        <v/>
      </c>
    </row>
    <row r="2008">
      <c r="A2008" s="36" t="str">
        <f>IFERROR(__xludf.DUMMYFUNCTION("""COMPUTED_VALUE"""),"04-42-11-70")</f>
        <v>04-42-11-70</v>
      </c>
      <c r="B2008" s="36" t="str">
        <f>IFERROR(__xludf.DUMMYFUNCTION("""COMPUTED_VALUE"""),"")</f>
        <v/>
      </c>
      <c r="C2008" s="36" t="str">
        <f>IFERROR(__xludf.DUMMYFUNCTION("""COMPUTED_VALUE"""),"")</f>
        <v/>
      </c>
      <c r="D2008" s="36" t="str">
        <f>IFERROR(__xludf.DUMMYFUNCTION("""COMPUTED_VALUE"""),"")</f>
        <v/>
      </c>
      <c r="E2008" s="36" t="str">
        <f>IFERROR(__xludf.DUMMYFUNCTION("""COMPUTED_VALUE"""),"02-36-11-85")</f>
        <v>02-36-11-85</v>
      </c>
      <c r="F2008" s="36"/>
      <c r="G2008" s="36" t="str">
        <f>IFERROR(__xludf.DUMMYFUNCTION("""COMPUTED_VALUE"""),"Paso de los Andes y Colón")</f>
        <v>Paso de los Andes y Colón</v>
      </c>
      <c r="H2008" s="36" t="str">
        <f>IFERROR(__xludf.DUMMYFUNCTION("""COMPUTED_VALUE"""),"")</f>
        <v/>
      </c>
    </row>
    <row r="2009">
      <c r="A2009" s="36" t="str">
        <f>IFERROR(__xludf.DUMMYFUNCTION("""COMPUTED_VALUE"""),"04-42-11-71")</f>
        <v>04-42-11-71</v>
      </c>
      <c r="B2009" s="36" t="str">
        <f>IFERROR(__xludf.DUMMYFUNCTION("""COMPUTED_VALUE"""),"")</f>
        <v/>
      </c>
      <c r="C2009" s="36" t="str">
        <f>IFERROR(__xludf.DUMMYFUNCTION("""COMPUTED_VALUE"""),"")</f>
        <v/>
      </c>
      <c r="D2009" s="36" t="str">
        <f>IFERROR(__xludf.DUMMYFUNCTION("""COMPUTED_VALUE"""),"")</f>
        <v/>
      </c>
      <c r="E2009" s="36" t="str">
        <f>IFERROR(__xludf.DUMMYFUNCTION("""COMPUTED_VALUE"""),"08-40-02-128")</f>
        <v>08-40-02-128</v>
      </c>
      <c r="F2009" s="36"/>
      <c r="G2009" s="36" t="str">
        <f>IFERROR(__xludf.DUMMYFUNCTION("""COMPUTED_VALUE"""),"Patagonia y Colón")</f>
        <v>Patagonia y Colón</v>
      </c>
      <c r="H2009" s="36" t="str">
        <f>IFERROR(__xludf.DUMMYFUNCTION("""COMPUTED_VALUE"""),"")</f>
        <v/>
      </c>
    </row>
    <row r="2010">
      <c r="A2010" s="36" t="str">
        <f>IFERROR(__xludf.DUMMYFUNCTION("""COMPUTED_VALUE"""),"04-42-11-72")</f>
        <v>04-42-11-72</v>
      </c>
      <c r="B2010" s="36" t="str">
        <f>IFERROR(__xludf.DUMMYFUNCTION("""COMPUTED_VALUE"""),"")</f>
        <v/>
      </c>
      <c r="C2010" s="36" t="str">
        <f>IFERROR(__xludf.DUMMYFUNCTION("""COMPUTED_VALUE"""),"")</f>
        <v/>
      </c>
      <c r="D2010" s="36" t="str">
        <f>IFERROR(__xludf.DUMMYFUNCTION("""COMPUTED_VALUE"""),"")</f>
        <v/>
      </c>
      <c r="E2010" s="36" t="str">
        <f>IFERROR(__xludf.DUMMYFUNCTION("""COMPUTED_VALUE"""),"08-23-04-86")</f>
        <v>08-23-04-86</v>
      </c>
      <c r="F2010" s="36"/>
      <c r="G2010" s="36" t="str">
        <f>IFERROR(__xludf.DUMMYFUNCTION("""COMPUTED_VALUE"""),"Patagonia y Grecco")</f>
        <v>Patagonia y Grecco</v>
      </c>
      <c r="H2010" s="36" t="str">
        <f>IFERROR(__xludf.DUMMYFUNCTION("""COMPUTED_VALUE"""),"")</f>
        <v/>
      </c>
    </row>
    <row r="2011">
      <c r="A2011" s="36" t="str">
        <f>IFERROR(__xludf.DUMMYFUNCTION("""COMPUTED_VALUE"""),"04-42-11-73")</f>
        <v>04-42-11-73</v>
      </c>
      <c r="B2011" s="36" t="str">
        <f>IFERROR(__xludf.DUMMYFUNCTION("""COMPUTED_VALUE"""),"")</f>
        <v/>
      </c>
      <c r="C2011" s="36" t="str">
        <f>IFERROR(__xludf.DUMMYFUNCTION("""COMPUTED_VALUE"""),"")</f>
        <v/>
      </c>
      <c r="D2011" s="36" t="str">
        <f>IFERROR(__xludf.DUMMYFUNCTION("""COMPUTED_VALUE"""),"")</f>
        <v/>
      </c>
      <c r="E2011" s="36" t="str">
        <f>IFERROR(__xludf.DUMMYFUNCTION("""COMPUTED_VALUE"""),"08-40-02-130")</f>
        <v>08-40-02-130</v>
      </c>
      <c r="F2011" s="36"/>
      <c r="G2011" s="36" t="str">
        <f>IFERROR(__xludf.DUMMYFUNCTION("""COMPUTED_VALUE"""),"Patagonia y Maradona")</f>
        <v>Patagonia y Maradona</v>
      </c>
      <c r="H2011" s="36" t="str">
        <f>IFERROR(__xludf.DUMMYFUNCTION("""COMPUTED_VALUE"""),"")</f>
        <v/>
      </c>
    </row>
    <row r="2012">
      <c r="A2012" s="36" t="str">
        <f>IFERROR(__xludf.DUMMYFUNCTION("""COMPUTED_VALUE"""),"04-42-11-73B")</f>
        <v>04-42-11-73B</v>
      </c>
      <c r="B2012" s="36" t="str">
        <f>IFERROR(__xludf.DUMMYFUNCTION("""COMPUTED_VALUE"""),"")</f>
        <v/>
      </c>
      <c r="C2012" s="36" t="str">
        <f>IFERROR(__xludf.DUMMYFUNCTION("""COMPUTED_VALUE"""),"")</f>
        <v/>
      </c>
      <c r="D2012" s="36" t="str">
        <f>IFERROR(__xludf.DUMMYFUNCTION("""COMPUTED_VALUE"""),"")</f>
        <v/>
      </c>
      <c r="E2012" s="36" t="str">
        <f>IFERROR(__xludf.DUMMYFUNCTION("""COMPUTED_VALUE"""),"08-23-04-85")</f>
        <v>08-23-04-85</v>
      </c>
      <c r="F2012" s="36"/>
      <c r="G2012" s="36" t="str">
        <f>IFERROR(__xludf.DUMMYFUNCTION("""COMPUTED_VALUE"""),"Patagonia y Soler")</f>
        <v>Patagonia y Soler</v>
      </c>
      <c r="H2012" s="36" t="str">
        <f>IFERROR(__xludf.DUMMYFUNCTION("""COMPUTED_VALUE"""),"")</f>
        <v/>
      </c>
    </row>
    <row r="2013">
      <c r="A2013" s="36" t="str">
        <f>IFERROR(__xludf.DUMMYFUNCTION("""COMPUTED_VALUE"""),"04-43-11-63A")</f>
        <v>04-43-11-63A</v>
      </c>
      <c r="B2013" s="36" t="str">
        <f>IFERROR(__xludf.DUMMYFUNCTION("""COMPUTED_VALUE"""),"")</f>
        <v/>
      </c>
      <c r="C2013" s="36" t="str">
        <f>IFERROR(__xludf.DUMMYFUNCTION("""COMPUTED_VALUE"""),"")</f>
        <v/>
      </c>
      <c r="D2013" s="36" t="str">
        <f>IFERROR(__xludf.DUMMYFUNCTION("""COMPUTED_VALUE"""),"")</f>
        <v/>
      </c>
      <c r="E2013" s="36" t="str">
        <f>IFERROR(__xludf.DUMMYFUNCTION("""COMPUTED_VALUE"""),"01-62-14-20")</f>
        <v>01-62-14-20</v>
      </c>
      <c r="F2013" s="36"/>
      <c r="G2013" s="36" t="str">
        <f>IFERROR(__xludf.DUMMYFUNCTION("""COMPUTED_VALUE"""),"Patricias Sanjuaninas y Estrada")</f>
        <v>Patricias Sanjuaninas y Estrada</v>
      </c>
      <c r="H2013" s="36" t="str">
        <f>IFERROR(__xludf.DUMMYFUNCTION("""COMPUTED_VALUE"""),"")</f>
        <v/>
      </c>
    </row>
    <row r="2014">
      <c r="A2014" s="36" t="str">
        <f>IFERROR(__xludf.DUMMYFUNCTION("""COMPUTED_VALUE"""),"04-43-11-67A")</f>
        <v>04-43-11-67A</v>
      </c>
      <c r="B2014" s="36" t="str">
        <f>IFERROR(__xludf.DUMMYFUNCTION("""COMPUTED_VALUE"""),"")</f>
        <v/>
      </c>
      <c r="C2014" s="36" t="str">
        <f>IFERROR(__xludf.DUMMYFUNCTION("""COMPUTED_VALUE"""),"")</f>
        <v/>
      </c>
      <c r="D2014" s="36" t="str">
        <f>IFERROR(__xludf.DUMMYFUNCTION("""COMPUTED_VALUE"""),"")</f>
        <v/>
      </c>
      <c r="E2014" s="36" t="str">
        <f>IFERROR(__xludf.DUMMYFUNCTION("""COMPUTED_VALUE"""),"01-63-14-17")</f>
        <v>01-63-14-17</v>
      </c>
      <c r="F2014" s="36"/>
      <c r="G2014" s="36" t="str">
        <f>IFERROR(__xludf.DUMMYFUNCTION("""COMPUTED_VALUE"""),"Patricias Sanjuaninas y O´Higgins")</f>
        <v>Patricias Sanjuaninas y O´Higgins</v>
      </c>
      <c r="H2014" s="36" t="str">
        <f>IFERROR(__xludf.DUMMYFUNCTION("""COMPUTED_VALUE"""),"")</f>
        <v/>
      </c>
    </row>
    <row r="2015">
      <c r="A2015" s="36" t="str">
        <f>IFERROR(__xludf.DUMMYFUNCTION("""COMPUTED_VALUE"""),"04-43-11-69A")</f>
        <v>04-43-11-69A</v>
      </c>
      <c r="B2015" s="36" t="str">
        <f>IFERROR(__xludf.DUMMYFUNCTION("""COMPUTED_VALUE"""),"")</f>
        <v/>
      </c>
      <c r="C2015" s="36" t="str">
        <f>IFERROR(__xludf.DUMMYFUNCTION("""COMPUTED_VALUE"""),"")</f>
        <v/>
      </c>
      <c r="D2015" s="36" t="str">
        <f>IFERROR(__xludf.DUMMYFUNCTION("""COMPUTED_VALUE"""),"")</f>
        <v/>
      </c>
      <c r="E2015" s="36" t="str">
        <f>IFERROR(__xludf.DUMMYFUNCTION("""COMPUTED_VALUE"""),"01-63-14-19")</f>
        <v>01-63-14-19</v>
      </c>
      <c r="F2015" s="36"/>
      <c r="G2015" s="36" t="str">
        <f>IFERROR(__xludf.DUMMYFUNCTION("""COMPUTED_VALUE"""),"Patricias Sanjuaninas y Valdivia")</f>
        <v>Patricias Sanjuaninas y Valdivia</v>
      </c>
      <c r="H2015" s="36" t="str">
        <f>IFERROR(__xludf.DUMMYFUNCTION("""COMPUTED_VALUE"""),"")</f>
        <v/>
      </c>
    </row>
    <row r="2016">
      <c r="A2016" s="36" t="str">
        <f>IFERROR(__xludf.DUMMYFUNCTION("""COMPUTED_VALUE"""),"04-43-11-70A")</f>
        <v>04-43-11-70A</v>
      </c>
      <c r="B2016" s="36" t="str">
        <f>IFERROR(__xludf.DUMMYFUNCTION("""COMPUTED_VALUE"""),"")</f>
        <v/>
      </c>
      <c r="C2016" s="36" t="str">
        <f>IFERROR(__xludf.DUMMYFUNCTION("""COMPUTED_VALUE"""),"")</f>
        <v/>
      </c>
      <c r="D2016" s="36" t="str">
        <f>IFERROR(__xludf.DUMMYFUNCTION("""COMPUTED_VALUE"""),"")</f>
        <v/>
      </c>
      <c r="E2016" s="36" t="str">
        <f>IFERROR(__xludf.DUMMYFUNCTION("""COMPUTED_VALUE"""),"01-49-07-256")</f>
        <v>01-49-07-256</v>
      </c>
      <c r="F2016" s="36"/>
      <c r="G2016" s="36" t="str">
        <f>IFERROR(__xludf.DUMMYFUNCTION("""COMPUTED_VALUE"""),"Paula A. de Sarmiento e Ignacio de la Roza E")</f>
        <v>Paula A. de Sarmiento e Ignacio de la Roza E</v>
      </c>
      <c r="H2016" s="36" t="str">
        <f>IFERROR(__xludf.DUMMYFUNCTION("""COMPUTED_VALUE"""),"")</f>
        <v/>
      </c>
    </row>
    <row r="2017">
      <c r="A2017" s="36" t="str">
        <f>IFERROR(__xludf.DUMMYFUNCTION("""COMPUTED_VALUE"""),"04-43-11-71A")</f>
        <v>04-43-11-71A</v>
      </c>
      <c r="B2017" s="36" t="str">
        <f>IFERROR(__xludf.DUMMYFUNCTION("""COMPUTED_VALUE"""),"")</f>
        <v/>
      </c>
      <c r="C2017" s="36" t="str">
        <f>IFERROR(__xludf.DUMMYFUNCTION("""COMPUTED_VALUE"""),"")</f>
        <v/>
      </c>
      <c r="D2017" s="36" t="str">
        <f>IFERROR(__xludf.DUMMYFUNCTION("""COMPUTED_VALUE"""),"")</f>
        <v/>
      </c>
      <c r="E2017" s="36" t="str">
        <f>IFERROR(__xludf.DUMMYFUNCTION("""COMPUTED_VALUE"""),"01-45-07-255")</f>
        <v>01-45-07-255</v>
      </c>
      <c r="F2017" s="36"/>
      <c r="G2017" s="36" t="str">
        <f>IFERROR(__xludf.DUMMYFUNCTION("""COMPUTED_VALUE"""),"Paula A. de Sarmiento e Ignacio de la Roza O")</f>
        <v>Paula A. de Sarmiento e Ignacio de la Roza O</v>
      </c>
      <c r="H2017" s="36" t="str">
        <f>IFERROR(__xludf.DUMMYFUNCTION("""COMPUTED_VALUE"""),"")</f>
        <v/>
      </c>
    </row>
    <row r="2018">
      <c r="A2018" s="36" t="str">
        <f>IFERROR(__xludf.DUMMYFUNCTION("""COMPUTED_VALUE"""),"04-43-11-72A")</f>
        <v>04-43-11-72A</v>
      </c>
      <c r="B2018" s="36" t="str">
        <f>IFERROR(__xludf.DUMMYFUNCTION("""COMPUTED_VALUE"""),"")</f>
        <v/>
      </c>
      <c r="C2018" s="36" t="str">
        <f>IFERROR(__xludf.DUMMYFUNCTION("""COMPUTED_VALUE"""),"")</f>
        <v/>
      </c>
      <c r="D2018" s="36" t="str">
        <f>IFERROR(__xludf.DUMMYFUNCTION("""COMPUTED_VALUE"""),"")</f>
        <v/>
      </c>
      <c r="E2018" s="36" t="str">
        <f>IFERROR(__xludf.DUMMYFUNCTION("""COMPUTED_VALUE"""),"01-31-07-126")</f>
        <v>01-31-07-126</v>
      </c>
      <c r="F2018" s="36"/>
      <c r="G2018" s="36" t="str">
        <f>IFERROR(__xludf.DUMMYFUNCTION("""COMPUTED_VALUE"""),"Paula A. de Sarmiento y 25 de Mayo N.O.")</f>
        <v>Paula A. de Sarmiento y 25 de Mayo N.O.</v>
      </c>
      <c r="H2018" s="36" t="str">
        <f>IFERROR(__xludf.DUMMYFUNCTION("""COMPUTED_VALUE"""),"")</f>
        <v/>
      </c>
    </row>
    <row r="2019">
      <c r="A2019" s="36" t="str">
        <f>IFERROR(__xludf.DUMMYFUNCTION("""COMPUTED_VALUE"""),"04-43-11-73A")</f>
        <v>04-43-11-73A</v>
      </c>
      <c r="B2019" s="36" t="str">
        <f>IFERROR(__xludf.DUMMYFUNCTION("""COMPUTED_VALUE"""),"")</f>
        <v/>
      </c>
      <c r="C2019" s="36" t="str">
        <f>IFERROR(__xludf.DUMMYFUNCTION("""COMPUTED_VALUE"""),"")</f>
        <v/>
      </c>
      <c r="D2019" s="36" t="str">
        <f>IFERROR(__xludf.DUMMYFUNCTION("""COMPUTED_VALUE"""),"")</f>
        <v/>
      </c>
      <c r="E2019" s="36" t="str">
        <f>IFERROR(__xludf.DUMMYFUNCTION("""COMPUTED_VALUE"""),"01-34-07-127")</f>
        <v>01-34-07-127</v>
      </c>
      <c r="F2019" s="36"/>
      <c r="G2019" s="36" t="str">
        <f>IFERROR(__xludf.DUMMYFUNCTION("""COMPUTED_VALUE"""),"Paula A. de Sarmiento y 25 de Mayo SE")</f>
        <v>Paula A. de Sarmiento y 25 de Mayo SE</v>
      </c>
      <c r="H2019" s="36" t="str">
        <f>IFERROR(__xludf.DUMMYFUNCTION("""COMPUTED_VALUE"""),"")</f>
        <v/>
      </c>
    </row>
    <row r="2020">
      <c r="A2020" s="36" t="str">
        <f>IFERROR(__xludf.DUMMYFUNCTION("""COMPUTED_VALUE"""),"04-43-11-74A")</f>
        <v>04-43-11-74A</v>
      </c>
      <c r="B2020" s="36" t="str">
        <f>IFERROR(__xludf.DUMMYFUNCTION("""COMPUTED_VALUE"""),"")</f>
        <v/>
      </c>
      <c r="C2020" s="36" t="str">
        <f>IFERROR(__xludf.DUMMYFUNCTION("""COMPUTED_VALUE"""),"")</f>
        <v/>
      </c>
      <c r="D2020" s="36" t="str">
        <f>IFERROR(__xludf.DUMMYFUNCTION("""COMPUTED_VALUE"""),"")</f>
        <v/>
      </c>
      <c r="E2020" s="36" t="str">
        <f>IFERROR(__xludf.DUMMYFUNCTION("""COMPUTED_VALUE"""),"01-31-07-126A")</f>
        <v>01-31-07-126A</v>
      </c>
      <c r="F2020" s="36"/>
      <c r="G2020" s="36" t="str">
        <f>IFERROR(__xludf.DUMMYFUNCTION("""COMPUTED_VALUE"""),"Paula A. de Sarmiento y 25 de Mayo SO")</f>
        <v>Paula A. de Sarmiento y 25 de Mayo SO</v>
      </c>
      <c r="H2020" s="36" t="str">
        <f>IFERROR(__xludf.DUMMYFUNCTION("""COMPUTED_VALUE"""),"")</f>
        <v/>
      </c>
    </row>
    <row r="2021">
      <c r="A2021" s="36" t="str">
        <f>IFERROR(__xludf.DUMMYFUNCTION("""COMPUTED_VALUE"""),"05-20-11-64")</f>
        <v>05-20-11-64</v>
      </c>
      <c r="B2021" s="36" t="str">
        <f>IFERROR(__xludf.DUMMYFUNCTION("""COMPUTED_VALUE"""),"")</f>
        <v/>
      </c>
      <c r="C2021" s="36" t="str">
        <f>IFERROR(__xludf.DUMMYFUNCTION("""COMPUTED_VALUE"""),"")</f>
        <v/>
      </c>
      <c r="D2021" s="36" t="str">
        <f>IFERROR(__xludf.DUMMYFUNCTION("""COMPUTED_VALUE"""),"")</f>
        <v/>
      </c>
      <c r="E2021" s="36" t="str">
        <f>IFERROR(__xludf.DUMMYFUNCTION("""COMPUTED_VALUE"""),"01-44-07-150")</f>
        <v>01-44-07-150</v>
      </c>
      <c r="F2021" s="36"/>
      <c r="G2021" s="36" t="str">
        <f>IFERROR(__xludf.DUMMYFUNCTION("""COMPUTED_VALUE"""),"Paula A. de Sarmiento y Av. Libertador")</f>
        <v>Paula A. de Sarmiento y Av. Libertador</v>
      </c>
      <c r="H2021" s="36" t="str">
        <f>IFERROR(__xludf.DUMMYFUNCTION("""COMPUTED_VALUE"""),"")</f>
        <v/>
      </c>
    </row>
    <row r="2022">
      <c r="A2022" s="36" t="str">
        <f>IFERROR(__xludf.DUMMYFUNCTION("""COMPUTED_VALUE"""),"05-20-11-66")</f>
        <v>05-20-11-66</v>
      </c>
      <c r="B2022" s="36" t="str">
        <f>IFERROR(__xludf.DUMMYFUNCTION("""COMPUTED_VALUE"""),"")</f>
        <v/>
      </c>
      <c r="C2022" s="36" t="str">
        <f>IFERROR(__xludf.DUMMYFUNCTION("""COMPUTED_VALUE"""),"")</f>
        <v/>
      </c>
      <c r="D2022" s="36" t="str">
        <f>IFERROR(__xludf.DUMMYFUNCTION("""COMPUTED_VALUE"""),"")</f>
        <v/>
      </c>
      <c r="E2022" s="36" t="str">
        <f>IFERROR(__xludf.DUMMYFUNCTION("""COMPUTED_VALUE"""),"01-20-07-192")</f>
        <v>01-20-07-192</v>
      </c>
      <c r="F2022" s="36"/>
      <c r="G2022" s="36" t="str">
        <f>IFERROR(__xludf.DUMMYFUNCTION("""COMPUTED_VALUE"""),"Paula A. de Sarmiento y Cervantes E")</f>
        <v>Paula A. de Sarmiento y Cervantes E</v>
      </c>
      <c r="H2022" s="36" t="str">
        <f>IFERROR(__xludf.DUMMYFUNCTION("""COMPUTED_VALUE"""),"")</f>
        <v/>
      </c>
    </row>
    <row r="2023">
      <c r="A2023" s="36" t="str">
        <f>IFERROR(__xludf.DUMMYFUNCTION("""COMPUTED_VALUE"""),"05-20-11-68")</f>
        <v>05-20-11-68</v>
      </c>
      <c r="B2023" s="36" t="str">
        <f>IFERROR(__xludf.DUMMYFUNCTION("""COMPUTED_VALUE"""),"")</f>
        <v/>
      </c>
      <c r="C2023" s="36" t="str">
        <f>IFERROR(__xludf.DUMMYFUNCTION("""COMPUTED_VALUE"""),"")</f>
        <v/>
      </c>
      <c r="D2023" s="36" t="str">
        <f>IFERROR(__xludf.DUMMYFUNCTION("""COMPUTED_VALUE"""),"")</f>
        <v/>
      </c>
      <c r="E2023" s="36" t="str">
        <f>IFERROR(__xludf.DUMMYFUNCTION("""COMPUTED_VALUE"""),"02-29-07-192A")</f>
        <v>02-29-07-192A</v>
      </c>
      <c r="F2023" s="36"/>
      <c r="G2023" s="36" t="str">
        <f>IFERROR(__xludf.DUMMYFUNCTION("""COMPUTED_VALUE"""),"Paula A. de Sarmiento y Cervantes O")</f>
        <v>Paula A. de Sarmiento y Cervantes O</v>
      </c>
      <c r="H2023" s="36" t="str">
        <f>IFERROR(__xludf.DUMMYFUNCTION("""COMPUTED_VALUE"""),"")</f>
        <v/>
      </c>
    </row>
    <row r="2024">
      <c r="A2024" s="36" t="str">
        <f>IFERROR(__xludf.DUMMYFUNCTION("""COMPUTED_VALUE"""),"01-46-12-258")</f>
        <v>01-46-12-258</v>
      </c>
      <c r="B2024" s="36" t="str">
        <f>IFERROR(__xludf.DUMMYFUNCTION("""COMPUTED_VALUE"""),"")</f>
        <v/>
      </c>
      <c r="C2024" s="36" t="str">
        <f>IFERROR(__xludf.DUMMYFUNCTION("""COMPUTED_VALUE"""),"")</f>
        <v/>
      </c>
      <c r="D2024" s="36" t="str">
        <f>IFERROR(__xludf.DUMMYFUNCTION("""COMPUTED_VALUE"""),"")</f>
        <v/>
      </c>
      <c r="E2024" s="36" t="str">
        <f>IFERROR(__xludf.DUMMYFUNCTION("""COMPUTED_VALUE"""),"01-31-07-123")</f>
        <v>01-31-07-123</v>
      </c>
      <c r="F2024" s="36"/>
      <c r="G2024" s="36" t="str">
        <f>IFERROR(__xludf.DUMMYFUNCTION("""COMPUTED_VALUE"""),"Paula A. de Sarmiento y Circunvalación")</f>
        <v>Paula A. de Sarmiento y Circunvalación</v>
      </c>
      <c r="H2024" s="36" t="str">
        <f>IFERROR(__xludf.DUMMYFUNCTION("""COMPUTED_VALUE"""),"")</f>
        <v/>
      </c>
    </row>
    <row r="2025">
      <c r="A2025" s="36" t="str">
        <f>IFERROR(__xludf.DUMMYFUNCTION("""COMPUTED_VALUE"""),"01-47-12-248")</f>
        <v>01-47-12-248</v>
      </c>
      <c r="B2025" s="36" t="str">
        <f>IFERROR(__xludf.DUMMYFUNCTION("""COMPUTED_VALUE"""),"")</f>
        <v/>
      </c>
      <c r="C2025" s="36" t="str">
        <f>IFERROR(__xludf.DUMMYFUNCTION("""COMPUTED_VALUE"""),"")</f>
        <v/>
      </c>
      <c r="D2025" s="36" t="str">
        <f>IFERROR(__xludf.DUMMYFUNCTION("""COMPUTED_VALUE"""),"")</f>
        <v/>
      </c>
      <c r="E2025" s="36" t="str">
        <f>IFERROR(__xludf.DUMMYFUNCTION("""COMPUTED_VALUE"""),"04-20-12-205")</f>
        <v>04-20-12-205</v>
      </c>
      <c r="F2025" s="36"/>
      <c r="G2025" s="36" t="str">
        <f>IFERROR(__xludf.DUMMYFUNCTION("""COMPUTED_VALUE"""),"Paula A. de Sarmiento y Cmte Cabot S-E")</f>
        <v>Paula A. de Sarmiento y Cmte Cabot S-E</v>
      </c>
      <c r="H2025" s="36" t="str">
        <f>IFERROR(__xludf.DUMMYFUNCTION("""COMPUTED_VALUE"""),"")</f>
        <v/>
      </c>
    </row>
    <row r="2026">
      <c r="A2026" s="36" t="str">
        <f>IFERROR(__xludf.DUMMYFUNCTION("""COMPUTED_VALUE"""),"01-47-12-249")</f>
        <v>01-47-12-249</v>
      </c>
      <c r="B2026" s="36" t="str">
        <f>IFERROR(__xludf.DUMMYFUNCTION("""COMPUTED_VALUE"""),"")</f>
        <v/>
      </c>
      <c r="C2026" s="36" t="str">
        <f>IFERROR(__xludf.DUMMYFUNCTION("""COMPUTED_VALUE"""),"")</f>
        <v/>
      </c>
      <c r="D2026" s="36" t="str">
        <f>IFERROR(__xludf.DUMMYFUNCTION("""COMPUTED_VALUE"""),"")</f>
        <v/>
      </c>
      <c r="E2026" s="36" t="str">
        <f>IFERROR(__xludf.DUMMYFUNCTION("""COMPUTED_VALUE"""),"01-20-07-189")</f>
        <v>01-20-07-189</v>
      </c>
      <c r="F2026" s="36"/>
      <c r="G2026" s="36" t="str">
        <f>IFERROR(__xludf.DUMMYFUNCTION("""COMPUTED_VALUE"""),"Paula A. de Sarmiento y Dominguito")</f>
        <v>Paula A. de Sarmiento y Dominguito</v>
      </c>
      <c r="H2026" s="36" t="str">
        <f>IFERROR(__xludf.DUMMYFUNCTION("""COMPUTED_VALUE"""),"")</f>
        <v/>
      </c>
    </row>
    <row r="2027">
      <c r="A2027" s="36" t="str">
        <f>IFERROR(__xludf.DUMMYFUNCTION("""COMPUTED_VALUE"""),"01-47-12-253")</f>
        <v>01-47-12-253</v>
      </c>
      <c r="B2027" s="36" t="str">
        <f>IFERROR(__xludf.DUMMYFUNCTION("""COMPUTED_VALUE"""),"")</f>
        <v/>
      </c>
      <c r="C2027" s="36" t="str">
        <f>IFERROR(__xludf.DUMMYFUNCTION("""COMPUTED_VALUE"""),"")</f>
        <v/>
      </c>
      <c r="D2027" s="36" t="str">
        <f>IFERROR(__xludf.DUMMYFUNCTION("""COMPUTED_VALUE"""),"")</f>
        <v/>
      </c>
      <c r="E2027" s="36" t="str">
        <f>IFERROR(__xludf.DUMMYFUNCTION("""COMPUTED_VALUE"""),"02-38-12-203")</f>
        <v>02-38-12-203</v>
      </c>
      <c r="F2027" s="36"/>
      <c r="G2027" s="36" t="str">
        <f>IFERROR(__xludf.DUMMYFUNCTION("""COMPUTED_VALUE"""),"Paula A. de Sarmiento y Güemes")</f>
        <v>Paula A. de Sarmiento y Güemes</v>
      </c>
      <c r="H2027" s="36" t="str">
        <f>IFERROR(__xludf.DUMMYFUNCTION("""COMPUTED_VALUE"""),"")</f>
        <v/>
      </c>
    </row>
    <row r="2028">
      <c r="A2028" s="36" t="str">
        <f>IFERROR(__xludf.DUMMYFUNCTION("""COMPUTED_VALUE"""),"01-47-12-255")</f>
        <v>01-47-12-255</v>
      </c>
      <c r="B2028" s="36" t="str">
        <f>IFERROR(__xludf.DUMMYFUNCTION("""COMPUTED_VALUE"""),"")</f>
        <v/>
      </c>
      <c r="C2028" s="36" t="str">
        <f>IFERROR(__xludf.DUMMYFUNCTION("""COMPUTED_VALUE"""),"")</f>
        <v/>
      </c>
      <c r="D2028" s="36" t="str">
        <f>IFERROR(__xludf.DUMMYFUNCTION("""COMPUTED_VALUE"""),"")</f>
        <v/>
      </c>
      <c r="E2028" s="36" t="str">
        <f>IFERROR(__xludf.DUMMYFUNCTION("""COMPUTED_VALUE"""),"04-20-12-198")</f>
        <v>04-20-12-198</v>
      </c>
      <c r="F2028" s="36"/>
      <c r="G2028" s="36" t="str">
        <f>IFERROR(__xludf.DUMMYFUNCTION("""COMPUTED_VALUE"""),"Paula A. de Sarmiento y L. Alem Este")</f>
        <v>Paula A. de Sarmiento y L. Alem Este</v>
      </c>
      <c r="H2028" s="36" t="str">
        <f>IFERROR(__xludf.DUMMYFUNCTION("""COMPUTED_VALUE"""),"")</f>
        <v/>
      </c>
    </row>
    <row r="2029">
      <c r="A2029" s="36" t="str">
        <f>IFERROR(__xludf.DUMMYFUNCTION("""COMPUTED_VALUE"""),"01-47-12-273")</f>
        <v>01-47-12-273</v>
      </c>
      <c r="B2029" s="36" t="str">
        <f>IFERROR(__xludf.DUMMYFUNCTION("""COMPUTED_VALUE"""),"")</f>
        <v/>
      </c>
      <c r="C2029" s="36" t="str">
        <f>IFERROR(__xludf.DUMMYFUNCTION("""COMPUTED_VALUE"""),"")</f>
        <v/>
      </c>
      <c r="D2029" s="36" t="str">
        <f>IFERROR(__xludf.DUMMYFUNCTION("""COMPUTED_VALUE"""),"")</f>
        <v/>
      </c>
      <c r="E2029" s="36" t="str">
        <f>IFERROR(__xludf.DUMMYFUNCTION("""COMPUTED_VALUE"""),"02-38-12-199")</f>
        <v>02-38-12-199</v>
      </c>
      <c r="F2029" s="36"/>
      <c r="G2029" s="36" t="str">
        <f>IFERROR(__xludf.DUMMYFUNCTION("""COMPUTED_VALUE"""),"Paula A. de Sarmiento y L. Alem Oeste")</f>
        <v>Paula A. de Sarmiento y L. Alem Oeste</v>
      </c>
      <c r="H2029" s="36" t="str">
        <f>IFERROR(__xludf.DUMMYFUNCTION("""COMPUTED_VALUE"""),"")</f>
        <v/>
      </c>
    </row>
    <row r="2030">
      <c r="A2030" s="36" t="str">
        <f>IFERROR(__xludf.DUMMYFUNCTION("""COMPUTED_VALUE"""),"01-47-12-274")</f>
        <v>01-47-12-274</v>
      </c>
      <c r="B2030" s="36" t="str">
        <f>IFERROR(__xludf.DUMMYFUNCTION("""COMPUTED_VALUE"""),"")</f>
        <v/>
      </c>
      <c r="C2030" s="36" t="str">
        <f>IFERROR(__xludf.DUMMYFUNCTION("""COMPUTED_VALUE"""),"")</f>
        <v/>
      </c>
      <c r="D2030" s="36" t="str">
        <f>IFERROR(__xludf.DUMMYFUNCTION("""COMPUTED_VALUE"""),"")</f>
        <v/>
      </c>
      <c r="E2030" s="36" t="str">
        <f>IFERROR(__xludf.DUMMYFUNCTION("""COMPUTED_VALUE"""),"01-20-07-191")</f>
        <v>01-20-07-191</v>
      </c>
      <c r="F2030" s="36"/>
      <c r="G2030" s="36" t="str">
        <f>IFERROR(__xludf.DUMMYFUNCTION("""COMPUTED_VALUE"""),"Paula A. de Sarmiento y Laprida")</f>
        <v>Paula A. de Sarmiento y Laprida</v>
      </c>
      <c r="H2030" s="36" t="str">
        <f>IFERROR(__xludf.DUMMYFUNCTION("""COMPUTED_VALUE"""),"")</f>
        <v/>
      </c>
    </row>
    <row r="2031">
      <c r="A2031" s="36" t="str">
        <f>IFERROR(__xludf.DUMMYFUNCTION("""COMPUTED_VALUE"""),"01-47-12-279")</f>
        <v>01-47-12-279</v>
      </c>
      <c r="B2031" s="36" t="str">
        <f>IFERROR(__xludf.DUMMYFUNCTION("""COMPUTED_VALUE"""),"")</f>
        <v/>
      </c>
      <c r="C2031" s="36" t="str">
        <f>IFERROR(__xludf.DUMMYFUNCTION("""COMPUTED_VALUE"""),"")</f>
        <v/>
      </c>
      <c r="D2031" s="36" t="str">
        <f>IFERROR(__xludf.DUMMYFUNCTION("""COMPUTED_VALUE"""),"")</f>
        <v/>
      </c>
      <c r="E2031" s="36" t="str">
        <f>IFERROR(__xludf.DUMMYFUNCTION("""COMPUTED_VALUE"""),"01-20-07-190")</f>
        <v>01-20-07-190</v>
      </c>
      <c r="F2031" s="36"/>
      <c r="G2031" s="36" t="str">
        <f>IFERROR(__xludf.DUMMYFUNCTION("""COMPUTED_VALUE"""),"Paula A. de Sarmiento y Lourdes E")</f>
        <v>Paula A. de Sarmiento y Lourdes E</v>
      </c>
      <c r="H2031" s="36" t="str">
        <f>IFERROR(__xludf.DUMMYFUNCTION("""COMPUTED_VALUE"""),"")</f>
        <v/>
      </c>
    </row>
    <row r="2032">
      <c r="A2032" s="36" t="str">
        <f>IFERROR(__xludf.DUMMYFUNCTION("""COMPUTED_VALUE"""),"01-47-12-282B")</f>
        <v>01-47-12-282B</v>
      </c>
      <c r="B2032" s="36" t="str">
        <f>IFERROR(__xludf.DUMMYFUNCTION("""COMPUTED_VALUE"""),"")</f>
        <v/>
      </c>
      <c r="C2032" s="36" t="str">
        <f>IFERROR(__xludf.DUMMYFUNCTION("""COMPUTED_VALUE"""),"")</f>
        <v/>
      </c>
      <c r="D2032" s="36" t="str">
        <f>IFERROR(__xludf.DUMMYFUNCTION("""COMPUTED_VALUE"""),"")</f>
        <v/>
      </c>
      <c r="E2032" s="36" t="str">
        <f>IFERROR(__xludf.DUMMYFUNCTION("""COMPUTED_VALUE"""),"02-29-07-191A")</f>
        <v>02-29-07-191A</v>
      </c>
      <c r="F2032" s="36"/>
      <c r="G2032" s="36" t="str">
        <f>IFERROR(__xludf.DUMMYFUNCTION("""COMPUTED_VALUE"""),"Paula A. de Sarmiento y Lourdes O")</f>
        <v>Paula A. de Sarmiento y Lourdes O</v>
      </c>
      <c r="H2032" s="36" t="str">
        <f>IFERROR(__xludf.DUMMYFUNCTION("""COMPUTED_VALUE"""),"")</f>
        <v/>
      </c>
    </row>
    <row r="2033">
      <c r="A2033" s="36" t="str">
        <f>IFERROR(__xludf.DUMMYFUNCTION("""COMPUTED_VALUE"""),"01-47-12-284")</f>
        <v>01-47-12-284</v>
      </c>
      <c r="B2033" s="36" t="str">
        <f>IFERROR(__xludf.DUMMYFUNCTION("""COMPUTED_VALUE"""),"")</f>
        <v/>
      </c>
      <c r="C2033" s="36" t="str">
        <f>IFERROR(__xludf.DUMMYFUNCTION("""COMPUTED_VALUE"""),"")</f>
        <v/>
      </c>
      <c r="D2033" s="36" t="str">
        <f>IFERROR(__xludf.DUMMYFUNCTION("""COMPUTED_VALUE"""),"")</f>
        <v/>
      </c>
      <c r="E2033" s="36" t="str">
        <f>IFERROR(__xludf.DUMMYFUNCTION("""COMPUTED_VALUE"""),"01-48-07-72A")</f>
        <v>01-48-07-72A</v>
      </c>
      <c r="F2033" s="36"/>
      <c r="G2033" s="36" t="str">
        <f>IFERROR(__xludf.DUMMYFUNCTION("""COMPUTED_VALUE"""),"Paula A. de Sarmiento y Nuche")</f>
        <v>Paula A. de Sarmiento y Nuche</v>
      </c>
      <c r="H2033" s="36" t="str">
        <f>IFERROR(__xludf.DUMMYFUNCTION("""COMPUTED_VALUE"""),"")</f>
        <v/>
      </c>
    </row>
    <row r="2034">
      <c r="A2034" s="36" t="str">
        <f>IFERROR(__xludf.DUMMYFUNCTION("""COMPUTED_VALUE"""),"01-47-12-288")</f>
        <v>01-47-12-288</v>
      </c>
      <c r="B2034" s="36" t="str">
        <f>IFERROR(__xludf.DUMMYFUNCTION("""COMPUTED_VALUE"""),"")</f>
        <v/>
      </c>
      <c r="C2034" s="36" t="str">
        <f>IFERROR(__xludf.DUMMYFUNCTION("""COMPUTED_VALUE"""),"")</f>
        <v/>
      </c>
      <c r="D2034" s="36" t="str">
        <f>IFERROR(__xludf.DUMMYFUNCTION("""COMPUTED_VALUE"""),"")</f>
        <v/>
      </c>
      <c r="E2034" s="36" t="str">
        <f>IFERROR(__xludf.DUMMYFUNCTION("""COMPUTED_VALUE"""),"02-29-07-186")</f>
        <v>02-29-07-186</v>
      </c>
      <c r="F2034" s="36"/>
      <c r="G2034" s="36" t="str">
        <f>IFERROR(__xludf.DUMMYFUNCTION("""COMPUTED_VALUE"""),"Paula A. de Sarmiento y Paula Albarracín")</f>
        <v>Paula A. de Sarmiento y Paula Albarracín</v>
      </c>
      <c r="H2034" s="36" t="str">
        <f>IFERROR(__xludf.DUMMYFUNCTION("""COMPUTED_VALUE"""),"")</f>
        <v/>
      </c>
    </row>
    <row r="2035">
      <c r="A2035" s="36" t="str">
        <f>IFERROR(__xludf.DUMMYFUNCTION("""COMPUTED_VALUE"""),"01-47-12-289")</f>
        <v>01-47-12-289</v>
      </c>
      <c r="B2035" s="36" t="str">
        <f>IFERROR(__xludf.DUMMYFUNCTION("""COMPUTED_VALUE"""),"")</f>
        <v/>
      </c>
      <c r="C2035" s="36" t="str">
        <f>IFERROR(__xludf.DUMMYFUNCTION("""COMPUTED_VALUE"""),"")</f>
        <v/>
      </c>
      <c r="D2035" s="36" t="str">
        <f>IFERROR(__xludf.DUMMYFUNCTION("""COMPUTED_VALUE"""),"")</f>
        <v/>
      </c>
      <c r="E2035" s="36" t="str">
        <f>IFERROR(__xludf.DUMMYFUNCTION("""COMPUTED_VALUE"""),"02-29-07-189A")</f>
        <v>02-29-07-189A</v>
      </c>
      <c r="F2035" s="36"/>
      <c r="G2035" s="36" t="str">
        <f>IFERROR(__xludf.DUMMYFUNCTION("""COMPUTED_VALUE"""),"Paula A. de Sarmiento y Prolongación")</f>
        <v>Paula A. de Sarmiento y Prolongación</v>
      </c>
      <c r="H2035" s="36" t="str">
        <f>IFERROR(__xludf.DUMMYFUNCTION("""COMPUTED_VALUE"""),"")</f>
        <v/>
      </c>
    </row>
    <row r="2036">
      <c r="A2036" s="36" t="str">
        <f>IFERROR(__xludf.DUMMYFUNCTION("""COMPUTED_VALUE"""),"01-47-12-290")</f>
        <v>01-47-12-290</v>
      </c>
      <c r="B2036" s="36" t="str">
        <f>IFERROR(__xludf.DUMMYFUNCTION("""COMPUTED_VALUE"""),"")</f>
        <v/>
      </c>
      <c r="C2036" s="36" t="str">
        <f>IFERROR(__xludf.DUMMYFUNCTION("""COMPUTED_VALUE"""),"")</f>
        <v/>
      </c>
      <c r="D2036" s="36" t="str">
        <f>IFERROR(__xludf.DUMMYFUNCTION("""COMPUTED_VALUE"""),"")</f>
        <v/>
      </c>
      <c r="E2036" s="36" t="str">
        <f>IFERROR(__xludf.DUMMYFUNCTION("""COMPUTED_VALUE"""),"02-38-12-179")</f>
        <v>02-38-12-179</v>
      </c>
      <c r="F2036" s="36"/>
      <c r="G2036" s="36" t="str">
        <f>IFERROR(__xludf.DUMMYFUNCTION("""COMPUTED_VALUE"""),"Paula A. de Sarmiento y Rep. del Líbano")</f>
        <v>Paula A. de Sarmiento y Rep. del Líbano</v>
      </c>
      <c r="H2036" s="36" t="str">
        <f>IFERROR(__xludf.DUMMYFUNCTION("""COMPUTED_VALUE"""),"")</f>
        <v/>
      </c>
    </row>
    <row r="2037">
      <c r="A2037" s="36" t="str">
        <f>IFERROR(__xludf.DUMMYFUNCTION("""COMPUTED_VALUE"""),"01-47-12-290A")</f>
        <v>01-47-12-290A</v>
      </c>
      <c r="B2037" s="36" t="str">
        <f>IFERROR(__xludf.DUMMYFUNCTION("""COMPUTED_VALUE"""),"")</f>
        <v/>
      </c>
      <c r="C2037" s="36" t="str">
        <f>IFERROR(__xludf.DUMMYFUNCTION("""COMPUTED_VALUE"""),"")</f>
        <v/>
      </c>
      <c r="D2037" s="36" t="str">
        <f>IFERROR(__xludf.DUMMYFUNCTION("""COMPUTED_VALUE"""),"")</f>
        <v/>
      </c>
      <c r="E2037" s="36" t="str">
        <f>IFERROR(__xludf.DUMMYFUNCTION("""COMPUTED_VALUE"""),"04-20-12-202")</f>
        <v>04-20-12-202</v>
      </c>
      <c r="F2037" s="36"/>
      <c r="G2037" s="36" t="str">
        <f>IFERROR(__xludf.DUMMYFUNCTION("""COMPUTED_VALUE"""),"Paula A. de Sarmiento y San Francisco E.")</f>
        <v>Paula A. de Sarmiento y San Francisco E.</v>
      </c>
      <c r="H2037" s="36" t="str">
        <f>IFERROR(__xludf.DUMMYFUNCTION("""COMPUTED_VALUE"""),"")</f>
        <v/>
      </c>
    </row>
    <row r="2038">
      <c r="A2038" s="36" t="str">
        <f>IFERROR(__xludf.DUMMYFUNCTION("""COMPUTED_VALUE"""),"01-47-12-291")</f>
        <v>01-47-12-291</v>
      </c>
      <c r="B2038" s="36" t="str">
        <f>IFERROR(__xludf.DUMMYFUNCTION("""COMPUTED_VALUE"""),"")</f>
        <v/>
      </c>
      <c r="C2038" s="36" t="str">
        <f>IFERROR(__xludf.DUMMYFUNCTION("""COMPUTED_VALUE"""),"")</f>
        <v/>
      </c>
      <c r="D2038" s="36" t="str">
        <f>IFERROR(__xludf.DUMMYFUNCTION("""COMPUTED_VALUE"""),"")</f>
        <v/>
      </c>
      <c r="E2038" s="36" t="str">
        <f>IFERROR(__xludf.DUMMYFUNCTION("""COMPUTED_VALUE"""),"02-38-12-201")</f>
        <v>02-38-12-201</v>
      </c>
      <c r="F2038" s="36"/>
      <c r="G2038" s="36" t="str">
        <f>IFERROR(__xludf.DUMMYFUNCTION("""COMPUTED_VALUE"""),"Paula A. de Sarmiento y San Lorenzo")</f>
        <v>Paula A. de Sarmiento y San Lorenzo</v>
      </c>
      <c r="H2038" s="36" t="str">
        <f>IFERROR(__xludf.DUMMYFUNCTION("""COMPUTED_VALUE"""),"")</f>
        <v/>
      </c>
    </row>
    <row r="2039">
      <c r="A2039" s="36" t="str">
        <f>IFERROR(__xludf.DUMMYFUNCTION("""COMPUTED_VALUE"""),"01-47-12-294")</f>
        <v>01-47-12-294</v>
      </c>
      <c r="B2039" s="36" t="str">
        <f>IFERROR(__xludf.DUMMYFUNCTION("""COMPUTED_VALUE"""),"")</f>
        <v/>
      </c>
      <c r="C2039" s="36" t="str">
        <f>IFERROR(__xludf.DUMMYFUNCTION("""COMPUTED_VALUE"""),"")</f>
        <v/>
      </c>
      <c r="D2039" s="36" t="str">
        <f>IFERROR(__xludf.DUMMYFUNCTION("""COMPUTED_VALUE"""),"")</f>
        <v/>
      </c>
      <c r="E2039" s="36" t="str">
        <f>IFERROR(__xludf.DUMMYFUNCTION("""COMPUTED_VALUE"""),"04-20-12-200")</f>
        <v>04-20-12-200</v>
      </c>
      <c r="F2039" s="36"/>
      <c r="G2039" s="36" t="str">
        <f>IFERROR(__xludf.DUMMYFUNCTION("""COMPUTED_VALUE"""),"Paula A. de Sarmiento y San Lorenzo O.")</f>
        <v>Paula A. de Sarmiento y San Lorenzo O.</v>
      </c>
      <c r="H2039" s="36" t="str">
        <f>IFERROR(__xludf.DUMMYFUNCTION("""COMPUTED_VALUE"""),"")</f>
        <v/>
      </c>
    </row>
    <row r="2040">
      <c r="A2040" s="36" t="str">
        <f>IFERROR(__xludf.DUMMYFUNCTION("""COMPUTED_VALUE"""),"01-47-12-295")</f>
        <v>01-47-12-295</v>
      </c>
      <c r="B2040" s="36" t="str">
        <f>IFERROR(__xludf.DUMMYFUNCTION("""COMPUTED_VALUE"""),"")</f>
        <v/>
      </c>
      <c r="C2040" s="36" t="str">
        <f>IFERROR(__xludf.DUMMYFUNCTION("""COMPUTED_VALUE"""),"")</f>
        <v/>
      </c>
      <c r="D2040" s="36" t="str">
        <f>IFERROR(__xludf.DUMMYFUNCTION("""COMPUTED_VALUE"""),"")</f>
        <v/>
      </c>
      <c r="E2040" s="36" t="str">
        <f>IFERROR(__xludf.DUMMYFUNCTION("""COMPUTED_VALUE"""),"01-34-07-124")</f>
        <v>01-34-07-124</v>
      </c>
      <c r="F2040" s="36"/>
      <c r="G2040" s="36" t="str">
        <f>IFERROR(__xludf.DUMMYFUNCTION("""COMPUTED_VALUE"""),"Paula A. de Sarmiento y Suecia")</f>
        <v>Paula A. de Sarmiento y Suecia</v>
      </c>
      <c r="H2040" s="36" t="str">
        <f>IFERROR(__xludf.DUMMYFUNCTION("""COMPUTED_VALUE"""),"")</f>
        <v/>
      </c>
    </row>
    <row r="2041">
      <c r="A2041" s="36" t="str">
        <f>IFERROR(__xludf.DUMMYFUNCTION("""COMPUTED_VALUE"""),"01-47-12-297")</f>
        <v>01-47-12-297</v>
      </c>
      <c r="B2041" s="36" t="str">
        <f>IFERROR(__xludf.DUMMYFUNCTION("""COMPUTED_VALUE"""),"")</f>
        <v/>
      </c>
      <c r="C2041" s="36" t="str">
        <f>IFERROR(__xludf.DUMMYFUNCTION("""COMPUTED_VALUE"""),"")</f>
        <v/>
      </c>
      <c r="D2041" s="36" t="str">
        <f>IFERROR(__xludf.DUMMYFUNCTION("""COMPUTED_VALUE"""),"")</f>
        <v/>
      </c>
      <c r="E2041" s="36" t="str">
        <f>IFERROR(__xludf.DUMMYFUNCTION("""COMPUTED_VALUE"""),"01-20-07-188")</f>
        <v>01-20-07-188</v>
      </c>
      <c r="F2041" s="36"/>
      <c r="G2041" s="36" t="str">
        <f>IFERROR(__xludf.DUMMYFUNCTION("""COMPUTED_VALUE"""),"Paula A. de Sarmiento y Viamonte E")</f>
        <v>Paula A. de Sarmiento y Viamonte E</v>
      </c>
      <c r="H2041" s="36" t="str">
        <f>IFERROR(__xludf.DUMMYFUNCTION("""COMPUTED_VALUE"""),"")</f>
        <v/>
      </c>
    </row>
    <row r="2042">
      <c r="A2042" s="36" t="str">
        <f>IFERROR(__xludf.DUMMYFUNCTION("""COMPUTED_VALUE"""),"01-47-12-299")</f>
        <v>01-47-12-299</v>
      </c>
      <c r="B2042" s="36" t="str">
        <f>IFERROR(__xludf.DUMMYFUNCTION("""COMPUTED_VALUE"""),"")</f>
        <v/>
      </c>
      <c r="C2042" s="36" t="str">
        <f>IFERROR(__xludf.DUMMYFUNCTION("""COMPUTED_VALUE"""),"")</f>
        <v/>
      </c>
      <c r="D2042" s="36" t="str">
        <f>IFERROR(__xludf.DUMMYFUNCTION("""COMPUTED_VALUE"""),"")</f>
        <v/>
      </c>
      <c r="E2042" s="36" t="str">
        <f>IFERROR(__xludf.DUMMYFUNCTION("""COMPUTED_VALUE"""),"02-29-07-188A")</f>
        <v>02-29-07-188A</v>
      </c>
      <c r="F2042" s="36"/>
      <c r="G2042" s="36" t="str">
        <f>IFERROR(__xludf.DUMMYFUNCTION("""COMPUTED_VALUE"""),"Paula A. de Sarmiento y Viamonte O")</f>
        <v>Paula A. de Sarmiento y Viamonte O</v>
      </c>
      <c r="H2042" s="36" t="str">
        <f>IFERROR(__xludf.DUMMYFUNCTION("""COMPUTED_VALUE"""),"")</f>
        <v/>
      </c>
    </row>
    <row r="2043">
      <c r="A2043" s="36" t="str">
        <f>IFERROR(__xludf.DUMMYFUNCTION("""COMPUTED_VALUE"""),"01-47-12-301")</f>
        <v>01-47-12-301</v>
      </c>
      <c r="B2043" s="36" t="str">
        <f>IFERROR(__xludf.DUMMYFUNCTION("""COMPUTED_VALUE"""),"")</f>
        <v/>
      </c>
      <c r="C2043" s="36" t="str">
        <f>IFERROR(__xludf.DUMMYFUNCTION("""COMPUTED_VALUE"""),"")</f>
        <v/>
      </c>
      <c r="D2043" s="36" t="str">
        <f>IFERROR(__xludf.DUMMYFUNCTION("""COMPUTED_VALUE"""),"")</f>
        <v/>
      </c>
      <c r="E2043" s="36" t="str">
        <f>IFERROR(__xludf.DUMMYFUNCTION("""COMPUTED_VALUE"""),"01-20-07-187")</f>
        <v>01-20-07-187</v>
      </c>
      <c r="F2043" s="36"/>
      <c r="G2043" s="36" t="str">
        <f>IFERROR(__xludf.DUMMYFUNCTION("""COMPUTED_VALUE"""),"Paula A. de Sarmiento y Viamonte S ")</f>
        <v>Paula A. de Sarmiento y Viamonte S </v>
      </c>
      <c r="H2043" s="36" t="str">
        <f>IFERROR(__xludf.DUMMYFUNCTION("""COMPUTED_VALUE"""),"")</f>
        <v/>
      </c>
    </row>
    <row r="2044">
      <c r="A2044" s="36" t="str">
        <f>IFERROR(__xludf.DUMMYFUNCTION("""COMPUTED_VALUE"""),"01-47-12-302")</f>
        <v>01-47-12-302</v>
      </c>
      <c r="B2044" s="36" t="str">
        <f>IFERROR(__xludf.DUMMYFUNCTION("""COMPUTED_VALUE"""),"")</f>
        <v/>
      </c>
      <c r="C2044" s="36" t="str">
        <f>IFERROR(__xludf.DUMMYFUNCTION("""COMPUTED_VALUE"""),"")</f>
        <v/>
      </c>
      <c r="D2044" s="36" t="str">
        <f>IFERROR(__xludf.DUMMYFUNCTION("""COMPUTED_VALUE"""),"")</f>
        <v/>
      </c>
      <c r="E2044" s="36" t="str">
        <f>IFERROR(__xludf.DUMMYFUNCTION("""COMPUTED_VALUE"""),"04-34-12-36")</f>
        <v>04-34-12-36</v>
      </c>
      <c r="F2044" s="36"/>
      <c r="G2044" s="36" t="str">
        <f>IFERROR(__xludf.DUMMYFUNCTION("""COMPUTED_VALUE"""),"Paula Albarracín y 11 de Septiembre N")</f>
        <v>Paula Albarracín y 11 de Septiembre N</v>
      </c>
      <c r="H2044" s="36" t="str">
        <f>IFERROR(__xludf.DUMMYFUNCTION("""COMPUTED_VALUE"""),"")</f>
        <v/>
      </c>
    </row>
    <row r="2045">
      <c r="A2045" s="36" t="str">
        <f>IFERROR(__xludf.DUMMYFUNCTION("""COMPUTED_VALUE"""),"01-47-12-304")</f>
        <v>01-47-12-304</v>
      </c>
      <c r="B2045" s="36" t="str">
        <f>IFERROR(__xludf.DUMMYFUNCTION("""COMPUTED_VALUE"""),"")</f>
        <v/>
      </c>
      <c r="C2045" s="36" t="str">
        <f>IFERROR(__xludf.DUMMYFUNCTION("""COMPUTED_VALUE"""),"")</f>
        <v/>
      </c>
      <c r="D2045" s="36" t="str">
        <f>IFERROR(__xludf.DUMMYFUNCTION("""COMPUTED_VALUE"""),"")</f>
        <v/>
      </c>
      <c r="E2045" s="36" t="str">
        <f>IFERROR(__xludf.DUMMYFUNCTION("""COMPUTED_VALUE"""),"04-34-12-35")</f>
        <v>04-34-12-35</v>
      </c>
      <c r="F2045" s="36"/>
      <c r="G2045" s="36" t="str">
        <f>IFERROR(__xludf.DUMMYFUNCTION("""COMPUTED_VALUE"""),"Paula Albarracín y 11 de Septiembre Sur")</f>
        <v>Paula Albarracín y 11 de Septiembre Sur</v>
      </c>
      <c r="H2045" s="36" t="str">
        <f>IFERROR(__xludf.DUMMYFUNCTION("""COMPUTED_VALUE"""),"")</f>
        <v/>
      </c>
    </row>
    <row r="2046">
      <c r="A2046" s="36" t="str">
        <f>IFERROR(__xludf.DUMMYFUNCTION("""COMPUTED_VALUE"""),"01-47-12-306")</f>
        <v>01-47-12-306</v>
      </c>
      <c r="B2046" s="36" t="str">
        <f>IFERROR(__xludf.DUMMYFUNCTION("""COMPUTED_VALUE"""),"")</f>
        <v/>
      </c>
      <c r="C2046" s="36" t="str">
        <f>IFERROR(__xludf.DUMMYFUNCTION("""COMPUTED_VALUE"""),"")</f>
        <v/>
      </c>
      <c r="D2046" s="36" t="str">
        <f>IFERROR(__xludf.DUMMYFUNCTION("""COMPUTED_VALUE"""),"")</f>
        <v/>
      </c>
      <c r="E2046" s="36" t="str">
        <f>IFERROR(__xludf.DUMMYFUNCTION("""COMPUTED_VALUE"""),"04-34-12-40")</f>
        <v>04-34-12-40</v>
      </c>
      <c r="F2046" s="36"/>
      <c r="G2046" s="36" t="str">
        <f>IFERROR(__xludf.DUMMYFUNCTION("""COMPUTED_VALUE"""),"Paula Albarracín y 27 de Febrero")</f>
        <v>Paula Albarracín y 27 de Febrero</v>
      </c>
      <c r="H2046" s="36" t="str">
        <f>IFERROR(__xludf.DUMMYFUNCTION("""COMPUTED_VALUE"""),"")</f>
        <v/>
      </c>
    </row>
    <row r="2047">
      <c r="A2047" s="36" t="str">
        <f>IFERROR(__xludf.DUMMYFUNCTION("""COMPUTED_VALUE"""),"01-48-12-283")</f>
        <v>01-48-12-283</v>
      </c>
      <c r="B2047" s="36" t="str">
        <f>IFERROR(__xludf.DUMMYFUNCTION("""COMPUTED_VALUE"""),"")</f>
        <v/>
      </c>
      <c r="C2047" s="36" t="str">
        <f>IFERROR(__xludf.DUMMYFUNCTION("""COMPUTED_VALUE"""),"")</f>
        <v/>
      </c>
      <c r="D2047" s="36" t="str">
        <f>IFERROR(__xludf.DUMMYFUNCTION("""COMPUTED_VALUE"""),"")</f>
        <v/>
      </c>
      <c r="E2047" s="36" t="str">
        <f>IFERROR(__xludf.DUMMYFUNCTION("""COMPUTED_VALUE"""),"01-58-12-326")</f>
        <v>01-58-12-326</v>
      </c>
      <c r="F2047" s="36"/>
      <c r="G2047" s="36" t="str">
        <f>IFERROR(__xludf.DUMMYFUNCTION("""COMPUTED_VALUE"""),"Paula Albarracín y 9 de Julio")</f>
        <v>Paula Albarracín y 9 de Julio</v>
      </c>
      <c r="H2047" s="36" t="str">
        <f>IFERROR(__xludf.DUMMYFUNCTION("""COMPUTED_VALUE"""),"")</f>
        <v/>
      </c>
    </row>
    <row r="2048">
      <c r="A2048" s="36" t="str">
        <f>IFERROR(__xludf.DUMMYFUNCTION("""COMPUTED_VALUE"""),"01-48-12-285")</f>
        <v>01-48-12-285</v>
      </c>
      <c r="B2048" s="36" t="str">
        <f>IFERROR(__xludf.DUMMYFUNCTION("""COMPUTED_VALUE"""),"")</f>
        <v/>
      </c>
      <c r="C2048" s="36" t="str">
        <f>IFERROR(__xludf.DUMMYFUNCTION("""COMPUTED_VALUE"""),"")</f>
        <v/>
      </c>
      <c r="D2048" s="36" t="str">
        <f>IFERROR(__xludf.DUMMYFUNCTION("""COMPUTED_VALUE"""),"")</f>
        <v/>
      </c>
      <c r="E2048" s="36" t="str">
        <f>IFERROR(__xludf.DUMMYFUNCTION("""COMPUTED_VALUE"""),"02-38-12-330")</f>
        <v>02-38-12-330</v>
      </c>
      <c r="F2048" s="36"/>
      <c r="G2048" s="36" t="str">
        <f>IFERROR(__xludf.DUMMYFUNCTION("""COMPUTED_VALUE"""),"Paula Albarracín y Araucarias")</f>
        <v>Paula Albarracín y Araucarias</v>
      </c>
      <c r="H2048" s="36" t="str">
        <f>IFERROR(__xludf.DUMMYFUNCTION("""COMPUTED_VALUE"""),"")</f>
        <v/>
      </c>
    </row>
    <row r="2049">
      <c r="A2049" s="36" t="str">
        <f>IFERROR(__xludf.DUMMYFUNCTION("""COMPUTED_VALUE"""),"01-48-12-285A")</f>
        <v>01-48-12-285A</v>
      </c>
      <c r="B2049" s="36" t="str">
        <f>IFERROR(__xludf.DUMMYFUNCTION("""COMPUTED_VALUE"""),"")</f>
        <v/>
      </c>
      <c r="C2049" s="36" t="str">
        <f>IFERROR(__xludf.DUMMYFUNCTION("""COMPUTED_VALUE"""),"")</f>
        <v/>
      </c>
      <c r="D2049" s="36" t="str">
        <f>IFERROR(__xludf.DUMMYFUNCTION("""COMPUTED_VALUE"""),"")</f>
        <v/>
      </c>
      <c r="E2049" s="36" t="str">
        <f>IFERROR(__xludf.DUMMYFUNCTION("""COMPUTED_VALUE"""),"01-58-12-331")</f>
        <v>01-58-12-331</v>
      </c>
      <c r="F2049" s="36"/>
      <c r="G2049" s="36" t="str">
        <f>IFERROR(__xludf.DUMMYFUNCTION("""COMPUTED_VALUE"""),"Paula Albarracín y Araucarias Plaza")</f>
        <v>Paula Albarracín y Araucarias Plaza</v>
      </c>
      <c r="H2049" s="36" t="str">
        <f>IFERROR(__xludf.DUMMYFUNCTION("""COMPUTED_VALUE"""),"")</f>
        <v/>
      </c>
    </row>
    <row r="2050">
      <c r="A2050" s="36" t="str">
        <f>IFERROR(__xludf.DUMMYFUNCTION("""COMPUTED_VALUE"""),"01-48-12-317")</f>
        <v>01-48-12-317</v>
      </c>
      <c r="B2050" s="36" t="str">
        <f>IFERROR(__xludf.DUMMYFUNCTION("""COMPUTED_VALUE"""),"")</f>
        <v/>
      </c>
      <c r="C2050" s="36" t="str">
        <f>IFERROR(__xludf.DUMMYFUNCTION("""COMPUTED_VALUE"""),"")</f>
        <v/>
      </c>
      <c r="D2050" s="36" t="str">
        <f>IFERROR(__xludf.DUMMYFUNCTION("""COMPUTED_VALUE"""),"")</f>
        <v/>
      </c>
      <c r="E2050" s="36" t="str">
        <f>IFERROR(__xludf.DUMMYFUNCTION("""COMPUTED_VALUE"""),"04-34-12-37")</f>
        <v>04-34-12-37</v>
      </c>
      <c r="F2050" s="36"/>
      <c r="G2050" s="36" t="str">
        <f>IFERROR(__xludf.DUMMYFUNCTION("""COMPUTED_VALUE"""),"Paula Albarracín y Bariloche")</f>
        <v>Paula Albarracín y Bariloche</v>
      </c>
      <c r="H2050" s="36" t="str">
        <f>IFERROR(__xludf.DUMMYFUNCTION("""COMPUTED_VALUE"""),"")</f>
        <v/>
      </c>
    </row>
    <row r="2051">
      <c r="A2051" s="36" t="str">
        <f>IFERROR(__xludf.DUMMYFUNCTION("""COMPUTED_VALUE"""),"01-48-12-318")</f>
        <v>01-48-12-318</v>
      </c>
      <c r="B2051" s="36" t="str">
        <f>IFERROR(__xludf.DUMMYFUNCTION("""COMPUTED_VALUE"""),"")</f>
        <v/>
      </c>
      <c r="C2051" s="36" t="str">
        <f>IFERROR(__xludf.DUMMYFUNCTION("""COMPUTED_VALUE"""),"")</f>
        <v/>
      </c>
      <c r="D2051" s="36" t="str">
        <f>IFERROR(__xludf.DUMMYFUNCTION("""COMPUTED_VALUE"""),"")</f>
        <v/>
      </c>
      <c r="E2051" s="36" t="str">
        <f>IFERROR(__xludf.DUMMYFUNCTION("""COMPUTED_VALUE"""),"02-38-12-328")</f>
        <v>02-38-12-328</v>
      </c>
      <c r="F2051" s="36"/>
      <c r="G2051" s="36" t="str">
        <f>IFERROR(__xludf.DUMMYFUNCTION("""COMPUTED_VALUE"""),"Paula Albarracín y Belgrano Este")</f>
        <v>Paula Albarracín y Belgrano Este</v>
      </c>
      <c r="H2051" s="36" t="str">
        <f>IFERROR(__xludf.DUMMYFUNCTION("""COMPUTED_VALUE"""),"")</f>
        <v/>
      </c>
    </row>
    <row r="2052">
      <c r="A2052" s="36" t="str">
        <f>IFERROR(__xludf.DUMMYFUNCTION("""COMPUTED_VALUE"""),"01-48-12-319")</f>
        <v>01-48-12-319</v>
      </c>
      <c r="B2052" s="36" t="str">
        <f>IFERROR(__xludf.DUMMYFUNCTION("""COMPUTED_VALUE"""),"")</f>
        <v/>
      </c>
      <c r="C2052" s="36" t="str">
        <f>IFERROR(__xludf.DUMMYFUNCTION("""COMPUTED_VALUE"""),"")</f>
        <v/>
      </c>
      <c r="D2052" s="36" t="str">
        <f>IFERROR(__xludf.DUMMYFUNCTION("""COMPUTED_VALUE"""),"")</f>
        <v/>
      </c>
      <c r="E2052" s="36" t="str">
        <f>IFERROR(__xludf.DUMMYFUNCTION("""COMPUTED_VALUE"""),"01-58-12-329")</f>
        <v>01-58-12-329</v>
      </c>
      <c r="F2052" s="36"/>
      <c r="G2052" s="36" t="str">
        <f>IFERROR(__xludf.DUMMYFUNCTION("""COMPUTED_VALUE"""),"Paula Albarracín y Belgrano Oeste")</f>
        <v>Paula Albarracín y Belgrano Oeste</v>
      </c>
      <c r="H2052" s="36" t="str">
        <f>IFERROR(__xludf.DUMMYFUNCTION("""COMPUTED_VALUE"""),"")</f>
        <v/>
      </c>
    </row>
    <row r="2053">
      <c r="A2053" s="36" t="str">
        <f>IFERROR(__xludf.DUMMYFUNCTION("""COMPUTED_VALUE"""),"01-48-12-320")</f>
        <v>01-48-12-320</v>
      </c>
      <c r="B2053" s="36" t="str">
        <f>IFERROR(__xludf.DUMMYFUNCTION("""COMPUTED_VALUE"""),"")</f>
        <v/>
      </c>
      <c r="C2053" s="36" t="str">
        <f>IFERROR(__xludf.DUMMYFUNCTION("""COMPUTED_VALUE"""),"")</f>
        <v/>
      </c>
      <c r="D2053" s="36" t="str">
        <f>IFERROR(__xludf.DUMMYFUNCTION("""COMPUTED_VALUE"""),"")</f>
        <v/>
      </c>
      <c r="E2053" s="36" t="str">
        <f>IFERROR(__xludf.DUMMYFUNCTION("""COMPUTED_VALUE"""),"01-48-12-327")</f>
        <v>01-48-12-327</v>
      </c>
      <c r="F2053" s="36"/>
      <c r="G2053" s="36" t="str">
        <f>IFERROR(__xludf.DUMMYFUNCTION("""COMPUTED_VALUE"""),"Paula Albarracín y Brasil")</f>
        <v>Paula Albarracín y Brasil</v>
      </c>
      <c r="H2053" s="36" t="str">
        <f>IFERROR(__xludf.DUMMYFUNCTION("""COMPUTED_VALUE"""),"")</f>
        <v/>
      </c>
    </row>
    <row r="2054">
      <c r="A2054" s="36" t="str">
        <f>IFERROR(__xludf.DUMMYFUNCTION("""COMPUTED_VALUE"""),"01-48-12-321")</f>
        <v>01-48-12-321</v>
      </c>
      <c r="B2054" s="36" t="str">
        <f>IFERROR(__xludf.DUMMYFUNCTION("""COMPUTED_VALUE"""),"")</f>
        <v/>
      </c>
      <c r="C2054" s="36" t="str">
        <f>IFERROR(__xludf.DUMMYFUNCTION("""COMPUTED_VALUE"""),"")</f>
        <v/>
      </c>
      <c r="D2054" s="36" t="str">
        <f>IFERROR(__xludf.DUMMYFUNCTION("""COMPUTED_VALUE"""),"")</f>
        <v/>
      </c>
      <c r="E2054" s="36" t="str">
        <f>IFERROR(__xludf.DUMMYFUNCTION("""COMPUTED_VALUE"""),"04-34-12-35A")</f>
        <v>04-34-12-35A</v>
      </c>
      <c r="F2054" s="36"/>
      <c r="G2054" s="36" t="str">
        <f>IFERROR(__xludf.DUMMYFUNCTION("""COMPUTED_VALUE"""),"Paula Albarracín y Dr. Ortega Oeste")</f>
        <v>Paula Albarracín y Dr. Ortega Oeste</v>
      </c>
      <c r="H2054" s="36" t="str">
        <f>IFERROR(__xludf.DUMMYFUNCTION("""COMPUTED_VALUE"""),"")</f>
        <v/>
      </c>
    </row>
    <row r="2055">
      <c r="A2055" s="36" t="str">
        <f>IFERROR(__xludf.DUMMYFUNCTION("""COMPUTED_VALUE"""),"01-48-12-323")</f>
        <v>01-48-12-323</v>
      </c>
      <c r="B2055" s="36" t="str">
        <f>IFERROR(__xludf.DUMMYFUNCTION("""COMPUTED_VALUE"""),"")</f>
        <v/>
      </c>
      <c r="C2055" s="36" t="str">
        <f>IFERROR(__xludf.DUMMYFUNCTION("""COMPUTED_VALUE"""),"")</f>
        <v/>
      </c>
      <c r="D2055" s="36" t="str">
        <f>IFERROR(__xludf.DUMMYFUNCTION("""COMPUTED_VALUE"""),"")</f>
        <v/>
      </c>
      <c r="E2055" s="36" t="str">
        <f>IFERROR(__xludf.DUMMYFUNCTION("""COMPUTED_VALUE"""),"01-58-12-325B")</f>
        <v>01-58-12-325B</v>
      </c>
      <c r="F2055" s="36"/>
      <c r="G2055" s="36" t="str">
        <f>IFERROR(__xludf.DUMMYFUNCTION("""COMPUTED_VALUE"""),"Paula Albarracín Y General Paz")</f>
        <v>Paula Albarracín Y General Paz</v>
      </c>
      <c r="H2055" s="36" t="str">
        <f>IFERROR(__xludf.DUMMYFUNCTION("""COMPUTED_VALUE"""),"")</f>
        <v/>
      </c>
    </row>
    <row r="2056">
      <c r="A2056" s="36" t="str">
        <f>IFERROR(__xludf.DUMMYFUNCTION("""COMPUTED_VALUE"""),"01-48-12-324")</f>
        <v>01-48-12-324</v>
      </c>
      <c r="B2056" s="36" t="str">
        <f>IFERROR(__xludf.DUMMYFUNCTION("""COMPUTED_VALUE"""),"")</f>
        <v/>
      </c>
      <c r="C2056" s="36" t="str">
        <f>IFERROR(__xludf.DUMMYFUNCTION("""COMPUTED_VALUE"""),"")</f>
        <v/>
      </c>
      <c r="D2056" s="36" t="str">
        <f>IFERROR(__xludf.DUMMYFUNCTION("""COMPUTED_VALUE"""),"")</f>
        <v/>
      </c>
      <c r="E2056" s="36" t="str">
        <f>IFERROR(__xludf.DUMMYFUNCTION("""COMPUTED_VALUE"""),"04-34-12-38")</f>
        <v>04-34-12-38</v>
      </c>
      <c r="F2056" s="36"/>
      <c r="G2056" s="36" t="str">
        <f>IFERROR(__xludf.DUMMYFUNCTION("""COMPUTED_VALUE"""),"Paula Albarracín y Guayaquil Este")</f>
        <v>Paula Albarracín y Guayaquil Este</v>
      </c>
      <c r="H2056" s="36" t="str">
        <f>IFERROR(__xludf.DUMMYFUNCTION("""COMPUTED_VALUE"""),"")</f>
        <v/>
      </c>
    </row>
    <row r="2057">
      <c r="A2057" s="36" t="str">
        <f>IFERROR(__xludf.DUMMYFUNCTION("""COMPUTED_VALUE"""),"01-48-12-325A")</f>
        <v>01-48-12-325A</v>
      </c>
      <c r="B2057" s="36" t="str">
        <f>IFERROR(__xludf.DUMMYFUNCTION("""COMPUTED_VALUE"""),"")</f>
        <v/>
      </c>
      <c r="C2057" s="36" t="str">
        <f>IFERROR(__xludf.DUMMYFUNCTION("""COMPUTED_VALUE"""),"")</f>
        <v/>
      </c>
      <c r="D2057" s="36" t="str">
        <f>IFERROR(__xludf.DUMMYFUNCTION("""COMPUTED_VALUE"""),"")</f>
        <v/>
      </c>
      <c r="E2057" s="36" t="str">
        <f>IFERROR(__xludf.DUMMYFUNCTION("""COMPUTED_VALUE"""),"04-34-12-39")</f>
        <v>04-34-12-39</v>
      </c>
      <c r="F2057" s="36"/>
      <c r="G2057" s="36" t="str">
        <f>IFERROR(__xludf.DUMMYFUNCTION("""COMPUTED_VALUE"""),"Paula Albarracín y Guayaquil Oeste")</f>
        <v>Paula Albarracín y Guayaquil Oeste</v>
      </c>
      <c r="H2057" s="36" t="str">
        <f>IFERROR(__xludf.DUMMYFUNCTION("""COMPUTED_VALUE"""),"")</f>
        <v/>
      </c>
    </row>
    <row r="2058">
      <c r="A2058" s="36" t="str">
        <f>IFERROR(__xludf.DUMMYFUNCTION("""COMPUTED_VALUE"""),"01-48-12-327")</f>
        <v>01-48-12-327</v>
      </c>
      <c r="B2058" s="36" t="str">
        <f>IFERROR(__xludf.DUMMYFUNCTION("""COMPUTED_VALUE"""),"")</f>
        <v/>
      </c>
      <c r="C2058" s="36" t="str">
        <f>IFERROR(__xludf.DUMMYFUNCTION("""COMPUTED_VALUE"""),"")</f>
        <v/>
      </c>
      <c r="D2058" s="36" t="str">
        <f>IFERROR(__xludf.DUMMYFUNCTION("""COMPUTED_VALUE"""),"")</f>
        <v/>
      </c>
      <c r="E2058" s="36" t="str">
        <f>IFERROR(__xludf.DUMMYFUNCTION("""COMPUTED_VALUE"""),"04-34-12-42")</f>
        <v>04-34-12-42</v>
      </c>
      <c r="F2058" s="36"/>
      <c r="G2058" s="36" t="str">
        <f>IFERROR(__xludf.DUMMYFUNCTION("""COMPUTED_VALUE"""),"Paula Albarracín y Nazca")</f>
        <v>Paula Albarracín y Nazca</v>
      </c>
      <c r="H2058" s="36" t="str">
        <f>IFERROR(__xludf.DUMMYFUNCTION("""COMPUTED_VALUE"""),"")</f>
        <v/>
      </c>
    </row>
    <row r="2059">
      <c r="A2059" s="36" t="str">
        <f>IFERROR(__xludf.DUMMYFUNCTION("""COMPUTED_VALUE"""),"01-57-12-350")</f>
        <v>01-57-12-350</v>
      </c>
      <c r="B2059" s="36" t="str">
        <f>IFERROR(__xludf.DUMMYFUNCTION("""COMPUTED_VALUE"""),"")</f>
        <v/>
      </c>
      <c r="C2059" s="36" t="str">
        <f>IFERROR(__xludf.DUMMYFUNCTION("""COMPUTED_VALUE"""),"")</f>
        <v/>
      </c>
      <c r="D2059" s="36" t="str">
        <f>IFERROR(__xludf.DUMMYFUNCTION("""COMPUTED_VALUE"""),"")</f>
        <v/>
      </c>
      <c r="E2059" s="36" t="str">
        <f>IFERROR(__xludf.DUMMYFUNCTION("""COMPUTED_VALUE"""),"01-58-12-325")</f>
        <v>01-58-12-325</v>
      </c>
      <c r="F2059" s="36"/>
      <c r="G2059" s="36" t="str">
        <f>IFERROR(__xludf.DUMMYFUNCTION("""COMPUTED_VALUE"""),"Paula Albarracín y Niquivil Este")</f>
        <v>Paula Albarracín y Niquivil Este</v>
      </c>
      <c r="H2059" s="36" t="str">
        <f>IFERROR(__xludf.DUMMYFUNCTION("""COMPUTED_VALUE"""),"")</f>
        <v/>
      </c>
    </row>
    <row r="2060">
      <c r="A2060" s="36" t="str">
        <f>IFERROR(__xludf.DUMMYFUNCTION("""COMPUTED_VALUE"""),"01-57-12-351")</f>
        <v>01-57-12-351</v>
      </c>
      <c r="B2060" s="36" t="str">
        <f>IFERROR(__xludf.DUMMYFUNCTION("""COMPUTED_VALUE"""),"")</f>
        <v/>
      </c>
      <c r="C2060" s="36" t="str">
        <f>IFERROR(__xludf.DUMMYFUNCTION("""COMPUTED_VALUE"""),"")</f>
        <v/>
      </c>
      <c r="D2060" s="36" t="str">
        <f>IFERROR(__xludf.DUMMYFUNCTION("""COMPUTED_VALUE"""),"")</f>
        <v/>
      </c>
      <c r="E2060" s="36" t="str">
        <f>IFERROR(__xludf.DUMMYFUNCTION("""COMPUTED_VALUE"""),"01-48-12-324")</f>
        <v>01-48-12-324</v>
      </c>
      <c r="F2060" s="36"/>
      <c r="G2060" s="36" t="str">
        <f>IFERROR(__xludf.DUMMYFUNCTION("""COMPUTED_VALUE"""),"Paula Albarracín y Niquivil Oeste")</f>
        <v>Paula Albarracín y Niquivil Oeste</v>
      </c>
      <c r="H2060" s="36" t="str">
        <f>IFERROR(__xludf.DUMMYFUNCTION("""COMPUTED_VALUE"""),"")</f>
        <v/>
      </c>
    </row>
    <row r="2061">
      <c r="A2061" s="36" t="str">
        <f>IFERROR(__xludf.DUMMYFUNCTION("""COMPUTED_VALUE"""),"01-57-12-352")</f>
        <v>01-57-12-352</v>
      </c>
      <c r="B2061" s="36" t="str">
        <f>IFERROR(__xludf.DUMMYFUNCTION("""COMPUTED_VALUE"""),"")</f>
        <v/>
      </c>
      <c r="C2061" s="36" t="str">
        <f>IFERROR(__xludf.DUMMYFUNCTION("""COMPUTED_VALUE"""),"")</f>
        <v/>
      </c>
      <c r="D2061" s="36" t="str">
        <f>IFERROR(__xludf.DUMMYFUNCTION("""COMPUTED_VALUE"""),"")</f>
        <v/>
      </c>
      <c r="E2061" s="36" t="str">
        <f>IFERROR(__xludf.DUMMYFUNCTION("""COMPUTED_VALUE"""),"01-59-12-332")</f>
        <v>01-59-12-332</v>
      </c>
      <c r="F2061" s="36"/>
      <c r="G2061" s="36" t="str">
        <f>IFERROR(__xludf.DUMMYFUNCTION("""COMPUTED_VALUE"""),"Paula Albarracín y Pedro de Valdivia")</f>
        <v>Paula Albarracín y Pedro de Valdivia</v>
      </c>
      <c r="H2061" s="36" t="str">
        <f>IFERROR(__xludf.DUMMYFUNCTION("""COMPUTED_VALUE"""),"")</f>
        <v/>
      </c>
    </row>
    <row r="2062">
      <c r="A2062" s="36" t="str">
        <f>IFERROR(__xludf.DUMMYFUNCTION("""COMPUTED_VALUE"""),"01-57-12-353")</f>
        <v>01-57-12-353</v>
      </c>
      <c r="B2062" s="36" t="str">
        <f>IFERROR(__xludf.DUMMYFUNCTION("""COMPUTED_VALUE"""),"")</f>
        <v/>
      </c>
      <c r="C2062" s="36" t="str">
        <f>IFERROR(__xludf.DUMMYFUNCTION("""COMPUTED_VALUE"""),"")</f>
        <v/>
      </c>
      <c r="D2062" s="36" t="str">
        <f>IFERROR(__xludf.DUMMYFUNCTION("""COMPUTED_VALUE"""),"")</f>
        <v/>
      </c>
      <c r="E2062" s="36" t="str">
        <f>IFERROR(__xludf.DUMMYFUNCTION("""COMPUTED_VALUE"""),"04-34-12-41")</f>
        <v>04-34-12-41</v>
      </c>
      <c r="F2062" s="36"/>
      <c r="G2062" s="36" t="str">
        <f>IFERROR(__xludf.DUMMYFUNCTION("""COMPUTED_VALUE"""),"Paula Albarracín y Tumbes")</f>
        <v>Paula Albarracín y Tumbes</v>
      </c>
      <c r="H2062" s="36" t="str">
        <f>IFERROR(__xludf.DUMMYFUNCTION("""COMPUTED_VALUE"""),"")</f>
        <v/>
      </c>
    </row>
    <row r="2063">
      <c r="A2063" s="36" t="str">
        <f>IFERROR(__xludf.DUMMYFUNCTION("""COMPUTED_VALUE"""),"01-57-12-353A")</f>
        <v>01-57-12-353A</v>
      </c>
      <c r="B2063" s="36" t="str">
        <f>IFERROR(__xludf.DUMMYFUNCTION("""COMPUTED_VALUE"""),"")</f>
        <v/>
      </c>
      <c r="C2063" s="36" t="str">
        <f>IFERROR(__xludf.DUMMYFUNCTION("""COMPUTED_VALUE"""),"")</f>
        <v/>
      </c>
      <c r="D2063" s="36" t="str">
        <f>IFERROR(__xludf.DUMMYFUNCTION("""COMPUTED_VALUE"""),"")</f>
        <v/>
      </c>
      <c r="E2063" s="36" t="str">
        <f>IFERROR(__xludf.DUMMYFUNCTION("""COMPUTED_VALUE"""),"01-57-13-53")</f>
        <v>01-57-13-53</v>
      </c>
      <c r="F2063" s="36"/>
      <c r="G2063" s="36" t="str">
        <f>IFERROR(__xludf.DUMMYFUNCTION("""COMPUTED_VALUE"""),"Pedro de Valdivia y Av. España -N")</f>
        <v>Pedro de Valdivia y Av. España -N</v>
      </c>
      <c r="H2063" s="36" t="str">
        <f>IFERROR(__xludf.DUMMYFUNCTION("""COMPUTED_VALUE"""),"")</f>
        <v/>
      </c>
    </row>
    <row r="2064">
      <c r="A2064" s="36" t="str">
        <f>IFERROR(__xludf.DUMMYFUNCTION("""COMPUTED_VALUE"""),"01-57-12-355")</f>
        <v>01-57-12-355</v>
      </c>
      <c r="B2064" s="36" t="str">
        <f>IFERROR(__xludf.DUMMYFUNCTION("""COMPUTED_VALUE"""),"")</f>
        <v/>
      </c>
      <c r="C2064" s="36" t="str">
        <f>IFERROR(__xludf.DUMMYFUNCTION("""COMPUTED_VALUE"""),"")</f>
        <v/>
      </c>
      <c r="D2064" s="36" t="str">
        <f>IFERROR(__xludf.DUMMYFUNCTION("""COMPUTED_VALUE"""),"")</f>
        <v/>
      </c>
      <c r="E2064" s="36" t="str">
        <f>IFERROR(__xludf.DUMMYFUNCTION("""COMPUTED_VALUE"""),"01-57-13-51")</f>
        <v>01-57-13-51</v>
      </c>
      <c r="F2064" s="36"/>
      <c r="G2064" s="36" t="str">
        <f>IFERROR(__xludf.DUMMYFUNCTION("""COMPUTED_VALUE"""),"Pedro de Valdivia y El Cano -N")</f>
        <v>Pedro de Valdivia y El Cano -N</v>
      </c>
      <c r="H2064" s="36" t="str">
        <f>IFERROR(__xludf.DUMMYFUNCTION("""COMPUTED_VALUE"""),"")</f>
        <v/>
      </c>
    </row>
    <row r="2065">
      <c r="A2065" s="36" t="str">
        <f>IFERROR(__xludf.DUMMYFUNCTION("""COMPUTED_VALUE"""),"01-57-12-357")</f>
        <v>01-57-12-357</v>
      </c>
      <c r="B2065" s="36" t="str">
        <f>IFERROR(__xludf.DUMMYFUNCTION("""COMPUTED_VALUE"""),"")</f>
        <v/>
      </c>
      <c r="C2065" s="36" t="str">
        <f>IFERROR(__xludf.DUMMYFUNCTION("""COMPUTED_VALUE"""),"")</f>
        <v/>
      </c>
      <c r="D2065" s="36" t="str">
        <f>IFERROR(__xludf.DUMMYFUNCTION("""COMPUTED_VALUE"""),"")</f>
        <v/>
      </c>
      <c r="E2065" s="36" t="str">
        <f>IFERROR(__xludf.DUMMYFUNCTION("""COMPUTED_VALUE"""),"01-60-13-52")</f>
        <v>01-60-13-52</v>
      </c>
      <c r="F2065" s="36"/>
      <c r="G2065" s="36" t="str">
        <f>IFERROR(__xludf.DUMMYFUNCTION("""COMPUTED_VALUE"""),"Pedro de Valdivia y El Cano -S")</f>
        <v>Pedro de Valdivia y El Cano -S</v>
      </c>
      <c r="H2065" s="36" t="str">
        <f>IFERROR(__xludf.DUMMYFUNCTION("""COMPUTED_VALUE"""),"")</f>
        <v/>
      </c>
    </row>
    <row r="2066">
      <c r="A2066" s="36" t="str">
        <f>IFERROR(__xludf.DUMMYFUNCTION("""COMPUTED_VALUE"""),"01-58-12-325")</f>
        <v>01-58-12-325</v>
      </c>
      <c r="B2066" s="36" t="str">
        <f>IFERROR(__xludf.DUMMYFUNCTION("""COMPUTED_VALUE"""),"")</f>
        <v/>
      </c>
      <c r="C2066" s="36" t="str">
        <f>IFERROR(__xludf.DUMMYFUNCTION("""COMPUTED_VALUE"""),"")</f>
        <v/>
      </c>
      <c r="D2066" s="36" t="str">
        <f>IFERROR(__xludf.DUMMYFUNCTION("""COMPUTED_VALUE"""),"")</f>
        <v/>
      </c>
      <c r="E2066" s="36" t="str">
        <f>IFERROR(__xludf.DUMMYFUNCTION("""COMPUTED_VALUE"""),"01-61-13-62")</f>
        <v>01-61-13-62</v>
      </c>
      <c r="F2066" s="36"/>
      <c r="G2066" s="36" t="str">
        <f>IFERROR(__xludf.DUMMYFUNCTION("""COMPUTED_VALUE"""),"Pedro de Valdivia y Gral. Acha")</f>
        <v>Pedro de Valdivia y Gral. Acha</v>
      </c>
      <c r="H2066" s="36" t="str">
        <f>IFERROR(__xludf.DUMMYFUNCTION("""COMPUTED_VALUE"""),"")</f>
        <v/>
      </c>
    </row>
    <row r="2067">
      <c r="A2067" s="36" t="str">
        <f>IFERROR(__xludf.DUMMYFUNCTION("""COMPUTED_VALUE"""),"01-58-12-325B")</f>
        <v>01-58-12-325B</v>
      </c>
      <c r="B2067" s="36" t="str">
        <f>IFERROR(__xludf.DUMMYFUNCTION("""COMPUTED_VALUE"""),"")</f>
        <v/>
      </c>
      <c r="C2067" s="36" t="str">
        <f>IFERROR(__xludf.DUMMYFUNCTION("""COMPUTED_VALUE"""),"")</f>
        <v/>
      </c>
      <c r="D2067" s="36" t="str">
        <f>IFERROR(__xludf.DUMMYFUNCTION("""COMPUTED_VALUE"""),"")</f>
        <v/>
      </c>
      <c r="E2067" s="36" t="str">
        <f>IFERROR(__xludf.DUMMYFUNCTION("""COMPUTED_VALUE"""),"01-56-13-146")</f>
        <v>01-56-13-146</v>
      </c>
      <c r="F2067" s="36"/>
      <c r="G2067" s="36" t="str">
        <f>IFERROR(__xludf.DUMMYFUNCTION("""COMPUTED_VALUE"""),"Pedro de Valdivia y Guillermo Marconi")</f>
        <v>Pedro de Valdivia y Guillermo Marconi</v>
      </c>
      <c r="H2067" s="36" t="str">
        <f>IFERROR(__xludf.DUMMYFUNCTION("""COMPUTED_VALUE"""),"")</f>
        <v/>
      </c>
    </row>
    <row r="2068">
      <c r="A2068" s="36" t="str">
        <f>IFERROR(__xludf.DUMMYFUNCTION("""COMPUTED_VALUE"""),"01-58-12-326")</f>
        <v>01-58-12-326</v>
      </c>
      <c r="B2068" s="36" t="str">
        <f>IFERROR(__xludf.DUMMYFUNCTION("""COMPUTED_VALUE"""),"")</f>
        <v/>
      </c>
      <c r="C2068" s="36" t="str">
        <f>IFERROR(__xludf.DUMMYFUNCTION("""COMPUTED_VALUE"""),"")</f>
        <v/>
      </c>
      <c r="D2068" s="36" t="str">
        <f>IFERROR(__xludf.DUMMYFUNCTION("""COMPUTED_VALUE"""),"")</f>
        <v/>
      </c>
      <c r="E2068" s="36" t="str">
        <f>IFERROR(__xludf.DUMMYFUNCTION("""COMPUTED_VALUE"""),"01-58-12-335")</f>
        <v>01-58-12-335</v>
      </c>
      <c r="F2068" s="36"/>
      <c r="G2068" s="36" t="str">
        <f>IFERROR(__xludf.DUMMYFUNCTION("""COMPUTED_VALUE"""),"Pedro de Valdivia y José Martí Norte")</f>
        <v>Pedro de Valdivia y José Martí Norte</v>
      </c>
      <c r="H2068" s="36" t="str">
        <f>IFERROR(__xludf.DUMMYFUNCTION("""COMPUTED_VALUE"""),"")</f>
        <v/>
      </c>
    </row>
    <row r="2069">
      <c r="A2069" s="36" t="str">
        <f>IFERROR(__xludf.DUMMYFUNCTION("""COMPUTED_VALUE"""),"01-58-12-329")</f>
        <v>01-58-12-329</v>
      </c>
      <c r="B2069" s="36" t="str">
        <f>IFERROR(__xludf.DUMMYFUNCTION("""COMPUTED_VALUE"""),"")</f>
        <v/>
      </c>
      <c r="C2069" s="36" t="str">
        <f>IFERROR(__xludf.DUMMYFUNCTION("""COMPUTED_VALUE"""),"")</f>
        <v/>
      </c>
      <c r="D2069" s="36" t="str">
        <f>IFERROR(__xludf.DUMMYFUNCTION("""COMPUTED_VALUE"""),"")</f>
        <v/>
      </c>
      <c r="E2069" s="36" t="str">
        <f>IFERROR(__xludf.DUMMYFUNCTION("""COMPUTED_VALUE"""),"01-59-12-334")</f>
        <v>01-59-12-334</v>
      </c>
      <c r="F2069" s="36"/>
      <c r="G2069" s="36" t="str">
        <f>IFERROR(__xludf.DUMMYFUNCTION("""COMPUTED_VALUE"""),"Pedro de Valdivia y José Martí Sur")</f>
        <v>Pedro de Valdivia y José Martí Sur</v>
      </c>
      <c r="H2069" s="36" t="str">
        <f>IFERROR(__xludf.DUMMYFUNCTION("""COMPUTED_VALUE"""),"")</f>
        <v/>
      </c>
    </row>
    <row r="2070">
      <c r="A2070" s="36" t="str">
        <f>IFERROR(__xludf.DUMMYFUNCTION("""COMPUTED_VALUE"""),"01-58-12-331")</f>
        <v>01-58-12-331</v>
      </c>
      <c r="B2070" s="36" t="str">
        <f>IFERROR(__xludf.DUMMYFUNCTION("""COMPUTED_VALUE"""),"")</f>
        <v/>
      </c>
      <c r="C2070" s="36" t="str">
        <f>IFERROR(__xludf.DUMMYFUNCTION("""COMPUTED_VALUE"""),"")</f>
        <v/>
      </c>
      <c r="D2070" s="36" t="str">
        <f>IFERROR(__xludf.DUMMYFUNCTION("""COMPUTED_VALUE"""),"")</f>
        <v/>
      </c>
      <c r="E2070" s="36" t="str">
        <f>IFERROR(__xludf.DUMMYFUNCTION("""COMPUTED_VALUE"""),"01-57-12-355")</f>
        <v>01-57-12-355</v>
      </c>
      <c r="F2070" s="36"/>
      <c r="G2070" s="36" t="str">
        <f>IFERROR(__xludf.DUMMYFUNCTION("""COMPUTED_VALUE"""),"Pedro de Valdivia y Navarro Norte")</f>
        <v>Pedro de Valdivia y Navarro Norte</v>
      </c>
      <c r="H2070" s="36" t="str">
        <f>IFERROR(__xludf.DUMMYFUNCTION("""COMPUTED_VALUE"""),"")</f>
        <v/>
      </c>
    </row>
    <row r="2071">
      <c r="A2071" s="36" t="str">
        <f>IFERROR(__xludf.DUMMYFUNCTION("""COMPUTED_VALUE"""),"01-58-12-333")</f>
        <v>01-58-12-333</v>
      </c>
      <c r="B2071" s="36" t="str">
        <f>IFERROR(__xludf.DUMMYFUNCTION("""COMPUTED_VALUE"""),"")</f>
        <v/>
      </c>
      <c r="C2071" s="36" t="str">
        <f>IFERROR(__xludf.DUMMYFUNCTION("""COMPUTED_VALUE"""),"")</f>
        <v/>
      </c>
      <c r="D2071" s="36" t="str">
        <f>IFERROR(__xludf.DUMMYFUNCTION("""COMPUTED_VALUE"""),"")</f>
        <v/>
      </c>
      <c r="E2071" s="36" t="str">
        <f>IFERROR(__xludf.DUMMYFUNCTION("""COMPUTED_VALUE"""),"01-59-12-354")</f>
        <v>01-59-12-354</v>
      </c>
      <c r="F2071" s="36"/>
      <c r="G2071" s="36" t="str">
        <f>IFERROR(__xludf.DUMMYFUNCTION("""COMPUTED_VALUE"""),"Pedro de Valdivia y Navarro Sur")</f>
        <v>Pedro de Valdivia y Navarro Sur</v>
      </c>
      <c r="H2071" s="36" t="str">
        <f>IFERROR(__xludf.DUMMYFUNCTION("""COMPUTED_VALUE"""),"")</f>
        <v/>
      </c>
    </row>
    <row r="2072">
      <c r="A2072" s="36" t="str">
        <f>IFERROR(__xludf.DUMMYFUNCTION("""COMPUTED_VALUE"""),"01-58-12-335")</f>
        <v>01-58-12-335</v>
      </c>
      <c r="B2072" s="36" t="str">
        <f>IFERROR(__xludf.DUMMYFUNCTION("""COMPUTED_VALUE"""),"")</f>
        <v/>
      </c>
      <c r="C2072" s="36" t="str">
        <f>IFERROR(__xludf.DUMMYFUNCTION("""COMPUTED_VALUE"""),"")</f>
        <v/>
      </c>
      <c r="D2072" s="36" t="str">
        <f>IFERROR(__xludf.DUMMYFUNCTION("""COMPUTED_VALUE"""),"")</f>
        <v/>
      </c>
      <c r="E2072" s="36" t="str">
        <f>IFERROR(__xludf.DUMMYFUNCTION("""COMPUTED_VALUE"""),"01-58-12-333")</f>
        <v>01-58-12-333</v>
      </c>
      <c r="F2072" s="36"/>
      <c r="G2072" s="36" t="str">
        <f>IFERROR(__xludf.DUMMYFUNCTION("""COMPUTED_VALUE"""),"Pedro de Valdivia y Paula Abarracín N")</f>
        <v>Pedro de Valdivia y Paula Abarracín N</v>
      </c>
      <c r="H2072" s="36" t="str">
        <f>IFERROR(__xludf.DUMMYFUNCTION("""COMPUTED_VALUE"""),"")</f>
        <v/>
      </c>
    </row>
    <row r="2073">
      <c r="A2073" s="36" t="str">
        <f>IFERROR(__xludf.DUMMYFUNCTION("""COMPUTED_VALUE"""),"01-58-12-338")</f>
        <v>01-58-12-338</v>
      </c>
      <c r="B2073" s="36" t="str">
        <f>IFERROR(__xludf.DUMMYFUNCTION("""COMPUTED_VALUE"""),"")</f>
        <v/>
      </c>
      <c r="C2073" s="36" t="str">
        <f>IFERROR(__xludf.DUMMYFUNCTION("""COMPUTED_VALUE"""),"")</f>
        <v/>
      </c>
      <c r="D2073" s="36" t="str">
        <f>IFERROR(__xludf.DUMMYFUNCTION("""COMPUTED_VALUE"""),"")</f>
        <v/>
      </c>
      <c r="E2073" s="36" t="str">
        <f>IFERROR(__xludf.DUMMYFUNCTION("""COMPUTED_VALUE"""),"01-61-13-64")</f>
        <v>01-61-13-64</v>
      </c>
      <c r="F2073" s="36"/>
      <c r="G2073" s="36" t="str">
        <f>IFERROR(__xludf.DUMMYFUNCTION("""COMPUTED_VALUE"""),"Pedro de Valdivia y Periodistas Sanj. -S")</f>
        <v>Pedro de Valdivia y Periodistas Sanj. -S</v>
      </c>
      <c r="H2073" s="36" t="str">
        <f>IFERROR(__xludf.DUMMYFUNCTION("""COMPUTED_VALUE"""),"")</f>
        <v/>
      </c>
    </row>
    <row r="2074">
      <c r="A2074" s="36" t="str">
        <f>IFERROR(__xludf.DUMMYFUNCTION("""COMPUTED_VALUE"""),"01-58-12-339")</f>
        <v>01-58-12-339</v>
      </c>
      <c r="B2074" s="36" t="str">
        <f>IFERROR(__xludf.DUMMYFUNCTION("""COMPUTED_VALUE"""),"")</f>
        <v/>
      </c>
      <c r="C2074" s="36" t="str">
        <f>IFERROR(__xludf.DUMMYFUNCTION("""COMPUTED_VALUE"""),"")</f>
        <v/>
      </c>
      <c r="D2074" s="36" t="str">
        <f>IFERROR(__xludf.DUMMYFUNCTION("""COMPUTED_VALUE"""),"")</f>
        <v/>
      </c>
      <c r="E2074" s="36" t="str">
        <f>IFERROR(__xludf.DUMMYFUNCTION("""COMPUTED_VALUE"""),"01-56-13-54")</f>
        <v>01-56-13-54</v>
      </c>
      <c r="F2074" s="36"/>
      <c r="G2074" s="36" t="str">
        <f>IFERROR(__xludf.DUMMYFUNCTION("""COMPUTED_VALUE"""),"Pedro de Valdivia y Periodistas Sanjuaninos -N")</f>
        <v>Pedro de Valdivia y Periodistas Sanjuaninos -N</v>
      </c>
      <c r="H2074" s="36" t="str">
        <f>IFERROR(__xludf.DUMMYFUNCTION("""COMPUTED_VALUE"""),"")</f>
        <v/>
      </c>
    </row>
    <row r="2075">
      <c r="A2075" s="36" t="str">
        <f>IFERROR(__xludf.DUMMYFUNCTION("""COMPUTED_VALUE"""),"01-58-12-340")</f>
        <v>01-58-12-340</v>
      </c>
      <c r="B2075" s="36" t="str">
        <f>IFERROR(__xludf.DUMMYFUNCTION("""COMPUTED_VALUE"""),"")</f>
        <v/>
      </c>
      <c r="C2075" s="36" t="str">
        <f>IFERROR(__xludf.DUMMYFUNCTION("""COMPUTED_VALUE"""),"")</f>
        <v/>
      </c>
      <c r="D2075" s="36" t="str">
        <f>IFERROR(__xludf.DUMMYFUNCTION("""COMPUTED_VALUE"""),"")</f>
        <v/>
      </c>
      <c r="E2075" s="36" t="str">
        <f>IFERROR(__xludf.DUMMYFUNCTION("""COMPUTED_VALUE"""),"01-57-12-357")</f>
        <v>01-57-12-357</v>
      </c>
      <c r="F2075" s="36"/>
      <c r="G2075" s="36" t="str">
        <f>IFERROR(__xludf.DUMMYFUNCTION("""COMPUTED_VALUE"""),"Pedro de Valdivia y Pineda Norte")</f>
        <v>Pedro de Valdivia y Pineda Norte</v>
      </c>
      <c r="H2075" s="36" t="str">
        <f>IFERROR(__xludf.DUMMYFUNCTION("""COMPUTED_VALUE"""),"")</f>
        <v/>
      </c>
    </row>
    <row r="2076">
      <c r="A2076" s="36" t="str">
        <f>IFERROR(__xludf.DUMMYFUNCTION("""COMPUTED_VALUE"""),"01-58-12-341")</f>
        <v>01-58-12-341</v>
      </c>
      <c r="B2076" s="36" t="str">
        <f>IFERROR(__xludf.DUMMYFUNCTION("""COMPUTED_VALUE"""),"")</f>
        <v/>
      </c>
      <c r="C2076" s="36" t="str">
        <f>IFERROR(__xludf.DUMMYFUNCTION("""COMPUTED_VALUE"""),"")</f>
        <v/>
      </c>
      <c r="D2076" s="36" t="str">
        <f>IFERROR(__xludf.DUMMYFUNCTION("""COMPUTED_VALUE"""),"")</f>
        <v/>
      </c>
      <c r="E2076" s="36" t="str">
        <f>IFERROR(__xludf.DUMMYFUNCTION("""COMPUTED_VALUE"""),"01-60-12-356")</f>
        <v>01-60-12-356</v>
      </c>
      <c r="F2076" s="36"/>
      <c r="G2076" s="36" t="str">
        <f>IFERROR(__xludf.DUMMYFUNCTION("""COMPUTED_VALUE"""),"Pedro de Valdivia y Pineda Sur")</f>
        <v>Pedro de Valdivia y Pineda Sur</v>
      </c>
      <c r="H2076" s="36" t="str">
        <f>IFERROR(__xludf.DUMMYFUNCTION("""COMPUTED_VALUE"""),"")</f>
        <v/>
      </c>
    </row>
    <row r="2077">
      <c r="A2077" s="36" t="str">
        <f>IFERROR(__xludf.DUMMYFUNCTION("""COMPUTED_VALUE"""),"01-58-12-342")</f>
        <v>01-58-12-342</v>
      </c>
      <c r="B2077" s="36" t="str">
        <f>IFERROR(__xludf.DUMMYFUNCTION("""COMPUTED_VALUE"""),"")</f>
        <v/>
      </c>
      <c r="C2077" s="36" t="str">
        <f>IFERROR(__xludf.DUMMYFUNCTION("""COMPUTED_VALUE"""),"")</f>
        <v/>
      </c>
      <c r="D2077" s="36" t="str">
        <f>IFERROR(__xludf.DUMMYFUNCTION("""COMPUTED_VALUE"""),"")</f>
        <v/>
      </c>
      <c r="E2077" s="36" t="str">
        <f>IFERROR(__xludf.DUMMYFUNCTION("""COMPUTED_VALUE"""),"01-60-13-66")</f>
        <v>01-60-13-66</v>
      </c>
      <c r="F2077" s="36"/>
      <c r="G2077" s="36" t="str">
        <f>IFERROR(__xludf.DUMMYFUNCTION("""COMPUTED_VALUE"""),"Pedro de Valdivia y Sebastian El Cano")</f>
        <v>Pedro de Valdivia y Sebastian El Cano</v>
      </c>
      <c r="H2077" s="36" t="str">
        <f>IFERROR(__xludf.DUMMYFUNCTION("""COMPUTED_VALUE"""),"NOMBRE")</f>
        <v>NOMBRE</v>
      </c>
    </row>
    <row r="2078">
      <c r="A2078" s="36" t="str">
        <f>IFERROR(__xludf.DUMMYFUNCTION("""COMPUTED_VALUE"""),"01-58-12-343")</f>
        <v>01-58-12-343</v>
      </c>
      <c r="B2078" s="36" t="str">
        <f>IFERROR(__xludf.DUMMYFUNCTION("""COMPUTED_VALUE"""),"")</f>
        <v/>
      </c>
      <c r="C2078" s="36" t="str">
        <f>IFERROR(__xludf.DUMMYFUNCTION("""COMPUTED_VALUE"""),"")</f>
        <v/>
      </c>
      <c r="D2078" s="36" t="str">
        <f>IFERROR(__xludf.DUMMYFUNCTION("""COMPUTED_VALUE"""),"")</f>
        <v/>
      </c>
      <c r="E2078" s="36" t="str">
        <f>IFERROR(__xludf.DUMMYFUNCTION("""COMPUTED_VALUE"""),"01-60-13-66")</f>
        <v>01-60-13-66</v>
      </c>
      <c r="F2078" s="36"/>
      <c r="G2078" s="36" t="str">
        <f>IFERROR(__xludf.DUMMYFUNCTION("""COMPUTED_VALUE"""),"Pedro de Valdivia y Sebastian El Cano")</f>
        <v>Pedro de Valdivia y Sebastian El Cano</v>
      </c>
      <c r="H2078" s="36" t="str">
        <f>IFERROR(__xludf.DUMMYFUNCTION("""COMPUTED_VALUE"""),"")</f>
        <v/>
      </c>
    </row>
    <row r="2079">
      <c r="A2079" s="36" t="str">
        <f>IFERROR(__xludf.DUMMYFUNCTION("""COMPUTED_VALUE"""),"01-58-12-345")</f>
        <v>01-58-12-345</v>
      </c>
      <c r="B2079" s="36" t="str">
        <f>IFERROR(__xludf.DUMMYFUNCTION("""COMPUTED_VALUE"""),"")</f>
        <v/>
      </c>
      <c r="C2079" s="36" t="str">
        <f>IFERROR(__xludf.DUMMYFUNCTION("""COMPUTED_VALUE"""),"")</f>
        <v/>
      </c>
      <c r="D2079" s="36" t="str">
        <f>IFERROR(__xludf.DUMMYFUNCTION("""COMPUTED_VALUE"""),"")</f>
        <v/>
      </c>
      <c r="E2079" s="36" t="str">
        <f>IFERROR(__xludf.DUMMYFUNCTION("""COMPUTED_VALUE"""),"01-59-12-336")</f>
        <v>01-59-12-336</v>
      </c>
      <c r="F2079" s="36"/>
      <c r="G2079" s="36" t="str">
        <f>IFERROR(__xludf.DUMMYFUNCTION("""COMPUTED_VALUE"""),"Pedro de Valdivia y Urquiza N")</f>
        <v>Pedro de Valdivia y Urquiza N</v>
      </c>
      <c r="H2079" s="36" t="str">
        <f>IFERROR(__xludf.DUMMYFUNCTION("""COMPUTED_VALUE"""),"")</f>
        <v/>
      </c>
    </row>
    <row r="2080">
      <c r="A2080" s="36" t="str">
        <f>IFERROR(__xludf.DUMMYFUNCTION("""COMPUTED_VALUE"""),"01-58-12-346")</f>
        <v>01-58-12-346</v>
      </c>
      <c r="B2080" s="36" t="str">
        <f>IFERROR(__xludf.DUMMYFUNCTION("""COMPUTED_VALUE"""),"")</f>
        <v/>
      </c>
      <c r="C2080" s="36" t="str">
        <f>IFERROR(__xludf.DUMMYFUNCTION("""COMPUTED_VALUE"""),"")</f>
        <v/>
      </c>
      <c r="D2080" s="36" t="str">
        <f>IFERROR(__xludf.DUMMYFUNCTION("""COMPUTED_VALUE"""),"")</f>
        <v/>
      </c>
      <c r="E2080" s="36" t="str">
        <f>IFERROR(__xludf.DUMMYFUNCTION("""COMPUTED_VALUE"""),"01-58-12-339")</f>
        <v>01-58-12-339</v>
      </c>
      <c r="F2080" s="36"/>
      <c r="G2080" s="36" t="str">
        <f>IFERROR(__xludf.DUMMYFUNCTION("""COMPUTED_VALUE"""),"Pedro de Valdivia y Urquiza Norte")</f>
        <v>Pedro de Valdivia y Urquiza Norte</v>
      </c>
      <c r="H2080" s="36" t="str">
        <f>IFERROR(__xludf.DUMMYFUNCTION("""COMPUTED_VALUE"""),"")</f>
        <v/>
      </c>
    </row>
    <row r="2081">
      <c r="A2081" s="36" t="str">
        <f>IFERROR(__xludf.DUMMYFUNCTION("""COMPUTED_VALUE"""),"01-58-12-347")</f>
        <v>01-58-12-347</v>
      </c>
      <c r="B2081" s="36" t="str">
        <f>IFERROR(__xludf.DUMMYFUNCTION("""COMPUTED_VALUE"""),"")</f>
        <v/>
      </c>
      <c r="C2081" s="36" t="str">
        <f>IFERROR(__xludf.DUMMYFUNCTION("""COMPUTED_VALUE"""),"")</f>
        <v/>
      </c>
      <c r="D2081" s="36" t="str">
        <f>IFERROR(__xludf.DUMMYFUNCTION("""COMPUTED_VALUE"""),"")</f>
        <v/>
      </c>
      <c r="E2081" s="36" t="str">
        <f>IFERROR(__xludf.DUMMYFUNCTION("""COMPUTED_VALUE"""),"01-59-12-337")</f>
        <v>01-59-12-337</v>
      </c>
      <c r="F2081" s="36"/>
      <c r="G2081" s="36" t="str">
        <f>IFERROR(__xludf.DUMMYFUNCTION("""COMPUTED_VALUE"""),"Pedro de Valdivia y Urquiza Sur")</f>
        <v>Pedro de Valdivia y Urquiza Sur</v>
      </c>
      <c r="H2081" s="36" t="str">
        <f>IFERROR(__xludf.DUMMYFUNCTION("""COMPUTED_VALUE"""),"")</f>
        <v/>
      </c>
    </row>
    <row r="2082">
      <c r="A2082" s="36" t="str">
        <f>IFERROR(__xludf.DUMMYFUNCTION("""COMPUTED_VALUE"""),"01-58-12-349")</f>
        <v>01-58-12-349</v>
      </c>
      <c r="B2082" s="36" t="str">
        <f>IFERROR(__xludf.DUMMYFUNCTION("""COMPUTED_VALUE"""),"")</f>
        <v/>
      </c>
      <c r="C2082" s="36" t="str">
        <f>IFERROR(__xludf.DUMMYFUNCTION("""COMPUTED_VALUE"""),"")</f>
        <v/>
      </c>
      <c r="D2082" s="36" t="str">
        <f>IFERROR(__xludf.DUMMYFUNCTION("""COMPUTED_VALUE"""),"")</f>
        <v/>
      </c>
      <c r="E2082" s="36" t="str">
        <f>IFERROR(__xludf.DUMMYFUNCTION("""COMPUTED_VALUE"""),"01-38-08-52A")</f>
        <v>01-38-08-52A</v>
      </c>
      <c r="F2082" s="36"/>
      <c r="G2082" s="36" t="str">
        <f>IFERROR(__xludf.DUMMYFUNCTION("""COMPUTED_VALUE"""),"Pedro Echagüe y Aberastain")</f>
        <v>Pedro Echagüe y Aberastain</v>
      </c>
      <c r="H2082" s="36" t="str">
        <f>IFERROR(__xludf.DUMMYFUNCTION("""COMPUTED_VALUE"""),"")</f>
        <v/>
      </c>
    </row>
    <row r="2083">
      <c r="A2083" s="36" t="str">
        <f>IFERROR(__xludf.DUMMYFUNCTION("""COMPUTED_VALUE"""),"01-59-12-208")</f>
        <v>01-59-12-208</v>
      </c>
      <c r="B2083" s="36" t="str">
        <f>IFERROR(__xludf.DUMMYFUNCTION("""COMPUTED_VALUE"""),"")</f>
        <v/>
      </c>
      <c r="C2083" s="36" t="str">
        <f>IFERROR(__xludf.DUMMYFUNCTION("""COMPUTED_VALUE"""),"")</f>
        <v/>
      </c>
      <c r="D2083" s="36" t="str">
        <f>IFERROR(__xludf.DUMMYFUNCTION("""COMPUTED_VALUE"""),"")</f>
        <v/>
      </c>
      <c r="E2083" s="36" t="str">
        <f>IFERROR(__xludf.DUMMYFUNCTION("""COMPUTED_VALUE"""),"01-42-08-122E")</f>
        <v>01-42-08-122E</v>
      </c>
      <c r="F2083" s="36"/>
      <c r="G2083" s="36" t="str">
        <f>IFERROR(__xludf.DUMMYFUNCTION("""COMPUTED_VALUE"""),"Pedro Echagüe y Av. Alem")</f>
        <v>Pedro Echagüe y Av. Alem</v>
      </c>
      <c r="H2083" s="36" t="str">
        <f>IFERROR(__xludf.DUMMYFUNCTION("""COMPUTED_VALUE"""),"")</f>
        <v/>
      </c>
    </row>
    <row r="2084">
      <c r="A2084" s="36" t="str">
        <f>IFERROR(__xludf.DUMMYFUNCTION("""COMPUTED_VALUE"""),"01-59-12-332")</f>
        <v>01-59-12-332</v>
      </c>
      <c r="B2084" s="36" t="str">
        <f>IFERROR(__xludf.DUMMYFUNCTION("""COMPUTED_VALUE"""),"")</f>
        <v/>
      </c>
      <c r="C2084" s="36" t="str">
        <f>IFERROR(__xludf.DUMMYFUNCTION("""COMPUTED_VALUE"""),"")</f>
        <v/>
      </c>
      <c r="D2084" s="36" t="str">
        <f>IFERROR(__xludf.DUMMYFUNCTION("""COMPUTED_VALUE"""),"")</f>
        <v/>
      </c>
      <c r="E2084" s="36" t="str">
        <f>IFERROR(__xludf.DUMMYFUNCTION("""COMPUTED_VALUE"""),"01-40-08-53")</f>
        <v>01-40-08-53</v>
      </c>
      <c r="F2084" s="36"/>
      <c r="G2084" s="36" t="str">
        <f>IFERROR(__xludf.DUMMYFUNCTION("""COMPUTED_VALUE"""),"Pedro Echagüe y Av. Rawson")</f>
        <v>Pedro Echagüe y Av. Rawson</v>
      </c>
      <c r="H2084" s="36" t="str">
        <f>IFERROR(__xludf.DUMMYFUNCTION("""COMPUTED_VALUE"""),"")</f>
        <v/>
      </c>
    </row>
    <row r="2085">
      <c r="A2085" s="36" t="str">
        <f>IFERROR(__xludf.DUMMYFUNCTION("""COMPUTED_VALUE"""),"01-59-12-334")</f>
        <v>01-59-12-334</v>
      </c>
      <c r="B2085" s="36" t="str">
        <f>IFERROR(__xludf.DUMMYFUNCTION("""COMPUTED_VALUE"""),"")</f>
        <v/>
      </c>
      <c r="C2085" s="36" t="str">
        <f>IFERROR(__xludf.DUMMYFUNCTION("""COMPUTED_VALUE"""),"")</f>
        <v/>
      </c>
      <c r="D2085" s="36" t="str">
        <f>IFERROR(__xludf.DUMMYFUNCTION("""COMPUTED_VALUE"""),"")</f>
        <v/>
      </c>
      <c r="E2085" s="36" t="str">
        <f>IFERROR(__xludf.DUMMYFUNCTION("""COMPUTED_VALUE"""),"01-37-08-47")</f>
        <v>01-37-08-47</v>
      </c>
      <c r="F2085" s="36"/>
      <c r="G2085" s="36" t="str">
        <f>IFERROR(__xludf.DUMMYFUNCTION("""COMPUTED_VALUE"""),"Pedro Echagüe y Entre Ríos")</f>
        <v>Pedro Echagüe y Entre Ríos</v>
      </c>
      <c r="H2085" s="36" t="str">
        <f>IFERROR(__xludf.DUMMYFUNCTION("""COMPUTED_VALUE"""),"")</f>
        <v/>
      </c>
    </row>
    <row r="2086">
      <c r="A2086" s="36" t="str">
        <f>IFERROR(__xludf.DUMMYFUNCTION("""COMPUTED_VALUE"""),"01-59-12-336")</f>
        <v>01-59-12-336</v>
      </c>
      <c r="B2086" s="36" t="str">
        <f>IFERROR(__xludf.DUMMYFUNCTION("""COMPUTED_VALUE"""),"")</f>
        <v/>
      </c>
      <c r="C2086" s="36" t="str">
        <f>IFERROR(__xludf.DUMMYFUNCTION("""COMPUTED_VALUE"""),"")</f>
        <v/>
      </c>
      <c r="D2086" s="36" t="str">
        <f>IFERROR(__xludf.DUMMYFUNCTION("""COMPUTED_VALUE"""),"")</f>
        <v/>
      </c>
      <c r="E2086" s="36" t="str">
        <f>IFERROR(__xludf.DUMMYFUNCTION("""COMPUTED_VALUE"""),"04-43-12-88A")</f>
        <v>04-43-12-88A</v>
      </c>
      <c r="F2086" s="36"/>
      <c r="G2086" s="36" t="str">
        <f>IFERROR(__xludf.DUMMYFUNCTION("""COMPUTED_VALUE"""),"Pedro Echagüe y Fortabat")</f>
        <v>Pedro Echagüe y Fortabat</v>
      </c>
      <c r="H2086" s="36" t="str">
        <f>IFERROR(__xludf.DUMMYFUNCTION("""COMPUTED_VALUE"""),"")</f>
        <v/>
      </c>
    </row>
    <row r="2087">
      <c r="A2087" s="36" t="str">
        <f>IFERROR(__xludf.DUMMYFUNCTION("""COMPUTED_VALUE"""),"01-59-12-337")</f>
        <v>01-59-12-337</v>
      </c>
      <c r="B2087" s="36" t="str">
        <f>IFERROR(__xludf.DUMMYFUNCTION("""COMPUTED_VALUE"""),"")</f>
        <v/>
      </c>
      <c r="C2087" s="36" t="str">
        <f>IFERROR(__xludf.DUMMYFUNCTION("""COMPUTED_VALUE"""),"")</f>
        <v/>
      </c>
      <c r="D2087" s="36" t="str">
        <f>IFERROR(__xludf.DUMMYFUNCTION("""COMPUTED_VALUE"""),"")</f>
        <v/>
      </c>
      <c r="E2087" s="36" t="str">
        <f>IFERROR(__xludf.DUMMYFUNCTION("""COMPUTED_VALUE"""),"04-43-12-87")</f>
        <v>04-43-12-87</v>
      </c>
      <c r="F2087" s="36"/>
      <c r="G2087" s="36" t="str">
        <f>IFERROR(__xludf.DUMMYFUNCTION("""COMPUTED_VALUE"""),"Pedro Echagüe y Fray Luis Beltrán")</f>
        <v>Pedro Echagüe y Fray Luis Beltrán</v>
      </c>
      <c r="H2087" s="36" t="str">
        <f>IFERROR(__xludf.DUMMYFUNCTION("""COMPUTED_VALUE"""),"")</f>
        <v/>
      </c>
    </row>
    <row r="2088">
      <c r="A2088" s="36" t="str">
        <f>IFERROR(__xludf.DUMMYFUNCTION("""COMPUTED_VALUE"""),"01-59-12-354")</f>
        <v>01-59-12-354</v>
      </c>
      <c r="B2088" s="36" t="str">
        <f>IFERROR(__xludf.DUMMYFUNCTION("""COMPUTED_VALUE"""),"")</f>
        <v/>
      </c>
      <c r="C2088" s="36" t="str">
        <f>IFERROR(__xludf.DUMMYFUNCTION("""COMPUTED_VALUE"""),"")</f>
        <v/>
      </c>
      <c r="D2088" s="36" t="str">
        <f>IFERROR(__xludf.DUMMYFUNCTION("""COMPUTED_VALUE"""),"")</f>
        <v/>
      </c>
      <c r="E2088" s="36" t="str">
        <f>IFERROR(__xludf.DUMMYFUNCTION("""COMPUTED_VALUE"""),"01-41-08-50A")</f>
        <v>01-41-08-50A</v>
      </c>
      <c r="F2088" s="36"/>
      <c r="G2088" s="36" t="str">
        <f>IFERROR(__xludf.DUMMYFUNCTION("""COMPUTED_VALUE"""),"Pedro Echagüe y Gral. Acha")</f>
        <v>Pedro Echagüe y Gral. Acha</v>
      </c>
      <c r="H2088" s="36" t="str">
        <f>IFERROR(__xludf.DUMMYFUNCTION("""COMPUTED_VALUE"""),"")</f>
        <v/>
      </c>
    </row>
    <row r="2089">
      <c r="A2089" s="36" t="str">
        <f>IFERROR(__xludf.DUMMYFUNCTION("""COMPUTED_VALUE"""),"01-60-12-356")</f>
        <v>01-60-12-356</v>
      </c>
      <c r="B2089" s="36" t="str">
        <f>IFERROR(__xludf.DUMMYFUNCTION("""COMPUTED_VALUE"""),"")</f>
        <v/>
      </c>
      <c r="C2089" s="36" t="str">
        <f>IFERROR(__xludf.DUMMYFUNCTION("""COMPUTED_VALUE"""),"")</f>
        <v/>
      </c>
      <c r="D2089" s="36" t="str">
        <f>IFERROR(__xludf.DUMMYFUNCTION("""COMPUTED_VALUE"""),"")</f>
        <v/>
      </c>
      <c r="E2089" s="36" t="str">
        <f>IFERROR(__xludf.DUMMYFUNCTION("""COMPUTED_VALUE"""),"01-38-08-52")</f>
        <v>01-38-08-52</v>
      </c>
      <c r="F2089" s="36"/>
      <c r="G2089" s="36" t="str">
        <f>IFERROR(__xludf.DUMMYFUNCTION("""COMPUTED_VALUE"""),"Pedro Echagüe y Jujuy")</f>
        <v>Pedro Echagüe y Jujuy</v>
      </c>
      <c r="H2089" s="36" t="str">
        <f>IFERROR(__xludf.DUMMYFUNCTION("""COMPUTED_VALUE"""),"")</f>
        <v/>
      </c>
    </row>
    <row r="2090">
      <c r="A2090" s="36" t="str">
        <f>IFERROR(__xludf.DUMMYFUNCTION("""COMPUTED_VALUE"""),"02-37-12-259")</f>
        <v>02-37-12-259</v>
      </c>
      <c r="B2090" s="36" t="str">
        <f>IFERROR(__xludf.DUMMYFUNCTION("""COMPUTED_VALUE"""),"")</f>
        <v/>
      </c>
      <c r="C2090" s="36" t="str">
        <f>IFERROR(__xludf.DUMMYFUNCTION("""COMPUTED_VALUE"""),"")</f>
        <v/>
      </c>
      <c r="D2090" s="36" t="str">
        <f>IFERROR(__xludf.DUMMYFUNCTION("""COMPUTED_VALUE"""),"")</f>
        <v/>
      </c>
      <c r="E2090" s="36" t="str">
        <f>IFERROR(__xludf.DUMMYFUNCTION("""COMPUTED_VALUE"""),"01-37-07-3A")</f>
        <v>01-37-07-3A</v>
      </c>
      <c r="F2090" s="36"/>
      <c r="G2090" s="36" t="str">
        <f>IFERROR(__xludf.DUMMYFUNCTION("""COMPUTED_VALUE"""),"Pedro Echagüe y Salta")</f>
        <v>Pedro Echagüe y Salta</v>
      </c>
      <c r="H2090" s="36" t="str">
        <f>IFERROR(__xludf.DUMMYFUNCTION("""COMPUTED_VALUE"""),"")</f>
        <v/>
      </c>
    </row>
    <row r="2091">
      <c r="A2091" s="36" t="str">
        <f>IFERROR(__xludf.DUMMYFUNCTION("""COMPUTED_VALUE"""),"02-37-12-262")</f>
        <v>02-37-12-262</v>
      </c>
      <c r="B2091" s="36" t="str">
        <f>IFERROR(__xludf.DUMMYFUNCTION("""COMPUTED_VALUE"""),"")</f>
        <v/>
      </c>
      <c r="C2091" s="36" t="str">
        <f>IFERROR(__xludf.DUMMYFUNCTION("""COMPUTED_VALUE"""),"")</f>
        <v/>
      </c>
      <c r="D2091" s="36" t="str">
        <f>IFERROR(__xludf.DUMMYFUNCTION("""COMPUTED_VALUE"""),"")</f>
        <v/>
      </c>
      <c r="E2091" s="36" t="str">
        <f>IFERROR(__xludf.DUMMYFUNCTION("""COMPUTED_VALUE"""),"01-37-08-47A")</f>
        <v>01-37-08-47A</v>
      </c>
      <c r="F2091" s="36"/>
      <c r="G2091" s="36" t="str">
        <f>IFERROR(__xludf.DUMMYFUNCTION("""COMPUTED_VALUE"""),"Pedro Echagüe y Sarmiento ")</f>
        <v>Pedro Echagüe y Sarmiento </v>
      </c>
      <c r="H2091" s="36" t="str">
        <f>IFERROR(__xludf.DUMMYFUNCTION("""COMPUTED_VALUE"""),"")</f>
        <v/>
      </c>
    </row>
    <row r="2092">
      <c r="A2092" s="36"/>
      <c r="B2092" s="36" t="str">
        <f>IFERROR(__xludf.DUMMYFUNCTION("""COMPUTED_VALUE"""),"")</f>
        <v/>
      </c>
      <c r="C2092" s="36" t="str">
        <f>IFERROR(__xludf.DUMMYFUNCTION("""COMPUTED_VALUE"""),"")</f>
        <v/>
      </c>
      <c r="D2092" s="36" t="str">
        <f>IFERROR(__xludf.DUMMYFUNCTION("""COMPUTED_VALUE"""),"")</f>
        <v/>
      </c>
      <c r="E2092" s="36" t="str">
        <f>IFERROR(__xludf.DUMMYFUNCTION("""COMPUTED_VALUE"""),"02-34-11-24A")</f>
        <v>02-34-11-24A</v>
      </c>
      <c r="F2092" s="36"/>
      <c r="G2092" s="36" t="str">
        <f>IFERROR(__xludf.DUMMYFUNCTION("""COMPUTED_VALUE"""),"Pellegrini Este ")</f>
        <v>Pellegrini Este </v>
      </c>
      <c r="H2092" s="36" t="str">
        <f>IFERROR(__xludf.DUMMYFUNCTION("""COMPUTED_VALUE"""),"")</f>
        <v/>
      </c>
    </row>
    <row r="2093">
      <c r="A2093" s="36" t="str">
        <f>IFERROR(__xludf.DUMMYFUNCTION("""COMPUTED_VALUE"""),"02-38-12-179")</f>
        <v>02-38-12-179</v>
      </c>
      <c r="B2093" s="36" t="str">
        <f>IFERROR(__xludf.DUMMYFUNCTION("""COMPUTED_VALUE"""),"")</f>
        <v/>
      </c>
      <c r="C2093" s="36" t="str">
        <f>IFERROR(__xludf.DUMMYFUNCTION("""COMPUTED_VALUE"""),"")</f>
        <v/>
      </c>
      <c r="D2093" s="36" t="str">
        <f>IFERROR(__xludf.DUMMYFUNCTION("""COMPUTED_VALUE"""),"")</f>
        <v/>
      </c>
      <c r="E2093" s="36" t="str">
        <f>IFERROR(__xludf.DUMMYFUNCTION("""COMPUTED_VALUE"""),"02-34-11-25A")</f>
        <v>02-34-11-25A</v>
      </c>
      <c r="F2093" s="36"/>
      <c r="G2093" s="36" t="str">
        <f>IFERROR(__xludf.DUMMYFUNCTION("""COMPUTED_VALUE"""),"Pellegrini Este al Norte")</f>
        <v>Pellegrini Este al Norte</v>
      </c>
      <c r="H2093" s="36" t="str">
        <f>IFERROR(__xludf.DUMMYFUNCTION("""COMPUTED_VALUE"""),"")</f>
        <v/>
      </c>
    </row>
    <row r="2094">
      <c r="A2094" s="36" t="str">
        <f>IFERROR(__xludf.DUMMYFUNCTION("""COMPUTED_VALUE"""),"02-38-12-199")</f>
        <v>02-38-12-199</v>
      </c>
      <c r="B2094" s="36" t="str">
        <f>IFERROR(__xludf.DUMMYFUNCTION("""COMPUTED_VALUE"""),"")</f>
        <v/>
      </c>
      <c r="C2094" s="36" t="str">
        <f>IFERROR(__xludf.DUMMYFUNCTION("""COMPUTED_VALUE"""),"")</f>
        <v/>
      </c>
      <c r="D2094" s="36" t="str">
        <f>IFERROR(__xludf.DUMMYFUNCTION("""COMPUTED_VALUE"""),"")</f>
        <v/>
      </c>
      <c r="E2094" s="36" t="str">
        <f>IFERROR(__xludf.DUMMYFUNCTION("""COMPUTED_VALUE"""),"02-34-11-24")</f>
        <v>02-34-11-24</v>
      </c>
      <c r="F2094" s="36"/>
      <c r="G2094" s="36" t="str">
        <f>IFERROR(__xludf.DUMMYFUNCTION("""COMPUTED_VALUE"""),"Pellegrini Oeste")</f>
        <v>Pellegrini Oeste</v>
      </c>
      <c r="H2094" s="36" t="str">
        <f>IFERROR(__xludf.DUMMYFUNCTION("""COMPUTED_VALUE"""),"")</f>
        <v/>
      </c>
    </row>
    <row r="2095">
      <c r="A2095" s="36" t="str">
        <f>IFERROR(__xludf.DUMMYFUNCTION("""COMPUTED_VALUE"""),"02-38-12-201")</f>
        <v>02-38-12-201</v>
      </c>
      <c r="B2095" s="36" t="str">
        <f>IFERROR(__xludf.DUMMYFUNCTION("""COMPUTED_VALUE"""),"")</f>
        <v/>
      </c>
      <c r="C2095" s="36" t="str">
        <f>IFERROR(__xludf.DUMMYFUNCTION("""COMPUTED_VALUE"""),"")</f>
        <v/>
      </c>
      <c r="D2095" s="36" t="str">
        <f>IFERROR(__xludf.DUMMYFUNCTION("""COMPUTED_VALUE"""),"")</f>
        <v/>
      </c>
      <c r="E2095" s="36" t="str">
        <f>IFERROR(__xludf.DUMMYFUNCTION("""COMPUTED_VALUE"""),"02-34-11-25")</f>
        <v>02-34-11-25</v>
      </c>
      <c r="F2095" s="36"/>
      <c r="G2095" s="36" t="str">
        <f>IFERROR(__xludf.DUMMYFUNCTION("""COMPUTED_VALUE"""),"Pellegrini Oeste al Norte")</f>
        <v>Pellegrini Oeste al Norte</v>
      </c>
      <c r="H2095" s="36" t="str">
        <f>IFERROR(__xludf.DUMMYFUNCTION("""COMPUTED_VALUE"""),"")</f>
        <v/>
      </c>
    </row>
    <row r="2096">
      <c r="A2096" s="36" t="str">
        <f>IFERROR(__xludf.DUMMYFUNCTION("""COMPUTED_VALUE"""),"02-38-12-203")</f>
        <v>02-38-12-203</v>
      </c>
      <c r="B2096" s="36" t="str">
        <f>IFERROR(__xludf.DUMMYFUNCTION("""COMPUTED_VALUE"""),"")</f>
        <v/>
      </c>
      <c r="C2096" s="36" t="str">
        <f>IFERROR(__xludf.DUMMYFUNCTION("""COMPUTED_VALUE"""),"")</f>
        <v/>
      </c>
      <c r="D2096" s="36" t="str">
        <f>IFERROR(__xludf.DUMMYFUNCTION("""COMPUTED_VALUE"""),"")</f>
        <v/>
      </c>
      <c r="E2096" s="36" t="str">
        <f>IFERROR(__xludf.DUMMYFUNCTION("""COMPUTED_VALUE"""),"02-48-11-43")</f>
        <v>02-48-11-43</v>
      </c>
      <c r="F2096" s="36"/>
      <c r="G2096" s="36" t="str">
        <f>IFERROR(__xludf.DUMMYFUNCTION("""COMPUTED_VALUE"""),"Pellegrini y Agustín Gómez")</f>
        <v>Pellegrini y Agustín Gómez</v>
      </c>
      <c r="H2096" s="36" t="str">
        <f>IFERROR(__xludf.DUMMYFUNCTION("""COMPUTED_VALUE"""),"")</f>
        <v/>
      </c>
    </row>
    <row r="2097">
      <c r="A2097" s="36" t="str">
        <f>IFERROR(__xludf.DUMMYFUNCTION("""COMPUTED_VALUE"""),"02-38-12-204")</f>
        <v>02-38-12-204</v>
      </c>
      <c r="B2097" s="36" t="str">
        <f>IFERROR(__xludf.DUMMYFUNCTION("""COMPUTED_VALUE"""),"")</f>
        <v/>
      </c>
      <c r="C2097" s="36" t="str">
        <f>IFERROR(__xludf.DUMMYFUNCTION("""COMPUTED_VALUE"""),"")</f>
        <v/>
      </c>
      <c r="D2097" s="36" t="str">
        <f>IFERROR(__xludf.DUMMYFUNCTION("""COMPUTED_VALUE"""),"")</f>
        <v/>
      </c>
      <c r="E2097" s="36" t="str">
        <f>IFERROR(__xludf.DUMMYFUNCTION("""COMPUTED_VALUE"""),"02-34-05-35")</f>
        <v>02-34-05-35</v>
      </c>
      <c r="F2097" s="36"/>
      <c r="G2097" s="36" t="str">
        <f>IFERROR(__xludf.DUMMYFUNCTION("""COMPUTED_VALUE"""),"Pellegrini y Av. Libertador ")</f>
        <v>Pellegrini y Av. Libertador </v>
      </c>
      <c r="H2097" s="36" t="str">
        <f>IFERROR(__xludf.DUMMYFUNCTION("""COMPUTED_VALUE"""),"")</f>
        <v/>
      </c>
    </row>
    <row r="2098">
      <c r="A2098" s="36" t="str">
        <f>IFERROR(__xludf.DUMMYFUNCTION("""COMPUTED_VALUE"""),"02-38-12-206")</f>
        <v>02-38-12-206</v>
      </c>
      <c r="B2098" s="36" t="str">
        <f>IFERROR(__xludf.DUMMYFUNCTION("""COMPUTED_VALUE"""),"")</f>
        <v/>
      </c>
      <c r="C2098" s="36" t="str">
        <f>IFERROR(__xludf.DUMMYFUNCTION("""COMPUTED_VALUE"""),"")</f>
        <v/>
      </c>
      <c r="D2098" s="36" t="str">
        <f>IFERROR(__xludf.DUMMYFUNCTION("""COMPUTED_VALUE"""),"")</f>
        <v/>
      </c>
      <c r="E2098" s="36" t="str">
        <f>IFERROR(__xludf.DUMMYFUNCTION("""COMPUTED_VALUE"""),"02-42-11-44")</f>
        <v>02-42-11-44</v>
      </c>
      <c r="F2098" s="36"/>
      <c r="G2098" s="36" t="str">
        <f>IFERROR(__xludf.DUMMYFUNCTION("""COMPUTED_VALUE"""),"Pellegrini y Clemente Sarmiento")</f>
        <v>Pellegrini y Clemente Sarmiento</v>
      </c>
      <c r="H2098" s="36" t="str">
        <f>IFERROR(__xludf.DUMMYFUNCTION("""COMPUTED_VALUE"""),"")</f>
        <v/>
      </c>
    </row>
    <row r="2099">
      <c r="A2099" s="36" t="str">
        <f>IFERROR(__xludf.DUMMYFUNCTION("""COMPUTED_VALUE"""),"02-38-12-210")</f>
        <v>02-38-12-210</v>
      </c>
      <c r="B2099" s="36" t="str">
        <f>IFERROR(__xludf.DUMMYFUNCTION("""COMPUTED_VALUE"""),"")</f>
        <v/>
      </c>
      <c r="C2099" s="36" t="str">
        <f>IFERROR(__xludf.DUMMYFUNCTION("""COMPUTED_VALUE"""),"")</f>
        <v/>
      </c>
      <c r="D2099" s="36" t="str">
        <f>IFERROR(__xludf.DUMMYFUNCTION("""COMPUTED_VALUE"""),"")</f>
        <v/>
      </c>
      <c r="E2099" s="36" t="str">
        <f>IFERROR(__xludf.DUMMYFUNCTION("""COMPUTED_VALUE"""),"03-34-10-122D")</f>
        <v>03-34-10-122D</v>
      </c>
      <c r="F2099" s="36"/>
      <c r="G2099" s="36" t="str">
        <f>IFERROR(__xludf.DUMMYFUNCTION("""COMPUTED_VALUE"""),"Pellegrini y Santa María de Oro Norte")</f>
        <v>Pellegrini y Santa María de Oro Norte</v>
      </c>
      <c r="H2099" s="36" t="str">
        <f>IFERROR(__xludf.DUMMYFUNCTION("""COMPUTED_VALUE"""),"")</f>
        <v/>
      </c>
    </row>
    <row r="2100">
      <c r="A2100" s="36" t="str">
        <f>IFERROR(__xludf.DUMMYFUNCTION("""COMPUTED_VALUE"""),"02-38-12-210A")</f>
        <v>02-38-12-210A</v>
      </c>
      <c r="B2100" s="36" t="str">
        <f>IFERROR(__xludf.DUMMYFUNCTION("""COMPUTED_VALUE"""),"")</f>
        <v/>
      </c>
      <c r="C2100" s="36" t="str">
        <f>IFERROR(__xludf.DUMMYFUNCTION("""COMPUTED_VALUE"""),"")</f>
        <v/>
      </c>
      <c r="D2100" s="36" t="str">
        <f>IFERROR(__xludf.DUMMYFUNCTION("""COMPUTED_VALUE"""),"")</f>
        <v/>
      </c>
      <c r="E2100" s="36" t="str">
        <f>IFERROR(__xludf.DUMMYFUNCTION("""COMPUTED_VALUE"""),"03-46-10-122C")</f>
        <v>03-46-10-122C</v>
      </c>
      <c r="F2100" s="36"/>
      <c r="G2100" s="36" t="str">
        <f>IFERROR(__xludf.DUMMYFUNCTION("""COMPUTED_VALUE"""),"Pellegrini y Santa María de Oro Sur")</f>
        <v>Pellegrini y Santa María de Oro Sur</v>
      </c>
      <c r="H2100" s="36" t="str">
        <f>IFERROR(__xludf.DUMMYFUNCTION("""COMPUTED_VALUE"""),"")</f>
        <v/>
      </c>
    </row>
    <row r="2101">
      <c r="A2101" s="36" t="str">
        <f>IFERROR(__xludf.DUMMYFUNCTION("""COMPUTED_VALUE"""),"02-38-12-211")</f>
        <v>02-38-12-211</v>
      </c>
      <c r="B2101" s="36" t="str">
        <f>IFERROR(__xludf.DUMMYFUNCTION("""COMPUTED_VALUE"""),"")</f>
        <v/>
      </c>
      <c r="C2101" s="36" t="str">
        <f>IFERROR(__xludf.DUMMYFUNCTION("""COMPUTED_VALUE"""),"")</f>
        <v/>
      </c>
      <c r="D2101" s="36" t="str">
        <f>IFERROR(__xludf.DUMMYFUNCTION("""COMPUTED_VALUE"""),"")</f>
        <v/>
      </c>
      <c r="E2101" s="36" t="str">
        <f>IFERROR(__xludf.DUMMYFUNCTION("""COMPUTED_VALUE"""),"01-63-14-40")</f>
        <v>01-63-14-40</v>
      </c>
      <c r="F2101" s="36"/>
      <c r="G2101" s="36" t="str">
        <f>IFERROR(__xludf.DUMMYFUNCTION("""COMPUTED_VALUE"""),"Pérez Esquivel y Proyectada 1")</f>
        <v>Pérez Esquivel y Proyectada 1</v>
      </c>
      <c r="H2101" s="36" t="str">
        <f>IFERROR(__xludf.DUMMYFUNCTION("""COMPUTED_VALUE"""),"")</f>
        <v/>
      </c>
    </row>
    <row r="2102">
      <c r="A2102" s="36" t="str">
        <f>IFERROR(__xludf.DUMMYFUNCTION("""COMPUTED_VALUE"""),"02-38-12-211A")</f>
        <v>02-38-12-211A</v>
      </c>
      <c r="B2102" s="36" t="str">
        <f>IFERROR(__xludf.DUMMYFUNCTION("""COMPUTED_VALUE"""),"")</f>
        <v/>
      </c>
      <c r="C2102" s="36" t="str">
        <f>IFERROR(__xludf.DUMMYFUNCTION("""COMPUTED_VALUE"""),"")</f>
        <v/>
      </c>
      <c r="D2102" s="36" t="str">
        <f>IFERROR(__xludf.DUMMYFUNCTION("""COMPUTED_VALUE"""),"")</f>
        <v/>
      </c>
      <c r="E2102" s="36" t="str">
        <f>IFERROR(__xludf.DUMMYFUNCTION("""COMPUTED_VALUE"""),"01-63-14-41")</f>
        <v>01-63-14-41</v>
      </c>
      <c r="F2102" s="36"/>
      <c r="G2102" s="36" t="str">
        <f>IFERROR(__xludf.DUMMYFUNCTION("""COMPUTED_VALUE"""),"Pérez Esquivel y Proyectada 2")</f>
        <v>Pérez Esquivel y Proyectada 2</v>
      </c>
      <c r="H2102" s="36" t="str">
        <f>IFERROR(__xludf.DUMMYFUNCTION("""COMPUTED_VALUE"""),"")</f>
        <v/>
      </c>
    </row>
    <row r="2103">
      <c r="A2103" s="36" t="str">
        <f>IFERROR(__xludf.DUMMYFUNCTION("""COMPUTED_VALUE"""),"02-38-12-212")</f>
        <v>02-38-12-212</v>
      </c>
      <c r="B2103" s="36" t="str">
        <f>IFERROR(__xludf.DUMMYFUNCTION("""COMPUTED_VALUE"""),"")</f>
        <v/>
      </c>
      <c r="C2103" s="36" t="str">
        <f>IFERROR(__xludf.DUMMYFUNCTION("""COMPUTED_VALUE"""),"")</f>
        <v/>
      </c>
      <c r="D2103" s="36" t="str">
        <f>IFERROR(__xludf.DUMMYFUNCTION("""COMPUTED_VALUE"""),"")</f>
        <v/>
      </c>
      <c r="E2103" s="36" t="str">
        <f>IFERROR(__xludf.DUMMYFUNCTION("""COMPUTED_VALUE"""),"01-20-07-194")</f>
        <v>01-20-07-194</v>
      </c>
      <c r="F2103" s="36"/>
      <c r="G2103" s="36" t="str">
        <f>IFERROR(__xludf.DUMMYFUNCTION("""COMPUTED_VALUE"""),"Perito Moreno y Cervantes")</f>
        <v>Perito Moreno y Cervantes</v>
      </c>
      <c r="H2103" s="36" t="str">
        <f>IFERROR(__xludf.DUMMYFUNCTION("""COMPUTED_VALUE"""),"")</f>
        <v/>
      </c>
    </row>
    <row r="2104">
      <c r="A2104" s="36" t="str">
        <f>IFERROR(__xludf.DUMMYFUNCTION("""COMPUTED_VALUE"""),"02-38-12-213")</f>
        <v>02-38-12-213</v>
      </c>
      <c r="B2104" s="36" t="str">
        <f>IFERROR(__xludf.DUMMYFUNCTION("""COMPUTED_VALUE"""),"")</f>
        <v/>
      </c>
      <c r="C2104" s="36" t="str">
        <f>IFERROR(__xludf.DUMMYFUNCTION("""COMPUTED_VALUE"""),"")</f>
        <v/>
      </c>
      <c r="D2104" s="36" t="str">
        <f>IFERROR(__xludf.DUMMYFUNCTION("""COMPUTED_VALUE"""),"")</f>
        <v/>
      </c>
      <c r="E2104" s="36" t="str">
        <f>IFERROR(__xludf.DUMMYFUNCTION("""COMPUTED_VALUE"""),"01-20-07-198")</f>
        <v>01-20-07-198</v>
      </c>
      <c r="F2104" s="36"/>
      <c r="G2104" s="36" t="str">
        <f>IFERROR(__xludf.DUMMYFUNCTION("""COMPUTED_VALUE"""),"Perito Moreno y Dominguito")</f>
        <v>Perito Moreno y Dominguito</v>
      </c>
      <c r="H2104" s="36" t="str">
        <f>IFERROR(__xludf.DUMMYFUNCTION("""COMPUTED_VALUE"""),"")</f>
        <v/>
      </c>
    </row>
    <row r="2105">
      <c r="A2105" s="36" t="str">
        <f>IFERROR(__xludf.DUMMYFUNCTION("""COMPUTED_VALUE"""),"02-38-12-214")</f>
        <v>02-38-12-214</v>
      </c>
      <c r="B2105" s="36" t="str">
        <f>IFERROR(__xludf.DUMMYFUNCTION("""COMPUTED_VALUE"""),"")</f>
        <v/>
      </c>
      <c r="C2105" s="36" t="str">
        <f>IFERROR(__xludf.DUMMYFUNCTION("""COMPUTED_VALUE"""),"")</f>
        <v/>
      </c>
      <c r="D2105" s="36" t="str">
        <f>IFERROR(__xludf.DUMMYFUNCTION("""COMPUTED_VALUE"""),"")</f>
        <v/>
      </c>
      <c r="E2105" s="36" t="str">
        <f>IFERROR(__xludf.DUMMYFUNCTION("""COMPUTED_VALUE"""),"03-33-10-52")</f>
        <v>03-33-10-52</v>
      </c>
      <c r="F2105" s="36"/>
      <c r="G2105" s="36" t="str">
        <f>IFERROR(__xludf.DUMMYFUNCTION("""COMPUTED_VALUE"""),"Planta de Agua Tratada")</f>
        <v>Planta de Agua Tratada</v>
      </c>
      <c r="H2105" s="36" t="str">
        <f>IFERROR(__xludf.DUMMYFUNCTION("""COMPUTED_VALUE"""),"")</f>
        <v/>
      </c>
    </row>
    <row r="2106">
      <c r="A2106" s="36" t="str">
        <f>IFERROR(__xludf.DUMMYFUNCTION("""COMPUTED_VALUE"""),"02-38-12-214A")</f>
        <v>02-38-12-214A</v>
      </c>
      <c r="B2106" s="36" t="str">
        <f>IFERROR(__xludf.DUMMYFUNCTION("""COMPUTED_VALUE"""),"")</f>
        <v/>
      </c>
      <c r="C2106" s="36" t="str">
        <f>IFERROR(__xludf.DUMMYFUNCTION("""COMPUTED_VALUE"""),"")</f>
        <v/>
      </c>
      <c r="D2106" s="36" t="str">
        <f>IFERROR(__xludf.DUMMYFUNCTION("""COMPUTED_VALUE"""),"")</f>
        <v/>
      </c>
      <c r="E2106" s="36" t="str">
        <f>IFERROR(__xludf.DUMMYFUNCTION("""COMPUTED_VALUE"""),"08-22-04-40")</f>
        <v>08-22-04-40</v>
      </c>
      <c r="F2106" s="36"/>
      <c r="G2106" s="36" t="str">
        <f>IFERROR(__xludf.DUMMYFUNCTION("""COMPUTED_VALUE"""),"Plaza B° 2 de Abril E")</f>
        <v>Plaza B° 2 de Abril E</v>
      </c>
      <c r="H2106" s="36" t="str">
        <f>IFERROR(__xludf.DUMMYFUNCTION("""COMPUTED_VALUE"""),"")</f>
        <v/>
      </c>
    </row>
    <row r="2107">
      <c r="A2107" s="36" t="str">
        <f>IFERROR(__xludf.DUMMYFUNCTION("""COMPUTED_VALUE"""),"02-38-12-215")</f>
        <v>02-38-12-215</v>
      </c>
      <c r="B2107" s="36" t="str">
        <f>IFERROR(__xludf.DUMMYFUNCTION("""COMPUTED_VALUE"""),"")</f>
        <v/>
      </c>
      <c r="C2107" s="36" t="str">
        <f>IFERROR(__xludf.DUMMYFUNCTION("""COMPUTED_VALUE"""),"")</f>
        <v/>
      </c>
      <c r="D2107" s="36" t="str">
        <f>IFERROR(__xludf.DUMMYFUNCTION("""COMPUTED_VALUE"""),"")</f>
        <v/>
      </c>
      <c r="E2107" s="36" t="str">
        <f>IFERROR(__xludf.DUMMYFUNCTION("""COMPUTED_VALUE"""),"08-22-04-41")</f>
        <v>08-22-04-41</v>
      </c>
      <c r="F2107" s="36"/>
      <c r="G2107" s="36" t="str">
        <f>IFERROR(__xludf.DUMMYFUNCTION("""COMPUTED_VALUE"""),"Plaza B° 2 de Abril O")</f>
        <v>Plaza B° 2 de Abril O</v>
      </c>
      <c r="H2107" s="36" t="str">
        <f>IFERROR(__xludf.DUMMYFUNCTION("""COMPUTED_VALUE"""),"")</f>
        <v/>
      </c>
    </row>
    <row r="2108">
      <c r="A2108" s="36" t="str">
        <f>IFERROR(__xludf.DUMMYFUNCTION("""COMPUTED_VALUE"""),"02-38-12-215A")</f>
        <v>02-38-12-215A</v>
      </c>
      <c r="B2108" s="36" t="str">
        <f>IFERROR(__xludf.DUMMYFUNCTION("""COMPUTED_VALUE"""),"")</f>
        <v/>
      </c>
      <c r="C2108" s="36" t="str">
        <f>IFERROR(__xludf.DUMMYFUNCTION("""COMPUTED_VALUE"""),"")</f>
        <v/>
      </c>
      <c r="D2108" s="36" t="str">
        <f>IFERROR(__xludf.DUMMYFUNCTION("""COMPUTED_VALUE"""),"")</f>
        <v/>
      </c>
      <c r="E2108" s="36" t="str">
        <f>IFERROR(__xludf.DUMMYFUNCTION("""COMPUTED_VALUE"""),"02-32-05-28")</f>
        <v>02-32-05-28</v>
      </c>
      <c r="F2108" s="36"/>
      <c r="G2108" s="36" t="str">
        <f>IFERROR(__xludf.DUMMYFUNCTION("""COMPUTED_VALUE"""),"Plaza B° 20 de Noviembre")</f>
        <v>Plaza B° 20 de Noviembre</v>
      </c>
      <c r="H2108" s="36" t="str">
        <f>IFERROR(__xludf.DUMMYFUNCTION("""COMPUTED_VALUE"""),"")</f>
        <v/>
      </c>
    </row>
    <row r="2109">
      <c r="A2109" s="36" t="str">
        <f>IFERROR(__xludf.DUMMYFUNCTION("""COMPUTED_VALUE"""),"02-38-12-215B")</f>
        <v>02-38-12-215B</v>
      </c>
      <c r="B2109" s="36" t="str">
        <f>IFERROR(__xludf.DUMMYFUNCTION("""COMPUTED_VALUE"""),"")</f>
        <v/>
      </c>
      <c r="C2109" s="36" t="str">
        <f>IFERROR(__xludf.DUMMYFUNCTION("""COMPUTED_VALUE"""),"")</f>
        <v/>
      </c>
      <c r="D2109" s="36" t="str">
        <f>IFERROR(__xludf.DUMMYFUNCTION("""COMPUTED_VALUE"""),"")</f>
        <v/>
      </c>
      <c r="E2109" s="36" t="str">
        <f>IFERROR(__xludf.DUMMYFUNCTION("""COMPUTED_VALUE"""),"02-24-05-63")</f>
        <v>02-24-05-63</v>
      </c>
      <c r="F2109" s="36"/>
      <c r="G2109" s="36" t="str">
        <f>IFERROR(__xludf.DUMMYFUNCTION("""COMPUTED_VALUE"""),"Plaza B° 22 de Abril")</f>
        <v>Plaza B° 22 de Abril</v>
      </c>
      <c r="H2109" s="36" t="str">
        <f>IFERROR(__xludf.DUMMYFUNCTION("""COMPUTED_VALUE"""),"")</f>
        <v/>
      </c>
    </row>
    <row r="2110">
      <c r="A2110" s="36" t="str">
        <f>IFERROR(__xludf.DUMMYFUNCTION("""COMPUTED_VALUE"""),"02-38-12-216")</f>
        <v>02-38-12-216</v>
      </c>
      <c r="B2110" s="36" t="str">
        <f>IFERROR(__xludf.DUMMYFUNCTION("""COMPUTED_VALUE"""),"")</f>
        <v/>
      </c>
      <c r="C2110" s="36" t="str">
        <f>IFERROR(__xludf.DUMMYFUNCTION("""COMPUTED_VALUE"""),"")</f>
        <v/>
      </c>
      <c r="D2110" s="36" t="str">
        <f>IFERROR(__xludf.DUMMYFUNCTION("""COMPUTED_VALUE"""),"")</f>
        <v/>
      </c>
      <c r="E2110" s="36" t="str">
        <f>IFERROR(__xludf.DUMMYFUNCTION("""COMPUTED_VALUE"""),"08-26-03-65")</f>
        <v>08-26-03-65</v>
      </c>
      <c r="F2110" s="36"/>
      <c r="G2110" s="36" t="str">
        <f>IFERROR(__xludf.DUMMYFUNCTION("""COMPUTED_VALUE"""),"Plaza B° AMPE 20 de Junio E")</f>
        <v>Plaza B° AMPE 20 de Junio E</v>
      </c>
      <c r="H2110" s="36" t="str">
        <f>IFERROR(__xludf.DUMMYFUNCTION("""COMPUTED_VALUE"""),"")</f>
        <v/>
      </c>
    </row>
    <row r="2111">
      <c r="A2111" s="36" t="str">
        <f>IFERROR(__xludf.DUMMYFUNCTION("""COMPUTED_VALUE"""),"02-38-12-217")</f>
        <v>02-38-12-217</v>
      </c>
      <c r="B2111" s="36" t="str">
        <f>IFERROR(__xludf.DUMMYFUNCTION("""COMPUTED_VALUE"""),"")</f>
        <v/>
      </c>
      <c r="C2111" s="36" t="str">
        <f>IFERROR(__xludf.DUMMYFUNCTION("""COMPUTED_VALUE"""),"")</f>
        <v/>
      </c>
      <c r="D2111" s="36" t="str">
        <f>IFERROR(__xludf.DUMMYFUNCTION("""COMPUTED_VALUE"""),"")</f>
        <v/>
      </c>
      <c r="E2111" s="36" t="str">
        <f>IFERROR(__xludf.DUMMYFUNCTION("""COMPUTED_VALUE"""),"08-26-03-64")</f>
        <v>08-26-03-64</v>
      </c>
      <c r="F2111" s="36"/>
      <c r="G2111" s="36" t="str">
        <f>IFERROR(__xludf.DUMMYFUNCTION("""COMPUTED_VALUE"""),"Plaza B° AMPE 20 de Junio O")</f>
        <v>Plaza B° AMPE 20 de Junio O</v>
      </c>
      <c r="H2111" s="36" t="str">
        <f>IFERROR(__xludf.DUMMYFUNCTION("""COMPUTED_VALUE"""),"")</f>
        <v/>
      </c>
    </row>
    <row r="2112">
      <c r="A2112" s="36" t="str">
        <f>IFERROR(__xludf.DUMMYFUNCTION("""COMPUTED_VALUE"""),"02-38-12-218")</f>
        <v>02-38-12-218</v>
      </c>
      <c r="B2112" s="36" t="str">
        <f>IFERROR(__xludf.DUMMYFUNCTION("""COMPUTED_VALUE"""),"")</f>
        <v/>
      </c>
      <c r="C2112" s="36" t="str">
        <f>IFERROR(__xludf.DUMMYFUNCTION("""COMPUTED_VALUE"""),"")</f>
        <v/>
      </c>
      <c r="D2112" s="36" t="str">
        <f>IFERROR(__xludf.DUMMYFUNCTION("""COMPUTED_VALUE"""),"")</f>
        <v/>
      </c>
      <c r="E2112" s="36" t="str">
        <f>IFERROR(__xludf.DUMMYFUNCTION("""COMPUTED_VALUE"""),"08-22-03-81D")</f>
        <v>08-22-03-81D</v>
      </c>
      <c r="F2112" s="36"/>
      <c r="G2112" s="36" t="str">
        <f>IFERROR(__xludf.DUMMYFUNCTION("""COMPUTED_VALUE"""),"Plaza B° Centenario")</f>
        <v>Plaza B° Centenario</v>
      </c>
      <c r="H2112" s="36" t="str">
        <f>IFERROR(__xludf.DUMMYFUNCTION("""COMPUTED_VALUE"""),"")</f>
        <v/>
      </c>
    </row>
    <row r="2113">
      <c r="A2113" s="36" t="str">
        <f>IFERROR(__xludf.DUMMYFUNCTION("""COMPUTED_VALUE"""),"02-38-12-219")</f>
        <v>02-38-12-219</v>
      </c>
      <c r="B2113" s="36" t="str">
        <f>IFERROR(__xludf.DUMMYFUNCTION("""COMPUTED_VALUE"""),"")</f>
        <v/>
      </c>
      <c r="C2113" s="36" t="str">
        <f>IFERROR(__xludf.DUMMYFUNCTION("""COMPUTED_VALUE"""),"")</f>
        <v/>
      </c>
      <c r="D2113" s="36" t="str">
        <f>IFERROR(__xludf.DUMMYFUNCTION("""COMPUTED_VALUE"""),"")</f>
        <v/>
      </c>
      <c r="E2113" s="36" t="str">
        <f>IFERROR(__xludf.DUMMYFUNCTION("""COMPUTED_VALUE"""),"02-24-05-54")</f>
        <v>02-24-05-54</v>
      </c>
      <c r="F2113" s="36"/>
      <c r="G2113" s="36" t="str">
        <f>IFERROR(__xludf.DUMMYFUNCTION("""COMPUTED_VALUE"""),"Plaza B° Cerro Blanco A")</f>
        <v>Plaza B° Cerro Blanco A</v>
      </c>
      <c r="H2113" s="36" t="str">
        <f>IFERROR(__xludf.DUMMYFUNCTION("""COMPUTED_VALUE"""),"")</f>
        <v/>
      </c>
    </row>
    <row r="2114">
      <c r="A2114" s="36" t="str">
        <f>IFERROR(__xludf.DUMMYFUNCTION("""COMPUTED_VALUE"""),"02-38-12-219A")</f>
        <v>02-38-12-219A</v>
      </c>
      <c r="B2114" s="36" t="str">
        <f>IFERROR(__xludf.DUMMYFUNCTION("""COMPUTED_VALUE"""),"")</f>
        <v/>
      </c>
      <c r="C2114" s="36" t="str">
        <f>IFERROR(__xludf.DUMMYFUNCTION("""COMPUTED_VALUE"""),"")</f>
        <v/>
      </c>
      <c r="D2114" s="36" t="str">
        <f>IFERROR(__xludf.DUMMYFUNCTION("""COMPUTED_VALUE"""),"")</f>
        <v/>
      </c>
      <c r="E2114" s="36" t="str">
        <f>IFERROR(__xludf.DUMMYFUNCTION("""COMPUTED_VALUE"""),"02-24-05-55")</f>
        <v>02-24-05-55</v>
      </c>
      <c r="F2114" s="36"/>
      <c r="G2114" s="36" t="str">
        <f>IFERROR(__xludf.DUMMYFUNCTION("""COMPUTED_VALUE"""),"Plaza B° Cerro Blanco B")</f>
        <v>Plaza B° Cerro Blanco B</v>
      </c>
      <c r="H2114" s="36" t="str">
        <f>IFERROR(__xludf.DUMMYFUNCTION("""COMPUTED_VALUE"""),"")</f>
        <v/>
      </c>
    </row>
    <row r="2115">
      <c r="A2115" s="36" t="str">
        <f>IFERROR(__xludf.DUMMYFUNCTION("""COMPUTED_VALUE"""),"02-38-12-220")</f>
        <v>02-38-12-220</v>
      </c>
      <c r="B2115" s="36" t="str">
        <f>IFERROR(__xludf.DUMMYFUNCTION("""COMPUTED_VALUE"""),"")</f>
        <v/>
      </c>
      <c r="C2115" s="36" t="str">
        <f>IFERROR(__xludf.DUMMYFUNCTION("""COMPUTED_VALUE"""),"")</f>
        <v/>
      </c>
      <c r="D2115" s="36" t="str">
        <f>IFERROR(__xludf.DUMMYFUNCTION("""COMPUTED_VALUE"""),"")</f>
        <v/>
      </c>
      <c r="E2115" s="36" t="str">
        <f>IFERROR(__xludf.DUMMYFUNCTION("""COMPUTED_VALUE"""),"08-26-04-54")</f>
        <v>08-26-04-54</v>
      </c>
      <c r="F2115" s="36"/>
      <c r="G2115" s="36" t="str">
        <f>IFERROR(__xludf.DUMMYFUNCTION("""COMPUTED_VALUE"""),"Plaza B° Conjunto 11 E")</f>
        <v>Plaza B° Conjunto 11 E</v>
      </c>
      <c r="H2115" s="36" t="str">
        <f>IFERROR(__xludf.DUMMYFUNCTION("""COMPUTED_VALUE"""),"")</f>
        <v/>
      </c>
    </row>
    <row r="2116">
      <c r="A2116" s="36" t="str">
        <f>IFERROR(__xludf.DUMMYFUNCTION("""COMPUTED_VALUE"""),"02-38-12-221")</f>
        <v>02-38-12-221</v>
      </c>
      <c r="B2116" s="36" t="str">
        <f>IFERROR(__xludf.DUMMYFUNCTION("""COMPUTED_VALUE"""),"")</f>
        <v/>
      </c>
      <c r="C2116" s="36" t="str">
        <f>IFERROR(__xludf.DUMMYFUNCTION("""COMPUTED_VALUE"""),"")</f>
        <v/>
      </c>
      <c r="D2116" s="36" t="str">
        <f>IFERROR(__xludf.DUMMYFUNCTION("""COMPUTED_VALUE"""),"")</f>
        <v/>
      </c>
      <c r="E2116" s="36" t="str">
        <f>IFERROR(__xludf.DUMMYFUNCTION("""COMPUTED_VALUE"""),"08-26-04-53")</f>
        <v>08-26-04-53</v>
      </c>
      <c r="F2116" s="36"/>
      <c r="G2116" s="36" t="str">
        <f>IFERROR(__xludf.DUMMYFUNCTION("""COMPUTED_VALUE"""),"Plaza B° Conjunto 11 O")</f>
        <v>Plaza B° Conjunto 11 O</v>
      </c>
      <c r="H2116" s="36" t="str">
        <f>IFERROR(__xludf.DUMMYFUNCTION("""COMPUTED_VALUE"""),"")</f>
        <v/>
      </c>
    </row>
    <row r="2117">
      <c r="A2117" s="36" t="str">
        <f>IFERROR(__xludf.DUMMYFUNCTION("""COMPUTED_VALUE"""),"02-38-12-222")</f>
        <v>02-38-12-222</v>
      </c>
      <c r="B2117" s="36" t="str">
        <f>IFERROR(__xludf.DUMMYFUNCTION("""COMPUTED_VALUE"""),"")</f>
        <v/>
      </c>
      <c r="C2117" s="36" t="str">
        <f>IFERROR(__xludf.DUMMYFUNCTION("""COMPUTED_VALUE"""),"")</f>
        <v/>
      </c>
      <c r="D2117" s="36" t="str">
        <f>IFERROR(__xludf.DUMMYFUNCTION("""COMPUTED_VALUE"""),"")</f>
        <v/>
      </c>
      <c r="E2117" s="36" t="str">
        <f>IFERROR(__xludf.DUMMYFUNCTION("""COMPUTED_VALUE"""),"08-23-04-58")</f>
        <v>08-23-04-58</v>
      </c>
      <c r="F2117" s="36"/>
      <c r="G2117" s="36" t="str">
        <f>IFERROR(__xludf.DUMMYFUNCTION("""COMPUTED_VALUE"""),"Plaza B° Conjunto 3 E")</f>
        <v>Plaza B° Conjunto 3 E</v>
      </c>
      <c r="H2117" s="36" t="str">
        <f>IFERROR(__xludf.DUMMYFUNCTION("""COMPUTED_VALUE"""),"")</f>
        <v/>
      </c>
    </row>
    <row r="2118">
      <c r="A2118" s="36" t="str">
        <f>IFERROR(__xludf.DUMMYFUNCTION("""COMPUTED_VALUE"""),"02-38-12-222A")</f>
        <v>02-38-12-222A</v>
      </c>
      <c r="B2118" s="36" t="str">
        <f>IFERROR(__xludf.DUMMYFUNCTION("""COMPUTED_VALUE"""),"")</f>
        <v/>
      </c>
      <c r="C2118" s="36" t="str">
        <f>IFERROR(__xludf.DUMMYFUNCTION("""COMPUTED_VALUE"""),"")</f>
        <v/>
      </c>
      <c r="D2118" s="36" t="str">
        <f>IFERROR(__xludf.DUMMYFUNCTION("""COMPUTED_VALUE"""),"")</f>
        <v/>
      </c>
      <c r="E2118" s="36" t="str">
        <f>IFERROR(__xludf.DUMMYFUNCTION("""COMPUTED_VALUE"""),"08-26-04-57")</f>
        <v>08-26-04-57</v>
      </c>
      <c r="F2118" s="36"/>
      <c r="G2118" s="36" t="str">
        <f>IFERROR(__xludf.DUMMYFUNCTION("""COMPUTED_VALUE"""),"Plaza B° Conjunto 3 S")</f>
        <v>Plaza B° Conjunto 3 S</v>
      </c>
      <c r="H2118" s="36" t="str">
        <f>IFERROR(__xludf.DUMMYFUNCTION("""COMPUTED_VALUE"""),"")</f>
        <v/>
      </c>
    </row>
    <row r="2119">
      <c r="A2119" s="36" t="str">
        <f>IFERROR(__xludf.DUMMYFUNCTION("""COMPUTED_VALUE"""),"02-38-12-223")</f>
        <v>02-38-12-223</v>
      </c>
      <c r="B2119" s="36" t="str">
        <f>IFERROR(__xludf.DUMMYFUNCTION("""COMPUTED_VALUE"""),"")</f>
        <v/>
      </c>
      <c r="C2119" s="36" t="str">
        <f>IFERROR(__xludf.DUMMYFUNCTION("""COMPUTED_VALUE"""),"")</f>
        <v/>
      </c>
      <c r="D2119" s="36" t="str">
        <f>IFERROR(__xludf.DUMMYFUNCTION("""COMPUTED_VALUE"""),"")</f>
        <v/>
      </c>
      <c r="E2119" s="36" t="str">
        <f>IFERROR(__xludf.DUMMYFUNCTION("""COMPUTED_VALUE"""),"02-42-11-46")</f>
        <v>02-42-11-46</v>
      </c>
      <c r="F2119" s="36"/>
      <c r="G2119" s="36" t="str">
        <f>IFERROR(__xludf.DUMMYFUNCTION("""COMPUTED_VALUE"""),"Plaza B° Conjuntos 1, 2 y 3 Rivadavia Norte")</f>
        <v>Plaza B° Conjuntos 1, 2 y 3 Rivadavia Norte</v>
      </c>
      <c r="H2119" s="36" t="str">
        <f>IFERROR(__xludf.DUMMYFUNCTION("""COMPUTED_VALUE"""),"")</f>
        <v/>
      </c>
    </row>
    <row r="2120">
      <c r="A2120" s="36" t="str">
        <f>IFERROR(__xludf.DUMMYFUNCTION("""COMPUTED_VALUE"""),"02-38-12-223A")</f>
        <v>02-38-12-223A</v>
      </c>
      <c r="B2120" s="36" t="str">
        <f>IFERROR(__xludf.DUMMYFUNCTION("""COMPUTED_VALUE"""),"")</f>
        <v/>
      </c>
      <c r="C2120" s="36" t="str">
        <f>IFERROR(__xludf.DUMMYFUNCTION("""COMPUTED_VALUE"""),"")</f>
        <v/>
      </c>
      <c r="D2120" s="36" t="str">
        <f>IFERROR(__xludf.DUMMYFUNCTION("""COMPUTED_VALUE"""),"")</f>
        <v/>
      </c>
      <c r="E2120" s="36" t="str">
        <f>IFERROR(__xludf.DUMMYFUNCTION("""COMPUTED_VALUE"""),"02-42-11-47")</f>
        <v>02-42-11-47</v>
      </c>
      <c r="F2120" s="36"/>
      <c r="G2120" s="36" t="str">
        <f>IFERROR(__xludf.DUMMYFUNCTION("""COMPUTED_VALUE"""),"Plaza B° Conjuntos 1, 2 y 3 Rivadavia Sur")</f>
        <v>Plaza B° Conjuntos 1, 2 y 3 Rivadavia Sur</v>
      </c>
      <c r="H2120" s="36" t="str">
        <f>IFERROR(__xludf.DUMMYFUNCTION("""COMPUTED_VALUE"""),"")</f>
        <v/>
      </c>
    </row>
    <row r="2121">
      <c r="A2121" s="36" t="str">
        <f>IFERROR(__xludf.DUMMYFUNCTION("""COMPUTED_VALUE"""),"02-38-12-224")</f>
        <v>02-38-12-224</v>
      </c>
      <c r="B2121" s="36" t="str">
        <f>IFERROR(__xludf.DUMMYFUNCTION("""COMPUTED_VALUE"""),"")</f>
        <v/>
      </c>
      <c r="C2121" s="36" t="str">
        <f>IFERROR(__xludf.DUMMYFUNCTION("""COMPUTED_VALUE"""),"")</f>
        <v/>
      </c>
      <c r="D2121" s="36" t="str">
        <f>IFERROR(__xludf.DUMMYFUNCTION("""COMPUTED_VALUE"""),"")</f>
        <v/>
      </c>
      <c r="E2121" s="36" t="str">
        <f>IFERROR(__xludf.DUMMYFUNCTION("""COMPUTED_VALUE"""),"08-36-02-80")</f>
        <v>08-36-02-80</v>
      </c>
      <c r="F2121" s="36"/>
      <c r="G2121" s="36" t="str">
        <f>IFERROR(__xludf.DUMMYFUNCTION("""COMPUTED_VALUE"""),"Plaza B° La Amistad")</f>
        <v>Plaza B° La Amistad</v>
      </c>
      <c r="H2121" s="36" t="str">
        <f>IFERROR(__xludf.DUMMYFUNCTION("""COMPUTED_VALUE"""),"")</f>
        <v/>
      </c>
    </row>
    <row r="2122">
      <c r="A2122" s="36" t="str">
        <f>IFERROR(__xludf.DUMMYFUNCTION("""COMPUTED_VALUE"""),"02-38-12-225")</f>
        <v>02-38-12-225</v>
      </c>
      <c r="B2122" s="36" t="str">
        <f>IFERROR(__xludf.DUMMYFUNCTION("""COMPUTED_VALUE"""),"")</f>
        <v/>
      </c>
      <c r="C2122" s="36" t="str">
        <f>IFERROR(__xludf.DUMMYFUNCTION("""COMPUTED_VALUE"""),"")</f>
        <v/>
      </c>
      <c r="D2122" s="36" t="str">
        <f>IFERROR(__xludf.DUMMYFUNCTION("""COMPUTED_VALUE"""),"")</f>
        <v/>
      </c>
      <c r="E2122" s="36" t="str">
        <f>IFERROR(__xludf.DUMMYFUNCTION("""COMPUTED_VALUE"""),"08-28-03-21")</f>
        <v>08-28-03-21</v>
      </c>
      <c r="F2122" s="36"/>
      <c r="G2122" s="36" t="str">
        <f>IFERROR(__xludf.DUMMYFUNCTION("""COMPUTED_VALUE"""),"Plaza B° Las Vicuñas")</f>
        <v>Plaza B° Las Vicuñas</v>
      </c>
      <c r="H2122" s="36" t="str">
        <f>IFERROR(__xludf.DUMMYFUNCTION("""COMPUTED_VALUE"""),"")</f>
        <v/>
      </c>
    </row>
    <row r="2123">
      <c r="A2123" s="36" t="str">
        <f>IFERROR(__xludf.DUMMYFUNCTION("""COMPUTED_VALUE"""),"02-38-12-226")</f>
        <v>02-38-12-226</v>
      </c>
      <c r="B2123" s="36" t="str">
        <f>IFERROR(__xludf.DUMMYFUNCTION("""COMPUTED_VALUE"""),"")</f>
        <v/>
      </c>
      <c r="C2123" s="36" t="str">
        <f>IFERROR(__xludf.DUMMYFUNCTION("""COMPUTED_VALUE"""),"")</f>
        <v/>
      </c>
      <c r="D2123" s="36" t="str">
        <f>IFERROR(__xludf.DUMMYFUNCTION("""COMPUTED_VALUE"""),"")</f>
        <v/>
      </c>
      <c r="E2123" s="36" t="str">
        <f>IFERROR(__xludf.DUMMYFUNCTION("""COMPUTED_VALUE"""),"02-42-11-31")</f>
        <v>02-42-11-31</v>
      </c>
      <c r="F2123" s="36"/>
      <c r="G2123" s="36" t="str">
        <f>IFERROR(__xludf.DUMMYFUNCTION("""COMPUTED_VALUE"""),"Plaza B° Los Penitentes")</f>
        <v>Plaza B° Los Penitentes</v>
      </c>
      <c r="H2123" s="36" t="str">
        <f>IFERROR(__xludf.DUMMYFUNCTION("""COMPUTED_VALUE"""),"")</f>
        <v/>
      </c>
    </row>
    <row r="2124">
      <c r="A2124" s="36" t="str">
        <f>IFERROR(__xludf.DUMMYFUNCTION("""COMPUTED_VALUE"""),"02-38-12-228")</f>
        <v>02-38-12-228</v>
      </c>
      <c r="B2124" s="36" t="str">
        <f>IFERROR(__xludf.DUMMYFUNCTION("""COMPUTED_VALUE"""),"")</f>
        <v/>
      </c>
      <c r="C2124" s="36" t="str">
        <f>IFERROR(__xludf.DUMMYFUNCTION("""COMPUTED_VALUE"""),"")</f>
        <v/>
      </c>
      <c r="D2124" s="36" t="str">
        <f>IFERROR(__xludf.DUMMYFUNCTION("""COMPUTED_VALUE"""),"")</f>
        <v/>
      </c>
      <c r="E2124" s="36" t="str">
        <f>IFERROR(__xludf.DUMMYFUNCTION("""COMPUTED_VALUE"""),"08-40-02-129")</f>
        <v>08-40-02-129</v>
      </c>
      <c r="F2124" s="36"/>
      <c r="G2124" s="36" t="str">
        <f>IFERROR(__xludf.DUMMYFUNCTION("""COMPUTED_VALUE"""),"Plaza B° Los Tamarindos")</f>
        <v>Plaza B° Los Tamarindos</v>
      </c>
      <c r="H2124" s="36" t="str">
        <f>IFERROR(__xludf.DUMMYFUNCTION("""COMPUTED_VALUE"""),"")</f>
        <v/>
      </c>
    </row>
    <row r="2125">
      <c r="A2125" s="36" t="str">
        <f>IFERROR(__xludf.DUMMYFUNCTION("""COMPUTED_VALUE"""),"02-38-12-229")</f>
        <v>02-38-12-229</v>
      </c>
      <c r="B2125" s="36" t="str">
        <f>IFERROR(__xludf.DUMMYFUNCTION("""COMPUTED_VALUE"""),"")</f>
        <v/>
      </c>
      <c r="C2125" s="36" t="str">
        <f>IFERROR(__xludf.DUMMYFUNCTION("""COMPUTED_VALUE"""),"")</f>
        <v/>
      </c>
      <c r="D2125" s="36" t="str">
        <f>IFERROR(__xludf.DUMMYFUNCTION("""COMPUTED_VALUE"""),"")</f>
        <v/>
      </c>
      <c r="E2125" s="36" t="str">
        <f>IFERROR(__xludf.DUMMYFUNCTION("""COMPUTED_VALUE"""),"02-24-05-61")</f>
        <v>02-24-05-61</v>
      </c>
      <c r="F2125" s="36"/>
      <c r="G2125" s="36" t="str">
        <f>IFERROR(__xludf.DUMMYFUNCTION("""COMPUTED_VALUE"""),"Plaza B° Los Zorzales")</f>
        <v>Plaza B° Los Zorzales</v>
      </c>
      <c r="H2125" s="36" t="str">
        <f>IFERROR(__xludf.DUMMYFUNCTION("""COMPUTED_VALUE"""),"")</f>
        <v/>
      </c>
    </row>
    <row r="2126">
      <c r="A2126" s="36" t="str">
        <f>IFERROR(__xludf.DUMMYFUNCTION("""COMPUTED_VALUE"""),"02-38-12-231")</f>
        <v>02-38-12-231</v>
      </c>
      <c r="B2126" s="36" t="str">
        <f>IFERROR(__xludf.DUMMYFUNCTION("""COMPUTED_VALUE"""),"")</f>
        <v/>
      </c>
      <c r="C2126" s="36" t="str">
        <f>IFERROR(__xludf.DUMMYFUNCTION("""COMPUTED_VALUE"""),"")</f>
        <v/>
      </c>
      <c r="D2126" s="36" t="str">
        <f>IFERROR(__xludf.DUMMYFUNCTION("""COMPUTED_VALUE"""),"")</f>
        <v/>
      </c>
      <c r="E2126" s="36" t="str">
        <f>IFERROR(__xludf.DUMMYFUNCTION("""COMPUTED_VALUE"""),"02-24-05-58")</f>
        <v>02-24-05-58</v>
      </c>
      <c r="F2126" s="36"/>
      <c r="G2126" s="36" t="str">
        <f>IFERROR(__xludf.DUMMYFUNCTION("""COMPUTED_VALUE"""),"Plaza B° Marquesado I")</f>
        <v>Plaza B° Marquesado I</v>
      </c>
      <c r="H2126" s="36" t="str">
        <f>IFERROR(__xludf.DUMMYFUNCTION("""COMPUTED_VALUE"""),"")</f>
        <v/>
      </c>
    </row>
    <row r="2127">
      <c r="A2127" s="36" t="str">
        <f>IFERROR(__xludf.DUMMYFUNCTION("""COMPUTED_VALUE"""),"02-38-12-233")</f>
        <v>02-38-12-233</v>
      </c>
      <c r="B2127" s="36" t="str">
        <f>IFERROR(__xludf.DUMMYFUNCTION("""COMPUTED_VALUE"""),"")</f>
        <v/>
      </c>
      <c r="C2127" s="36" t="str">
        <f>IFERROR(__xludf.DUMMYFUNCTION("""COMPUTED_VALUE"""),"")</f>
        <v/>
      </c>
      <c r="D2127" s="36" t="str">
        <f>IFERROR(__xludf.DUMMYFUNCTION("""COMPUTED_VALUE"""),"")</f>
        <v/>
      </c>
      <c r="E2127" s="36" t="str">
        <f>IFERROR(__xludf.DUMMYFUNCTION("""COMPUTED_VALUE"""),"02-24-05-56")</f>
        <v>02-24-05-56</v>
      </c>
      <c r="F2127" s="36"/>
      <c r="G2127" s="36" t="str">
        <f>IFERROR(__xludf.DUMMYFUNCTION("""COMPUTED_VALUE"""),"Plaza B° Marquesado III E")</f>
        <v>Plaza B° Marquesado III E</v>
      </c>
      <c r="H2127" s="36" t="str">
        <f>IFERROR(__xludf.DUMMYFUNCTION("""COMPUTED_VALUE"""),"")</f>
        <v/>
      </c>
    </row>
    <row r="2128">
      <c r="A2128" s="36" t="str">
        <f>IFERROR(__xludf.DUMMYFUNCTION("""COMPUTED_VALUE"""),"02-38-12-234")</f>
        <v>02-38-12-234</v>
      </c>
      <c r="B2128" s="36" t="str">
        <f>IFERROR(__xludf.DUMMYFUNCTION("""COMPUTED_VALUE"""),"")</f>
        <v/>
      </c>
      <c r="C2128" s="36" t="str">
        <f>IFERROR(__xludf.DUMMYFUNCTION("""COMPUTED_VALUE"""),"")</f>
        <v/>
      </c>
      <c r="D2128" s="36" t="str">
        <f>IFERROR(__xludf.DUMMYFUNCTION("""COMPUTED_VALUE"""),"")</f>
        <v/>
      </c>
      <c r="E2128" s="36" t="str">
        <f>IFERROR(__xludf.DUMMYFUNCTION("""COMPUTED_VALUE"""),"02-24-05-57")</f>
        <v>02-24-05-57</v>
      </c>
      <c r="F2128" s="36"/>
      <c r="G2128" s="36" t="str">
        <f>IFERROR(__xludf.DUMMYFUNCTION("""COMPUTED_VALUE"""),"Plaza B° Marquesado III O")</f>
        <v>Plaza B° Marquesado III O</v>
      </c>
      <c r="H2128" s="36" t="str">
        <f>IFERROR(__xludf.DUMMYFUNCTION("""COMPUTED_VALUE"""),"")</f>
        <v/>
      </c>
    </row>
    <row r="2129">
      <c r="A2129" s="36" t="str">
        <f>IFERROR(__xludf.DUMMYFUNCTION("""COMPUTED_VALUE"""),"02-38-12-235")</f>
        <v>02-38-12-235</v>
      </c>
      <c r="B2129" s="36" t="str">
        <f>IFERROR(__xludf.DUMMYFUNCTION("""COMPUTED_VALUE"""),"")</f>
        <v/>
      </c>
      <c r="C2129" s="36" t="str">
        <f>IFERROR(__xludf.DUMMYFUNCTION("""COMPUTED_VALUE"""),"")</f>
        <v/>
      </c>
      <c r="D2129" s="36" t="str">
        <f>IFERROR(__xludf.DUMMYFUNCTION("""COMPUTED_VALUE"""),"")</f>
        <v/>
      </c>
      <c r="E2129" s="36" t="str">
        <f>IFERROR(__xludf.DUMMYFUNCTION("""COMPUTED_VALUE"""),"02-32-11-109")</f>
        <v>02-32-11-109</v>
      </c>
      <c r="F2129" s="36"/>
      <c r="G2129" s="36" t="str">
        <f>IFERROR(__xludf.DUMMYFUNCTION("""COMPUTED_VALUE"""),"Plaza B° Natania XV")</f>
        <v>Plaza B° Natania XV</v>
      </c>
      <c r="H2129" s="36" t="str">
        <f>IFERROR(__xludf.DUMMYFUNCTION("""COMPUTED_VALUE"""),"")</f>
        <v/>
      </c>
    </row>
    <row r="2130">
      <c r="A2130" s="36" t="str">
        <f>IFERROR(__xludf.DUMMYFUNCTION("""COMPUTED_VALUE"""),"02-38-12-236")</f>
        <v>02-38-12-236</v>
      </c>
      <c r="B2130" s="36" t="str">
        <f>IFERROR(__xludf.DUMMYFUNCTION("""COMPUTED_VALUE"""),"")</f>
        <v/>
      </c>
      <c r="C2130" s="36" t="str">
        <f>IFERROR(__xludf.DUMMYFUNCTION("""COMPUTED_VALUE"""),"")</f>
        <v/>
      </c>
      <c r="D2130" s="36" t="str">
        <f>IFERROR(__xludf.DUMMYFUNCTION("""COMPUTED_VALUE"""),"")</f>
        <v/>
      </c>
      <c r="E2130" s="36" t="str">
        <f>IFERROR(__xludf.DUMMYFUNCTION("""COMPUTED_VALUE"""),"02-46-11-13")</f>
        <v>02-46-11-13</v>
      </c>
      <c r="F2130" s="36"/>
      <c r="G2130" s="36" t="str">
        <f>IFERROR(__xludf.DUMMYFUNCTION("""COMPUTED_VALUE"""),"Plaza B° Nuevo Cuyo")</f>
        <v>Plaza B° Nuevo Cuyo</v>
      </c>
      <c r="H2130" s="36" t="str">
        <f>IFERROR(__xludf.DUMMYFUNCTION("""COMPUTED_VALUE"""),"")</f>
        <v/>
      </c>
    </row>
    <row r="2131">
      <c r="A2131" s="36" t="str">
        <f>IFERROR(__xludf.DUMMYFUNCTION("""COMPUTED_VALUE"""),"02-38-12-237")</f>
        <v>02-38-12-237</v>
      </c>
      <c r="B2131" s="36" t="str">
        <f>IFERROR(__xludf.DUMMYFUNCTION("""COMPUTED_VALUE"""),"")</f>
        <v/>
      </c>
      <c r="C2131" s="36" t="str">
        <f>IFERROR(__xludf.DUMMYFUNCTION("""COMPUTED_VALUE"""),"")</f>
        <v/>
      </c>
      <c r="D2131" s="36" t="str">
        <f>IFERROR(__xludf.DUMMYFUNCTION("""COMPUTED_VALUE"""),"")</f>
        <v/>
      </c>
      <c r="E2131" s="36" t="str">
        <f>IFERROR(__xludf.DUMMYFUNCTION("""COMPUTED_VALUE"""),"02-27-06-82")</f>
        <v>02-27-06-82</v>
      </c>
      <c r="F2131" s="36"/>
      <c r="G2131" s="36" t="str">
        <f>IFERROR(__xludf.DUMMYFUNCTION("""COMPUTED_VALUE"""),"Plaza B° Parque Rivadavia Norte N")</f>
        <v>Plaza B° Parque Rivadavia Norte N</v>
      </c>
      <c r="H2131" s="36" t="str">
        <f>IFERROR(__xludf.DUMMYFUNCTION("""COMPUTED_VALUE"""),"")</f>
        <v/>
      </c>
    </row>
    <row r="2132">
      <c r="A2132" s="36" t="str">
        <f>IFERROR(__xludf.DUMMYFUNCTION("""COMPUTED_VALUE"""),"02-38-12-238")</f>
        <v>02-38-12-238</v>
      </c>
      <c r="B2132" s="36" t="str">
        <f>IFERROR(__xludf.DUMMYFUNCTION("""COMPUTED_VALUE"""),"")</f>
        <v/>
      </c>
      <c r="C2132" s="36" t="str">
        <f>IFERROR(__xludf.DUMMYFUNCTION("""COMPUTED_VALUE"""),"")</f>
        <v/>
      </c>
      <c r="D2132" s="36" t="str">
        <f>IFERROR(__xludf.DUMMYFUNCTION("""COMPUTED_VALUE"""),"")</f>
        <v/>
      </c>
      <c r="E2132" s="36" t="str">
        <f>IFERROR(__xludf.DUMMYFUNCTION("""COMPUTED_VALUE"""),"02-27-06-83")</f>
        <v>02-27-06-83</v>
      </c>
      <c r="F2132" s="36"/>
      <c r="G2132" s="36" t="str">
        <f>IFERROR(__xludf.DUMMYFUNCTION("""COMPUTED_VALUE"""),"Plaza B° Parque Rivadavia Norte S")</f>
        <v>Plaza B° Parque Rivadavia Norte S</v>
      </c>
      <c r="H2132" s="36" t="str">
        <f>IFERROR(__xludf.DUMMYFUNCTION("""COMPUTED_VALUE"""),"")</f>
        <v/>
      </c>
    </row>
    <row r="2133">
      <c r="A2133" s="36" t="str">
        <f>IFERROR(__xludf.DUMMYFUNCTION("""COMPUTED_VALUE"""),"02-38-12-239")</f>
        <v>02-38-12-239</v>
      </c>
      <c r="B2133" s="36" t="str">
        <f>IFERROR(__xludf.DUMMYFUNCTION("""COMPUTED_VALUE"""),"")</f>
        <v/>
      </c>
      <c r="C2133" s="36" t="str">
        <f>IFERROR(__xludf.DUMMYFUNCTION("""COMPUTED_VALUE"""),"")</f>
        <v/>
      </c>
      <c r="D2133" s="36" t="str">
        <f>IFERROR(__xludf.DUMMYFUNCTION("""COMPUTED_VALUE"""),"")</f>
        <v/>
      </c>
      <c r="E2133" s="36" t="str">
        <f>IFERROR(__xludf.DUMMYFUNCTION("""COMPUTED_VALUE"""),"02-40-11-116A")</f>
        <v>02-40-11-116A</v>
      </c>
      <c r="F2133" s="36"/>
      <c r="G2133" s="36" t="str">
        <f>IFERROR(__xludf.DUMMYFUNCTION("""COMPUTED_VALUE"""),"Plaza B° Piquen Norte")</f>
        <v>Plaza B° Piquen Norte</v>
      </c>
      <c r="H2133" s="36" t="str">
        <f>IFERROR(__xludf.DUMMYFUNCTION("""COMPUTED_VALUE"""),"")</f>
        <v/>
      </c>
    </row>
    <row r="2134">
      <c r="A2134" s="36" t="str">
        <f>IFERROR(__xludf.DUMMYFUNCTION("""COMPUTED_VALUE"""),"02-38-12-242")</f>
        <v>02-38-12-242</v>
      </c>
      <c r="B2134" s="36" t="str">
        <f>IFERROR(__xludf.DUMMYFUNCTION("""COMPUTED_VALUE"""),"")</f>
        <v/>
      </c>
      <c r="C2134" s="36" t="str">
        <f>IFERROR(__xludf.DUMMYFUNCTION("""COMPUTED_VALUE"""),"")</f>
        <v/>
      </c>
      <c r="D2134" s="36" t="str">
        <f>IFERROR(__xludf.DUMMYFUNCTION("""COMPUTED_VALUE"""),"")</f>
        <v/>
      </c>
      <c r="E2134" s="36" t="str">
        <f>IFERROR(__xludf.DUMMYFUNCTION("""COMPUTED_VALUE"""),"02-40-11-116")</f>
        <v>02-40-11-116</v>
      </c>
      <c r="F2134" s="36"/>
      <c r="G2134" s="36" t="str">
        <f>IFERROR(__xludf.DUMMYFUNCTION("""COMPUTED_VALUE"""),"Plaza B° Piquen Sur")</f>
        <v>Plaza B° Piquen Sur</v>
      </c>
      <c r="H2134" s="36" t="str">
        <f>IFERROR(__xludf.DUMMYFUNCTION("""COMPUTED_VALUE"""),"")</f>
        <v/>
      </c>
    </row>
    <row r="2135">
      <c r="A2135" s="36" t="str">
        <f>IFERROR(__xludf.DUMMYFUNCTION("""COMPUTED_VALUE"""),"02-38-12-244")</f>
        <v>02-38-12-244</v>
      </c>
      <c r="B2135" s="36" t="str">
        <f>IFERROR(__xludf.DUMMYFUNCTION("""COMPUTED_VALUE"""),"")</f>
        <v/>
      </c>
      <c r="C2135" s="36" t="str">
        <f>IFERROR(__xludf.DUMMYFUNCTION("""COMPUTED_VALUE"""),"")</f>
        <v/>
      </c>
      <c r="D2135" s="36" t="str">
        <f>IFERROR(__xludf.DUMMYFUNCTION("""COMPUTED_VALUE"""),"")</f>
        <v/>
      </c>
      <c r="E2135" s="36" t="str">
        <f>IFERROR(__xludf.DUMMYFUNCTION("""COMPUTED_VALUE"""),"02-31-06-64B")</f>
        <v>02-31-06-64B</v>
      </c>
      <c r="F2135" s="36"/>
      <c r="G2135" s="36" t="str">
        <f>IFERROR(__xludf.DUMMYFUNCTION("""COMPUTED_VALUE"""),"Plaza B° Portal de los Andes N")</f>
        <v>Plaza B° Portal de los Andes N</v>
      </c>
      <c r="H2135" s="36" t="str">
        <f>IFERROR(__xludf.DUMMYFUNCTION("""COMPUTED_VALUE"""),"")</f>
        <v/>
      </c>
    </row>
    <row r="2136">
      <c r="A2136" s="36" t="str">
        <f>IFERROR(__xludf.DUMMYFUNCTION("""COMPUTED_VALUE"""),"02-38-12-26")</f>
        <v>02-38-12-26</v>
      </c>
      <c r="B2136" s="36" t="str">
        <f>IFERROR(__xludf.DUMMYFUNCTION("""COMPUTED_VALUE"""),"")</f>
        <v/>
      </c>
      <c r="C2136" s="36" t="str">
        <f>IFERROR(__xludf.DUMMYFUNCTION("""COMPUTED_VALUE"""),"")</f>
        <v/>
      </c>
      <c r="D2136" s="36" t="str">
        <f>IFERROR(__xludf.DUMMYFUNCTION("""COMPUTED_VALUE"""),"")</f>
        <v/>
      </c>
      <c r="E2136" s="36" t="str">
        <f>IFERROR(__xludf.DUMMYFUNCTION("""COMPUTED_VALUE"""),"02-31-06-51")</f>
        <v>02-31-06-51</v>
      </c>
      <c r="F2136" s="36"/>
      <c r="G2136" s="36" t="str">
        <f>IFERROR(__xludf.DUMMYFUNCTION("""COMPUTED_VALUE"""),"Plaza B° Portal de los Andes S")</f>
        <v>Plaza B° Portal de los Andes S</v>
      </c>
      <c r="H2136" s="36" t="str">
        <f>IFERROR(__xludf.DUMMYFUNCTION("""COMPUTED_VALUE"""),"")</f>
        <v/>
      </c>
    </row>
    <row r="2137">
      <c r="A2137" s="36" t="str">
        <f>IFERROR(__xludf.DUMMYFUNCTION("""COMPUTED_VALUE"""),"02-38-12-272")</f>
        <v>02-38-12-272</v>
      </c>
      <c r="B2137" s="36" t="str">
        <f>IFERROR(__xludf.DUMMYFUNCTION("""COMPUTED_VALUE"""),"")</f>
        <v/>
      </c>
      <c r="C2137" s="36" t="str">
        <f>IFERROR(__xludf.DUMMYFUNCTION("""COMPUTED_VALUE"""),"")</f>
        <v/>
      </c>
      <c r="D2137" s="36" t="str">
        <f>IFERROR(__xludf.DUMMYFUNCTION("""COMPUTED_VALUE"""),"")</f>
        <v/>
      </c>
      <c r="E2137" s="36" t="str">
        <f>IFERROR(__xludf.DUMMYFUNCTION("""COMPUTED_VALUE"""),"03-33-10-58C")</f>
        <v>03-33-10-58C</v>
      </c>
      <c r="F2137" s="36"/>
      <c r="G2137" s="36" t="str">
        <f>IFERROR(__xludf.DUMMYFUNCTION("""COMPUTED_VALUE"""),"Plaza B° Santa Lucía Maestro Sánchez")</f>
        <v>Plaza B° Santa Lucía Maestro Sánchez</v>
      </c>
      <c r="H2137" s="36" t="str">
        <f>IFERROR(__xludf.DUMMYFUNCTION("""COMPUTED_VALUE"""),"")</f>
        <v/>
      </c>
    </row>
    <row r="2138">
      <c r="A2138" s="36" t="str">
        <f>IFERROR(__xludf.DUMMYFUNCTION("""COMPUTED_VALUE"""),"02-38-12-275")</f>
        <v>02-38-12-275</v>
      </c>
      <c r="B2138" s="36" t="str">
        <f>IFERROR(__xludf.DUMMYFUNCTION("""COMPUTED_VALUE"""),"")</f>
        <v/>
      </c>
      <c r="C2138" s="36" t="str">
        <f>IFERROR(__xludf.DUMMYFUNCTION("""COMPUTED_VALUE"""),"")</f>
        <v/>
      </c>
      <c r="D2138" s="36" t="str">
        <f>IFERROR(__xludf.DUMMYFUNCTION("""COMPUTED_VALUE"""),"")</f>
        <v/>
      </c>
      <c r="E2138" s="36" t="str">
        <f>IFERROR(__xludf.DUMMYFUNCTION("""COMPUTED_VALUE"""),"08-26-03-55")</f>
        <v>08-26-03-55</v>
      </c>
      <c r="F2138" s="36"/>
      <c r="G2138" s="36" t="str">
        <f>IFERROR(__xludf.DUMMYFUNCTION("""COMPUTED_VALUE"""),"Plaza B° Sindicato de Televisión E")</f>
        <v>Plaza B° Sindicato de Televisión E</v>
      </c>
      <c r="H2138" s="36" t="str">
        <f>IFERROR(__xludf.DUMMYFUNCTION("""COMPUTED_VALUE"""),"")</f>
        <v/>
      </c>
    </row>
    <row r="2139">
      <c r="A2139" s="36" t="str">
        <f>IFERROR(__xludf.DUMMYFUNCTION("""COMPUTED_VALUE"""),"02-38-12-276")</f>
        <v>02-38-12-276</v>
      </c>
      <c r="B2139" s="36" t="str">
        <f>IFERROR(__xludf.DUMMYFUNCTION("""COMPUTED_VALUE"""),"")</f>
        <v/>
      </c>
      <c r="C2139" s="36" t="str">
        <f>IFERROR(__xludf.DUMMYFUNCTION("""COMPUTED_VALUE"""),"")</f>
        <v/>
      </c>
      <c r="D2139" s="36" t="str">
        <f>IFERROR(__xludf.DUMMYFUNCTION("""COMPUTED_VALUE"""),"")</f>
        <v/>
      </c>
      <c r="E2139" s="36" t="str">
        <f>IFERROR(__xludf.DUMMYFUNCTION("""COMPUTED_VALUE"""),"08-26-03-56")</f>
        <v>08-26-03-56</v>
      </c>
      <c r="F2139" s="36"/>
      <c r="G2139" s="36" t="str">
        <f>IFERROR(__xludf.DUMMYFUNCTION("""COMPUTED_VALUE"""),"Plaza B° Sindicato de Televisión O")</f>
        <v>Plaza B° Sindicato de Televisión O</v>
      </c>
      <c r="H2139" s="36" t="str">
        <f>IFERROR(__xludf.DUMMYFUNCTION("""COMPUTED_VALUE"""),"")</f>
        <v/>
      </c>
    </row>
    <row r="2140">
      <c r="A2140" s="36" t="str">
        <f>IFERROR(__xludf.DUMMYFUNCTION("""COMPUTED_VALUE"""),"02-38-12-277")</f>
        <v>02-38-12-277</v>
      </c>
      <c r="B2140" s="36" t="str">
        <f>IFERROR(__xludf.DUMMYFUNCTION("""COMPUTED_VALUE"""),"")</f>
        <v/>
      </c>
      <c r="C2140" s="36" t="str">
        <f>IFERROR(__xludf.DUMMYFUNCTION("""COMPUTED_VALUE"""),"")</f>
        <v/>
      </c>
      <c r="D2140" s="36" t="str">
        <f>IFERROR(__xludf.DUMMYFUNCTION("""COMPUTED_VALUE"""),"")</f>
        <v/>
      </c>
      <c r="E2140" s="36" t="str">
        <f>IFERROR(__xludf.DUMMYFUNCTION("""COMPUTED_VALUE"""),"02-40-11-115A")</f>
        <v>02-40-11-115A</v>
      </c>
      <c r="F2140" s="36"/>
      <c r="G2140" s="36" t="str">
        <f>IFERROR(__xludf.DUMMYFUNCTION("""COMPUTED_VALUE"""),"Plaza B° SOEVA III Norte")</f>
        <v>Plaza B° SOEVA III Norte</v>
      </c>
      <c r="H2140" s="36" t="str">
        <f>IFERROR(__xludf.DUMMYFUNCTION("""COMPUTED_VALUE"""),"")</f>
        <v/>
      </c>
    </row>
    <row r="2141">
      <c r="A2141" s="36" t="str">
        <f>IFERROR(__xludf.DUMMYFUNCTION("""COMPUTED_VALUE"""),"02-38-12-278")</f>
        <v>02-38-12-278</v>
      </c>
      <c r="B2141" s="36" t="str">
        <f>IFERROR(__xludf.DUMMYFUNCTION("""COMPUTED_VALUE"""),"")</f>
        <v/>
      </c>
      <c r="C2141" s="36" t="str">
        <f>IFERROR(__xludf.DUMMYFUNCTION("""COMPUTED_VALUE"""),"")</f>
        <v/>
      </c>
      <c r="D2141" s="36" t="str">
        <f>IFERROR(__xludf.DUMMYFUNCTION("""COMPUTED_VALUE"""),"")</f>
        <v/>
      </c>
      <c r="E2141" s="36" t="str">
        <f>IFERROR(__xludf.DUMMYFUNCTION("""COMPUTED_VALUE"""),"02-40-11-115")</f>
        <v>02-40-11-115</v>
      </c>
      <c r="F2141" s="36"/>
      <c r="G2141" s="36" t="str">
        <f>IFERROR(__xludf.DUMMYFUNCTION("""COMPUTED_VALUE"""),"Plaza B° SOEVA III Sur")</f>
        <v>Plaza B° SOEVA III Sur</v>
      </c>
      <c r="H2141" s="36" t="str">
        <f>IFERROR(__xludf.DUMMYFUNCTION("""COMPUTED_VALUE"""),"")</f>
        <v/>
      </c>
    </row>
    <row r="2142">
      <c r="A2142" s="36" t="str">
        <f>IFERROR(__xludf.DUMMYFUNCTION("""COMPUTED_VALUE"""),"02-38-12-28")</f>
        <v>02-38-12-28</v>
      </c>
      <c r="B2142" s="36" t="str">
        <f>IFERROR(__xludf.DUMMYFUNCTION("""COMPUTED_VALUE"""),"")</f>
        <v/>
      </c>
      <c r="C2142" s="36" t="str">
        <f>IFERROR(__xludf.DUMMYFUNCTION("""COMPUTED_VALUE"""),"")</f>
        <v/>
      </c>
      <c r="D2142" s="36" t="str">
        <f>IFERROR(__xludf.DUMMYFUNCTION("""COMPUTED_VALUE"""),"")</f>
        <v/>
      </c>
      <c r="E2142" s="36" t="str">
        <f>IFERROR(__xludf.DUMMYFUNCTION("""COMPUTED_VALUE"""),"04-42-11-53")</f>
        <v>04-42-11-53</v>
      </c>
      <c r="F2142" s="36"/>
      <c r="G2142" s="36" t="str">
        <f>IFERROR(__xludf.DUMMYFUNCTION("""COMPUTED_VALUE"""),"Plaza B° Valle Grande")</f>
        <v>Plaza B° Valle Grande</v>
      </c>
      <c r="H2142" s="36" t="str">
        <f>IFERROR(__xludf.DUMMYFUNCTION("""COMPUTED_VALUE"""),"")</f>
        <v/>
      </c>
    </row>
    <row r="2143">
      <c r="A2143" s="36" t="str">
        <f>IFERROR(__xludf.DUMMYFUNCTION("""COMPUTED_VALUE"""),"02-38-12-280")</f>
        <v>02-38-12-280</v>
      </c>
      <c r="B2143" s="36" t="str">
        <f>IFERROR(__xludf.DUMMYFUNCTION("""COMPUTED_VALUE"""),"")</f>
        <v/>
      </c>
      <c r="C2143" s="36" t="str">
        <f>IFERROR(__xludf.DUMMYFUNCTION("""COMPUTED_VALUE"""),"")</f>
        <v/>
      </c>
      <c r="D2143" s="36" t="str">
        <f>IFERROR(__xludf.DUMMYFUNCTION("""COMPUTED_VALUE"""),"")</f>
        <v/>
      </c>
      <c r="E2143" s="36" t="str">
        <f>IFERROR(__xludf.DUMMYFUNCTION("""COMPUTED_VALUE"""),"04-42-11-58A")</f>
        <v>04-42-11-58A</v>
      </c>
      <c r="F2143" s="36"/>
      <c r="G2143" s="36" t="str">
        <f>IFERROR(__xludf.DUMMYFUNCTION("""COMPUTED_VALUE"""),"Plaza B° Valle Grande Este")</f>
        <v>Plaza B° Valle Grande Este</v>
      </c>
      <c r="H2143" s="36" t="str">
        <f>IFERROR(__xludf.DUMMYFUNCTION("""COMPUTED_VALUE"""),"")</f>
        <v/>
      </c>
    </row>
    <row r="2144">
      <c r="A2144" s="36" t="str">
        <f>IFERROR(__xludf.DUMMYFUNCTION("""COMPUTED_VALUE"""),"02-38-12-281")</f>
        <v>02-38-12-281</v>
      </c>
      <c r="B2144" s="36" t="str">
        <f>IFERROR(__xludf.DUMMYFUNCTION("""COMPUTED_VALUE"""),"")</f>
        <v/>
      </c>
      <c r="C2144" s="36" t="str">
        <f>IFERROR(__xludf.DUMMYFUNCTION("""COMPUTED_VALUE"""),"")</f>
        <v/>
      </c>
      <c r="D2144" s="36" t="str">
        <f>IFERROR(__xludf.DUMMYFUNCTION("""COMPUTED_VALUE"""),"")</f>
        <v/>
      </c>
      <c r="E2144" s="36" t="str">
        <f>IFERROR(__xludf.DUMMYFUNCTION("""COMPUTED_VALUE"""),"04-42-11-58")</f>
        <v>04-42-11-58</v>
      </c>
      <c r="F2144" s="36"/>
      <c r="G2144" s="36" t="str">
        <f>IFERROR(__xludf.DUMMYFUNCTION("""COMPUTED_VALUE"""),"Plaza B° Valle Grande Oeste")</f>
        <v>Plaza B° Valle Grande Oeste</v>
      </c>
      <c r="H2144" s="36" t="str">
        <f>IFERROR(__xludf.DUMMYFUNCTION("""COMPUTED_VALUE"""),"")</f>
        <v/>
      </c>
    </row>
    <row r="2145">
      <c r="A2145" s="36" t="str">
        <f>IFERROR(__xludf.DUMMYFUNCTION("""COMPUTED_VALUE"""),"02-38-12-282")</f>
        <v>02-38-12-282</v>
      </c>
      <c r="B2145" s="36" t="str">
        <f>IFERROR(__xludf.DUMMYFUNCTION("""COMPUTED_VALUE"""),"")</f>
        <v/>
      </c>
      <c r="C2145" s="36" t="str">
        <f>IFERROR(__xludf.DUMMYFUNCTION("""COMPUTED_VALUE"""),"")</f>
        <v/>
      </c>
      <c r="D2145" s="36" t="str">
        <f>IFERROR(__xludf.DUMMYFUNCTION("""COMPUTED_VALUE"""),"")</f>
        <v/>
      </c>
      <c r="E2145" s="36" t="str">
        <f>IFERROR(__xludf.DUMMYFUNCTION("""COMPUTED_VALUE"""),"08-26-03-73")</f>
        <v>08-26-03-73</v>
      </c>
      <c r="F2145" s="36"/>
      <c r="G2145" s="36" t="str">
        <f>IFERROR(__xludf.DUMMYFUNCTION("""COMPUTED_VALUE"""),"Plaza B° Virgen de Andacollo IX")</f>
        <v>Plaza B° Virgen de Andacollo IX</v>
      </c>
      <c r="H2145" s="36" t="str">
        <f>IFERROR(__xludf.DUMMYFUNCTION("""COMPUTED_VALUE"""),"")</f>
        <v/>
      </c>
    </row>
    <row r="2146">
      <c r="A2146" s="36" t="str">
        <f>IFERROR(__xludf.DUMMYFUNCTION("""COMPUTED_VALUE"""),"02-38-12-282A")</f>
        <v>02-38-12-282A</v>
      </c>
      <c r="B2146" s="36" t="str">
        <f>IFERROR(__xludf.DUMMYFUNCTION("""COMPUTED_VALUE"""),"")</f>
        <v/>
      </c>
      <c r="C2146" s="36" t="str">
        <f>IFERROR(__xludf.DUMMYFUNCTION("""COMPUTED_VALUE"""),"")</f>
        <v/>
      </c>
      <c r="D2146" s="36" t="str">
        <f>IFERROR(__xludf.DUMMYFUNCTION("""COMPUTED_VALUE"""),"")</f>
        <v/>
      </c>
      <c r="E2146" s="36" t="str">
        <f>IFERROR(__xludf.DUMMYFUNCTION("""COMPUTED_VALUE"""),"01-46-06-10A")</f>
        <v>01-46-06-10A</v>
      </c>
      <c r="F2146" s="36"/>
      <c r="G2146" s="36" t="str">
        <f>IFERROR(__xludf.DUMMYFUNCTION("""COMPUTED_VALUE"""),"Plaza B° Wilkinson N")</f>
        <v>Plaza B° Wilkinson N</v>
      </c>
      <c r="H2146" s="36" t="str">
        <f>IFERROR(__xludf.DUMMYFUNCTION("""COMPUTED_VALUE"""),"")</f>
        <v/>
      </c>
    </row>
    <row r="2147">
      <c r="A2147" s="36" t="str">
        <f>IFERROR(__xludf.DUMMYFUNCTION("""COMPUTED_VALUE"""),"02-38-12-30")</f>
        <v>02-38-12-30</v>
      </c>
      <c r="B2147" s="36" t="str">
        <f>IFERROR(__xludf.DUMMYFUNCTION("""COMPUTED_VALUE"""),"")</f>
        <v/>
      </c>
      <c r="C2147" s="36" t="str">
        <f>IFERROR(__xludf.DUMMYFUNCTION("""COMPUTED_VALUE"""),"")</f>
        <v/>
      </c>
      <c r="D2147" s="36" t="str">
        <f>IFERROR(__xludf.DUMMYFUNCTION("""COMPUTED_VALUE"""),"")</f>
        <v/>
      </c>
      <c r="E2147" s="36" t="str">
        <f>IFERROR(__xludf.DUMMYFUNCTION("""COMPUTED_VALUE"""),"02-37-06-10")</f>
        <v>02-37-06-10</v>
      </c>
      <c r="F2147" s="36"/>
      <c r="G2147" s="36" t="str">
        <f>IFERROR(__xludf.DUMMYFUNCTION("""COMPUTED_VALUE"""),"Plaza B° Wilkinson S")</f>
        <v>Plaza B° Wilkinson S</v>
      </c>
      <c r="H2147" s="36" t="str">
        <f>IFERROR(__xludf.DUMMYFUNCTION("""COMPUTED_VALUE"""),"")</f>
        <v/>
      </c>
    </row>
    <row r="2148">
      <c r="A2148" s="36" t="str">
        <f>IFERROR(__xludf.DUMMYFUNCTION("""COMPUTED_VALUE"""),"02-38-12-307")</f>
        <v>02-38-12-307</v>
      </c>
      <c r="B2148" s="36" t="str">
        <f>IFERROR(__xludf.DUMMYFUNCTION("""COMPUTED_VALUE"""),"")</f>
        <v/>
      </c>
      <c r="C2148" s="36" t="str">
        <f>IFERROR(__xludf.DUMMYFUNCTION("""COMPUTED_VALUE"""),"")</f>
        <v/>
      </c>
      <c r="D2148" s="36" t="str">
        <f>IFERROR(__xludf.DUMMYFUNCTION("""COMPUTED_VALUE"""),"")</f>
        <v/>
      </c>
      <c r="E2148" s="36" t="str">
        <f>IFERROR(__xludf.DUMMYFUNCTION("""COMPUTED_VALUE"""),"08-34-01-35")</f>
        <v>08-34-01-35</v>
      </c>
      <c r="F2148" s="36"/>
      <c r="G2148" s="36" t="str">
        <f>IFERROR(__xludf.DUMMYFUNCTION("""COMPUTED_VALUE"""),"Plaza Bº 17 de Octubre")</f>
        <v>Plaza Bº 17 de Octubre</v>
      </c>
      <c r="H2148" s="36" t="str">
        <f>IFERROR(__xludf.DUMMYFUNCTION("""COMPUTED_VALUE"""),"")</f>
        <v/>
      </c>
    </row>
    <row r="2149">
      <c r="A2149" s="36" t="str">
        <f>IFERROR(__xludf.DUMMYFUNCTION("""COMPUTED_VALUE"""),"02-38-12-308")</f>
        <v>02-38-12-308</v>
      </c>
      <c r="B2149" s="36" t="str">
        <f>IFERROR(__xludf.DUMMYFUNCTION("""COMPUTED_VALUE"""),"")</f>
        <v/>
      </c>
      <c r="C2149" s="36" t="str">
        <f>IFERROR(__xludf.DUMMYFUNCTION("""COMPUTED_VALUE"""),"")</f>
        <v/>
      </c>
      <c r="D2149" s="36" t="str">
        <f>IFERROR(__xludf.DUMMYFUNCTION("""COMPUTED_VALUE"""),"")</f>
        <v/>
      </c>
      <c r="E2149" s="36" t="str">
        <f>IFERROR(__xludf.DUMMYFUNCTION("""COMPUTED_VALUE"""),"01-32-07-84")</f>
        <v>01-32-07-84</v>
      </c>
      <c r="F2149" s="36"/>
      <c r="G2149" s="36" t="str">
        <f>IFERROR(__xludf.DUMMYFUNCTION("""COMPUTED_VALUE"""),"Plaza de los Niños")</f>
        <v>Plaza de los Niños</v>
      </c>
      <c r="H2149" s="36" t="str">
        <f>IFERROR(__xludf.DUMMYFUNCTION("""COMPUTED_VALUE"""),"")</f>
        <v/>
      </c>
    </row>
    <row r="2150">
      <c r="A2150" s="36" t="str">
        <f>IFERROR(__xludf.DUMMYFUNCTION("""COMPUTED_VALUE"""),"02-38-12-309")</f>
        <v>02-38-12-309</v>
      </c>
      <c r="B2150" s="36" t="str">
        <f>IFERROR(__xludf.DUMMYFUNCTION("""COMPUTED_VALUE"""),"")</f>
        <v/>
      </c>
      <c r="C2150" s="36" t="str">
        <f>IFERROR(__xludf.DUMMYFUNCTION("""COMPUTED_VALUE"""),"")</f>
        <v/>
      </c>
      <c r="D2150" s="36" t="str">
        <f>IFERROR(__xludf.DUMMYFUNCTION("""COMPUTED_VALUE"""),"")</f>
        <v/>
      </c>
      <c r="E2150" s="36" t="str">
        <f>IFERROR(__xludf.DUMMYFUNCTION("""COMPUTED_VALUE"""),"02-20-05-41")</f>
        <v>02-20-05-41</v>
      </c>
      <c r="F2150" s="36"/>
      <c r="G2150" s="36" t="str">
        <f>IFERROR(__xludf.DUMMYFUNCTION("""COMPUTED_VALUE"""),"Plaza de Marquesado")</f>
        <v>Plaza de Marquesado</v>
      </c>
      <c r="H2150" s="36" t="str">
        <f>IFERROR(__xludf.DUMMYFUNCTION("""COMPUTED_VALUE"""),"")</f>
        <v/>
      </c>
    </row>
    <row r="2151">
      <c r="A2151" s="36" t="str">
        <f>IFERROR(__xludf.DUMMYFUNCTION("""COMPUTED_VALUE"""),"02-38-12-310")</f>
        <v>02-38-12-310</v>
      </c>
      <c r="B2151" s="36" t="str">
        <f>IFERROR(__xludf.DUMMYFUNCTION("""COMPUTED_VALUE"""),"")</f>
        <v/>
      </c>
      <c r="C2151" s="36" t="str">
        <f>IFERROR(__xludf.DUMMYFUNCTION("""COMPUTED_VALUE"""),"")</f>
        <v/>
      </c>
      <c r="D2151" s="36" t="str">
        <f>IFERROR(__xludf.DUMMYFUNCTION("""COMPUTED_VALUE"""),"")</f>
        <v/>
      </c>
      <c r="E2151" s="36" t="str">
        <f>IFERROR(__xludf.DUMMYFUNCTION("""COMPUTED_VALUE"""),"03-32-09-48")</f>
        <v>03-32-09-48</v>
      </c>
      <c r="F2151" s="36"/>
      <c r="G2151" s="36" t="str">
        <f>IFERROR(__xludf.DUMMYFUNCTION("""COMPUTED_VALUE"""),"Plaza Departamental de Santa Lucía")</f>
        <v>Plaza Departamental de Santa Lucía</v>
      </c>
      <c r="H2151" s="36" t="str">
        <f>IFERROR(__xludf.DUMMYFUNCTION("""COMPUTED_VALUE"""),"")</f>
        <v/>
      </c>
    </row>
    <row r="2152">
      <c r="A2152" s="36" t="str">
        <f>IFERROR(__xludf.DUMMYFUNCTION("""COMPUTED_VALUE"""),"02-38-12-311")</f>
        <v>02-38-12-311</v>
      </c>
      <c r="B2152" s="36" t="str">
        <f>IFERROR(__xludf.DUMMYFUNCTION("""COMPUTED_VALUE"""),"")</f>
        <v/>
      </c>
      <c r="C2152" s="36" t="str">
        <f>IFERROR(__xludf.DUMMYFUNCTION("""COMPUTED_VALUE"""),"")</f>
        <v/>
      </c>
      <c r="D2152" s="36" t="str">
        <f>IFERROR(__xludf.DUMMYFUNCTION("""COMPUTED_VALUE"""),"")</f>
        <v/>
      </c>
      <c r="E2152" s="36" t="str">
        <f>IFERROR(__xludf.DUMMYFUNCTION("""COMPUTED_VALUE"""),"08-28-03-101B")</f>
        <v>08-28-03-101B</v>
      </c>
      <c r="F2152" s="36"/>
      <c r="G2152" s="36" t="str">
        <f>IFERROR(__xludf.DUMMYFUNCTION("""COMPUTED_VALUE"""),"Plaza Departamental del Chimbas N")</f>
        <v>Plaza Departamental del Chimbas N</v>
      </c>
      <c r="H2152" s="36" t="str">
        <f>IFERROR(__xludf.DUMMYFUNCTION("""COMPUTED_VALUE"""),"")</f>
        <v/>
      </c>
    </row>
    <row r="2153">
      <c r="A2153" s="36" t="str">
        <f>IFERROR(__xludf.DUMMYFUNCTION("""COMPUTED_VALUE"""),"02-38-12-312")</f>
        <v>02-38-12-312</v>
      </c>
      <c r="B2153" s="36" t="str">
        <f>IFERROR(__xludf.DUMMYFUNCTION("""COMPUTED_VALUE"""),"")</f>
        <v/>
      </c>
      <c r="C2153" s="36" t="str">
        <f>IFERROR(__xludf.DUMMYFUNCTION("""COMPUTED_VALUE"""),"")</f>
        <v/>
      </c>
      <c r="D2153" s="36" t="str">
        <f>IFERROR(__xludf.DUMMYFUNCTION("""COMPUTED_VALUE"""),"")</f>
        <v/>
      </c>
      <c r="E2153" s="36" t="str">
        <f>IFERROR(__xludf.DUMMYFUNCTION("""COMPUTED_VALUE"""),"08-28-03-101")</f>
        <v>08-28-03-101</v>
      </c>
      <c r="F2153" s="36"/>
      <c r="G2153" s="36" t="str">
        <f>IFERROR(__xludf.DUMMYFUNCTION("""COMPUTED_VALUE"""),"Plaza Departamental del Chimbas O")</f>
        <v>Plaza Departamental del Chimbas O</v>
      </c>
      <c r="H2153" s="36" t="str">
        <f>IFERROR(__xludf.DUMMYFUNCTION("""COMPUTED_VALUE"""),"")</f>
        <v/>
      </c>
    </row>
    <row r="2154">
      <c r="A2154" s="36" t="str">
        <f>IFERROR(__xludf.DUMMYFUNCTION("""COMPUTED_VALUE"""),"02-38-12-313")</f>
        <v>02-38-12-313</v>
      </c>
      <c r="B2154" s="36" t="str">
        <f>IFERROR(__xludf.DUMMYFUNCTION("""COMPUTED_VALUE"""),"")</f>
        <v/>
      </c>
      <c r="C2154" s="36" t="str">
        <f>IFERROR(__xludf.DUMMYFUNCTION("""COMPUTED_VALUE"""),"")</f>
        <v/>
      </c>
      <c r="D2154" s="36" t="str">
        <f>IFERROR(__xludf.DUMMYFUNCTION("""COMPUTED_VALUE"""),"")</f>
        <v/>
      </c>
      <c r="E2154" s="36" t="str">
        <f>IFERROR(__xludf.DUMMYFUNCTION("""COMPUTED_VALUE"""),"02-32-05-8")</f>
        <v>02-32-05-8</v>
      </c>
      <c r="F2154" s="36"/>
      <c r="G2154" s="36" t="str">
        <f>IFERROR(__xludf.DUMMYFUNCTION("""COMPUTED_VALUE"""),"Plaza Dr. René Favaloro N")</f>
        <v>Plaza Dr. René Favaloro N</v>
      </c>
      <c r="H2154" s="36" t="str">
        <f>IFERROR(__xludf.DUMMYFUNCTION("""COMPUTED_VALUE"""),"")</f>
        <v/>
      </c>
    </row>
    <row r="2155">
      <c r="A2155" s="36" t="str">
        <f>IFERROR(__xludf.DUMMYFUNCTION("""COMPUTED_VALUE"""),"02-38-12-314")</f>
        <v>02-38-12-314</v>
      </c>
      <c r="B2155" s="36" t="str">
        <f>IFERROR(__xludf.DUMMYFUNCTION("""COMPUTED_VALUE"""),"")</f>
        <v/>
      </c>
      <c r="C2155" s="36" t="str">
        <f>IFERROR(__xludf.DUMMYFUNCTION("""COMPUTED_VALUE"""),"")</f>
        <v/>
      </c>
      <c r="D2155" s="36" t="str">
        <f>IFERROR(__xludf.DUMMYFUNCTION("""COMPUTED_VALUE"""),"")</f>
        <v/>
      </c>
      <c r="E2155" s="36" t="str">
        <f>IFERROR(__xludf.DUMMYFUNCTION("""COMPUTED_VALUE"""),"02-32-05-9")</f>
        <v>02-32-05-9</v>
      </c>
      <c r="F2155" s="36"/>
      <c r="G2155" s="36" t="str">
        <f>IFERROR(__xludf.DUMMYFUNCTION("""COMPUTED_VALUE"""),"Plaza Dr. René Favaloro O")</f>
        <v>Plaza Dr. René Favaloro O</v>
      </c>
      <c r="H2155" s="36" t="str">
        <f>IFERROR(__xludf.DUMMYFUNCTION("""COMPUTED_VALUE"""),"")</f>
        <v/>
      </c>
    </row>
    <row r="2156">
      <c r="A2156" s="36" t="str">
        <f>IFERROR(__xludf.DUMMYFUNCTION("""COMPUTED_VALUE"""),"02-38-12-315")</f>
        <v>02-38-12-315</v>
      </c>
      <c r="B2156" s="36" t="str">
        <f>IFERROR(__xludf.DUMMYFUNCTION("""COMPUTED_VALUE"""),"")</f>
        <v/>
      </c>
      <c r="C2156" s="36" t="str">
        <f>IFERROR(__xludf.DUMMYFUNCTION("""COMPUTED_VALUE"""),"")</f>
        <v/>
      </c>
      <c r="D2156" s="36" t="str">
        <f>IFERROR(__xludf.DUMMYFUNCTION("""COMPUTED_VALUE"""),"")</f>
        <v/>
      </c>
      <c r="E2156" s="36" t="str">
        <f>IFERROR(__xludf.DUMMYFUNCTION("""COMPUTED_VALUE"""),"04-22-13-212")</f>
        <v>04-22-13-212</v>
      </c>
      <c r="F2156" s="36"/>
      <c r="G2156" s="36" t="str">
        <f>IFERROR(__xludf.DUMMYFUNCTION("""COMPUTED_VALUE"""),"Plaza Echegaray -N")</f>
        <v>Plaza Echegaray -N</v>
      </c>
      <c r="H2156" s="36" t="str">
        <f>IFERROR(__xludf.DUMMYFUNCTION("""COMPUTED_VALUE"""),"")</f>
        <v/>
      </c>
    </row>
    <row r="2157">
      <c r="A2157" s="36" t="str">
        <f>IFERROR(__xludf.DUMMYFUNCTION("""COMPUTED_VALUE"""),"02-38-12-316")</f>
        <v>02-38-12-316</v>
      </c>
      <c r="B2157" s="36" t="str">
        <f>IFERROR(__xludf.DUMMYFUNCTION("""COMPUTED_VALUE"""),"")</f>
        <v/>
      </c>
      <c r="C2157" s="36" t="str">
        <f>IFERROR(__xludf.DUMMYFUNCTION("""COMPUTED_VALUE"""),"")</f>
        <v/>
      </c>
      <c r="D2157" s="36" t="str">
        <f>IFERROR(__xludf.DUMMYFUNCTION("""COMPUTED_VALUE"""),"")</f>
        <v/>
      </c>
      <c r="E2157" s="36" t="str">
        <f>IFERROR(__xludf.DUMMYFUNCTION("""COMPUTED_VALUE"""),"04-22-13-211")</f>
        <v>04-22-13-211</v>
      </c>
      <c r="F2157" s="36"/>
      <c r="G2157" s="36" t="str">
        <f>IFERROR(__xludf.DUMMYFUNCTION("""COMPUTED_VALUE"""),"Plaza Echegaray -S")</f>
        <v>Plaza Echegaray -S</v>
      </c>
      <c r="H2157" s="36" t="str">
        <f>IFERROR(__xludf.DUMMYFUNCTION("""COMPUTED_VALUE"""),"")</f>
        <v/>
      </c>
    </row>
    <row r="2158">
      <c r="A2158" s="36" t="str">
        <f>IFERROR(__xludf.DUMMYFUNCTION("""COMPUTED_VALUE"""),"02-38-12-328")</f>
        <v>02-38-12-328</v>
      </c>
      <c r="B2158" s="36" t="str">
        <f>IFERROR(__xludf.DUMMYFUNCTION("""COMPUTED_VALUE"""),"")</f>
        <v/>
      </c>
      <c r="C2158" s="36" t="str">
        <f>IFERROR(__xludf.DUMMYFUNCTION("""COMPUTED_VALUE"""),"")</f>
        <v/>
      </c>
      <c r="D2158" s="36" t="str">
        <f>IFERROR(__xludf.DUMMYFUNCTION("""COMPUTED_VALUE"""),"")</f>
        <v/>
      </c>
      <c r="E2158" s="36" t="str">
        <f>IFERROR(__xludf.DUMMYFUNCTION("""COMPUTED_VALUE"""),"01-43-07-37")</f>
        <v>01-43-07-37</v>
      </c>
      <c r="F2158" s="36"/>
      <c r="G2158" s="36" t="str">
        <f>IFERROR(__xludf.DUMMYFUNCTION("""COMPUTED_VALUE"""),"Plaza España")</f>
        <v>Plaza España</v>
      </c>
      <c r="H2158" s="36" t="str">
        <f>IFERROR(__xludf.DUMMYFUNCTION("""COMPUTED_VALUE"""),"")</f>
        <v/>
      </c>
    </row>
    <row r="2159">
      <c r="A2159" s="36" t="str">
        <f>IFERROR(__xludf.DUMMYFUNCTION("""COMPUTED_VALUE"""),"02-38-12-33")</f>
        <v>02-38-12-33</v>
      </c>
      <c r="B2159" s="36" t="str">
        <f>IFERROR(__xludf.DUMMYFUNCTION("""COMPUTED_VALUE"""),"")</f>
        <v/>
      </c>
      <c r="C2159" s="36" t="str">
        <f>IFERROR(__xludf.DUMMYFUNCTION("""COMPUTED_VALUE"""),"")</f>
        <v/>
      </c>
      <c r="D2159" s="36" t="str">
        <f>IFERROR(__xludf.DUMMYFUNCTION("""COMPUTED_VALUE"""),"")</f>
        <v/>
      </c>
      <c r="E2159" s="36" t="str">
        <f>IFERROR(__xludf.DUMMYFUNCTION("""COMPUTED_VALUE"""),"01-39-08-130")</f>
        <v>01-39-08-130</v>
      </c>
      <c r="F2159" s="36"/>
      <c r="G2159" s="36" t="str">
        <f>IFERROR(__xludf.DUMMYFUNCTION("""COMPUTED_VALUE"""),"Plaza Evita")</f>
        <v>Plaza Evita</v>
      </c>
      <c r="H2159" s="36" t="str">
        <f>IFERROR(__xludf.DUMMYFUNCTION("""COMPUTED_VALUE"""),"")</f>
        <v/>
      </c>
    </row>
    <row r="2160">
      <c r="A2160" s="36" t="str">
        <f>IFERROR(__xludf.DUMMYFUNCTION("""COMPUTED_VALUE"""),"02-38-12-330")</f>
        <v>02-38-12-330</v>
      </c>
      <c r="B2160" s="36" t="str">
        <f>IFERROR(__xludf.DUMMYFUNCTION("""COMPUTED_VALUE"""),"")</f>
        <v/>
      </c>
      <c r="C2160" s="36" t="str">
        <f>IFERROR(__xludf.DUMMYFUNCTION("""COMPUTED_VALUE"""),"")</f>
        <v/>
      </c>
      <c r="D2160" s="36" t="str">
        <f>IFERROR(__xludf.DUMMYFUNCTION("""COMPUTED_VALUE"""),"")</f>
        <v/>
      </c>
      <c r="E2160" s="36" t="str">
        <f>IFERROR(__xludf.DUMMYFUNCTION("""COMPUTED_VALUE"""),"01-41-08-126")</f>
        <v>01-41-08-126</v>
      </c>
      <c r="F2160" s="36"/>
      <c r="G2160" s="36" t="str">
        <f>IFERROR(__xludf.DUMMYFUNCTION("""COMPUTED_VALUE"""),"Plaza Gertrudis Funes")</f>
        <v>Plaza Gertrudis Funes</v>
      </c>
      <c r="H2160" s="36" t="str">
        <f>IFERROR(__xludf.DUMMYFUNCTION("""COMPUTED_VALUE"""),"")</f>
        <v/>
      </c>
    </row>
    <row r="2161">
      <c r="A2161" s="36" t="str">
        <f>IFERROR(__xludf.DUMMYFUNCTION("""COMPUTED_VALUE"""),"02-38-12-71")</f>
        <v>02-38-12-71</v>
      </c>
      <c r="B2161" s="36" t="str">
        <f>IFERROR(__xludf.DUMMYFUNCTION("""COMPUTED_VALUE"""),"")</f>
        <v/>
      </c>
      <c r="C2161" s="36" t="str">
        <f>IFERROR(__xludf.DUMMYFUNCTION("""COMPUTED_VALUE"""),"")</f>
        <v/>
      </c>
      <c r="D2161" s="36" t="str">
        <f>IFERROR(__xludf.DUMMYFUNCTION("""COMPUTED_VALUE"""),"")</f>
        <v/>
      </c>
      <c r="E2161" s="36" t="str">
        <f>IFERROR(__xludf.DUMMYFUNCTION("""COMPUTED_VALUE"""),"01-38-08-66")</f>
        <v>01-38-08-66</v>
      </c>
      <c r="F2161" s="36"/>
      <c r="G2161" s="36" t="str">
        <f>IFERROR(__xludf.DUMMYFUNCTION("""COMPUTED_VALUE"""),"Plaza Juan Jufré")</f>
        <v>Plaza Juan Jufré</v>
      </c>
      <c r="H2161" s="36" t="str">
        <f>IFERROR(__xludf.DUMMYFUNCTION("""COMPUTED_VALUE"""),"")</f>
        <v/>
      </c>
    </row>
    <row r="2162">
      <c r="A2162" s="36" t="str">
        <f>IFERROR(__xludf.DUMMYFUNCTION("""COMPUTED_VALUE"""),"02-38-12-72")</f>
        <v>02-38-12-72</v>
      </c>
      <c r="B2162" s="36" t="str">
        <f>IFERROR(__xludf.DUMMYFUNCTION("""COMPUTED_VALUE"""),"")</f>
        <v/>
      </c>
      <c r="C2162" s="36" t="str">
        <f>IFERROR(__xludf.DUMMYFUNCTION("""COMPUTED_VALUE"""),"")</f>
        <v/>
      </c>
      <c r="D2162" s="36" t="str">
        <f>IFERROR(__xludf.DUMMYFUNCTION("""COMPUTED_VALUE"""),"")</f>
        <v/>
      </c>
      <c r="E2162" s="36" t="str">
        <f>IFERROR(__xludf.DUMMYFUNCTION("""COMPUTED_VALUE"""),"03-31-09-97")</f>
        <v>03-31-09-97</v>
      </c>
      <c r="F2162" s="36"/>
      <c r="G2162" s="36" t="str">
        <f>IFERROR(__xludf.DUMMYFUNCTION("""COMPUTED_VALUE"""),"Plaza La Amistad")</f>
        <v>Plaza La Amistad</v>
      </c>
      <c r="H2162" s="36" t="str">
        <f>IFERROR(__xludf.DUMMYFUNCTION("""COMPUTED_VALUE"""),"")</f>
        <v/>
      </c>
    </row>
    <row r="2163">
      <c r="A2163" s="36" t="str">
        <f>IFERROR(__xludf.DUMMYFUNCTION("""COMPUTED_VALUE"""),"02-38-12-73")</f>
        <v>02-38-12-73</v>
      </c>
      <c r="B2163" s="36" t="str">
        <f>IFERROR(__xludf.DUMMYFUNCTION("""COMPUTED_VALUE"""),"")</f>
        <v/>
      </c>
      <c r="C2163" s="36" t="str">
        <f>IFERROR(__xludf.DUMMYFUNCTION("""COMPUTED_VALUE"""),"")</f>
        <v/>
      </c>
      <c r="D2163" s="36" t="str">
        <f>IFERROR(__xludf.DUMMYFUNCTION("""COMPUTED_VALUE"""),"")</f>
        <v/>
      </c>
      <c r="E2163" s="36" t="str">
        <f>IFERROR(__xludf.DUMMYFUNCTION("""COMPUTED_VALUE"""),"02-30-06-70")</f>
        <v>02-30-06-70</v>
      </c>
      <c r="F2163" s="36"/>
      <c r="G2163" s="36" t="str">
        <f>IFERROR(__xludf.DUMMYFUNCTION("""COMPUTED_VALUE"""),"Plaza La Cabaña E")</f>
        <v>Plaza La Cabaña E</v>
      </c>
      <c r="H2163" s="36" t="str">
        <f>IFERROR(__xludf.DUMMYFUNCTION("""COMPUTED_VALUE"""),"")</f>
        <v/>
      </c>
    </row>
    <row r="2164">
      <c r="A2164" s="36" t="str">
        <f>IFERROR(__xludf.DUMMYFUNCTION("""COMPUTED_VALUE"""),"02-38-12-75")</f>
        <v>02-38-12-75</v>
      </c>
      <c r="B2164" s="36" t="str">
        <f>IFERROR(__xludf.DUMMYFUNCTION("""COMPUTED_VALUE"""),"")</f>
        <v/>
      </c>
      <c r="C2164" s="36" t="str">
        <f>IFERROR(__xludf.DUMMYFUNCTION("""COMPUTED_VALUE"""),"")</f>
        <v/>
      </c>
      <c r="D2164" s="36" t="str">
        <f>IFERROR(__xludf.DUMMYFUNCTION("""COMPUTED_VALUE"""),"")</f>
        <v/>
      </c>
      <c r="E2164" s="36" t="str">
        <f>IFERROR(__xludf.DUMMYFUNCTION("""COMPUTED_VALUE"""),"02-31-06-70A")</f>
        <v>02-31-06-70A</v>
      </c>
      <c r="F2164" s="36"/>
      <c r="G2164" s="36" t="str">
        <f>IFERROR(__xludf.DUMMYFUNCTION("""COMPUTED_VALUE"""),"Plaza La Cabaña O")</f>
        <v>Plaza La Cabaña O</v>
      </c>
      <c r="H2164" s="36" t="str">
        <f>IFERROR(__xludf.DUMMYFUNCTION("""COMPUTED_VALUE"""),"")</f>
        <v/>
      </c>
    </row>
    <row r="2165">
      <c r="A2165" s="36" t="str">
        <f>IFERROR(__xludf.DUMMYFUNCTION("""COMPUTED_VALUE"""),"02-39-12-230")</f>
        <v>02-39-12-230</v>
      </c>
      <c r="B2165" s="36" t="str">
        <f>IFERROR(__xludf.DUMMYFUNCTION("""COMPUTED_VALUE"""),"")</f>
        <v/>
      </c>
      <c r="C2165" s="36" t="str">
        <f>IFERROR(__xludf.DUMMYFUNCTION("""COMPUTED_VALUE"""),"")</f>
        <v/>
      </c>
      <c r="D2165" s="36" t="str">
        <f>IFERROR(__xludf.DUMMYFUNCTION("""COMPUTED_VALUE"""),"")</f>
        <v/>
      </c>
      <c r="E2165" s="36" t="str">
        <f>IFERROR(__xludf.DUMMYFUNCTION("""COMPUTED_VALUE"""),"01-42-08-11")</f>
        <v>01-42-08-11</v>
      </c>
      <c r="F2165" s="36"/>
      <c r="G2165" s="36" t="str">
        <f>IFERROR(__xludf.DUMMYFUNCTION("""COMPUTED_VALUE"""),"Plaza Laprida")</f>
        <v>Plaza Laprida</v>
      </c>
      <c r="H2165" s="36" t="str">
        <f>IFERROR(__xludf.DUMMYFUNCTION("""COMPUTED_VALUE"""),"")</f>
        <v/>
      </c>
    </row>
    <row r="2166">
      <c r="A2166" s="36" t="str">
        <f>IFERROR(__xludf.DUMMYFUNCTION("""COMPUTED_VALUE"""),"02-39-12-232")</f>
        <v>02-39-12-232</v>
      </c>
      <c r="B2166" s="36" t="str">
        <f>IFERROR(__xludf.DUMMYFUNCTION("""COMPUTED_VALUE"""),"")</f>
        <v/>
      </c>
      <c r="C2166" s="36" t="str">
        <f>IFERROR(__xludf.DUMMYFUNCTION("""COMPUTED_VALUE"""),"")</f>
        <v/>
      </c>
      <c r="D2166" s="36" t="str">
        <f>IFERROR(__xludf.DUMMYFUNCTION("""COMPUTED_VALUE"""),"")</f>
        <v/>
      </c>
      <c r="E2166" s="36" t="str">
        <f>IFERROR(__xludf.DUMMYFUNCTION("""COMPUTED_VALUE"""),"02-29-07-109A")</f>
        <v>02-29-07-109A</v>
      </c>
      <c r="F2166" s="36"/>
      <c r="G2166" s="36" t="str">
        <f>IFERROR(__xludf.DUMMYFUNCTION("""COMPUTED_VALUE"""),"Plaza María Madre de Dios")</f>
        <v>Plaza María Madre de Dios</v>
      </c>
      <c r="H2166" s="36" t="str">
        <f>IFERROR(__xludf.DUMMYFUNCTION("""COMPUTED_VALUE"""),"")</f>
        <v/>
      </c>
    </row>
    <row r="2167">
      <c r="A2167" s="36" t="str">
        <f>IFERROR(__xludf.DUMMYFUNCTION("""COMPUTED_VALUE"""),"02-39-12-243")</f>
        <v>02-39-12-243</v>
      </c>
      <c r="B2167" s="36" t="str">
        <f>IFERROR(__xludf.DUMMYFUNCTION("""COMPUTED_VALUE"""),"")</f>
        <v/>
      </c>
      <c r="C2167" s="36" t="str">
        <f>IFERROR(__xludf.DUMMYFUNCTION("""COMPUTED_VALUE"""),"")</f>
        <v/>
      </c>
      <c r="D2167" s="36" t="str">
        <f>IFERROR(__xludf.DUMMYFUNCTION("""COMPUTED_VALUE"""),"")</f>
        <v/>
      </c>
      <c r="E2167" s="36" t="str">
        <f>IFERROR(__xludf.DUMMYFUNCTION("""COMPUTED_VALUE"""),"08-28-03-14")</f>
        <v>08-28-03-14</v>
      </c>
      <c r="F2167" s="36"/>
      <c r="G2167" s="36" t="str">
        <f>IFERROR(__xludf.DUMMYFUNCTION("""COMPUTED_VALUE"""),"Plaza Padre Báez Laspiur")</f>
        <v>Plaza Padre Báez Laspiur</v>
      </c>
      <c r="H2167" s="36" t="str">
        <f>IFERROR(__xludf.DUMMYFUNCTION("""COMPUTED_VALUE"""),"")</f>
        <v/>
      </c>
    </row>
    <row r="2168">
      <c r="A2168" s="36" t="str">
        <f>IFERROR(__xludf.DUMMYFUNCTION("""COMPUTED_VALUE"""),"02-39-12-245")</f>
        <v>02-39-12-245</v>
      </c>
      <c r="B2168" s="36" t="str">
        <f>IFERROR(__xludf.DUMMYFUNCTION("""COMPUTED_VALUE"""),"")</f>
        <v/>
      </c>
      <c r="C2168" s="36" t="str">
        <f>IFERROR(__xludf.DUMMYFUNCTION("""COMPUTED_VALUE"""),"")</f>
        <v/>
      </c>
      <c r="D2168" s="36" t="str">
        <f>IFERROR(__xludf.DUMMYFUNCTION("""COMPUTED_VALUE"""),"")</f>
        <v/>
      </c>
      <c r="E2168" s="36" t="str">
        <f>IFERROR(__xludf.DUMMYFUNCTION("""COMPUTED_VALUE"""),"04-30-14-134B")</f>
        <v>04-30-14-134B</v>
      </c>
      <c r="F2168" s="36"/>
      <c r="G2168" s="36" t="str">
        <f>IFERROR(__xludf.DUMMYFUNCTION("""COMPUTED_VALUE"""),"Plaza Padre Juan Fanzolato N")</f>
        <v>Plaza Padre Juan Fanzolato N</v>
      </c>
      <c r="H2168" s="36" t="str">
        <f>IFERROR(__xludf.DUMMYFUNCTION("""COMPUTED_VALUE"""),"")</f>
        <v/>
      </c>
    </row>
    <row r="2169">
      <c r="A2169" s="36" t="str">
        <f>IFERROR(__xludf.DUMMYFUNCTION("""COMPUTED_VALUE"""),"02-39-12-246")</f>
        <v>02-39-12-246</v>
      </c>
      <c r="B2169" s="36" t="str">
        <f>IFERROR(__xludf.DUMMYFUNCTION("""COMPUTED_VALUE"""),"")</f>
        <v/>
      </c>
      <c r="C2169" s="36" t="str">
        <f>IFERROR(__xludf.DUMMYFUNCTION("""COMPUTED_VALUE"""),"")</f>
        <v/>
      </c>
      <c r="D2169" s="36" t="str">
        <f>IFERROR(__xludf.DUMMYFUNCTION("""COMPUTED_VALUE"""),"")</f>
        <v/>
      </c>
      <c r="E2169" s="36" t="str">
        <f>IFERROR(__xludf.DUMMYFUNCTION("""COMPUTED_VALUE"""),"04-30-14-135B")</f>
        <v>04-30-14-135B</v>
      </c>
      <c r="F2169" s="36"/>
      <c r="G2169" s="36" t="str">
        <f>IFERROR(__xludf.DUMMYFUNCTION("""COMPUTED_VALUE"""),"Plaza Padre Juan Fanzolato S")</f>
        <v>Plaza Padre Juan Fanzolato S</v>
      </c>
      <c r="H2169" s="36" t="str">
        <f>IFERROR(__xludf.DUMMYFUNCTION("""COMPUTED_VALUE"""),"")</f>
        <v/>
      </c>
    </row>
    <row r="2170">
      <c r="A2170" s="36" t="str">
        <f>IFERROR(__xludf.DUMMYFUNCTION("""COMPUTED_VALUE"""),"02-39-12-247")</f>
        <v>02-39-12-247</v>
      </c>
      <c r="B2170" s="36" t="str">
        <f>IFERROR(__xludf.DUMMYFUNCTION("""COMPUTED_VALUE"""),"")</f>
        <v/>
      </c>
      <c r="C2170" s="36" t="str">
        <f>IFERROR(__xludf.DUMMYFUNCTION("""COMPUTED_VALUE"""),"")</f>
        <v/>
      </c>
      <c r="D2170" s="36" t="str">
        <f>IFERROR(__xludf.DUMMYFUNCTION("""COMPUTED_VALUE"""),"")</f>
        <v/>
      </c>
      <c r="E2170" s="36" t="str">
        <f>IFERROR(__xludf.DUMMYFUNCTION("""COMPUTED_VALUE"""),"02-29-06-102")</f>
        <v>02-29-06-102</v>
      </c>
      <c r="F2170" s="36"/>
      <c r="G2170" s="36" t="str">
        <f>IFERROR(__xludf.DUMMYFUNCTION("""COMPUTED_VALUE"""),"Plaza Polideportivo B° Aramburu")</f>
        <v>Plaza Polideportivo B° Aramburu</v>
      </c>
      <c r="H2170" s="36" t="str">
        <f>IFERROR(__xludf.DUMMYFUNCTION("""COMPUTED_VALUE"""),"")</f>
        <v/>
      </c>
    </row>
    <row r="2171">
      <c r="A2171" s="36" t="str">
        <f>IFERROR(__xludf.DUMMYFUNCTION("""COMPUTED_VALUE"""),"02-39-12-250")</f>
        <v>02-39-12-250</v>
      </c>
      <c r="B2171" s="36" t="str">
        <f>IFERROR(__xludf.DUMMYFUNCTION("""COMPUTED_VALUE"""),"")</f>
        <v/>
      </c>
      <c r="C2171" s="36" t="str">
        <f>IFERROR(__xludf.DUMMYFUNCTION("""COMPUTED_VALUE"""),"")</f>
        <v/>
      </c>
      <c r="D2171" s="36" t="str">
        <f>IFERROR(__xludf.DUMMYFUNCTION("""COMPUTED_VALUE"""),"")</f>
        <v/>
      </c>
      <c r="E2171" s="36" t="str">
        <f>IFERROR(__xludf.DUMMYFUNCTION("""COMPUTED_VALUE"""),"02-42-11-31A")</f>
        <v>02-42-11-31A</v>
      </c>
      <c r="F2171" s="36"/>
      <c r="G2171" s="36" t="str">
        <f>IFERROR(__xludf.DUMMYFUNCTION("""COMPUTED_VALUE"""),"Plaza Puestadel Sol")</f>
        <v>Plaza Puestadel Sol</v>
      </c>
      <c r="H2171" s="36" t="str">
        <f>IFERROR(__xludf.DUMMYFUNCTION("""COMPUTED_VALUE"""),"")</f>
        <v/>
      </c>
    </row>
    <row r="2172">
      <c r="A2172" s="36" t="str">
        <f>IFERROR(__xludf.DUMMYFUNCTION("""COMPUTED_VALUE"""),"02-39-12-254")</f>
        <v>02-39-12-254</v>
      </c>
      <c r="B2172" s="36" t="str">
        <f>IFERROR(__xludf.DUMMYFUNCTION("""COMPUTED_VALUE"""),"")</f>
        <v/>
      </c>
      <c r="C2172" s="36" t="str">
        <f>IFERROR(__xludf.DUMMYFUNCTION("""COMPUTED_VALUE"""),"")</f>
        <v/>
      </c>
      <c r="D2172" s="36" t="str">
        <f>IFERROR(__xludf.DUMMYFUNCTION("""COMPUTED_VALUE"""),"")</f>
        <v/>
      </c>
      <c r="E2172" s="36" t="str">
        <f>IFERROR(__xludf.DUMMYFUNCTION("""COMPUTED_VALUE"""),"08-32-01-11B")</f>
        <v>08-32-01-11B</v>
      </c>
      <c r="F2172" s="36"/>
      <c r="G2172" s="36" t="str">
        <f>IFERROR(__xludf.DUMMYFUNCTION("""COMPUTED_VALUE"""),"Plaza Villa Obrera")</f>
        <v>Plaza Villa Obrera</v>
      </c>
      <c r="H2172" s="36" t="str">
        <f>IFERROR(__xludf.DUMMYFUNCTION("""COMPUTED_VALUE"""),"")</f>
        <v/>
      </c>
    </row>
    <row r="2173">
      <c r="A2173" s="36" t="str">
        <f>IFERROR(__xludf.DUMMYFUNCTION("""COMPUTED_VALUE"""),"02-39-12-256")</f>
        <v>02-39-12-256</v>
      </c>
      <c r="B2173" s="36" t="str">
        <f>IFERROR(__xludf.DUMMYFUNCTION("""COMPUTED_VALUE"""),"")</f>
        <v/>
      </c>
      <c r="C2173" s="36" t="str">
        <f>IFERROR(__xludf.DUMMYFUNCTION("""COMPUTED_VALUE"""),"")</f>
        <v/>
      </c>
      <c r="D2173" s="36" t="str">
        <f>IFERROR(__xludf.DUMMYFUNCTION("""COMPUTED_VALUE"""),"")</f>
        <v/>
      </c>
      <c r="E2173" s="36" t="str">
        <f>IFERROR(__xludf.DUMMYFUNCTION("""COMPUTED_VALUE"""),"08-36-02-116")</f>
        <v>08-36-02-116</v>
      </c>
      <c r="F2173" s="36"/>
      <c r="G2173" s="36" t="str">
        <f>IFERROR(__xludf.DUMMYFUNCTION("""COMPUTED_VALUE"""),"Plazoleta ARA San Juan")</f>
        <v>Plazoleta ARA San Juan</v>
      </c>
      <c r="H2173" s="36" t="str">
        <f>IFERROR(__xludf.DUMMYFUNCTION("""COMPUTED_VALUE"""),"")</f>
        <v/>
      </c>
    </row>
    <row r="2174">
      <c r="A2174" s="36" t="str">
        <f>IFERROR(__xludf.DUMMYFUNCTION("""COMPUTED_VALUE"""),"02-39-12-263")</f>
        <v>02-39-12-263</v>
      </c>
      <c r="B2174" s="36" t="str">
        <f>IFERROR(__xludf.DUMMYFUNCTION("""COMPUTED_VALUE"""),"")</f>
        <v/>
      </c>
      <c r="C2174" s="36" t="str">
        <f>IFERROR(__xludf.DUMMYFUNCTION("""COMPUTED_VALUE"""),"")</f>
        <v/>
      </c>
      <c r="D2174" s="36" t="str">
        <f>IFERROR(__xludf.DUMMYFUNCTION("""COMPUTED_VALUE"""),"")</f>
        <v/>
      </c>
      <c r="E2174" s="36" t="str">
        <f>IFERROR(__xludf.DUMMYFUNCTION("""COMPUTED_VALUE"""),"02-32-05-23")</f>
        <v>02-32-05-23</v>
      </c>
      <c r="F2174" s="36"/>
      <c r="G2174" s="36" t="str">
        <f>IFERROR(__xludf.DUMMYFUNCTION("""COMPUTED_VALUE"""),"Plazoleta B° ATSA IV ")</f>
        <v>Plazoleta B° ATSA IV </v>
      </c>
      <c r="H2174" s="36" t="str">
        <f>IFERROR(__xludf.DUMMYFUNCTION("""COMPUTED_VALUE"""),"")</f>
        <v/>
      </c>
    </row>
    <row r="2175">
      <c r="A2175" s="36" t="str">
        <f>IFERROR(__xludf.DUMMYFUNCTION("""COMPUTED_VALUE"""),"02-39-12-264")</f>
        <v>02-39-12-264</v>
      </c>
      <c r="B2175" s="36" t="str">
        <f>IFERROR(__xludf.DUMMYFUNCTION("""COMPUTED_VALUE"""),"")</f>
        <v/>
      </c>
      <c r="C2175" s="36" t="str">
        <f>IFERROR(__xludf.DUMMYFUNCTION("""COMPUTED_VALUE"""),"")</f>
        <v/>
      </c>
      <c r="D2175" s="36" t="str">
        <f>IFERROR(__xludf.DUMMYFUNCTION("""COMPUTED_VALUE"""),"")</f>
        <v/>
      </c>
      <c r="E2175" s="36" t="str">
        <f>IFERROR(__xludf.DUMMYFUNCTION("""COMPUTED_VALUE"""),"02-27-06-86")</f>
        <v>02-27-06-86</v>
      </c>
      <c r="F2175" s="36"/>
      <c r="G2175" s="36" t="str">
        <f>IFERROR(__xludf.DUMMYFUNCTION("""COMPUTED_VALUE"""),"Plazoleta B° Parque Rivadavia Norte N")</f>
        <v>Plazoleta B° Parque Rivadavia Norte N</v>
      </c>
      <c r="H2175" s="36" t="str">
        <f>IFERROR(__xludf.DUMMYFUNCTION("""COMPUTED_VALUE"""),"")</f>
        <v/>
      </c>
    </row>
    <row r="2176">
      <c r="A2176" s="36" t="str">
        <f>IFERROR(__xludf.DUMMYFUNCTION("""COMPUTED_VALUE"""),"02-39-12-265")</f>
        <v>02-39-12-265</v>
      </c>
      <c r="B2176" s="36" t="str">
        <f>IFERROR(__xludf.DUMMYFUNCTION("""COMPUTED_VALUE"""),"")</f>
        <v/>
      </c>
      <c r="C2176" s="36" t="str">
        <f>IFERROR(__xludf.DUMMYFUNCTION("""COMPUTED_VALUE"""),"")</f>
        <v/>
      </c>
      <c r="D2176" s="36" t="str">
        <f>IFERROR(__xludf.DUMMYFUNCTION("""COMPUTED_VALUE"""),"")</f>
        <v/>
      </c>
      <c r="E2176" s="36" t="str">
        <f>IFERROR(__xludf.DUMMYFUNCTION("""COMPUTED_VALUE"""),"02-32-11-91")</f>
        <v>02-32-11-91</v>
      </c>
      <c r="F2176" s="36"/>
      <c r="G2176" s="36" t="str">
        <f>IFERROR(__xludf.DUMMYFUNCTION("""COMPUTED_VALUE"""),"Plazoleta Carlos Gardel B° Natania XV")</f>
        <v>Plazoleta Carlos Gardel B° Natania XV</v>
      </c>
      <c r="H2176" s="36" t="str">
        <f>IFERROR(__xludf.DUMMYFUNCTION("""COMPUTED_VALUE"""),"")</f>
        <v/>
      </c>
    </row>
    <row r="2177">
      <c r="A2177" s="36" t="str">
        <f>IFERROR(__xludf.DUMMYFUNCTION("""COMPUTED_VALUE"""),"02-39-12-266")</f>
        <v>02-39-12-266</v>
      </c>
      <c r="B2177" s="36" t="str">
        <f>IFERROR(__xludf.DUMMYFUNCTION("""COMPUTED_VALUE"""),"")</f>
        <v/>
      </c>
      <c r="C2177" s="36" t="str">
        <f>IFERROR(__xludf.DUMMYFUNCTION("""COMPUTED_VALUE"""),"")</f>
        <v/>
      </c>
      <c r="D2177" s="36" t="str">
        <f>IFERROR(__xludf.DUMMYFUNCTION("""COMPUTED_VALUE"""),"")</f>
        <v/>
      </c>
      <c r="E2177" s="36" t="str">
        <f>IFERROR(__xludf.DUMMYFUNCTION("""COMPUTED_VALUE"""),"02-32-05-13")</f>
        <v>02-32-05-13</v>
      </c>
      <c r="F2177" s="36"/>
      <c r="G2177" s="36" t="str">
        <f>IFERROR(__xludf.DUMMYFUNCTION("""COMPUTED_VALUE"""),"Polidepotivo Norte B° ATSA IV N")</f>
        <v>Polidepotivo Norte B° ATSA IV N</v>
      </c>
      <c r="H2177" s="36" t="str">
        <f>IFERROR(__xludf.DUMMYFUNCTION("""COMPUTED_VALUE"""),"")</f>
        <v/>
      </c>
    </row>
    <row r="2178">
      <c r="A2178" s="36" t="str">
        <f>IFERROR(__xludf.DUMMYFUNCTION("""COMPUTED_VALUE"""),"02-39-12-267")</f>
        <v>02-39-12-267</v>
      </c>
      <c r="B2178" s="36" t="str">
        <f>IFERROR(__xludf.DUMMYFUNCTION("""COMPUTED_VALUE"""),"")</f>
        <v/>
      </c>
      <c r="C2178" s="36" t="str">
        <f>IFERROR(__xludf.DUMMYFUNCTION("""COMPUTED_VALUE"""),"")</f>
        <v/>
      </c>
      <c r="D2178" s="36" t="str">
        <f>IFERROR(__xludf.DUMMYFUNCTION("""COMPUTED_VALUE"""),"")</f>
        <v/>
      </c>
      <c r="E2178" s="36" t="str">
        <f>IFERROR(__xludf.DUMMYFUNCTION("""COMPUTED_VALUE"""),"02-32-05-12")</f>
        <v>02-32-05-12</v>
      </c>
      <c r="F2178" s="36"/>
      <c r="G2178" s="36" t="str">
        <f>IFERROR(__xludf.DUMMYFUNCTION("""COMPUTED_VALUE"""),"Polidepotivo Norte B° ATSA IV S")</f>
        <v>Polidepotivo Norte B° ATSA IV S</v>
      </c>
      <c r="H2178" s="36" t="str">
        <f>IFERROR(__xludf.DUMMYFUNCTION("""COMPUTED_VALUE"""),"")</f>
        <v/>
      </c>
    </row>
    <row r="2179">
      <c r="A2179" s="36" t="str">
        <f>IFERROR(__xludf.DUMMYFUNCTION("""COMPUTED_VALUE"""),"02-39-12-268")</f>
        <v>02-39-12-268</v>
      </c>
      <c r="B2179" s="36" t="str">
        <f>IFERROR(__xludf.DUMMYFUNCTION("""COMPUTED_VALUE"""),"")</f>
        <v/>
      </c>
      <c r="C2179" s="36" t="str">
        <f>IFERROR(__xludf.DUMMYFUNCTION("""COMPUTED_VALUE"""),"")</f>
        <v/>
      </c>
      <c r="D2179" s="36" t="str">
        <f>IFERROR(__xludf.DUMMYFUNCTION("""COMPUTED_VALUE"""),"")</f>
        <v/>
      </c>
      <c r="E2179" s="36" t="str">
        <f>IFERROR(__xludf.DUMMYFUNCTION("""COMPUTED_VALUE"""),"02-32-05-6")</f>
        <v>02-32-05-6</v>
      </c>
      <c r="F2179" s="36"/>
      <c r="G2179" s="36" t="str">
        <f>IFERROR(__xludf.DUMMYFUNCTION("""COMPUTED_VALUE"""),"Polidepotivo Sur B° ATSA IV N")</f>
        <v>Polidepotivo Sur B° ATSA IV N</v>
      </c>
      <c r="H2179" s="36" t="str">
        <f>IFERROR(__xludf.DUMMYFUNCTION("""COMPUTED_VALUE"""),"")</f>
        <v/>
      </c>
    </row>
    <row r="2180">
      <c r="A2180" s="36" t="str">
        <f>IFERROR(__xludf.DUMMYFUNCTION("""COMPUTED_VALUE"""),"02-39-12-269")</f>
        <v>02-39-12-269</v>
      </c>
      <c r="B2180" s="36" t="str">
        <f>IFERROR(__xludf.DUMMYFUNCTION("""COMPUTED_VALUE"""),"")</f>
        <v/>
      </c>
      <c r="C2180" s="36" t="str">
        <f>IFERROR(__xludf.DUMMYFUNCTION("""COMPUTED_VALUE"""),"")</f>
        <v/>
      </c>
      <c r="D2180" s="36" t="str">
        <f>IFERROR(__xludf.DUMMYFUNCTION("""COMPUTED_VALUE"""),"")</f>
        <v/>
      </c>
      <c r="E2180" s="36" t="str">
        <f>IFERROR(__xludf.DUMMYFUNCTION("""COMPUTED_VALUE"""),"02-32-05-7")</f>
        <v>02-32-05-7</v>
      </c>
      <c r="F2180" s="36"/>
      <c r="G2180" s="36" t="str">
        <f>IFERROR(__xludf.DUMMYFUNCTION("""COMPUTED_VALUE"""),"Polidepotivo Sur B° ATSA IV S")</f>
        <v>Polidepotivo Sur B° ATSA IV S</v>
      </c>
      <c r="H2180" s="36" t="str">
        <f>IFERROR(__xludf.DUMMYFUNCTION("""COMPUTED_VALUE"""),"")</f>
        <v/>
      </c>
    </row>
    <row r="2181">
      <c r="A2181" s="36" t="str">
        <f>IFERROR(__xludf.DUMMYFUNCTION("""COMPUTED_VALUE"""),"02-39-12-270")</f>
        <v>02-39-12-270</v>
      </c>
      <c r="B2181" s="36" t="str">
        <f>IFERROR(__xludf.DUMMYFUNCTION("""COMPUTED_VALUE"""),"")</f>
        <v/>
      </c>
      <c r="C2181" s="36" t="str">
        <f>IFERROR(__xludf.DUMMYFUNCTION("""COMPUTED_VALUE"""),"")</f>
        <v/>
      </c>
      <c r="D2181" s="36" t="str">
        <f>IFERROR(__xludf.DUMMYFUNCTION("""COMPUTED_VALUE"""),"")</f>
        <v/>
      </c>
      <c r="E2181" s="36" t="str">
        <f>IFERROR(__xludf.DUMMYFUNCTION("""COMPUTED_VALUE"""),"08-23-04-77")</f>
        <v>08-23-04-77</v>
      </c>
      <c r="F2181" s="36"/>
      <c r="G2181" s="36" t="str">
        <f>IFERROR(__xludf.DUMMYFUNCTION("""COMPUTED_VALUE"""),"Porres y Grecco N")</f>
        <v>Porres y Grecco N</v>
      </c>
      <c r="H2181" s="36" t="str">
        <f>IFERROR(__xludf.DUMMYFUNCTION("""COMPUTED_VALUE"""),"")</f>
        <v/>
      </c>
    </row>
    <row r="2182">
      <c r="A2182" s="36" t="str">
        <f>IFERROR(__xludf.DUMMYFUNCTION("""COMPUTED_VALUE"""),"02-39-12-271")</f>
        <v>02-39-12-271</v>
      </c>
      <c r="B2182" s="36" t="str">
        <f>IFERROR(__xludf.DUMMYFUNCTION("""COMPUTED_VALUE"""),"")</f>
        <v/>
      </c>
      <c r="C2182" s="36" t="str">
        <f>IFERROR(__xludf.DUMMYFUNCTION("""COMPUTED_VALUE"""),"")</f>
        <v/>
      </c>
      <c r="D2182" s="36" t="str">
        <f>IFERROR(__xludf.DUMMYFUNCTION("""COMPUTED_VALUE"""),"")</f>
        <v/>
      </c>
      <c r="E2182" s="36" t="str">
        <f>IFERROR(__xludf.DUMMYFUNCTION("""COMPUTED_VALUE"""),"08-23-04-76")</f>
        <v>08-23-04-76</v>
      </c>
      <c r="F2182" s="36"/>
      <c r="G2182" s="36" t="str">
        <f>IFERROR(__xludf.DUMMYFUNCTION("""COMPUTED_VALUE"""),"Porres y Grecco S")</f>
        <v>Porres y Grecco S</v>
      </c>
      <c r="H2182" s="36" t="str">
        <f>IFERROR(__xludf.DUMMYFUNCTION("""COMPUTED_VALUE"""),"")</f>
        <v/>
      </c>
    </row>
    <row r="2183">
      <c r="A2183" s="36" t="str">
        <f>IFERROR(__xludf.DUMMYFUNCTION("""COMPUTED_VALUE"""),"02-39-12-68b")</f>
        <v>02-39-12-68b</v>
      </c>
      <c r="B2183" s="36" t="str">
        <f>IFERROR(__xludf.DUMMYFUNCTION("""COMPUTED_VALUE"""),"")</f>
        <v/>
      </c>
      <c r="C2183" s="36" t="str">
        <f>IFERROR(__xludf.DUMMYFUNCTION("""COMPUTED_VALUE"""),"")</f>
        <v/>
      </c>
      <c r="D2183" s="36" t="str">
        <f>IFERROR(__xludf.DUMMYFUNCTION("""COMPUTED_VALUE"""),"")</f>
        <v/>
      </c>
      <c r="E2183" s="36" t="str">
        <f>IFERROR(__xludf.DUMMYFUNCTION("""COMPUTED_VALUE"""),"08-23-04-79")</f>
        <v>08-23-04-79</v>
      </c>
      <c r="F2183" s="36"/>
      <c r="G2183" s="36" t="str">
        <f>IFERROR(__xludf.DUMMYFUNCTION("""COMPUTED_VALUE"""),"Porres y San Martín N")</f>
        <v>Porres y San Martín N</v>
      </c>
      <c r="H2183" s="36" t="str">
        <f>IFERROR(__xludf.DUMMYFUNCTION("""COMPUTED_VALUE"""),"")</f>
        <v/>
      </c>
    </row>
    <row r="2184">
      <c r="A2184" s="36" t="str">
        <f>IFERROR(__xludf.DUMMYFUNCTION("""COMPUTED_VALUE"""),"02-39-12-69")</f>
        <v>02-39-12-69</v>
      </c>
      <c r="B2184" s="36" t="str">
        <f>IFERROR(__xludf.DUMMYFUNCTION("""COMPUTED_VALUE"""),"")</f>
        <v/>
      </c>
      <c r="C2184" s="36" t="str">
        <f>IFERROR(__xludf.DUMMYFUNCTION("""COMPUTED_VALUE"""),"")</f>
        <v/>
      </c>
      <c r="D2184" s="36" t="str">
        <f>IFERROR(__xludf.DUMMYFUNCTION("""COMPUTED_VALUE"""),"")</f>
        <v/>
      </c>
      <c r="E2184" s="36" t="str">
        <f>IFERROR(__xludf.DUMMYFUNCTION("""COMPUTED_VALUE"""),"08-23-04-78")</f>
        <v>08-23-04-78</v>
      </c>
      <c r="F2184" s="36"/>
      <c r="G2184" s="36" t="str">
        <f>IFERROR(__xludf.DUMMYFUNCTION("""COMPUTED_VALUE"""),"Porres y San Martín S")</f>
        <v>Porres y San Martín S</v>
      </c>
      <c r="H2184" s="36" t="str">
        <f>IFERROR(__xludf.DUMMYFUNCTION("""COMPUTED_VALUE"""),"")</f>
        <v/>
      </c>
    </row>
    <row r="2185">
      <c r="A2185" s="36" t="str">
        <f>IFERROR(__xludf.DUMMYFUNCTION("""COMPUTED_VALUE"""),"04-20-12-198")</f>
        <v>04-20-12-198</v>
      </c>
      <c r="B2185" s="36" t="str">
        <f>IFERROR(__xludf.DUMMYFUNCTION("""COMPUTED_VALUE"""),"")</f>
        <v/>
      </c>
      <c r="C2185" s="36" t="str">
        <f>IFERROR(__xludf.DUMMYFUNCTION("""COMPUTED_VALUE"""),"")</f>
        <v/>
      </c>
      <c r="D2185" s="36" t="str">
        <f>IFERROR(__xludf.DUMMYFUNCTION("""COMPUTED_VALUE"""),"")</f>
        <v/>
      </c>
      <c r="E2185" s="36" t="str">
        <f>IFERROR(__xludf.DUMMYFUNCTION("""COMPUTED_VALUE"""),"08-44-03-42")</f>
        <v>08-44-03-42</v>
      </c>
      <c r="F2185" s="36"/>
      <c r="G2185" s="36" t="str">
        <f>IFERROR(__xludf.DUMMYFUNCTION("""COMPUTED_VALUE"""),"Porres y Urquiza")</f>
        <v>Porres y Urquiza</v>
      </c>
      <c r="H2185" s="36" t="str">
        <f>IFERROR(__xludf.DUMMYFUNCTION("""COMPUTED_VALUE"""),"")</f>
        <v/>
      </c>
    </row>
    <row r="2186">
      <c r="A2186" s="36" t="str">
        <f>IFERROR(__xludf.DUMMYFUNCTION("""COMPUTED_VALUE"""),"04-20-12-200")</f>
        <v>04-20-12-200</v>
      </c>
      <c r="B2186" s="36" t="str">
        <f>IFERROR(__xludf.DUMMYFUNCTION("""COMPUTED_VALUE"""),"")</f>
        <v/>
      </c>
      <c r="C2186" s="36" t="str">
        <f>IFERROR(__xludf.DUMMYFUNCTION("""COMPUTED_VALUE"""),"")</f>
        <v/>
      </c>
      <c r="D2186" s="36" t="str">
        <f>IFERROR(__xludf.DUMMYFUNCTION("""COMPUTED_VALUE"""),"")</f>
        <v/>
      </c>
      <c r="E2186" s="36" t="str">
        <f>IFERROR(__xludf.DUMMYFUNCTION("""COMPUTED_VALUE"""),"01-25-09-250D")</f>
        <v>01-25-09-250D</v>
      </c>
      <c r="F2186" s="36"/>
      <c r="G2186" s="36" t="str">
        <f>IFERROR(__xludf.DUMMYFUNCTION("""COMPUTED_VALUE"""),"Posada y Gertrudis Funes")</f>
        <v>Posada y Gertrudis Funes</v>
      </c>
      <c r="H2186" s="36" t="str">
        <f>IFERROR(__xludf.DUMMYFUNCTION("""COMPUTED_VALUE"""),"")</f>
        <v/>
      </c>
    </row>
    <row r="2187">
      <c r="A2187" s="36" t="str">
        <f>IFERROR(__xludf.DUMMYFUNCTION("""COMPUTED_VALUE"""),"04-20-12-202")</f>
        <v>04-20-12-202</v>
      </c>
      <c r="B2187" s="36" t="str">
        <f>IFERROR(__xludf.DUMMYFUNCTION("""COMPUTED_VALUE"""),"")</f>
        <v/>
      </c>
      <c r="C2187" s="36" t="str">
        <f>IFERROR(__xludf.DUMMYFUNCTION("""COMPUTED_VALUE"""),"")</f>
        <v/>
      </c>
      <c r="D2187" s="36" t="str">
        <f>IFERROR(__xludf.DUMMYFUNCTION("""COMPUTED_VALUE"""),"")</f>
        <v/>
      </c>
      <c r="E2187" s="36" t="str">
        <f>IFERROR(__xludf.DUMMYFUNCTION("""COMPUTED_VALUE"""),"01-25-09-250C")</f>
        <v>01-25-09-250C</v>
      </c>
      <c r="F2187" s="36"/>
      <c r="G2187" s="36" t="str">
        <f>IFERROR(__xludf.DUMMYFUNCTION("""COMPUTED_VALUE"""),"Posada y Gertrudis Funes -N")</f>
        <v>Posada y Gertrudis Funes -N</v>
      </c>
      <c r="H2187" s="36" t="str">
        <f>IFERROR(__xludf.DUMMYFUNCTION("""COMPUTED_VALUE"""),"")</f>
        <v/>
      </c>
    </row>
    <row r="2188">
      <c r="A2188" s="36" t="str">
        <f>IFERROR(__xludf.DUMMYFUNCTION("""COMPUTED_VALUE"""),"04-20-12-205")</f>
        <v>04-20-12-205</v>
      </c>
      <c r="B2188" s="36" t="str">
        <f>IFERROR(__xludf.DUMMYFUNCTION("""COMPUTED_VALUE"""),"")</f>
        <v/>
      </c>
      <c r="C2188" s="36" t="str">
        <f>IFERROR(__xludf.DUMMYFUNCTION("""COMPUTED_VALUE"""),"")</f>
        <v/>
      </c>
      <c r="D2188" s="36" t="str">
        <f>IFERROR(__xludf.DUMMYFUNCTION("""COMPUTED_VALUE"""),"")</f>
        <v/>
      </c>
      <c r="E2188" s="36" t="str">
        <f>IFERROR(__xludf.DUMMYFUNCTION("""COMPUTED_VALUE"""),"01-25-09-250E")</f>
        <v>01-25-09-250E</v>
      </c>
      <c r="F2188" s="36"/>
      <c r="G2188" s="36" t="str">
        <f>IFERROR(__xludf.DUMMYFUNCTION("""COMPUTED_VALUE"""),"Posadas y Correa")</f>
        <v>Posadas y Correa</v>
      </c>
      <c r="H2188" s="36" t="str">
        <f>IFERROR(__xludf.DUMMYFUNCTION("""COMPUTED_VALUE"""),"")</f>
        <v/>
      </c>
    </row>
    <row r="2189">
      <c r="A2189" s="36" t="str">
        <f>IFERROR(__xludf.DUMMYFUNCTION("""COMPUTED_VALUE"""),"04-20-12-207")</f>
        <v>04-20-12-207</v>
      </c>
      <c r="B2189" s="36" t="str">
        <f>IFERROR(__xludf.DUMMYFUNCTION("""COMPUTED_VALUE"""),"")</f>
        <v/>
      </c>
      <c r="C2189" s="36" t="str">
        <f>IFERROR(__xludf.DUMMYFUNCTION("""COMPUTED_VALUE"""),"")</f>
        <v/>
      </c>
      <c r="D2189" s="36" t="str">
        <f>IFERROR(__xludf.DUMMYFUNCTION("""COMPUTED_VALUE"""),"")</f>
        <v/>
      </c>
      <c r="E2189" s="36" t="str">
        <f>IFERROR(__xludf.DUMMYFUNCTION("""COMPUTED_VALUE"""),"01-25-09-250B")</f>
        <v>01-25-09-250B</v>
      </c>
      <c r="F2189" s="36"/>
      <c r="G2189" s="36" t="str">
        <f>IFERROR(__xludf.DUMMYFUNCTION("""COMPUTED_VALUE"""),"Posadas y T. S. de Benavídez")</f>
        <v>Posadas y T. S. de Benavídez</v>
      </c>
      <c r="H2189" s="36" t="str">
        <f>IFERROR(__xludf.DUMMYFUNCTION("""COMPUTED_VALUE"""),"")</f>
        <v/>
      </c>
    </row>
    <row r="2190">
      <c r="A2190" s="36" t="str">
        <f>IFERROR(__xludf.DUMMYFUNCTION("""COMPUTED_VALUE"""),"04-20-12-209")</f>
        <v>04-20-12-209</v>
      </c>
      <c r="B2190" s="36" t="str">
        <f>IFERROR(__xludf.DUMMYFUNCTION("""COMPUTED_VALUE"""),"")</f>
        <v/>
      </c>
      <c r="C2190" s="36" t="str">
        <f>IFERROR(__xludf.DUMMYFUNCTION("""COMPUTED_VALUE"""),"")</f>
        <v/>
      </c>
      <c r="D2190" s="36" t="str">
        <f>IFERROR(__xludf.DUMMYFUNCTION("""COMPUTED_VALUE"""),"")</f>
        <v/>
      </c>
      <c r="E2190" s="36" t="str">
        <f>IFERROR(__xludf.DUMMYFUNCTION("""COMPUTED_VALUE"""),"01-25-09-250A")</f>
        <v>01-25-09-250A</v>
      </c>
      <c r="F2190" s="36"/>
      <c r="G2190" s="36" t="str">
        <f>IFERROR(__xludf.DUMMYFUNCTION("""COMPUTED_VALUE"""),"Posadas y T. S. de Benavídez -N")</f>
        <v>Posadas y T. S. de Benavídez -N</v>
      </c>
      <c r="H2190" s="36" t="str">
        <f>IFERROR(__xludf.DUMMYFUNCTION("""COMPUTED_VALUE"""),"")</f>
        <v/>
      </c>
    </row>
    <row r="2191">
      <c r="A2191" s="36" t="str">
        <f>IFERROR(__xludf.DUMMYFUNCTION("""COMPUTED_VALUE"""),"04-20-12-240")</f>
        <v>04-20-12-240</v>
      </c>
      <c r="B2191" s="36" t="str">
        <f>IFERROR(__xludf.DUMMYFUNCTION("""COMPUTED_VALUE"""),"")</f>
        <v/>
      </c>
      <c r="C2191" s="36" t="str">
        <f>IFERROR(__xludf.DUMMYFUNCTION("""COMPUTED_VALUE"""),"")</f>
        <v/>
      </c>
      <c r="D2191" s="36" t="str">
        <f>IFERROR(__xludf.DUMMYFUNCTION("""COMPUTED_VALUE"""),"")</f>
        <v/>
      </c>
      <c r="E2191" s="36" t="str">
        <f>IFERROR(__xludf.DUMMYFUNCTION("""COMPUTED_VALUE"""),"02-36-11-109A")</f>
        <v>02-36-11-109A</v>
      </c>
      <c r="F2191" s="36"/>
      <c r="G2191" s="36" t="str">
        <f>IFERROR(__xludf.DUMMYFUNCTION("""COMPUTED_VALUE"""),"Predio Punta de Rieles")</f>
        <v>Predio Punta de Rieles</v>
      </c>
      <c r="H2191" s="36" t="str">
        <f>IFERROR(__xludf.DUMMYFUNCTION("""COMPUTED_VALUE"""),"")</f>
        <v/>
      </c>
    </row>
    <row r="2192">
      <c r="A2192" s="36" t="str">
        <f>IFERROR(__xludf.DUMMYFUNCTION("""COMPUTED_VALUE"""),"04-20-12-241")</f>
        <v>04-20-12-241</v>
      </c>
      <c r="B2192" s="36" t="str">
        <f>IFERROR(__xludf.DUMMYFUNCTION("""COMPUTED_VALUE"""),"")</f>
        <v/>
      </c>
      <c r="C2192" s="36" t="str">
        <f>IFERROR(__xludf.DUMMYFUNCTION("""COMPUTED_VALUE"""),"")</f>
        <v/>
      </c>
      <c r="D2192" s="36" t="str">
        <f>IFERROR(__xludf.DUMMYFUNCTION("""COMPUTED_VALUE"""),"")</f>
        <v/>
      </c>
      <c r="E2192" s="36" t="str">
        <f>IFERROR(__xludf.DUMMYFUNCTION("""COMPUTED_VALUE"""),"04-30-14-97")</f>
        <v>04-30-14-97</v>
      </c>
      <c r="F2192" s="36"/>
      <c r="G2192" s="36" t="str">
        <f>IFERROR(__xludf.DUMMYFUNCTION("""COMPUTED_VALUE"""),"Pregreso - B° Conjunto 5 -N")</f>
        <v>Pregreso - B° Conjunto 5 -N</v>
      </c>
      <c r="H2192" s="36" t="str">
        <f>IFERROR(__xludf.DUMMYFUNCTION("""COMPUTED_VALUE"""),"")</f>
        <v/>
      </c>
    </row>
    <row r="2193">
      <c r="A2193" s="36" t="str">
        <f>IFERROR(__xludf.DUMMYFUNCTION("""COMPUTED_VALUE"""),"04-34-12-10")</f>
        <v>04-34-12-10</v>
      </c>
      <c r="B2193" s="36" t="str">
        <f>IFERROR(__xludf.DUMMYFUNCTION("""COMPUTED_VALUE"""),"")</f>
        <v/>
      </c>
      <c r="C2193" s="36" t="str">
        <f>IFERROR(__xludf.DUMMYFUNCTION("""COMPUTED_VALUE"""),"")</f>
        <v/>
      </c>
      <c r="D2193" s="36" t="str">
        <f>IFERROR(__xludf.DUMMYFUNCTION("""COMPUTED_VALUE"""),"")</f>
        <v/>
      </c>
      <c r="E2193" s="36" t="str">
        <f>IFERROR(__xludf.DUMMYFUNCTION("""COMPUTED_VALUE"""),"04-30-14-96")</f>
        <v>04-30-14-96</v>
      </c>
      <c r="F2193" s="36"/>
      <c r="G2193" s="36" t="str">
        <f>IFERROR(__xludf.DUMMYFUNCTION("""COMPUTED_VALUE"""),"Pregreso - B° Conjunto 5 -S")</f>
        <v>Pregreso - B° Conjunto 5 -S</v>
      </c>
      <c r="H2193" s="36" t="str">
        <f>IFERROR(__xludf.DUMMYFUNCTION("""COMPUTED_VALUE"""),"")</f>
        <v/>
      </c>
    </row>
    <row r="2194">
      <c r="A2194" s="36" t="str">
        <f>IFERROR(__xludf.DUMMYFUNCTION("""COMPUTED_VALUE"""),"04-34-12-109")</f>
        <v>04-34-12-109</v>
      </c>
      <c r="B2194" s="36" t="str">
        <f>IFERROR(__xludf.DUMMYFUNCTION("""COMPUTED_VALUE"""),"")</f>
        <v/>
      </c>
      <c r="C2194" s="36" t="str">
        <f>IFERROR(__xludf.DUMMYFUNCTION("""COMPUTED_VALUE"""),"")</f>
        <v/>
      </c>
      <c r="D2194" s="36" t="str">
        <f>IFERROR(__xludf.DUMMYFUNCTION("""COMPUTED_VALUE"""),"")</f>
        <v/>
      </c>
      <c r="E2194" s="36" t="str">
        <f>IFERROR(__xludf.DUMMYFUNCTION("""COMPUTED_VALUE"""),"04-30-14-98")</f>
        <v>04-30-14-98</v>
      </c>
      <c r="F2194" s="36"/>
      <c r="G2194" s="36" t="str">
        <f>IFERROR(__xludf.DUMMYFUNCTION("""COMPUTED_VALUE"""),"Pregreso - B° Conjunto 6 -S")</f>
        <v>Pregreso - B° Conjunto 6 -S</v>
      </c>
      <c r="H2194" s="36" t="str">
        <f>IFERROR(__xludf.DUMMYFUNCTION("""COMPUTED_VALUE"""),"")</f>
        <v/>
      </c>
    </row>
    <row r="2195">
      <c r="A2195" s="36" t="str">
        <f>IFERROR(__xludf.DUMMYFUNCTION("""COMPUTED_VALUE"""),"04-34-12-11")</f>
        <v>04-34-12-11</v>
      </c>
      <c r="B2195" s="36" t="str">
        <f>IFERROR(__xludf.DUMMYFUNCTION("""COMPUTED_VALUE"""),"")</f>
        <v/>
      </c>
      <c r="C2195" s="36" t="str">
        <f>IFERROR(__xludf.DUMMYFUNCTION("""COMPUTED_VALUE"""),"")</f>
        <v/>
      </c>
      <c r="D2195" s="36" t="str">
        <f>IFERROR(__xludf.DUMMYFUNCTION("""COMPUTED_VALUE"""),"")</f>
        <v/>
      </c>
      <c r="E2195" s="36" t="str">
        <f>IFERROR(__xludf.DUMMYFUNCTION("""COMPUTED_VALUE"""),"03-30-10-67A")</f>
        <v>03-30-10-67A</v>
      </c>
      <c r="F2195" s="36"/>
      <c r="G2195" s="36" t="str">
        <f>IFERROR(__xludf.DUMMYFUNCTION("""COMPUTED_VALUE"""),"Procesa de Leloir y Godoy")</f>
        <v>Procesa de Leloir y Godoy</v>
      </c>
      <c r="H2195" s="36" t="str">
        <f>IFERROR(__xludf.DUMMYFUNCTION("""COMPUTED_VALUE"""),"")</f>
        <v/>
      </c>
    </row>
    <row r="2196">
      <c r="A2196" s="36" t="str">
        <f>IFERROR(__xludf.DUMMYFUNCTION("""COMPUTED_VALUE"""),"04-34-12-13")</f>
        <v>04-34-12-13</v>
      </c>
      <c r="B2196" s="36" t="str">
        <f>IFERROR(__xludf.DUMMYFUNCTION("""COMPUTED_VALUE"""),"")</f>
        <v/>
      </c>
      <c r="C2196" s="36" t="str">
        <f>IFERROR(__xludf.DUMMYFUNCTION("""COMPUTED_VALUE"""),"")</f>
        <v/>
      </c>
      <c r="D2196" s="36" t="str">
        <f>IFERROR(__xludf.DUMMYFUNCTION("""COMPUTED_VALUE"""),"")</f>
        <v/>
      </c>
      <c r="E2196" s="36" t="str">
        <f>IFERROR(__xludf.DUMMYFUNCTION("""COMPUTED_VALUE"""),"03-30-10-67B")</f>
        <v>03-30-10-67B</v>
      </c>
      <c r="F2196" s="36"/>
      <c r="G2196" s="36" t="str">
        <f>IFERROR(__xludf.DUMMYFUNCTION("""COMPUTED_VALUE"""),"Procesa de Leloir y Richet")</f>
        <v>Procesa de Leloir y Richet</v>
      </c>
      <c r="H2196" s="36" t="str">
        <f>IFERROR(__xludf.DUMMYFUNCTION("""COMPUTED_VALUE"""),"")</f>
        <v/>
      </c>
    </row>
    <row r="2197">
      <c r="A2197" s="36" t="str">
        <f>IFERROR(__xludf.DUMMYFUNCTION("""COMPUTED_VALUE"""),"04-34-12-14")</f>
        <v>04-34-12-14</v>
      </c>
      <c r="B2197" s="36" t="str">
        <f>IFERROR(__xludf.DUMMYFUNCTION("""COMPUTED_VALUE"""),"")</f>
        <v/>
      </c>
      <c r="C2197" s="36" t="str">
        <f>IFERROR(__xludf.DUMMYFUNCTION("""COMPUTED_VALUE"""),"")</f>
        <v/>
      </c>
      <c r="D2197" s="36" t="str">
        <f>IFERROR(__xludf.DUMMYFUNCTION("""COMPUTED_VALUE"""),"")</f>
        <v/>
      </c>
      <c r="E2197" s="36" t="str">
        <f>IFERROR(__xludf.DUMMYFUNCTION("""COMPUTED_VALUE"""),"04-30-14-99")</f>
        <v>04-30-14-99</v>
      </c>
      <c r="F2197" s="36"/>
      <c r="G2197" s="36" t="str">
        <f>IFERROR(__xludf.DUMMYFUNCTION("""COMPUTED_VALUE"""),"Progreso - B° Conjunto 6 -N")</f>
        <v>Progreso - B° Conjunto 6 -N</v>
      </c>
      <c r="H2197" s="36" t="str">
        <f>IFERROR(__xludf.DUMMYFUNCTION("""COMPUTED_VALUE"""),"")</f>
        <v/>
      </c>
    </row>
    <row r="2198">
      <c r="A2198" s="36" t="str">
        <f>IFERROR(__xludf.DUMMYFUNCTION("""COMPUTED_VALUE"""),"04-34-12-17")</f>
        <v>04-34-12-17</v>
      </c>
      <c r="B2198" s="36" t="str">
        <f>IFERROR(__xludf.DUMMYFUNCTION("""COMPUTED_VALUE"""),"")</f>
        <v/>
      </c>
      <c r="C2198" s="36" t="str">
        <f>IFERROR(__xludf.DUMMYFUNCTION("""COMPUTED_VALUE"""),"")</f>
        <v/>
      </c>
      <c r="D2198" s="36" t="str">
        <f>IFERROR(__xludf.DUMMYFUNCTION("""COMPUTED_VALUE"""),"")</f>
        <v/>
      </c>
      <c r="E2198" s="36" t="str">
        <f>IFERROR(__xludf.DUMMYFUNCTION("""COMPUTED_VALUE"""),"04-32-13-411")</f>
        <v>04-32-13-411</v>
      </c>
      <c r="F2198" s="36"/>
      <c r="G2198" s="36" t="str">
        <f>IFERROR(__xludf.DUMMYFUNCTION("""COMPUTED_VALUE"""),"Progreso y Atenas -N")</f>
        <v>Progreso y Atenas -N</v>
      </c>
      <c r="H2198" s="36" t="str">
        <f>IFERROR(__xludf.DUMMYFUNCTION("""COMPUTED_VALUE"""),"")</f>
        <v/>
      </c>
    </row>
    <row r="2199">
      <c r="A2199" s="36" t="str">
        <f>IFERROR(__xludf.DUMMYFUNCTION("""COMPUTED_VALUE"""),"04-34-12-19")</f>
        <v>04-34-12-19</v>
      </c>
      <c r="B2199" s="36" t="str">
        <f>IFERROR(__xludf.DUMMYFUNCTION("""COMPUTED_VALUE"""),"")</f>
        <v/>
      </c>
      <c r="C2199" s="36" t="str">
        <f>IFERROR(__xludf.DUMMYFUNCTION("""COMPUTED_VALUE"""),"")</f>
        <v/>
      </c>
      <c r="D2199" s="36" t="str">
        <f>IFERROR(__xludf.DUMMYFUNCTION("""COMPUTED_VALUE"""),"")</f>
        <v/>
      </c>
      <c r="E2199" s="36" t="str">
        <f>IFERROR(__xludf.DUMMYFUNCTION("""COMPUTED_VALUE"""),"04-47-13-412")</f>
        <v>04-47-13-412</v>
      </c>
      <c r="F2199" s="36"/>
      <c r="G2199" s="36" t="str">
        <f>IFERROR(__xludf.DUMMYFUNCTION("""COMPUTED_VALUE"""),"Progreso y Atenas -S")</f>
        <v>Progreso y Atenas -S</v>
      </c>
      <c r="H2199" s="36" t="str">
        <f>IFERROR(__xludf.DUMMYFUNCTION("""COMPUTED_VALUE"""),"")</f>
        <v/>
      </c>
    </row>
    <row r="2200">
      <c r="A2200" s="36" t="str">
        <f>IFERROR(__xludf.DUMMYFUNCTION("""COMPUTED_VALUE"""),"04-34-12-21")</f>
        <v>04-34-12-21</v>
      </c>
      <c r="B2200" s="36" t="str">
        <f>IFERROR(__xludf.DUMMYFUNCTION("""COMPUTED_VALUE"""),"")</f>
        <v/>
      </c>
      <c r="C2200" s="36" t="str">
        <f>IFERROR(__xludf.DUMMYFUNCTION("""COMPUTED_VALUE"""),"")</f>
        <v/>
      </c>
      <c r="D2200" s="36" t="str">
        <f>IFERROR(__xludf.DUMMYFUNCTION("""COMPUTED_VALUE"""),"")</f>
        <v/>
      </c>
      <c r="E2200" s="36" t="str">
        <f>IFERROR(__xludf.DUMMYFUNCTION("""COMPUTED_VALUE"""),"04-32-13-416")</f>
        <v>04-32-13-416</v>
      </c>
      <c r="F2200" s="36"/>
      <c r="G2200" s="36" t="str">
        <f>IFERROR(__xludf.DUMMYFUNCTION("""COMPUTED_VALUE"""),"Progreso y Charcas -N")</f>
        <v>Progreso y Charcas -N</v>
      </c>
      <c r="H2200" s="36" t="str">
        <f>IFERROR(__xludf.DUMMYFUNCTION("""COMPUTED_VALUE"""),"")</f>
        <v/>
      </c>
    </row>
    <row r="2201">
      <c r="A2201" s="36" t="str">
        <f>IFERROR(__xludf.DUMMYFUNCTION("""COMPUTED_VALUE"""),"04-34-12-23")</f>
        <v>04-34-12-23</v>
      </c>
      <c r="B2201" s="36" t="str">
        <f>IFERROR(__xludf.DUMMYFUNCTION("""COMPUTED_VALUE"""),"")</f>
        <v/>
      </c>
      <c r="C2201" s="36" t="str">
        <f>IFERROR(__xludf.DUMMYFUNCTION("""COMPUTED_VALUE"""),"")</f>
        <v/>
      </c>
      <c r="D2201" s="36" t="str">
        <f>IFERROR(__xludf.DUMMYFUNCTION("""COMPUTED_VALUE"""),"")</f>
        <v/>
      </c>
      <c r="E2201" s="36" t="str">
        <f>IFERROR(__xludf.DUMMYFUNCTION("""COMPUTED_VALUE"""),"04-47-13-415")</f>
        <v>04-47-13-415</v>
      </c>
      <c r="F2201" s="36"/>
      <c r="G2201" s="36" t="str">
        <f>IFERROR(__xludf.DUMMYFUNCTION("""COMPUTED_VALUE"""),"Progreso y Charcas -S")</f>
        <v>Progreso y Charcas -S</v>
      </c>
      <c r="H2201" s="36" t="str">
        <f>IFERROR(__xludf.DUMMYFUNCTION("""COMPUTED_VALUE"""),"")</f>
        <v/>
      </c>
    </row>
    <row r="2202">
      <c r="A2202" s="36" t="str">
        <f>IFERROR(__xludf.DUMMYFUNCTION("""COMPUTED_VALUE"""),"04-34-12-25")</f>
        <v>04-34-12-25</v>
      </c>
      <c r="B2202" s="36" t="str">
        <f>IFERROR(__xludf.DUMMYFUNCTION("""COMPUTED_VALUE"""),"")</f>
        <v/>
      </c>
      <c r="C2202" s="36" t="str">
        <f>IFERROR(__xludf.DUMMYFUNCTION("""COMPUTED_VALUE"""),"")</f>
        <v/>
      </c>
      <c r="D2202" s="36" t="str">
        <f>IFERROR(__xludf.DUMMYFUNCTION("""COMPUTED_VALUE"""),"")</f>
        <v/>
      </c>
      <c r="E2202" s="36" t="str">
        <f>IFERROR(__xludf.DUMMYFUNCTION("""COMPUTED_VALUE"""),"04-32-13-418")</f>
        <v>04-32-13-418</v>
      </c>
      <c r="F2202" s="36"/>
      <c r="G2202" s="36" t="str">
        <f>IFERROR(__xludf.DUMMYFUNCTION("""COMPUTED_VALUE"""),"Progreso y Cobos -N")</f>
        <v>Progreso y Cobos -N</v>
      </c>
      <c r="H2202" s="36" t="str">
        <f>IFERROR(__xludf.DUMMYFUNCTION("""COMPUTED_VALUE"""),"")</f>
        <v/>
      </c>
    </row>
    <row r="2203">
      <c r="A2203" s="36" t="str">
        <f>IFERROR(__xludf.DUMMYFUNCTION("""COMPUTED_VALUE"""),"04-34-12-27")</f>
        <v>04-34-12-27</v>
      </c>
      <c r="B2203" s="36" t="str">
        <f>IFERROR(__xludf.DUMMYFUNCTION("""COMPUTED_VALUE"""),"")</f>
        <v/>
      </c>
      <c r="C2203" s="36" t="str">
        <f>IFERROR(__xludf.DUMMYFUNCTION("""COMPUTED_VALUE"""),"")</f>
        <v/>
      </c>
      <c r="D2203" s="36" t="str">
        <f>IFERROR(__xludf.DUMMYFUNCTION("""COMPUTED_VALUE"""),"")</f>
        <v/>
      </c>
      <c r="E2203" s="36" t="str">
        <f>IFERROR(__xludf.DUMMYFUNCTION("""COMPUTED_VALUE"""),"04-47-13-417")</f>
        <v>04-47-13-417</v>
      </c>
      <c r="F2203" s="36"/>
      <c r="G2203" s="36" t="str">
        <f>IFERROR(__xludf.DUMMYFUNCTION("""COMPUTED_VALUE"""),"Progreso y Cobos -S")</f>
        <v>Progreso y Cobos -S</v>
      </c>
      <c r="H2203" s="36" t="str">
        <f>IFERROR(__xludf.DUMMYFUNCTION("""COMPUTED_VALUE"""),"")</f>
        <v/>
      </c>
    </row>
    <row r="2204">
      <c r="A2204" s="36" t="str">
        <f>IFERROR(__xludf.DUMMYFUNCTION("""COMPUTED_VALUE"""),"04-34-12-29")</f>
        <v>04-34-12-29</v>
      </c>
      <c r="B2204" s="36" t="str">
        <f>IFERROR(__xludf.DUMMYFUNCTION("""COMPUTED_VALUE"""),"")</f>
        <v/>
      </c>
      <c r="C2204" s="36" t="str">
        <f>IFERROR(__xludf.DUMMYFUNCTION("""COMPUTED_VALUE"""),"")</f>
        <v/>
      </c>
      <c r="D2204" s="36" t="str">
        <f>IFERROR(__xludf.DUMMYFUNCTION("""COMPUTED_VALUE"""),"")</f>
        <v/>
      </c>
      <c r="E2204" s="36" t="str">
        <f>IFERROR(__xludf.DUMMYFUNCTION("""COMPUTED_VALUE"""),"04-32-13-414")</f>
        <v>04-32-13-414</v>
      </c>
      <c r="F2204" s="36"/>
      <c r="G2204" s="36" t="str">
        <f>IFERROR(__xludf.DUMMYFUNCTION("""COMPUTED_VALUE"""),"Progreso y del Carril -N")</f>
        <v>Progreso y del Carril -N</v>
      </c>
      <c r="H2204" s="36" t="str">
        <f>IFERROR(__xludf.DUMMYFUNCTION("""COMPUTED_VALUE"""),"")</f>
        <v/>
      </c>
    </row>
    <row r="2205">
      <c r="A2205" s="36" t="str">
        <f>IFERROR(__xludf.DUMMYFUNCTION("""COMPUTED_VALUE"""),"04-34-12-30")</f>
        <v>04-34-12-30</v>
      </c>
      <c r="B2205" s="36" t="str">
        <f>IFERROR(__xludf.DUMMYFUNCTION("""COMPUTED_VALUE"""),"")</f>
        <v/>
      </c>
      <c r="C2205" s="36" t="str">
        <f>IFERROR(__xludf.DUMMYFUNCTION("""COMPUTED_VALUE"""),"")</f>
        <v/>
      </c>
      <c r="D2205" s="36" t="str">
        <f>IFERROR(__xludf.DUMMYFUNCTION("""COMPUTED_VALUE"""),"")</f>
        <v/>
      </c>
      <c r="E2205" s="36" t="str">
        <f>IFERROR(__xludf.DUMMYFUNCTION("""COMPUTED_VALUE"""),"04-48-14-100")</f>
        <v>04-48-14-100</v>
      </c>
      <c r="F2205" s="36"/>
      <c r="G2205" s="36" t="str">
        <f>IFERROR(__xludf.DUMMYFUNCTION("""COMPUTED_VALUE"""),"Progreso y Gral. Acha")</f>
        <v>Progreso y Gral. Acha</v>
      </c>
      <c r="H2205" s="36" t="str">
        <f>IFERROR(__xludf.DUMMYFUNCTION("""COMPUTED_VALUE"""),"")</f>
        <v/>
      </c>
    </row>
    <row r="2206">
      <c r="A2206" s="36" t="str">
        <f>IFERROR(__xludf.DUMMYFUNCTION("""COMPUTED_VALUE"""),"04-34-12-30A")</f>
        <v>04-34-12-30A</v>
      </c>
      <c r="B2206" s="36" t="str">
        <f>IFERROR(__xludf.DUMMYFUNCTION("""COMPUTED_VALUE"""),"")</f>
        <v/>
      </c>
      <c r="C2206" s="36" t="str">
        <f>IFERROR(__xludf.DUMMYFUNCTION("""COMPUTED_VALUE"""),"")</f>
        <v/>
      </c>
      <c r="D2206" s="36" t="str">
        <f>IFERROR(__xludf.DUMMYFUNCTION("""COMPUTED_VALUE"""),"")</f>
        <v/>
      </c>
      <c r="E2206" s="36" t="str">
        <f>IFERROR(__xludf.DUMMYFUNCTION("""COMPUTED_VALUE"""),"04-47-14-99C")</f>
        <v>04-47-14-99C</v>
      </c>
      <c r="F2206" s="36"/>
      <c r="G2206" s="36" t="str">
        <f>IFERROR(__xludf.DUMMYFUNCTION("""COMPUTED_VALUE"""),"Progreso y Maurín")</f>
        <v>Progreso y Maurín</v>
      </c>
      <c r="H2206" s="36" t="str">
        <f>IFERROR(__xludf.DUMMYFUNCTION("""COMPUTED_VALUE"""),"")</f>
        <v/>
      </c>
    </row>
    <row r="2207">
      <c r="A2207" s="36" t="str">
        <f>IFERROR(__xludf.DUMMYFUNCTION("""COMPUTED_VALUE"""),"04-34-12-31")</f>
        <v>04-34-12-31</v>
      </c>
      <c r="B2207" s="36" t="str">
        <f>IFERROR(__xludf.DUMMYFUNCTION("""COMPUTED_VALUE"""),"")</f>
        <v/>
      </c>
      <c r="C2207" s="36" t="str">
        <f>IFERROR(__xludf.DUMMYFUNCTION("""COMPUTED_VALUE"""),"")</f>
        <v/>
      </c>
      <c r="D2207" s="36" t="str">
        <f>IFERROR(__xludf.DUMMYFUNCTION("""COMPUTED_VALUE"""),"")</f>
        <v/>
      </c>
      <c r="E2207" s="36" t="str">
        <f>IFERROR(__xludf.DUMMYFUNCTION("""COMPUTED_VALUE"""),"04-32-13-185")</f>
        <v>04-32-13-185</v>
      </c>
      <c r="F2207" s="36"/>
      <c r="G2207" s="36" t="str">
        <f>IFERROR(__xludf.DUMMYFUNCTION("""COMPUTED_VALUE"""),"Progreso y Mendoza")</f>
        <v>Progreso y Mendoza</v>
      </c>
      <c r="H2207" s="36" t="str">
        <f>IFERROR(__xludf.DUMMYFUNCTION("""COMPUTED_VALUE"""),"")</f>
        <v/>
      </c>
    </row>
    <row r="2208">
      <c r="A2208" s="36" t="str">
        <f>IFERROR(__xludf.DUMMYFUNCTION("""COMPUTED_VALUE"""),"04-34-12-31A")</f>
        <v>04-34-12-31A</v>
      </c>
      <c r="B2208" s="36" t="str">
        <f>IFERROR(__xludf.DUMMYFUNCTION("""COMPUTED_VALUE"""),"")</f>
        <v/>
      </c>
      <c r="C2208" s="36" t="str">
        <f>IFERROR(__xludf.DUMMYFUNCTION("""COMPUTED_VALUE"""),"")</f>
        <v/>
      </c>
      <c r="D2208" s="36" t="str">
        <f>IFERROR(__xludf.DUMMYFUNCTION("""COMPUTED_VALUE"""),"")</f>
        <v/>
      </c>
      <c r="E2208" s="36" t="str">
        <f>IFERROR(__xludf.DUMMYFUNCTION("""COMPUTED_VALUE"""),"04-32-14-99A")</f>
        <v>04-32-14-99A</v>
      </c>
      <c r="F2208" s="36"/>
      <c r="G2208" s="36" t="str">
        <f>IFERROR(__xludf.DUMMYFUNCTION("""COMPUTED_VALUE"""),"Progreso y Mogna -N")</f>
        <v>Progreso y Mogna -N</v>
      </c>
      <c r="H2208" s="36" t="str">
        <f>IFERROR(__xludf.DUMMYFUNCTION("""COMPUTED_VALUE"""),"")</f>
        <v/>
      </c>
    </row>
    <row r="2209">
      <c r="A2209" s="36" t="str">
        <f>IFERROR(__xludf.DUMMYFUNCTION("""COMPUTED_VALUE"""),"04-34-12-32")</f>
        <v>04-34-12-32</v>
      </c>
      <c r="B2209" s="36" t="str">
        <f>IFERROR(__xludf.DUMMYFUNCTION("""COMPUTED_VALUE"""),"")</f>
        <v/>
      </c>
      <c r="C2209" s="36" t="str">
        <f>IFERROR(__xludf.DUMMYFUNCTION("""COMPUTED_VALUE"""),"")</f>
        <v/>
      </c>
      <c r="D2209" s="36" t="str">
        <f>IFERROR(__xludf.DUMMYFUNCTION("""COMPUTED_VALUE"""),"")</f>
        <v/>
      </c>
      <c r="E2209" s="36" t="str">
        <f>IFERROR(__xludf.DUMMYFUNCTION("""COMPUTED_VALUE"""),"04-48-14-99D")</f>
        <v>04-48-14-99D</v>
      </c>
      <c r="F2209" s="36"/>
      <c r="G2209" s="36" t="str">
        <f>IFERROR(__xludf.DUMMYFUNCTION("""COMPUTED_VALUE"""),"Progreso y Mogna S")</f>
        <v>Progreso y Mogna S</v>
      </c>
      <c r="H2209" s="36" t="str">
        <f>IFERROR(__xludf.DUMMYFUNCTION("""COMPUTED_VALUE"""),"")</f>
        <v/>
      </c>
    </row>
    <row r="2210">
      <c r="A2210" s="36" t="str">
        <f>IFERROR(__xludf.DUMMYFUNCTION("""COMPUTED_VALUE"""),"04-34-12-32A")</f>
        <v>04-34-12-32A</v>
      </c>
      <c r="B2210" s="36" t="str">
        <f>IFERROR(__xludf.DUMMYFUNCTION("""COMPUTED_VALUE"""),"")</f>
        <v/>
      </c>
      <c r="C2210" s="36" t="str">
        <f>IFERROR(__xludf.DUMMYFUNCTION("""COMPUTED_VALUE"""),"")</f>
        <v/>
      </c>
      <c r="D2210" s="36" t="str">
        <f>IFERROR(__xludf.DUMMYFUNCTION("""COMPUTED_VALUE"""),"")</f>
        <v/>
      </c>
      <c r="E2210" s="36" t="str">
        <f>IFERROR(__xludf.DUMMYFUNCTION("""COMPUTED_VALUE"""),"04-32-14-99B")</f>
        <v>04-32-14-99B</v>
      </c>
      <c r="F2210" s="36"/>
      <c r="G2210" s="36" t="str">
        <f>IFERROR(__xludf.DUMMYFUNCTION("""COMPUTED_VALUE"""),"Progreso y Patricias Sanjuaninas")</f>
        <v>Progreso y Patricias Sanjuaninas</v>
      </c>
      <c r="H2210" s="36" t="str">
        <f>IFERROR(__xludf.DUMMYFUNCTION("""COMPUTED_VALUE"""),"")</f>
        <v/>
      </c>
    </row>
    <row r="2211">
      <c r="A2211" s="36" t="str">
        <f>IFERROR(__xludf.DUMMYFUNCTION("""COMPUTED_VALUE"""),"04-34-12-32B")</f>
        <v>04-34-12-32B</v>
      </c>
      <c r="B2211" s="36" t="str">
        <f>IFERROR(__xludf.DUMMYFUNCTION("""COMPUTED_VALUE"""),"")</f>
        <v/>
      </c>
      <c r="C2211" s="36" t="str">
        <f>IFERROR(__xludf.DUMMYFUNCTION("""COMPUTED_VALUE"""),"")</f>
        <v/>
      </c>
      <c r="D2211" s="36" t="str">
        <f>IFERROR(__xludf.DUMMYFUNCTION("""COMPUTED_VALUE"""),"")</f>
        <v/>
      </c>
      <c r="E2211" s="36" t="str">
        <f>IFERROR(__xludf.DUMMYFUNCTION("""COMPUTED_VALUE"""),"04-32-13-413")</f>
        <v>04-32-13-413</v>
      </c>
      <c r="F2211" s="36"/>
      <c r="G2211" s="36" t="str">
        <f>IFERROR(__xludf.DUMMYFUNCTION("""COMPUTED_VALUE"""),"Progreso y R. N. N°40 -E")</f>
        <v>Progreso y R. N. N°40 -E</v>
      </c>
      <c r="H2211" s="36" t="str">
        <f>IFERROR(__xludf.DUMMYFUNCTION("""COMPUTED_VALUE"""),"")</f>
        <v/>
      </c>
    </row>
    <row r="2212">
      <c r="A2212" s="36" t="str">
        <f>IFERROR(__xludf.DUMMYFUNCTION("""COMPUTED_VALUE"""),"04-34-12-33")</f>
        <v>04-34-12-33</v>
      </c>
      <c r="B2212" s="36" t="str">
        <f>IFERROR(__xludf.DUMMYFUNCTION("""COMPUTED_VALUE"""),"")</f>
        <v/>
      </c>
      <c r="C2212" s="36" t="str">
        <f>IFERROR(__xludf.DUMMYFUNCTION("""COMPUTED_VALUE"""),"")</f>
        <v/>
      </c>
      <c r="D2212" s="36" t="str">
        <f>IFERROR(__xludf.DUMMYFUNCTION("""COMPUTED_VALUE"""),"")</f>
        <v/>
      </c>
      <c r="E2212" s="36" t="str">
        <f>IFERROR(__xludf.DUMMYFUNCTION("""COMPUTED_VALUE"""),"04-47-13-469")</f>
        <v>04-47-13-469</v>
      </c>
      <c r="F2212" s="36"/>
      <c r="G2212" s="36" t="str">
        <f>IFERROR(__xludf.DUMMYFUNCTION("""COMPUTED_VALUE"""),"Progreso y R. N. N°40 -O")</f>
        <v>Progreso y R. N. N°40 -O</v>
      </c>
      <c r="H2212" s="36" t="str">
        <f>IFERROR(__xludf.DUMMYFUNCTION("""COMPUTED_VALUE"""),"")</f>
        <v/>
      </c>
    </row>
    <row r="2213">
      <c r="A2213" s="36" t="str">
        <f>IFERROR(__xludf.DUMMYFUNCTION("""COMPUTED_VALUE"""),"04-34-12-34")</f>
        <v>04-34-12-34</v>
      </c>
      <c r="B2213" s="36" t="str">
        <f>IFERROR(__xludf.DUMMYFUNCTION("""COMPUTED_VALUE"""),"")</f>
        <v/>
      </c>
      <c r="C2213" s="36" t="str">
        <f>IFERROR(__xludf.DUMMYFUNCTION("""COMPUTED_VALUE"""),"")</f>
        <v/>
      </c>
      <c r="D2213" s="36" t="str">
        <f>IFERROR(__xludf.DUMMYFUNCTION("""COMPUTED_VALUE"""),"")</f>
        <v/>
      </c>
      <c r="E2213" s="36" t="str">
        <f>IFERROR(__xludf.DUMMYFUNCTION("""COMPUTED_VALUE"""),"04-30-14-118A")</f>
        <v>04-30-14-118A</v>
      </c>
      <c r="F2213" s="36"/>
      <c r="G2213" s="36" t="str">
        <f>IFERROR(__xludf.DUMMYFUNCTION("""COMPUTED_VALUE"""),"Proy.1 B°Amecom 4 y Proy.2 B°Amecom 4")</f>
        <v>Proy.1 B°Amecom 4 y Proy.2 B°Amecom 4</v>
      </c>
      <c r="H2213" s="36" t="str">
        <f>IFERROR(__xludf.DUMMYFUNCTION("""COMPUTED_VALUE"""),"")</f>
        <v/>
      </c>
    </row>
    <row r="2214">
      <c r="A2214" s="36" t="str">
        <f>IFERROR(__xludf.DUMMYFUNCTION("""COMPUTED_VALUE"""),"04-34-12-34A")</f>
        <v>04-34-12-34A</v>
      </c>
      <c r="B2214" s="36" t="str">
        <f>IFERROR(__xludf.DUMMYFUNCTION("""COMPUTED_VALUE"""),"")</f>
        <v/>
      </c>
      <c r="C2214" s="36" t="str">
        <f>IFERROR(__xludf.DUMMYFUNCTION("""COMPUTED_VALUE"""),"")</f>
        <v/>
      </c>
      <c r="D2214" s="36" t="str">
        <f>IFERROR(__xludf.DUMMYFUNCTION("""COMPUTED_VALUE"""),"")</f>
        <v/>
      </c>
      <c r="E2214" s="36" t="str">
        <f>IFERROR(__xludf.DUMMYFUNCTION("""COMPUTED_VALUE"""),"04-30-14-119A")</f>
        <v>04-30-14-119A</v>
      </c>
      <c r="F2214" s="36"/>
      <c r="G2214" s="36" t="str">
        <f>IFERROR(__xludf.DUMMYFUNCTION("""COMPUTED_VALUE"""),"Proy.2 B°Amecom 4 y Proy.1 B°Amecom 4")</f>
        <v>Proy.2 B°Amecom 4 y Proy.1 B°Amecom 4</v>
      </c>
      <c r="H2214" s="36" t="str">
        <f>IFERROR(__xludf.DUMMYFUNCTION("""COMPUTED_VALUE"""),"")</f>
        <v/>
      </c>
    </row>
    <row r="2215">
      <c r="A2215" s="36" t="str">
        <f>IFERROR(__xludf.DUMMYFUNCTION("""COMPUTED_VALUE"""),"04-34-12-35")</f>
        <v>04-34-12-35</v>
      </c>
      <c r="B2215" s="36" t="str">
        <f>IFERROR(__xludf.DUMMYFUNCTION("""COMPUTED_VALUE"""),"")</f>
        <v/>
      </c>
      <c r="C2215" s="36" t="str">
        <f>IFERROR(__xludf.DUMMYFUNCTION("""COMPUTED_VALUE"""),"")</f>
        <v/>
      </c>
      <c r="D2215" s="36" t="str">
        <f>IFERROR(__xludf.DUMMYFUNCTION("""COMPUTED_VALUE"""),"")</f>
        <v/>
      </c>
      <c r="E2215" s="36" t="str">
        <f>IFERROR(__xludf.DUMMYFUNCTION("""COMPUTED_VALUE"""),"04-30-14-120A")</f>
        <v>04-30-14-120A</v>
      </c>
      <c r="F2215" s="36"/>
      <c r="G2215" s="36" t="str">
        <f>IFERROR(__xludf.DUMMYFUNCTION("""COMPUTED_VALUE"""),"Proy.2 B°Amecom 4 y Proy.3 B°Amecom 4")</f>
        <v>Proy.2 B°Amecom 4 y Proy.3 B°Amecom 4</v>
      </c>
      <c r="H2215" s="36" t="str">
        <f>IFERROR(__xludf.DUMMYFUNCTION("""COMPUTED_VALUE"""),"")</f>
        <v/>
      </c>
    </row>
    <row r="2216">
      <c r="A2216" s="36" t="str">
        <f>IFERROR(__xludf.DUMMYFUNCTION("""COMPUTED_VALUE"""),"04-34-12-35A")</f>
        <v>04-34-12-35A</v>
      </c>
      <c r="B2216" s="36" t="str">
        <f>IFERROR(__xludf.DUMMYFUNCTION("""COMPUTED_VALUE"""),"")</f>
        <v/>
      </c>
      <c r="C2216" s="36" t="str">
        <f>IFERROR(__xludf.DUMMYFUNCTION("""COMPUTED_VALUE"""),"")</f>
        <v/>
      </c>
      <c r="D2216" s="36" t="str">
        <f>IFERROR(__xludf.DUMMYFUNCTION("""COMPUTED_VALUE"""),"")</f>
        <v/>
      </c>
      <c r="E2216" s="36" t="str">
        <f>IFERROR(__xludf.DUMMYFUNCTION("""COMPUTED_VALUE"""),"04-30-14-121A")</f>
        <v>04-30-14-121A</v>
      </c>
      <c r="F2216" s="36"/>
      <c r="G2216" s="36" t="str">
        <f>IFERROR(__xludf.DUMMYFUNCTION("""COMPUTED_VALUE"""),"Proy.3 B°Amecom 4 y Proy.2 B°Amecom 4")</f>
        <v>Proy.3 B°Amecom 4 y Proy.2 B°Amecom 4</v>
      </c>
      <c r="H2216" s="36" t="str">
        <f>IFERROR(__xludf.DUMMYFUNCTION("""COMPUTED_VALUE"""),"")</f>
        <v/>
      </c>
    </row>
    <row r="2217">
      <c r="A2217" s="36" t="str">
        <f>IFERROR(__xludf.DUMMYFUNCTION("""COMPUTED_VALUE"""),"04-34-12-35B")</f>
        <v>04-34-12-35B</v>
      </c>
      <c r="B2217" s="36" t="str">
        <f>IFERROR(__xludf.DUMMYFUNCTION("""COMPUTED_VALUE"""),"")</f>
        <v/>
      </c>
      <c r="C2217" s="36" t="str">
        <f>IFERROR(__xludf.DUMMYFUNCTION("""COMPUTED_VALUE"""),"")</f>
        <v/>
      </c>
      <c r="D2217" s="36" t="str">
        <f>IFERROR(__xludf.DUMMYFUNCTION("""COMPUTED_VALUE"""),"")</f>
        <v/>
      </c>
      <c r="E2217" s="36" t="str">
        <f>IFERROR(__xludf.DUMMYFUNCTION("""COMPUTED_VALUE"""),"08-23-04-63")</f>
        <v>08-23-04-63</v>
      </c>
      <c r="F2217" s="36"/>
      <c r="G2217" s="36" t="str">
        <f>IFERROR(__xludf.DUMMYFUNCTION("""COMPUTED_VALUE"""),"Proyectada 1 y Necochea")</f>
        <v>Proyectada 1 y Necochea</v>
      </c>
      <c r="H2217" s="36" t="str">
        <f>IFERROR(__xludf.DUMMYFUNCTION("""COMPUTED_VALUE"""),"")</f>
        <v/>
      </c>
    </row>
    <row r="2218">
      <c r="A2218" s="36" t="str">
        <f>IFERROR(__xludf.DUMMYFUNCTION("""COMPUTED_VALUE"""),"04-34-12-35C")</f>
        <v>04-34-12-35C</v>
      </c>
      <c r="B2218" s="36" t="str">
        <f>IFERROR(__xludf.DUMMYFUNCTION("""COMPUTED_VALUE"""),"")</f>
        <v/>
      </c>
      <c r="C2218" s="36" t="str">
        <f>IFERROR(__xludf.DUMMYFUNCTION("""COMPUTED_VALUE"""),"")</f>
        <v/>
      </c>
      <c r="D2218" s="36" t="str">
        <f>IFERROR(__xludf.DUMMYFUNCTION("""COMPUTED_VALUE"""),"")</f>
        <v/>
      </c>
      <c r="E2218" s="36" t="str">
        <f>IFERROR(__xludf.DUMMYFUNCTION("""COMPUTED_VALUE"""),"08-23-04-62")</f>
        <v>08-23-04-62</v>
      </c>
      <c r="F2218" s="36"/>
      <c r="G2218" s="36" t="str">
        <f>IFERROR(__xludf.DUMMYFUNCTION("""COMPUTED_VALUE"""),"Proyectada 1 y Plaza")</f>
        <v>Proyectada 1 y Plaza</v>
      </c>
      <c r="H2218" s="36" t="str">
        <f>IFERROR(__xludf.DUMMYFUNCTION("""COMPUTED_VALUE"""),"")</f>
        <v/>
      </c>
    </row>
    <row r="2219">
      <c r="A2219" s="36" t="str">
        <f>IFERROR(__xludf.DUMMYFUNCTION("""COMPUTED_VALUE"""),"04-34-12-35D")</f>
        <v>04-34-12-35D</v>
      </c>
      <c r="B2219" s="36" t="str">
        <f>IFERROR(__xludf.DUMMYFUNCTION("""COMPUTED_VALUE"""),"")</f>
        <v/>
      </c>
      <c r="C2219" s="36" t="str">
        <f>IFERROR(__xludf.DUMMYFUNCTION("""COMPUTED_VALUE"""),"")</f>
        <v/>
      </c>
      <c r="D2219" s="36" t="str">
        <f>IFERROR(__xludf.DUMMYFUNCTION("""COMPUTED_VALUE"""),"")</f>
        <v/>
      </c>
      <c r="E2219" s="36" t="str">
        <f>IFERROR(__xludf.DUMMYFUNCTION("""COMPUTED_VALUE"""),"02-42-11-36")</f>
        <v>02-42-11-36</v>
      </c>
      <c r="F2219" s="36"/>
      <c r="G2219" s="36" t="str">
        <f>IFERROR(__xludf.DUMMYFUNCTION("""COMPUTED_VALUE"""),"Proyectada 2 Norte")</f>
        <v>Proyectada 2 Norte</v>
      </c>
      <c r="H2219" s="36" t="str">
        <f>IFERROR(__xludf.DUMMYFUNCTION("""COMPUTED_VALUE"""),"")</f>
        <v/>
      </c>
    </row>
    <row r="2220">
      <c r="A2220" s="36" t="str">
        <f>IFERROR(__xludf.DUMMYFUNCTION("""COMPUTED_VALUE"""),"04-34-12-36")</f>
        <v>04-34-12-36</v>
      </c>
      <c r="B2220" s="36" t="str">
        <f>IFERROR(__xludf.DUMMYFUNCTION("""COMPUTED_VALUE"""),"")</f>
        <v/>
      </c>
      <c r="C2220" s="36" t="str">
        <f>IFERROR(__xludf.DUMMYFUNCTION("""COMPUTED_VALUE"""),"")</f>
        <v/>
      </c>
      <c r="D2220" s="36" t="str">
        <f>IFERROR(__xludf.DUMMYFUNCTION("""COMPUTED_VALUE"""),"")</f>
        <v/>
      </c>
      <c r="E2220" s="36" t="str">
        <f>IFERROR(__xludf.DUMMYFUNCTION("""COMPUTED_VALUE"""),"02-40-11-113")</f>
        <v>02-40-11-113</v>
      </c>
      <c r="F2220" s="36"/>
      <c r="G2220" s="36" t="str">
        <f>IFERROR(__xludf.DUMMYFUNCTION("""COMPUTED_VALUE"""),"Proyectada 2 Sur")</f>
        <v>Proyectada 2 Sur</v>
      </c>
      <c r="H2220" s="36" t="str">
        <f>IFERROR(__xludf.DUMMYFUNCTION("""COMPUTED_VALUE"""),"")</f>
        <v/>
      </c>
    </row>
    <row r="2221">
      <c r="A2221" s="36" t="str">
        <f>IFERROR(__xludf.DUMMYFUNCTION("""COMPUTED_VALUE"""),"04-34-12-36A")</f>
        <v>04-34-12-36A</v>
      </c>
      <c r="B2221" s="36" t="str">
        <f>IFERROR(__xludf.DUMMYFUNCTION("""COMPUTED_VALUE"""),"")</f>
        <v/>
      </c>
      <c r="C2221" s="36" t="str">
        <f>IFERROR(__xludf.DUMMYFUNCTION("""COMPUTED_VALUE"""),"")</f>
        <v/>
      </c>
      <c r="D2221" s="36" t="str">
        <f>IFERROR(__xludf.DUMMYFUNCTION("""COMPUTED_VALUE"""),"")</f>
        <v/>
      </c>
      <c r="E2221" s="36" t="str">
        <f>IFERROR(__xludf.DUMMYFUNCTION("""COMPUTED_VALUE"""),"04-30-14-75")</f>
        <v>04-30-14-75</v>
      </c>
      <c r="F2221" s="36"/>
      <c r="G2221" s="36" t="str">
        <f>IFERROR(__xludf.DUMMYFUNCTION("""COMPUTED_VALUE"""),"Proyectada 2 y Balmaceda")</f>
        <v>Proyectada 2 y Balmaceda</v>
      </c>
      <c r="H2221" s="36" t="str">
        <f>IFERROR(__xludf.DUMMYFUNCTION("""COMPUTED_VALUE"""),"")</f>
        <v/>
      </c>
    </row>
    <row r="2222">
      <c r="A2222" s="36" t="str">
        <f>IFERROR(__xludf.DUMMYFUNCTION("""COMPUTED_VALUE"""),"04-34-12-37")</f>
        <v>04-34-12-37</v>
      </c>
      <c r="B2222" s="36" t="str">
        <f>IFERROR(__xludf.DUMMYFUNCTION("""COMPUTED_VALUE"""),"")</f>
        <v/>
      </c>
      <c r="C2222" s="36" t="str">
        <f>IFERROR(__xludf.DUMMYFUNCTION("""COMPUTED_VALUE"""),"")</f>
        <v/>
      </c>
      <c r="D2222" s="36" t="str">
        <f>IFERROR(__xludf.DUMMYFUNCTION("""COMPUTED_VALUE"""),"")</f>
        <v/>
      </c>
      <c r="E2222" s="36" t="str">
        <f>IFERROR(__xludf.DUMMYFUNCTION("""COMPUTED_VALUE"""),"04-30-14-85")</f>
        <v>04-30-14-85</v>
      </c>
      <c r="F2222" s="36"/>
      <c r="G2222" s="36" t="str">
        <f>IFERROR(__xludf.DUMMYFUNCTION("""COMPUTED_VALUE"""),"Proyectada B° Luz y Fuerza 5  y Putaendo")</f>
        <v>Proyectada B° Luz y Fuerza 5  y Putaendo</v>
      </c>
      <c r="H2222" s="36" t="str">
        <f>IFERROR(__xludf.DUMMYFUNCTION("""COMPUTED_VALUE"""),"")</f>
        <v/>
      </c>
    </row>
    <row r="2223">
      <c r="A2223" s="36" t="str">
        <f>IFERROR(__xludf.DUMMYFUNCTION("""COMPUTED_VALUE"""),"04-34-12-37A")</f>
        <v>04-34-12-37A</v>
      </c>
      <c r="B2223" s="36" t="str">
        <f>IFERROR(__xludf.DUMMYFUNCTION("""COMPUTED_VALUE"""),"")</f>
        <v/>
      </c>
      <c r="C2223" s="36" t="str">
        <f>IFERROR(__xludf.DUMMYFUNCTION("""COMPUTED_VALUE"""),"")</f>
        <v/>
      </c>
      <c r="D2223" s="36" t="str">
        <f>IFERROR(__xludf.DUMMYFUNCTION("""COMPUTED_VALUE"""),"")</f>
        <v/>
      </c>
      <c r="E2223" s="36" t="str">
        <f>IFERROR(__xludf.DUMMYFUNCTION("""COMPUTED_VALUE"""),"04-42-11-50")</f>
        <v>04-42-11-50</v>
      </c>
      <c r="F2223" s="36"/>
      <c r="G2223" s="36" t="str">
        <f>IFERROR(__xludf.DUMMYFUNCTION("""COMPUTED_VALUE"""),"Proyectada B° Valle Grande")</f>
        <v>Proyectada B° Valle Grande</v>
      </c>
      <c r="H2223" s="36" t="str">
        <f>IFERROR(__xludf.DUMMYFUNCTION("""COMPUTED_VALUE"""),"")</f>
        <v/>
      </c>
    </row>
    <row r="2224">
      <c r="A2224" s="36" t="str">
        <f>IFERROR(__xludf.DUMMYFUNCTION("""COMPUTED_VALUE"""),"04-34-12-38")</f>
        <v>04-34-12-38</v>
      </c>
      <c r="B2224" s="36" t="str">
        <f>IFERROR(__xludf.DUMMYFUNCTION("""COMPUTED_VALUE"""),"")</f>
        <v/>
      </c>
      <c r="C2224" s="36" t="str">
        <f>IFERROR(__xludf.DUMMYFUNCTION("""COMPUTED_VALUE"""),"")</f>
        <v/>
      </c>
      <c r="D2224" s="36" t="str">
        <f>IFERROR(__xludf.DUMMYFUNCTION("""COMPUTED_VALUE"""),"")</f>
        <v/>
      </c>
      <c r="E2224" s="36" t="str">
        <f>IFERROR(__xludf.DUMMYFUNCTION("""COMPUTED_VALUE"""),"02-40-11-114A")</f>
        <v>02-40-11-114A</v>
      </c>
      <c r="F2224" s="36"/>
      <c r="G2224" s="36" t="str">
        <f>IFERROR(__xludf.DUMMYFUNCTION("""COMPUTED_VALUE"""),"Proyectada Este")</f>
        <v>Proyectada Este</v>
      </c>
      <c r="H2224" s="36" t="str">
        <f>IFERROR(__xludf.DUMMYFUNCTION("""COMPUTED_VALUE"""),"")</f>
        <v/>
      </c>
    </row>
    <row r="2225">
      <c r="A2225" s="36" t="str">
        <f>IFERROR(__xludf.DUMMYFUNCTION("""COMPUTED_VALUE"""),"04-34-12-38A")</f>
        <v>04-34-12-38A</v>
      </c>
      <c r="B2225" s="36" t="str">
        <f>IFERROR(__xludf.DUMMYFUNCTION("""COMPUTED_VALUE"""),"")</f>
        <v/>
      </c>
      <c r="C2225" s="36" t="str">
        <f>IFERROR(__xludf.DUMMYFUNCTION("""COMPUTED_VALUE"""),"")</f>
        <v/>
      </c>
      <c r="D2225" s="36" t="str">
        <f>IFERROR(__xludf.DUMMYFUNCTION("""COMPUTED_VALUE"""),"")</f>
        <v/>
      </c>
      <c r="E2225" s="36" t="str">
        <f>IFERROR(__xludf.DUMMYFUNCTION("""COMPUTED_VALUE"""),"04-42-11-57A")</f>
        <v>04-42-11-57A</v>
      </c>
      <c r="F2225" s="36"/>
      <c r="G2225" s="36" t="str">
        <f>IFERROR(__xludf.DUMMYFUNCTION("""COMPUTED_VALUE"""),"Proyectada Este y Agustín Gómez")</f>
        <v>Proyectada Este y Agustín Gómez</v>
      </c>
      <c r="H2225" s="36" t="str">
        <f>IFERROR(__xludf.DUMMYFUNCTION("""COMPUTED_VALUE"""),"")</f>
        <v/>
      </c>
    </row>
    <row r="2226">
      <c r="A2226" s="36" t="str">
        <f>IFERROR(__xludf.DUMMYFUNCTION("""COMPUTED_VALUE"""),"04-34-12-39")</f>
        <v>04-34-12-39</v>
      </c>
      <c r="B2226" s="36" t="str">
        <f>IFERROR(__xludf.DUMMYFUNCTION("""COMPUTED_VALUE"""),"")</f>
        <v/>
      </c>
      <c r="C2226" s="36" t="str">
        <f>IFERROR(__xludf.DUMMYFUNCTION("""COMPUTED_VALUE"""),"")</f>
        <v/>
      </c>
      <c r="D2226" s="36" t="str">
        <f>IFERROR(__xludf.DUMMYFUNCTION("""COMPUTED_VALUE"""),"")</f>
        <v/>
      </c>
      <c r="E2226" s="36" t="str">
        <f>IFERROR(__xludf.DUMMYFUNCTION("""COMPUTED_VALUE"""),"08-36-02-107")</f>
        <v>08-36-02-107</v>
      </c>
      <c r="F2226" s="36"/>
      <c r="G2226" s="36" t="str">
        <f>IFERROR(__xludf.DUMMYFUNCTION("""COMPUTED_VALUE"""),"Proyectada Mzna.  C")</f>
        <v>Proyectada Mzna.  C</v>
      </c>
      <c r="H2226" s="36" t="str">
        <f>IFERROR(__xludf.DUMMYFUNCTION("""COMPUTED_VALUE"""),"")</f>
        <v/>
      </c>
    </row>
    <row r="2227">
      <c r="A2227" s="36" t="str">
        <f>IFERROR(__xludf.DUMMYFUNCTION("""COMPUTED_VALUE"""),"04-34-12-39A")</f>
        <v>04-34-12-39A</v>
      </c>
      <c r="B2227" s="36" t="str">
        <f>IFERROR(__xludf.DUMMYFUNCTION("""COMPUTED_VALUE"""),"")</f>
        <v/>
      </c>
      <c r="C2227" s="36" t="str">
        <f>IFERROR(__xludf.DUMMYFUNCTION("""COMPUTED_VALUE"""),"")</f>
        <v/>
      </c>
      <c r="D2227" s="36" t="str">
        <f>IFERROR(__xludf.DUMMYFUNCTION("""COMPUTED_VALUE"""),"")</f>
        <v/>
      </c>
      <c r="E2227" s="36" t="str">
        <f>IFERROR(__xludf.DUMMYFUNCTION("""COMPUTED_VALUE"""),"08-36-02-106")</f>
        <v>08-36-02-106</v>
      </c>
      <c r="F2227" s="36"/>
      <c r="G2227" s="36" t="str">
        <f>IFERROR(__xludf.DUMMYFUNCTION("""COMPUTED_VALUE"""),"Proyectada Mzna.  G")</f>
        <v>Proyectada Mzna.  G</v>
      </c>
      <c r="H2227" s="36" t="str">
        <f>IFERROR(__xludf.DUMMYFUNCTION("""COMPUTED_VALUE"""),"")</f>
        <v/>
      </c>
    </row>
    <row r="2228">
      <c r="A2228" s="36" t="str">
        <f>IFERROR(__xludf.DUMMYFUNCTION("""COMPUTED_VALUE"""),"04-34-12-40")</f>
        <v>04-34-12-40</v>
      </c>
      <c r="B2228" s="36" t="str">
        <f>IFERROR(__xludf.DUMMYFUNCTION("""COMPUTED_VALUE"""),"")</f>
        <v/>
      </c>
      <c r="C2228" s="36" t="str">
        <f>IFERROR(__xludf.DUMMYFUNCTION("""COMPUTED_VALUE"""),"")</f>
        <v/>
      </c>
      <c r="D2228" s="36" t="str">
        <f>IFERROR(__xludf.DUMMYFUNCTION("""COMPUTED_VALUE"""),"")</f>
        <v/>
      </c>
      <c r="E2228" s="36" t="str">
        <f>IFERROR(__xludf.DUMMYFUNCTION("""COMPUTED_VALUE"""),"08-36-02-104")</f>
        <v>08-36-02-104</v>
      </c>
      <c r="F2228" s="36"/>
      <c r="G2228" s="36" t="str">
        <f>IFERROR(__xludf.DUMMYFUNCTION("""COMPUTED_VALUE"""),"Proyectada Mzna. N")</f>
        <v>Proyectada Mzna. N</v>
      </c>
      <c r="H2228" s="36" t="str">
        <f>IFERROR(__xludf.DUMMYFUNCTION("""COMPUTED_VALUE"""),"")</f>
        <v/>
      </c>
    </row>
    <row r="2229">
      <c r="A2229" s="36" t="str">
        <f>IFERROR(__xludf.DUMMYFUNCTION("""COMPUTED_VALUE"""),"04-34-12-40A")</f>
        <v>04-34-12-40A</v>
      </c>
      <c r="B2229" s="36" t="str">
        <f>IFERROR(__xludf.DUMMYFUNCTION("""COMPUTED_VALUE"""),"")</f>
        <v/>
      </c>
      <c r="C2229" s="36" t="str">
        <f>IFERROR(__xludf.DUMMYFUNCTION("""COMPUTED_VALUE"""),"")</f>
        <v/>
      </c>
      <c r="D2229" s="36" t="str">
        <f>IFERROR(__xludf.DUMMYFUNCTION("""COMPUTED_VALUE"""),"")</f>
        <v/>
      </c>
      <c r="E2229" s="36" t="str">
        <f>IFERROR(__xludf.DUMMYFUNCTION("""COMPUTED_VALUE"""),"08-36-02-105")</f>
        <v>08-36-02-105</v>
      </c>
      <c r="F2229" s="36"/>
      <c r="G2229" s="36" t="str">
        <f>IFERROR(__xludf.DUMMYFUNCTION("""COMPUTED_VALUE"""),"Proyectada Mzna. O")</f>
        <v>Proyectada Mzna. O</v>
      </c>
      <c r="H2229" s="36" t="str">
        <f>IFERROR(__xludf.DUMMYFUNCTION("""COMPUTED_VALUE"""),"")</f>
        <v/>
      </c>
    </row>
    <row r="2230">
      <c r="A2230" s="36" t="str">
        <f>IFERROR(__xludf.DUMMYFUNCTION("""COMPUTED_VALUE"""),"04-34-12-41")</f>
        <v>04-34-12-41</v>
      </c>
      <c r="B2230" s="36" t="str">
        <f>IFERROR(__xludf.DUMMYFUNCTION("""COMPUTED_VALUE"""),"")</f>
        <v/>
      </c>
      <c r="C2230" s="36" t="str">
        <f>IFERROR(__xludf.DUMMYFUNCTION("""COMPUTED_VALUE"""),"")</f>
        <v/>
      </c>
      <c r="D2230" s="36" t="str">
        <f>IFERROR(__xludf.DUMMYFUNCTION("""COMPUTED_VALUE"""),"")</f>
        <v/>
      </c>
      <c r="E2230" s="36" t="str">
        <f>IFERROR(__xludf.DUMMYFUNCTION("""COMPUTED_VALUE"""),"04-42-11-51")</f>
        <v>04-42-11-51</v>
      </c>
      <c r="F2230" s="36"/>
      <c r="G2230" s="36" t="str">
        <f>IFERROR(__xludf.DUMMYFUNCTION("""COMPUTED_VALUE"""),"Proyectada Norte")</f>
        <v>Proyectada Norte</v>
      </c>
      <c r="H2230" s="36" t="str">
        <f>IFERROR(__xludf.DUMMYFUNCTION("""COMPUTED_VALUE"""),"")</f>
        <v/>
      </c>
    </row>
    <row r="2231">
      <c r="A2231" s="36" t="str">
        <f>IFERROR(__xludf.DUMMYFUNCTION("""COMPUTED_VALUE"""),"04-34-12-41A")</f>
        <v>04-34-12-41A</v>
      </c>
      <c r="B2231" s="36" t="str">
        <f>IFERROR(__xludf.DUMMYFUNCTION("""COMPUTED_VALUE"""),"")</f>
        <v/>
      </c>
      <c r="C2231" s="36" t="str">
        <f>IFERROR(__xludf.DUMMYFUNCTION("""COMPUTED_VALUE"""),"")</f>
        <v/>
      </c>
      <c r="D2231" s="36" t="str">
        <f>IFERROR(__xludf.DUMMYFUNCTION("""COMPUTED_VALUE"""),"")</f>
        <v/>
      </c>
      <c r="E2231" s="36" t="str">
        <f>IFERROR(__xludf.DUMMYFUNCTION("""COMPUTED_VALUE"""),"02-40-11-113A")</f>
        <v>02-40-11-113A</v>
      </c>
      <c r="F2231" s="36"/>
      <c r="G2231" s="36" t="str">
        <f>IFERROR(__xludf.DUMMYFUNCTION("""COMPUTED_VALUE"""),"Proyectada Norte 2")</f>
        <v>Proyectada Norte 2</v>
      </c>
      <c r="H2231" s="36" t="str">
        <f>IFERROR(__xludf.DUMMYFUNCTION("""COMPUTED_VALUE"""),"")</f>
        <v/>
      </c>
    </row>
    <row r="2232">
      <c r="A2232" s="36" t="str">
        <f>IFERROR(__xludf.DUMMYFUNCTION("""COMPUTED_VALUE"""),"04-34-12-42")</f>
        <v>04-34-12-42</v>
      </c>
      <c r="B2232" s="36" t="str">
        <f>IFERROR(__xludf.DUMMYFUNCTION("""COMPUTED_VALUE"""),"")</f>
        <v/>
      </c>
      <c r="C2232" s="36" t="str">
        <f>IFERROR(__xludf.DUMMYFUNCTION("""COMPUTED_VALUE"""),"")</f>
        <v/>
      </c>
      <c r="D2232" s="36" t="str">
        <f>IFERROR(__xludf.DUMMYFUNCTION("""COMPUTED_VALUE"""),"")</f>
        <v/>
      </c>
      <c r="E2232" s="36" t="str">
        <f>IFERROR(__xludf.DUMMYFUNCTION("""COMPUTED_VALUE"""),"02-40-11-114")</f>
        <v>02-40-11-114</v>
      </c>
      <c r="F2232" s="36"/>
      <c r="G2232" s="36" t="str">
        <f>IFERROR(__xludf.DUMMYFUNCTION("""COMPUTED_VALUE"""),"Proyectada Oeste")</f>
        <v>Proyectada Oeste</v>
      </c>
      <c r="H2232" s="36" t="str">
        <f>IFERROR(__xludf.DUMMYFUNCTION("""COMPUTED_VALUE"""),"")</f>
        <v/>
      </c>
    </row>
    <row r="2233">
      <c r="A2233" s="36" t="str">
        <f>IFERROR(__xludf.DUMMYFUNCTION("""COMPUTED_VALUE"""),"04-34-12-42A")</f>
        <v>04-34-12-42A</v>
      </c>
      <c r="B2233" s="36" t="str">
        <f>IFERROR(__xludf.DUMMYFUNCTION("""COMPUTED_VALUE"""),"")</f>
        <v/>
      </c>
      <c r="C2233" s="36" t="str">
        <f>IFERROR(__xludf.DUMMYFUNCTION("""COMPUTED_VALUE"""),"")</f>
        <v/>
      </c>
      <c r="D2233" s="36" t="str">
        <f>IFERROR(__xludf.DUMMYFUNCTION("""COMPUTED_VALUE"""),"")</f>
        <v/>
      </c>
      <c r="E2233" s="36" t="str">
        <f>IFERROR(__xludf.DUMMYFUNCTION("""COMPUTED_VALUE"""),"04-42-11-61")</f>
        <v>04-42-11-61</v>
      </c>
      <c r="F2233" s="36"/>
      <c r="G2233" s="36" t="str">
        <f>IFERROR(__xludf.DUMMYFUNCTION("""COMPUTED_VALUE"""),"Proyectada Oeste al Norte")</f>
        <v>Proyectada Oeste al Norte</v>
      </c>
      <c r="H2233" s="36" t="str">
        <f>IFERROR(__xludf.DUMMYFUNCTION("""COMPUTED_VALUE"""),"")</f>
        <v/>
      </c>
    </row>
    <row r="2234">
      <c r="A2234" s="36" t="str">
        <f>IFERROR(__xludf.DUMMYFUNCTION("""COMPUTED_VALUE"""),"04-34-12-43")</f>
        <v>04-34-12-43</v>
      </c>
      <c r="B2234" s="36" t="str">
        <f>IFERROR(__xludf.DUMMYFUNCTION("""COMPUTED_VALUE"""),"")</f>
        <v/>
      </c>
      <c r="C2234" s="36" t="str">
        <f>IFERROR(__xludf.DUMMYFUNCTION("""COMPUTED_VALUE"""),"")</f>
        <v/>
      </c>
      <c r="D2234" s="36" t="str">
        <f>IFERROR(__xludf.DUMMYFUNCTION("""COMPUTED_VALUE"""),"")</f>
        <v/>
      </c>
      <c r="E2234" s="36" t="str">
        <f>IFERROR(__xludf.DUMMYFUNCTION("""COMPUTED_VALUE"""),"04-42-11-62")</f>
        <v>04-42-11-62</v>
      </c>
      <c r="F2234" s="36"/>
      <c r="G2234" s="36" t="str">
        <f>IFERROR(__xludf.DUMMYFUNCTION("""COMPUTED_VALUE"""),"Proyectada Oeste al Sur")</f>
        <v>Proyectada Oeste al Sur</v>
      </c>
      <c r="H2234" s="36" t="str">
        <f>IFERROR(__xludf.DUMMYFUNCTION("""COMPUTED_VALUE"""),"")</f>
        <v/>
      </c>
    </row>
    <row r="2235">
      <c r="A2235" s="36" t="str">
        <f>IFERROR(__xludf.DUMMYFUNCTION("""COMPUTED_VALUE"""),"04-34-12-43A")</f>
        <v>04-34-12-43A</v>
      </c>
      <c r="B2235" s="36" t="str">
        <f>IFERROR(__xludf.DUMMYFUNCTION("""COMPUTED_VALUE"""),"")</f>
        <v/>
      </c>
      <c r="C2235" s="36" t="str">
        <f>IFERROR(__xludf.DUMMYFUNCTION("""COMPUTED_VALUE"""),"")</f>
        <v/>
      </c>
      <c r="D2235" s="36" t="str">
        <f>IFERROR(__xludf.DUMMYFUNCTION("""COMPUTED_VALUE"""),"")</f>
        <v/>
      </c>
      <c r="E2235" s="36" t="str">
        <f>IFERROR(__xludf.DUMMYFUNCTION("""COMPUTED_VALUE"""),"04-42-11-57")</f>
        <v>04-42-11-57</v>
      </c>
      <c r="F2235" s="36"/>
      <c r="G2235" s="36" t="str">
        <f>IFERROR(__xludf.DUMMYFUNCTION("""COMPUTED_VALUE"""),"Proyectada Oeste y Agustín Gómez")</f>
        <v>Proyectada Oeste y Agustín Gómez</v>
      </c>
      <c r="H2235" s="36" t="str">
        <f>IFERROR(__xludf.DUMMYFUNCTION("""COMPUTED_VALUE"""),"")</f>
        <v/>
      </c>
    </row>
    <row r="2236">
      <c r="A2236" s="36" t="str">
        <f>IFERROR(__xludf.DUMMYFUNCTION("""COMPUTED_VALUE"""),"04-34-12-44")</f>
        <v>04-34-12-44</v>
      </c>
      <c r="B2236" s="36" t="str">
        <f>IFERROR(__xludf.DUMMYFUNCTION("""COMPUTED_VALUE"""),"")</f>
        <v/>
      </c>
      <c r="C2236" s="36" t="str">
        <f>IFERROR(__xludf.DUMMYFUNCTION("""COMPUTED_VALUE"""),"")</f>
        <v/>
      </c>
      <c r="D2236" s="36" t="str">
        <f>IFERROR(__xludf.DUMMYFUNCTION("""COMPUTED_VALUE"""),"")</f>
        <v/>
      </c>
      <c r="E2236" s="36" t="str">
        <f>IFERROR(__xludf.DUMMYFUNCTION("""COMPUTED_VALUE"""),"08-26-04-51")</f>
        <v>08-26-04-51</v>
      </c>
      <c r="F2236" s="36"/>
      <c r="G2236" s="36" t="str">
        <f>IFERROR(__xludf.DUMMYFUNCTION("""COMPUTED_VALUE"""),"Proyectada Rotonda B° Santa María N")</f>
        <v>Proyectada Rotonda B° Santa María N</v>
      </c>
      <c r="H2236" s="36" t="str">
        <f>IFERROR(__xludf.DUMMYFUNCTION("""COMPUTED_VALUE"""),"")</f>
        <v/>
      </c>
    </row>
    <row r="2237">
      <c r="A2237" s="36" t="str">
        <f>IFERROR(__xludf.DUMMYFUNCTION("""COMPUTED_VALUE"""),"04-34-12-45")</f>
        <v>04-34-12-45</v>
      </c>
      <c r="B2237" s="36" t="str">
        <f>IFERROR(__xludf.DUMMYFUNCTION("""COMPUTED_VALUE"""),"")</f>
        <v/>
      </c>
      <c r="C2237" s="36" t="str">
        <f>IFERROR(__xludf.DUMMYFUNCTION("""COMPUTED_VALUE"""),"")</f>
        <v/>
      </c>
      <c r="D2237" s="36" t="str">
        <f>IFERROR(__xludf.DUMMYFUNCTION("""COMPUTED_VALUE"""),"")</f>
        <v/>
      </c>
      <c r="E2237" s="36" t="str">
        <f>IFERROR(__xludf.DUMMYFUNCTION("""COMPUTED_VALUE"""),"08-26-04-52")</f>
        <v>08-26-04-52</v>
      </c>
      <c r="F2237" s="36"/>
      <c r="G2237" s="36" t="str">
        <f>IFERROR(__xludf.DUMMYFUNCTION("""COMPUTED_VALUE"""),"Proyectada Rotonda B° Santa María S")</f>
        <v>Proyectada Rotonda B° Santa María S</v>
      </c>
      <c r="H2237" s="36" t="str">
        <f>IFERROR(__xludf.DUMMYFUNCTION("""COMPUTED_VALUE"""),"")</f>
        <v/>
      </c>
    </row>
    <row r="2238">
      <c r="A2238" s="36" t="str">
        <f>IFERROR(__xludf.DUMMYFUNCTION("""COMPUTED_VALUE"""),"04-34-12-46")</f>
        <v>04-34-12-46</v>
      </c>
      <c r="B2238" s="36" t="str">
        <f>IFERROR(__xludf.DUMMYFUNCTION("""COMPUTED_VALUE"""),"")</f>
        <v/>
      </c>
      <c r="C2238" s="36" t="str">
        <f>IFERROR(__xludf.DUMMYFUNCTION("""COMPUTED_VALUE"""),"")</f>
        <v/>
      </c>
      <c r="D2238" s="36" t="str">
        <f>IFERROR(__xludf.DUMMYFUNCTION("""COMPUTED_VALUE"""),"")</f>
        <v/>
      </c>
      <c r="E2238" s="36" t="str">
        <f>IFERROR(__xludf.DUMMYFUNCTION("""COMPUTED_VALUE"""),"02-42-11-35")</f>
        <v>02-42-11-35</v>
      </c>
      <c r="F2238" s="36"/>
      <c r="G2238" s="36" t="str">
        <f>IFERROR(__xludf.DUMMYFUNCTION("""COMPUTED_VALUE"""),"Proyectada Sur")</f>
        <v>Proyectada Sur</v>
      </c>
      <c r="H2238" s="36" t="str">
        <f>IFERROR(__xludf.DUMMYFUNCTION("""COMPUTED_VALUE"""),"")</f>
        <v/>
      </c>
    </row>
    <row r="2239">
      <c r="A2239" s="36" t="str">
        <f>IFERROR(__xludf.DUMMYFUNCTION("""COMPUTED_VALUE"""),"04-34-12-46A")</f>
        <v>04-34-12-46A</v>
      </c>
      <c r="B2239" s="36" t="str">
        <f>IFERROR(__xludf.DUMMYFUNCTION("""COMPUTED_VALUE"""),"")</f>
        <v/>
      </c>
      <c r="C2239" s="36" t="str">
        <f>IFERROR(__xludf.DUMMYFUNCTION("""COMPUTED_VALUE"""),"")</f>
        <v/>
      </c>
      <c r="D2239" s="36" t="str">
        <f>IFERROR(__xludf.DUMMYFUNCTION("""COMPUTED_VALUE"""),"")</f>
        <v/>
      </c>
      <c r="E2239" s="36" t="str">
        <f>IFERROR(__xludf.DUMMYFUNCTION("""COMPUTED_VALUE"""),"04-30-14-69")</f>
        <v>04-30-14-69</v>
      </c>
      <c r="F2239" s="36"/>
      <c r="G2239" s="36" t="str">
        <f>IFERROR(__xludf.DUMMYFUNCTION("""COMPUTED_VALUE"""),"Proyectada y Abraham Tapia")</f>
        <v>Proyectada y Abraham Tapia</v>
      </c>
      <c r="H2239" s="36" t="str">
        <f>IFERROR(__xludf.DUMMYFUNCTION("""COMPUTED_VALUE"""),"")</f>
        <v/>
      </c>
    </row>
    <row r="2240">
      <c r="A2240" s="36" t="str">
        <f>IFERROR(__xludf.DUMMYFUNCTION("""COMPUTED_VALUE"""),"04-34-12-69")</f>
        <v>04-34-12-69</v>
      </c>
      <c r="B2240" s="36" t="str">
        <f>IFERROR(__xludf.DUMMYFUNCTION("""COMPUTED_VALUE"""),"")</f>
        <v/>
      </c>
      <c r="C2240" s="36" t="str">
        <f>IFERROR(__xludf.DUMMYFUNCTION("""COMPUTED_VALUE"""),"")</f>
        <v/>
      </c>
      <c r="D2240" s="36" t="str">
        <f>IFERROR(__xludf.DUMMYFUNCTION("""COMPUTED_VALUE"""),"")</f>
        <v/>
      </c>
      <c r="E2240" s="36" t="str">
        <f>IFERROR(__xludf.DUMMYFUNCTION("""COMPUTED_VALUE"""),"04-30-14-137")</f>
        <v>04-30-14-137</v>
      </c>
      <c r="F2240" s="36"/>
      <c r="G2240" s="36" t="str">
        <f>IFERROR(__xludf.DUMMYFUNCTION("""COMPUTED_VALUE"""),"Proyectada y Agustín Gómez")</f>
        <v>Proyectada y Agustín Gómez</v>
      </c>
      <c r="H2240" s="36" t="str">
        <f>IFERROR(__xludf.DUMMYFUNCTION("""COMPUTED_VALUE"""),"")</f>
        <v/>
      </c>
    </row>
    <row r="2241">
      <c r="A2241" s="36" t="str">
        <f>IFERROR(__xludf.DUMMYFUNCTION("""COMPUTED_VALUE"""),"04-34-12-71")</f>
        <v>04-34-12-71</v>
      </c>
      <c r="B2241" s="36" t="str">
        <f>IFERROR(__xludf.DUMMYFUNCTION("""COMPUTED_VALUE"""),"")</f>
        <v/>
      </c>
      <c r="C2241" s="36" t="str">
        <f>IFERROR(__xludf.DUMMYFUNCTION("""COMPUTED_VALUE"""),"")</f>
        <v/>
      </c>
      <c r="D2241" s="36" t="str">
        <f>IFERROR(__xludf.DUMMYFUNCTION("""COMPUTED_VALUE"""),"")</f>
        <v/>
      </c>
      <c r="E2241" s="36" t="str">
        <f>IFERROR(__xludf.DUMMYFUNCTION("""COMPUTED_VALUE"""),"02-40-11-112")</f>
        <v>02-40-11-112</v>
      </c>
      <c r="F2241" s="36"/>
      <c r="G2241" s="36" t="str">
        <f>IFERROR(__xludf.DUMMYFUNCTION("""COMPUTED_VALUE"""),"Proyectada y Calívar")</f>
        <v>Proyectada y Calívar</v>
      </c>
      <c r="H2241" s="36" t="str">
        <f>IFERROR(__xludf.DUMMYFUNCTION("""COMPUTED_VALUE"""),"")</f>
        <v/>
      </c>
    </row>
    <row r="2242">
      <c r="A2242" s="36" t="str">
        <f>IFERROR(__xludf.DUMMYFUNCTION("""COMPUTED_VALUE"""),"04-34-12-72")</f>
        <v>04-34-12-72</v>
      </c>
      <c r="B2242" s="36" t="str">
        <f>IFERROR(__xludf.DUMMYFUNCTION("""COMPUTED_VALUE"""),"")</f>
        <v/>
      </c>
      <c r="C2242" s="36" t="str">
        <f>IFERROR(__xludf.DUMMYFUNCTION("""COMPUTED_VALUE"""),"")</f>
        <v/>
      </c>
      <c r="D2242" s="36" t="str">
        <f>IFERROR(__xludf.DUMMYFUNCTION("""COMPUTED_VALUE"""),"")</f>
        <v/>
      </c>
      <c r="E2242" s="36" t="str">
        <f>IFERROR(__xludf.DUMMYFUNCTION("""COMPUTED_VALUE"""),"03-20-09-225")</f>
        <v>03-20-09-225</v>
      </c>
      <c r="F2242" s="36"/>
      <c r="G2242" s="36" t="str">
        <f>IFERROR(__xludf.DUMMYFUNCTION("""COMPUTED_VALUE"""),"Proyectada y Hermes Quijada")</f>
        <v>Proyectada y Hermes Quijada</v>
      </c>
      <c r="H2242" s="36" t="str">
        <f>IFERROR(__xludf.DUMMYFUNCTION("""COMPUTED_VALUE"""),"")</f>
        <v/>
      </c>
    </row>
    <row r="2243">
      <c r="A2243" s="36" t="str">
        <f>IFERROR(__xludf.DUMMYFUNCTION("""COMPUTED_VALUE"""),"04-35-12-10")</f>
        <v>04-35-12-10</v>
      </c>
      <c r="B2243" s="36" t="str">
        <f>IFERROR(__xludf.DUMMYFUNCTION("""COMPUTED_VALUE"""),"")</f>
        <v/>
      </c>
      <c r="C2243" s="36" t="str">
        <f>IFERROR(__xludf.DUMMYFUNCTION("""COMPUTED_VALUE"""),"")</f>
        <v/>
      </c>
      <c r="D2243" s="36" t="str">
        <f>IFERROR(__xludf.DUMMYFUNCTION("""COMPUTED_VALUE"""),"")</f>
        <v/>
      </c>
      <c r="E2243" s="36" t="str">
        <f>IFERROR(__xludf.DUMMYFUNCTION("""COMPUTED_VALUE"""),"08-36-02-92")</f>
        <v>08-36-02-92</v>
      </c>
      <c r="F2243" s="36"/>
      <c r="G2243" s="36" t="str">
        <f>IFERROR(__xludf.DUMMYFUNCTION("""COMPUTED_VALUE"""),"Proyectada y La Isla E")</f>
        <v>Proyectada y La Isla E</v>
      </c>
      <c r="H2243" s="36" t="str">
        <f>IFERROR(__xludf.DUMMYFUNCTION("""COMPUTED_VALUE"""),"")</f>
        <v/>
      </c>
    </row>
    <row r="2244">
      <c r="A2244" s="36" t="str">
        <f>IFERROR(__xludf.DUMMYFUNCTION("""COMPUTED_VALUE"""),"04-35-12-108")</f>
        <v>04-35-12-108</v>
      </c>
      <c r="B2244" s="36" t="str">
        <f>IFERROR(__xludf.DUMMYFUNCTION("""COMPUTED_VALUE"""),"")</f>
        <v/>
      </c>
      <c r="C2244" s="36" t="str">
        <f>IFERROR(__xludf.DUMMYFUNCTION("""COMPUTED_VALUE"""),"")</f>
        <v/>
      </c>
      <c r="D2244" s="36" t="str">
        <f>IFERROR(__xludf.DUMMYFUNCTION("""COMPUTED_VALUE"""),"")</f>
        <v/>
      </c>
      <c r="E2244" s="36" t="str">
        <f>IFERROR(__xludf.DUMMYFUNCTION("""COMPUTED_VALUE"""),"08-36-02-93")</f>
        <v>08-36-02-93</v>
      </c>
      <c r="F2244" s="36"/>
      <c r="G2244" s="36" t="str">
        <f>IFERROR(__xludf.DUMMYFUNCTION("""COMPUTED_VALUE"""),"Proyectada y La Isla O")</f>
        <v>Proyectada y La Isla O</v>
      </c>
      <c r="H2244" s="36" t="str">
        <f>IFERROR(__xludf.DUMMYFUNCTION("""COMPUTED_VALUE"""),"")</f>
        <v/>
      </c>
    </row>
    <row r="2245">
      <c r="A2245" s="36" t="str">
        <f>IFERROR(__xludf.DUMMYFUNCTION("""COMPUTED_VALUE"""),"04-35-12-12")</f>
        <v>04-35-12-12</v>
      </c>
      <c r="B2245" s="36" t="str">
        <f>IFERROR(__xludf.DUMMYFUNCTION("""COMPUTED_VALUE"""),"")</f>
        <v/>
      </c>
      <c r="C2245" s="36" t="str">
        <f>IFERROR(__xludf.DUMMYFUNCTION("""COMPUTED_VALUE"""),"")</f>
        <v/>
      </c>
      <c r="D2245" s="36" t="str">
        <f>IFERROR(__xludf.DUMMYFUNCTION("""COMPUTED_VALUE"""),"")</f>
        <v/>
      </c>
      <c r="E2245" s="36" t="str">
        <f>IFERROR(__xludf.DUMMYFUNCTION("""COMPUTED_VALUE"""),"08-22-03-81C")</f>
        <v>08-22-03-81C</v>
      </c>
      <c r="F2245" s="36"/>
      <c r="G2245" s="36" t="str">
        <f>IFERROR(__xludf.DUMMYFUNCTION("""COMPUTED_VALUE"""),"Proyectada y Paraguay")</f>
        <v>Proyectada y Paraguay</v>
      </c>
      <c r="H2245" s="36" t="str">
        <f>IFERROR(__xludf.DUMMYFUNCTION("""COMPUTED_VALUE"""),"")</f>
        <v/>
      </c>
    </row>
    <row r="2246">
      <c r="A2246" s="36" t="str">
        <f>IFERROR(__xludf.DUMMYFUNCTION("""COMPUTED_VALUE"""),"04-35-12-15")</f>
        <v>04-35-12-15</v>
      </c>
      <c r="B2246" s="36" t="str">
        <f>IFERROR(__xludf.DUMMYFUNCTION("""COMPUTED_VALUE"""),"")</f>
        <v/>
      </c>
      <c r="C2246" s="36" t="str">
        <f>IFERROR(__xludf.DUMMYFUNCTION("""COMPUTED_VALUE"""),"")</f>
        <v/>
      </c>
      <c r="D2246" s="36" t="str">
        <f>IFERROR(__xludf.DUMMYFUNCTION("""COMPUTED_VALUE"""),"")</f>
        <v/>
      </c>
      <c r="E2246" s="36" t="str">
        <f>IFERROR(__xludf.DUMMYFUNCTION("""COMPUTED_VALUE"""),"08-23-04-61")</f>
        <v>08-23-04-61</v>
      </c>
      <c r="F2246" s="36"/>
      <c r="G2246" s="36" t="str">
        <f>IFERROR(__xludf.DUMMYFUNCTION("""COMPUTED_VALUE"""),"Proyectada y Proyectada 1")</f>
        <v>Proyectada y Proyectada 1</v>
      </c>
      <c r="H2246" s="36" t="str">
        <f>IFERROR(__xludf.DUMMYFUNCTION("""COMPUTED_VALUE"""),"")</f>
        <v/>
      </c>
    </row>
    <row r="2247">
      <c r="A2247" s="36" t="str">
        <f>IFERROR(__xludf.DUMMYFUNCTION("""COMPUTED_VALUE"""),"04-35-12-15A")</f>
        <v>04-35-12-15A</v>
      </c>
      <c r="B2247" s="36" t="str">
        <f>IFERROR(__xludf.DUMMYFUNCTION("""COMPUTED_VALUE"""),"")</f>
        <v/>
      </c>
      <c r="C2247" s="36" t="str">
        <f>IFERROR(__xludf.DUMMYFUNCTION("""COMPUTED_VALUE"""),"")</f>
        <v/>
      </c>
      <c r="D2247" s="36" t="str">
        <f>IFERROR(__xludf.DUMMYFUNCTION("""COMPUTED_VALUE"""),"")</f>
        <v/>
      </c>
      <c r="E2247" s="36" t="str">
        <f>IFERROR(__xludf.DUMMYFUNCTION("""COMPUTED_VALUE"""),"08-22-03-81E")</f>
        <v>08-22-03-81E</v>
      </c>
      <c r="F2247" s="36"/>
      <c r="G2247" s="36" t="str">
        <f>IFERROR(__xludf.DUMMYFUNCTION("""COMPUTED_VALUE"""),"Proyectada y Tucumán")</f>
        <v>Proyectada y Tucumán</v>
      </c>
      <c r="H2247" s="36" t="str">
        <f>IFERROR(__xludf.DUMMYFUNCTION("""COMPUTED_VALUE"""),"")</f>
        <v/>
      </c>
    </row>
    <row r="2248">
      <c r="A2248" s="36" t="str">
        <f>IFERROR(__xludf.DUMMYFUNCTION("""COMPUTED_VALUE"""),"04-35-12-15B")</f>
        <v>04-35-12-15B</v>
      </c>
      <c r="B2248" s="36" t="str">
        <f>IFERROR(__xludf.DUMMYFUNCTION("""COMPUTED_VALUE"""),"")</f>
        <v/>
      </c>
      <c r="C2248" s="36" t="str">
        <f>IFERROR(__xludf.DUMMYFUNCTION("""COMPUTED_VALUE"""),"")</f>
        <v/>
      </c>
      <c r="D2248" s="36" t="str">
        <f>IFERROR(__xludf.DUMMYFUNCTION("""COMPUTED_VALUE"""),"")</f>
        <v/>
      </c>
      <c r="E2248" s="36" t="str">
        <f>IFERROR(__xludf.DUMMYFUNCTION("""COMPUTED_VALUE"""),"08-23-04-119")</f>
        <v>08-23-04-119</v>
      </c>
      <c r="F2248" s="36"/>
      <c r="G2248" s="36" t="str">
        <f>IFERROR(__xludf.DUMMYFUNCTION("""COMPUTED_VALUE"""),"Puesto Sanitario Dr. Francisco Gonzalez N")</f>
        <v>Puesto Sanitario Dr. Francisco Gonzalez N</v>
      </c>
      <c r="H2248" s="36" t="str">
        <f>IFERROR(__xludf.DUMMYFUNCTION("""COMPUTED_VALUE"""),"")</f>
        <v/>
      </c>
    </row>
    <row r="2249">
      <c r="A2249" s="36" t="str">
        <f>IFERROR(__xludf.DUMMYFUNCTION("""COMPUTED_VALUE"""),"04-35-12-15C")</f>
        <v>04-35-12-15C</v>
      </c>
      <c r="B2249" s="36" t="str">
        <f>IFERROR(__xludf.DUMMYFUNCTION("""COMPUTED_VALUE"""),"")</f>
        <v/>
      </c>
      <c r="C2249" s="36" t="str">
        <f>IFERROR(__xludf.DUMMYFUNCTION("""COMPUTED_VALUE"""),"")</f>
        <v/>
      </c>
      <c r="D2249" s="36" t="str">
        <f>IFERROR(__xludf.DUMMYFUNCTION("""COMPUTED_VALUE"""),"")</f>
        <v/>
      </c>
      <c r="E2249" s="36" t="str">
        <f>IFERROR(__xludf.DUMMYFUNCTION("""COMPUTED_VALUE"""),"03-22-04-118")</f>
        <v>03-22-04-118</v>
      </c>
      <c r="F2249" s="36"/>
      <c r="G2249" s="36" t="str">
        <f>IFERROR(__xludf.DUMMYFUNCTION("""COMPUTED_VALUE"""),"Puesto Sanitario Dr. Francisco Gonzalez S")</f>
        <v>Puesto Sanitario Dr. Francisco Gonzalez S</v>
      </c>
      <c r="H2249" s="36" t="str">
        <f>IFERROR(__xludf.DUMMYFUNCTION("""COMPUTED_VALUE"""),"")</f>
        <v/>
      </c>
    </row>
    <row r="2250">
      <c r="A2250" s="36" t="str">
        <f>IFERROR(__xludf.DUMMYFUNCTION("""COMPUTED_VALUE"""),"04-35-12-15D")</f>
        <v>04-35-12-15D</v>
      </c>
      <c r="B2250" s="36" t="str">
        <f>IFERROR(__xludf.DUMMYFUNCTION("""COMPUTED_VALUE"""),"")</f>
        <v/>
      </c>
      <c r="C2250" s="36" t="str">
        <f>IFERROR(__xludf.DUMMYFUNCTION("""COMPUTED_VALUE"""),"")</f>
        <v/>
      </c>
      <c r="D2250" s="36" t="str">
        <f>IFERROR(__xludf.DUMMYFUNCTION("""COMPUTED_VALUE"""),"")</f>
        <v/>
      </c>
      <c r="E2250" s="36" t="str">
        <f>IFERROR(__xludf.DUMMYFUNCTION("""COMPUTED_VALUE"""),"01-40-09-4A")</f>
        <v>01-40-09-4A</v>
      </c>
      <c r="F2250" s="36"/>
      <c r="G2250" s="36" t="str">
        <f>IFERROR(__xludf.DUMMYFUNCTION("""COMPUTED_VALUE"""),"Pueyrredón -N y Av. Libertador")</f>
        <v>Pueyrredón -N y Av. Libertador</v>
      </c>
      <c r="H2250" s="36" t="str">
        <f>IFERROR(__xludf.DUMMYFUNCTION("""COMPUTED_VALUE"""),"")</f>
        <v/>
      </c>
    </row>
    <row r="2251">
      <c r="A2251" s="36" t="str">
        <f>IFERROR(__xludf.DUMMYFUNCTION("""COMPUTED_VALUE"""),"04-35-12-15E")</f>
        <v>04-35-12-15E</v>
      </c>
      <c r="B2251" s="36" t="str">
        <f>IFERROR(__xludf.DUMMYFUNCTION("""COMPUTED_VALUE"""),"")</f>
        <v/>
      </c>
      <c r="C2251" s="36" t="str">
        <f>IFERROR(__xludf.DUMMYFUNCTION("""COMPUTED_VALUE"""),"")</f>
        <v/>
      </c>
      <c r="D2251" s="36" t="str">
        <f>IFERROR(__xludf.DUMMYFUNCTION("""COMPUTED_VALUE"""),"")</f>
        <v/>
      </c>
      <c r="E2251" s="36" t="str">
        <f>IFERROR(__xludf.DUMMYFUNCTION("""COMPUTED_VALUE"""),"01-40-09-13B")</f>
        <v>01-40-09-13B</v>
      </c>
      <c r="F2251" s="36"/>
      <c r="G2251" s="36" t="str">
        <f>IFERROR(__xludf.DUMMYFUNCTION("""COMPUTED_VALUE"""),"Pueyrredón y Av. Libertador")</f>
        <v>Pueyrredón y Av. Libertador</v>
      </c>
      <c r="H2251" s="36" t="str">
        <f>IFERROR(__xludf.DUMMYFUNCTION("""COMPUTED_VALUE"""),"NOMBRE")</f>
        <v>NOMBRE</v>
      </c>
    </row>
    <row r="2252">
      <c r="A2252" s="36" t="str">
        <f>IFERROR(__xludf.DUMMYFUNCTION("""COMPUTED_VALUE"""),"04-35-12-15F")</f>
        <v>04-35-12-15F</v>
      </c>
      <c r="B2252" s="36" t="str">
        <f>IFERROR(__xludf.DUMMYFUNCTION("""COMPUTED_VALUE"""),"")</f>
        <v/>
      </c>
      <c r="C2252" s="36" t="str">
        <f>IFERROR(__xludf.DUMMYFUNCTION("""COMPUTED_VALUE"""),"")</f>
        <v/>
      </c>
      <c r="D2252" s="36" t="str">
        <f>IFERROR(__xludf.DUMMYFUNCTION("""COMPUTED_VALUE"""),"")</f>
        <v/>
      </c>
      <c r="E2252" s="36" t="str">
        <f>IFERROR(__xludf.DUMMYFUNCTION("""COMPUTED_VALUE"""),"03-32-09-4B")</f>
        <v>03-32-09-4B</v>
      </c>
      <c r="F2252" s="36"/>
      <c r="G2252" s="36" t="str">
        <f>IFERROR(__xludf.DUMMYFUNCTION("""COMPUTED_VALUE"""),"Pueyrredón y Av. Libertador")</f>
        <v>Pueyrredón y Av. Libertador</v>
      </c>
      <c r="H2252" s="36" t="str">
        <f>IFERROR(__xludf.DUMMYFUNCTION("""COMPUTED_VALUE"""),"")</f>
        <v/>
      </c>
    </row>
    <row r="2253">
      <c r="A2253" s="36" t="str">
        <f>IFERROR(__xludf.DUMMYFUNCTION("""COMPUTED_VALUE"""),"04-35-12-15G")</f>
        <v>04-35-12-15G</v>
      </c>
      <c r="B2253" s="36" t="str">
        <f>IFERROR(__xludf.DUMMYFUNCTION("""COMPUTED_VALUE"""),"")</f>
        <v/>
      </c>
      <c r="C2253" s="36" t="str">
        <f>IFERROR(__xludf.DUMMYFUNCTION("""COMPUTED_VALUE"""),"")</f>
        <v/>
      </c>
      <c r="D2253" s="36" t="str">
        <f>IFERROR(__xludf.DUMMYFUNCTION("""COMPUTED_VALUE"""),"")</f>
        <v/>
      </c>
      <c r="E2253" s="36"/>
      <c r="F2253" s="36"/>
      <c r="G2253" s="36" t="str">
        <f>IFERROR(__xludf.DUMMYFUNCTION("""COMPUTED_VALUE"""),"Pueyrredón y Av. Libertador -E")</f>
        <v>Pueyrredón y Av. Libertador -E</v>
      </c>
      <c r="H2253" s="36" t="str">
        <f>IFERROR(__xludf.DUMMYFUNCTION("""COMPUTED_VALUE"""),"")</f>
        <v/>
      </c>
    </row>
    <row r="2254">
      <c r="A2254" s="36" t="str">
        <f>IFERROR(__xludf.DUMMYFUNCTION("""COMPUTED_VALUE"""),"04-35-12-15H")</f>
        <v>04-35-12-15H</v>
      </c>
      <c r="B2254" s="36" t="str">
        <f>IFERROR(__xludf.DUMMYFUNCTION("""COMPUTED_VALUE"""),"")</f>
        <v/>
      </c>
      <c r="C2254" s="36" t="str">
        <f>IFERROR(__xludf.DUMMYFUNCTION("""COMPUTED_VALUE"""),"")</f>
        <v/>
      </c>
      <c r="D2254" s="36" t="str">
        <f>IFERROR(__xludf.DUMMYFUNCTION("""COMPUTED_VALUE"""),"")</f>
        <v/>
      </c>
      <c r="E2254" s="36" t="str">
        <f>IFERROR(__xludf.DUMMYFUNCTION("""COMPUTED_VALUE"""),"01-40-09-13")</f>
        <v>01-40-09-13</v>
      </c>
      <c r="F2254" s="36"/>
      <c r="G2254" s="36" t="str">
        <f>IFERROR(__xludf.DUMMYFUNCTION("""COMPUTED_VALUE"""),"Pueyrredón y Av. Sarmiento")</f>
        <v>Pueyrredón y Av. Sarmiento</v>
      </c>
      <c r="H2254" s="36" t="str">
        <f>IFERROR(__xludf.DUMMYFUNCTION("""COMPUTED_VALUE"""),"")</f>
        <v/>
      </c>
    </row>
    <row r="2255">
      <c r="A2255" s="36" t="str">
        <f>IFERROR(__xludf.DUMMYFUNCTION("""COMPUTED_VALUE"""),"04-35-12-15I")</f>
        <v>04-35-12-15I</v>
      </c>
      <c r="B2255" s="36" t="str">
        <f>IFERROR(__xludf.DUMMYFUNCTION("""COMPUTED_VALUE"""),"")</f>
        <v/>
      </c>
      <c r="C2255" s="36" t="str">
        <f>IFERROR(__xludf.DUMMYFUNCTION("""COMPUTED_VALUE"""),"")</f>
        <v/>
      </c>
      <c r="D2255" s="36" t="str">
        <f>IFERROR(__xludf.DUMMYFUNCTION("""COMPUTED_VALUE"""),"")</f>
        <v/>
      </c>
      <c r="E2255" s="36" t="str">
        <f>IFERROR(__xludf.DUMMYFUNCTION("""COMPUTED_VALUE"""),"01-40-09-142B")</f>
        <v>01-40-09-142B</v>
      </c>
      <c r="F2255" s="36"/>
      <c r="G2255" s="36" t="str">
        <f>IFERROR(__xludf.DUMMYFUNCTION("""COMPUTED_VALUE"""),"Pueyrredón y Boulogne -S Mer")</f>
        <v>Pueyrredón y Boulogne -S Mer</v>
      </c>
      <c r="H2255" s="36" t="str">
        <f>IFERROR(__xludf.DUMMYFUNCTION("""COMPUTED_VALUE"""),"NOMBRE")</f>
        <v>NOMBRE</v>
      </c>
    </row>
    <row r="2256">
      <c r="A2256" s="36" t="str">
        <f>IFERROR(__xludf.DUMMYFUNCTION("""COMPUTED_VALUE"""),"04-35-12-15J")</f>
        <v>04-35-12-15J</v>
      </c>
      <c r="B2256" s="36" t="str">
        <f>IFERROR(__xludf.DUMMYFUNCTION("""COMPUTED_VALUE"""),"")</f>
        <v/>
      </c>
      <c r="C2256" s="36" t="str">
        <f>IFERROR(__xludf.DUMMYFUNCTION("""COMPUTED_VALUE"""),"")</f>
        <v/>
      </c>
      <c r="D2256" s="36" t="str">
        <f>IFERROR(__xludf.DUMMYFUNCTION("""COMPUTED_VALUE"""),"")</f>
        <v/>
      </c>
      <c r="E2256" s="36" t="str">
        <f>IFERROR(__xludf.DUMMYFUNCTION("""COMPUTED_VALUE"""),"03-31-09-142E")</f>
        <v>03-31-09-142E</v>
      </c>
      <c r="F2256" s="36"/>
      <c r="G2256" s="36" t="str">
        <f>IFERROR(__xludf.DUMMYFUNCTION("""COMPUTED_VALUE"""),"Pueyrredón y Boulogne -S Mer")</f>
        <v>Pueyrredón y Boulogne -S Mer</v>
      </c>
      <c r="H2256" s="36" t="str">
        <f>IFERROR(__xludf.DUMMYFUNCTION("""COMPUTED_VALUE"""),"")</f>
        <v/>
      </c>
    </row>
    <row r="2257">
      <c r="A2257" s="36" t="str">
        <f>IFERROR(__xludf.DUMMYFUNCTION("""COMPUTED_VALUE"""),"04-35-12-15K")</f>
        <v>04-35-12-15K</v>
      </c>
      <c r="B2257" s="36" t="str">
        <f>IFERROR(__xludf.DUMMYFUNCTION("""COMPUTED_VALUE"""),"")</f>
        <v/>
      </c>
      <c r="C2257" s="36" t="str">
        <f>IFERROR(__xludf.DUMMYFUNCTION("""COMPUTED_VALUE"""),"")</f>
        <v/>
      </c>
      <c r="D2257" s="36" t="str">
        <f>IFERROR(__xludf.DUMMYFUNCTION("""COMPUTED_VALUE"""),"")</f>
        <v/>
      </c>
      <c r="E2257" s="36" t="str">
        <f>IFERROR(__xludf.DUMMYFUNCTION("""COMPUTED_VALUE"""),"03-31-09-151")</f>
        <v>03-31-09-151</v>
      </c>
      <c r="F2257" s="36"/>
      <c r="G2257" s="36" t="str">
        <f>IFERROR(__xludf.DUMMYFUNCTION("""COMPUTED_VALUE"""),"Pueyrredón y Gral. Espejo")</f>
        <v>Pueyrredón y Gral. Espejo</v>
      </c>
      <c r="H2257" s="36" t="str">
        <f>IFERROR(__xludf.DUMMYFUNCTION("""COMPUTED_VALUE"""),"")</f>
        <v/>
      </c>
    </row>
    <row r="2258">
      <c r="A2258" s="36" t="str">
        <f>IFERROR(__xludf.DUMMYFUNCTION("""COMPUTED_VALUE"""),"04-35-12-15L")</f>
        <v>04-35-12-15L</v>
      </c>
      <c r="B2258" s="36" t="str">
        <f>IFERROR(__xludf.DUMMYFUNCTION("""COMPUTED_VALUE"""),"")</f>
        <v/>
      </c>
      <c r="C2258" s="36" t="str">
        <f>IFERROR(__xludf.DUMMYFUNCTION("""COMPUTED_VALUE"""),"")</f>
        <v/>
      </c>
      <c r="D2258" s="36" t="str">
        <f>IFERROR(__xludf.DUMMYFUNCTION("""COMPUTED_VALUE"""),"")</f>
        <v/>
      </c>
      <c r="E2258" s="36" t="str">
        <f>IFERROR(__xludf.DUMMYFUNCTION("""COMPUTED_VALUE"""),"03-31-09-154")</f>
        <v>03-31-09-154</v>
      </c>
      <c r="F2258" s="36"/>
      <c r="G2258" s="36" t="str">
        <f>IFERROR(__xludf.DUMMYFUNCTION("""COMPUTED_VALUE"""),"Pueyrredón y Gregorio de La Madrid")</f>
        <v>Pueyrredón y Gregorio de La Madrid</v>
      </c>
      <c r="H2258" s="36" t="str">
        <f>IFERROR(__xludf.DUMMYFUNCTION("""COMPUTED_VALUE"""),"")</f>
        <v/>
      </c>
    </row>
    <row r="2259">
      <c r="A2259" s="36" t="str">
        <f>IFERROR(__xludf.DUMMYFUNCTION("""COMPUTED_VALUE"""),"04-35-12-16")</f>
        <v>04-35-12-16</v>
      </c>
      <c r="B2259" s="36" t="str">
        <f>IFERROR(__xludf.DUMMYFUNCTION("""COMPUTED_VALUE"""),"")</f>
        <v/>
      </c>
      <c r="C2259" s="36" t="str">
        <f>IFERROR(__xludf.DUMMYFUNCTION("""COMPUTED_VALUE"""),"")</f>
        <v/>
      </c>
      <c r="D2259" s="36" t="str">
        <f>IFERROR(__xludf.DUMMYFUNCTION("""COMPUTED_VALUE"""),"")</f>
        <v/>
      </c>
      <c r="E2259" s="36" t="str">
        <f>IFERROR(__xludf.DUMMYFUNCTION("""COMPUTED_VALUE"""),"01-39-09-154A")</f>
        <v>01-39-09-154A</v>
      </c>
      <c r="F2259" s="36"/>
      <c r="G2259" s="36" t="str">
        <f>IFERROR(__xludf.DUMMYFUNCTION("""COMPUTED_VALUE"""),"Pueyrredón y Guatemala")</f>
        <v>Pueyrredón y Guatemala</v>
      </c>
      <c r="H2259" s="36" t="str">
        <f>IFERROR(__xludf.DUMMYFUNCTION("""COMPUTED_VALUE"""),"")</f>
        <v/>
      </c>
    </row>
    <row r="2260">
      <c r="A2260" s="36" t="str">
        <f>IFERROR(__xludf.DUMMYFUNCTION("""COMPUTED_VALUE"""),"04-35-12-18")</f>
        <v>04-35-12-18</v>
      </c>
      <c r="B2260" s="36" t="str">
        <f>IFERROR(__xludf.DUMMYFUNCTION("""COMPUTED_VALUE"""),"")</f>
        <v/>
      </c>
      <c r="C2260" s="36" t="str">
        <f>IFERROR(__xludf.DUMMYFUNCTION("""COMPUTED_VALUE"""),"")</f>
        <v/>
      </c>
      <c r="D2260" s="36" t="str">
        <f>IFERROR(__xludf.DUMMYFUNCTION("""COMPUTED_VALUE"""),"")</f>
        <v/>
      </c>
      <c r="E2260" s="36" t="str">
        <f>IFERROR(__xludf.DUMMYFUNCTION("""COMPUTED_VALUE"""),"01-39-09-152")</f>
        <v>01-39-09-152</v>
      </c>
      <c r="F2260" s="36"/>
      <c r="G2260" s="36" t="str">
        <f>IFERROR(__xludf.DUMMYFUNCTION("""COMPUTED_VALUE"""),"Pueyrredón y Haití")</f>
        <v>Pueyrredón y Haití</v>
      </c>
      <c r="H2260" s="36" t="str">
        <f>IFERROR(__xludf.DUMMYFUNCTION("""COMPUTED_VALUE"""),"")</f>
        <v/>
      </c>
    </row>
    <row r="2261">
      <c r="A2261" s="36" t="str">
        <f>IFERROR(__xludf.DUMMYFUNCTION("""COMPUTED_VALUE"""),"04-35-12-20")</f>
        <v>04-35-12-20</v>
      </c>
      <c r="B2261" s="36" t="str">
        <f>IFERROR(__xludf.DUMMYFUNCTION("""COMPUTED_VALUE"""),"")</f>
        <v/>
      </c>
      <c r="C2261" s="36" t="str">
        <f>IFERROR(__xludf.DUMMYFUNCTION("""COMPUTED_VALUE"""),"")</f>
        <v/>
      </c>
      <c r="D2261" s="36" t="str">
        <f>IFERROR(__xludf.DUMMYFUNCTION("""COMPUTED_VALUE"""),"")</f>
        <v/>
      </c>
      <c r="E2261" s="36" t="str">
        <f>IFERROR(__xludf.DUMMYFUNCTION("""COMPUTED_VALUE"""),"03-31-09-205")</f>
        <v>03-31-09-205</v>
      </c>
      <c r="F2261" s="36"/>
      <c r="G2261" s="36" t="str">
        <f>IFERROR(__xludf.DUMMYFUNCTION("""COMPUTED_VALUE"""),"Pueyrredón y J. V. González")</f>
        <v>Pueyrredón y J. V. González</v>
      </c>
      <c r="H2261" s="36" t="str">
        <f>IFERROR(__xludf.DUMMYFUNCTION("""COMPUTED_VALUE"""),"")</f>
        <v/>
      </c>
    </row>
    <row r="2262">
      <c r="A2262" s="36" t="str">
        <f>IFERROR(__xludf.DUMMYFUNCTION("""COMPUTED_VALUE"""),"04-35-12-22")</f>
        <v>04-35-12-22</v>
      </c>
      <c r="B2262" s="36" t="str">
        <f>IFERROR(__xludf.DUMMYFUNCTION("""COMPUTED_VALUE"""),"")</f>
        <v/>
      </c>
      <c r="C2262" s="36" t="str">
        <f>IFERROR(__xludf.DUMMYFUNCTION("""COMPUTED_VALUE"""),"")</f>
        <v/>
      </c>
      <c r="D2262" s="36" t="str">
        <f>IFERROR(__xludf.DUMMYFUNCTION("""COMPUTED_VALUE"""),"")</f>
        <v/>
      </c>
      <c r="E2262" s="36" t="str">
        <f>IFERROR(__xludf.DUMMYFUNCTION("""COMPUTED_VALUE"""),"03-31-09-142D")</f>
        <v>03-31-09-142D</v>
      </c>
      <c r="F2262" s="36"/>
      <c r="G2262" s="36" t="str">
        <f>IFERROR(__xludf.DUMMYFUNCTION("""COMPUTED_VALUE"""),"Pueyrredón y Maipú")</f>
        <v>Pueyrredón y Maipú</v>
      </c>
      <c r="H2262" s="36" t="str">
        <f>IFERROR(__xludf.DUMMYFUNCTION("""COMPUTED_VALUE"""),"")</f>
        <v/>
      </c>
    </row>
    <row r="2263">
      <c r="A2263" s="36" t="str">
        <f>IFERROR(__xludf.DUMMYFUNCTION("""COMPUTED_VALUE"""),"04-35-12-24")</f>
        <v>04-35-12-24</v>
      </c>
      <c r="B2263" s="36" t="str">
        <f>IFERROR(__xludf.DUMMYFUNCTION("""COMPUTED_VALUE"""),"")</f>
        <v/>
      </c>
      <c r="C2263" s="36" t="str">
        <f>IFERROR(__xludf.DUMMYFUNCTION("""COMPUTED_VALUE"""),"")</f>
        <v/>
      </c>
      <c r="D2263" s="36" t="str">
        <f>IFERROR(__xludf.DUMMYFUNCTION("""COMPUTED_VALUE"""),"")</f>
        <v/>
      </c>
      <c r="E2263" s="36" t="str">
        <f>IFERROR(__xludf.DUMMYFUNCTION("""COMPUTED_VALUE"""),"03-31-09-153")</f>
        <v>03-31-09-153</v>
      </c>
      <c r="F2263" s="36"/>
      <c r="G2263" s="36" t="str">
        <f>IFERROR(__xludf.DUMMYFUNCTION("""COMPUTED_VALUE"""),"Pueyrredón y Pringles")</f>
        <v>Pueyrredón y Pringles</v>
      </c>
      <c r="H2263" s="36" t="str">
        <f>IFERROR(__xludf.DUMMYFUNCTION("""COMPUTED_VALUE"""),"")</f>
        <v/>
      </c>
    </row>
    <row r="2264">
      <c r="A2264" s="36" t="str">
        <f>IFERROR(__xludf.DUMMYFUNCTION("""COMPUTED_VALUE"""),"04-35-12-44")</f>
        <v>04-35-12-44</v>
      </c>
      <c r="B2264" s="36" t="str">
        <f>IFERROR(__xludf.DUMMYFUNCTION("""COMPUTED_VALUE"""),"")</f>
        <v/>
      </c>
      <c r="C2264" s="36" t="str">
        <f>IFERROR(__xludf.DUMMYFUNCTION("""COMPUTED_VALUE"""),"")</f>
        <v/>
      </c>
      <c r="D2264" s="36" t="str">
        <f>IFERROR(__xludf.DUMMYFUNCTION("""COMPUTED_VALUE"""),"")</f>
        <v/>
      </c>
      <c r="E2264" s="36" t="str">
        <f>IFERROR(__xludf.DUMMYFUNCTION("""COMPUTED_VALUE"""),"01-40-09-141X")</f>
        <v>01-40-09-141X</v>
      </c>
      <c r="F2264" s="36"/>
      <c r="G2264" s="36" t="str">
        <f>IFERROR(__xludf.DUMMYFUNCTION("""COMPUTED_VALUE"""),"Pueyrredón y Roque Sáenz Peña")</f>
        <v>Pueyrredón y Roque Sáenz Peña</v>
      </c>
      <c r="H2264" s="36" t="str">
        <f>IFERROR(__xludf.DUMMYFUNCTION("""COMPUTED_VALUE"""),"NOMBRE")</f>
        <v>NOMBRE</v>
      </c>
    </row>
    <row r="2265">
      <c r="A2265" s="36" t="str">
        <f>IFERROR(__xludf.DUMMYFUNCTION("""COMPUTED_VALUE"""),"04-35-12-45")</f>
        <v>04-35-12-45</v>
      </c>
      <c r="B2265" s="36" t="str">
        <f>IFERROR(__xludf.DUMMYFUNCTION("""COMPUTED_VALUE"""),"")</f>
        <v/>
      </c>
      <c r="C2265" s="36" t="str">
        <f>IFERROR(__xludf.DUMMYFUNCTION("""COMPUTED_VALUE"""),"")</f>
        <v/>
      </c>
      <c r="D2265" s="36" t="str">
        <f>IFERROR(__xludf.DUMMYFUNCTION("""COMPUTED_VALUE"""),"")</f>
        <v/>
      </c>
      <c r="E2265" s="36" t="str">
        <f>IFERROR(__xludf.DUMMYFUNCTION("""COMPUTED_VALUE"""),"03-31-09-142")</f>
        <v>03-31-09-142</v>
      </c>
      <c r="F2265" s="36"/>
      <c r="G2265" s="36" t="str">
        <f>IFERROR(__xludf.DUMMYFUNCTION("""COMPUTED_VALUE"""),"Pueyrredón y Roque Sáenz Peña")</f>
        <v>Pueyrredón y Roque Sáenz Peña</v>
      </c>
      <c r="H2265" s="36" t="str">
        <f>IFERROR(__xludf.DUMMYFUNCTION("""COMPUTED_VALUE"""),"")</f>
        <v/>
      </c>
    </row>
    <row r="2266">
      <c r="A2266" s="36" t="str">
        <f>IFERROR(__xludf.DUMMYFUNCTION("""COMPUTED_VALUE"""),"04-35-12-46")</f>
        <v>04-35-12-46</v>
      </c>
      <c r="B2266" s="36" t="str">
        <f>IFERROR(__xludf.DUMMYFUNCTION("""COMPUTED_VALUE"""),"")</f>
        <v/>
      </c>
      <c r="C2266" s="36" t="str">
        <f>IFERROR(__xludf.DUMMYFUNCTION("""COMPUTED_VALUE"""),"")</f>
        <v/>
      </c>
      <c r="D2266" s="36" t="str">
        <f>IFERROR(__xludf.DUMMYFUNCTION("""COMPUTED_VALUE"""),"")</f>
        <v/>
      </c>
      <c r="E2266" s="36" t="str">
        <f>IFERROR(__xludf.DUMMYFUNCTION("""COMPUTED_VALUE"""),"03-31-09-117")</f>
        <v>03-31-09-117</v>
      </c>
      <c r="F2266" s="36"/>
      <c r="G2266" s="36" t="str">
        <f>IFERROR(__xludf.DUMMYFUNCTION("""COMPUTED_VALUE"""),"Pueyrredón y San Lorenzo")</f>
        <v>Pueyrredón y San Lorenzo</v>
      </c>
      <c r="H2266" s="36" t="str">
        <f>IFERROR(__xludf.DUMMYFUNCTION("""COMPUTED_VALUE"""),"")</f>
        <v/>
      </c>
    </row>
    <row r="2267">
      <c r="A2267" s="36" t="str">
        <f>IFERROR(__xludf.DUMMYFUNCTION("""COMPUTED_VALUE"""),"04-35-12-47")</f>
        <v>04-35-12-47</v>
      </c>
      <c r="B2267" s="36" t="str">
        <f>IFERROR(__xludf.DUMMYFUNCTION("""COMPUTED_VALUE"""),"")</f>
        <v/>
      </c>
      <c r="C2267" s="36" t="str">
        <f>IFERROR(__xludf.DUMMYFUNCTION("""COMPUTED_VALUE"""),"")</f>
        <v/>
      </c>
      <c r="D2267" s="36" t="str">
        <f>IFERROR(__xludf.DUMMYFUNCTION("""COMPUTED_VALUE"""),"")</f>
        <v/>
      </c>
      <c r="E2267" s="36" t="str">
        <f>IFERROR(__xludf.DUMMYFUNCTION("""COMPUTED_VALUE"""),"01-40-09-10")</f>
        <v>01-40-09-10</v>
      </c>
      <c r="F2267" s="36"/>
      <c r="G2267" s="36" t="str">
        <f>IFERROR(__xludf.DUMMYFUNCTION("""COMPUTED_VALUE"""),"Pueyrredón y Santa Fe")</f>
        <v>Pueyrredón y Santa Fe</v>
      </c>
      <c r="H2267" s="36" t="str">
        <f>IFERROR(__xludf.DUMMYFUNCTION("""COMPUTED_VALUE"""),"")</f>
        <v/>
      </c>
    </row>
    <row r="2268">
      <c r="A2268" s="36" t="str">
        <f>IFERROR(__xludf.DUMMYFUNCTION("""COMPUTED_VALUE"""),"04-35-12-48")</f>
        <v>04-35-12-48</v>
      </c>
      <c r="B2268" s="36" t="str">
        <f>IFERROR(__xludf.DUMMYFUNCTION("""COMPUTED_VALUE"""),"")</f>
        <v/>
      </c>
      <c r="C2268" s="36" t="str">
        <f>IFERROR(__xludf.DUMMYFUNCTION("""COMPUTED_VALUE"""),"")</f>
        <v/>
      </c>
      <c r="D2268" s="36" t="str">
        <f>IFERROR(__xludf.DUMMYFUNCTION("""COMPUTED_VALUE"""),"")</f>
        <v/>
      </c>
      <c r="E2268" s="36" t="str">
        <f>IFERROR(__xludf.DUMMYFUNCTION("""COMPUTED_VALUE"""),"02-37-06-7A")</f>
        <v>02-37-06-7A</v>
      </c>
      <c r="F2268" s="36"/>
      <c r="G2268" s="36" t="str">
        <f>IFERROR(__xludf.DUMMYFUNCTION("""COMPUTED_VALUE"""),"Punta de Rieles y Curupaytí")</f>
        <v>Punta de Rieles y Curupaytí</v>
      </c>
      <c r="H2268" s="36" t="str">
        <f>IFERROR(__xludf.DUMMYFUNCTION("""COMPUTED_VALUE"""),"")</f>
        <v/>
      </c>
    </row>
    <row r="2269">
      <c r="A2269" s="36" t="str">
        <f>IFERROR(__xludf.DUMMYFUNCTION("""COMPUTED_VALUE"""),"04-35-12-49")</f>
        <v>04-35-12-49</v>
      </c>
      <c r="B2269" s="36" t="str">
        <f>IFERROR(__xludf.DUMMYFUNCTION("""COMPUTED_VALUE"""),"")</f>
        <v/>
      </c>
      <c r="C2269" s="36" t="str">
        <f>IFERROR(__xludf.DUMMYFUNCTION("""COMPUTED_VALUE"""),"")</f>
        <v/>
      </c>
      <c r="D2269" s="36" t="str">
        <f>IFERROR(__xludf.DUMMYFUNCTION("""COMPUTED_VALUE"""),"")</f>
        <v/>
      </c>
      <c r="E2269" s="36" t="str">
        <f>IFERROR(__xludf.DUMMYFUNCTION("""COMPUTED_VALUE"""),"02-36-06-3A")</f>
        <v>02-36-06-3A</v>
      </c>
      <c r="F2269" s="36"/>
      <c r="G2269" s="36" t="str">
        <f>IFERROR(__xludf.DUMMYFUNCTION("""COMPUTED_VALUE"""),"Punta de Rieles y Ex Vía")</f>
        <v>Punta de Rieles y Ex Vía</v>
      </c>
      <c r="H2269" s="36" t="str">
        <f>IFERROR(__xludf.DUMMYFUNCTION("""COMPUTED_VALUE"""),"")</f>
        <v/>
      </c>
    </row>
    <row r="2270">
      <c r="A2270" s="36" t="str">
        <f>IFERROR(__xludf.DUMMYFUNCTION("""COMPUTED_VALUE"""),"04-35-12-50")</f>
        <v>04-35-12-50</v>
      </c>
      <c r="B2270" s="36" t="str">
        <f>IFERROR(__xludf.DUMMYFUNCTION("""COMPUTED_VALUE"""),"")</f>
        <v/>
      </c>
      <c r="C2270" s="36" t="str">
        <f>IFERROR(__xludf.DUMMYFUNCTION("""COMPUTED_VALUE"""),"")</f>
        <v/>
      </c>
      <c r="D2270" s="36" t="str">
        <f>IFERROR(__xludf.DUMMYFUNCTION("""COMPUTED_VALUE"""),"")</f>
        <v/>
      </c>
      <c r="E2270" s="36" t="str">
        <f>IFERROR(__xludf.DUMMYFUNCTION("""COMPUTED_VALUE"""),"02-36-06-4A")</f>
        <v>02-36-06-4A</v>
      </c>
      <c r="F2270" s="36"/>
      <c r="G2270" s="36" t="str">
        <f>IFERROR(__xludf.DUMMYFUNCTION("""COMPUTED_VALUE"""),"Punta de Rieles y Gómez N")</f>
        <v>Punta de Rieles y Gómez N</v>
      </c>
      <c r="H2270" s="36" t="str">
        <f>IFERROR(__xludf.DUMMYFUNCTION("""COMPUTED_VALUE"""),"")</f>
        <v/>
      </c>
    </row>
    <row r="2271">
      <c r="A2271" s="36" t="str">
        <f>IFERROR(__xludf.DUMMYFUNCTION("""COMPUTED_VALUE"""),"04-35-12-51")</f>
        <v>04-35-12-51</v>
      </c>
      <c r="B2271" s="36" t="str">
        <f>IFERROR(__xludf.DUMMYFUNCTION("""COMPUTED_VALUE"""),"")</f>
        <v/>
      </c>
      <c r="C2271" s="36" t="str">
        <f>IFERROR(__xludf.DUMMYFUNCTION("""COMPUTED_VALUE"""),"")</f>
        <v/>
      </c>
      <c r="D2271" s="36" t="str">
        <f>IFERROR(__xludf.DUMMYFUNCTION("""COMPUTED_VALUE"""),"")</f>
        <v/>
      </c>
      <c r="E2271" s="36" t="str">
        <f>IFERROR(__xludf.DUMMYFUNCTION("""COMPUTED_VALUE"""),"02-36-06-4B")</f>
        <v>02-36-06-4B</v>
      </c>
      <c r="F2271" s="36"/>
      <c r="G2271" s="36" t="str">
        <f>IFERROR(__xludf.DUMMYFUNCTION("""COMPUTED_VALUE"""),"Punta de Rieles y Gómez S")</f>
        <v>Punta de Rieles y Gómez S</v>
      </c>
      <c r="H2271" s="36" t="str">
        <f>IFERROR(__xludf.DUMMYFUNCTION("""COMPUTED_VALUE"""),"")</f>
        <v/>
      </c>
    </row>
    <row r="2272">
      <c r="A2272" s="36" t="str">
        <f>IFERROR(__xludf.DUMMYFUNCTION("""COMPUTED_VALUE"""),"04-35-12-52")</f>
        <v>04-35-12-52</v>
      </c>
      <c r="B2272" s="36" t="str">
        <f>IFERROR(__xludf.DUMMYFUNCTION("""COMPUTED_VALUE"""),"")</f>
        <v/>
      </c>
      <c r="C2272" s="36" t="str">
        <f>IFERROR(__xludf.DUMMYFUNCTION("""COMPUTED_VALUE"""),"")</f>
        <v/>
      </c>
      <c r="D2272" s="36" t="str">
        <f>IFERROR(__xludf.DUMMYFUNCTION("""COMPUTED_VALUE"""),"")</f>
        <v/>
      </c>
      <c r="E2272" s="36" t="str">
        <f>IFERROR(__xludf.DUMMYFUNCTION("""COMPUTED_VALUE"""),"02-36-06-1A")</f>
        <v>02-36-06-1A</v>
      </c>
      <c r="F2272" s="36"/>
      <c r="G2272" s="36" t="str">
        <f>IFERROR(__xludf.DUMMYFUNCTION("""COMPUTED_VALUE"""),"Punta de Rieles y Malvinas Argentinas S")</f>
        <v>Punta de Rieles y Malvinas Argentinas S</v>
      </c>
      <c r="H2272" s="36" t="str">
        <f>IFERROR(__xludf.DUMMYFUNCTION("""COMPUTED_VALUE"""),"")</f>
        <v/>
      </c>
    </row>
    <row r="2273">
      <c r="A2273" s="36" t="str">
        <f>IFERROR(__xludf.DUMMYFUNCTION("""COMPUTED_VALUE"""),"04-35-12-53")</f>
        <v>04-35-12-53</v>
      </c>
      <c r="B2273" s="36" t="str">
        <f>IFERROR(__xludf.DUMMYFUNCTION("""COMPUTED_VALUE"""),"")</f>
        <v/>
      </c>
      <c r="C2273" s="36" t="str">
        <f>IFERROR(__xludf.DUMMYFUNCTION("""COMPUTED_VALUE"""),"")</f>
        <v/>
      </c>
      <c r="D2273" s="36" t="str">
        <f>IFERROR(__xludf.DUMMYFUNCTION("""COMPUTED_VALUE"""),"")</f>
        <v/>
      </c>
      <c r="E2273" s="36" t="str">
        <f>IFERROR(__xludf.DUMMYFUNCTION("""COMPUTED_VALUE"""),"02-37-06-8A")</f>
        <v>02-37-06-8A</v>
      </c>
      <c r="F2273" s="36"/>
      <c r="G2273" s="36" t="str">
        <f>IFERROR(__xludf.DUMMYFUNCTION("""COMPUTED_VALUE"""),"Punta de Rieles y Mariano Moreno")</f>
        <v>Punta de Rieles y Mariano Moreno</v>
      </c>
      <c r="H2273" s="36" t="str">
        <f>IFERROR(__xludf.DUMMYFUNCTION("""COMPUTED_VALUE"""),"")</f>
        <v/>
      </c>
    </row>
    <row r="2274">
      <c r="A2274" s="36" t="str">
        <f>IFERROR(__xludf.DUMMYFUNCTION("""COMPUTED_VALUE"""),"04-35-12-54")</f>
        <v>04-35-12-54</v>
      </c>
      <c r="B2274" s="36" t="str">
        <f>IFERROR(__xludf.DUMMYFUNCTION("""COMPUTED_VALUE"""),"")</f>
        <v/>
      </c>
      <c r="C2274" s="36" t="str">
        <f>IFERROR(__xludf.DUMMYFUNCTION("""COMPUTED_VALUE"""),"")</f>
        <v/>
      </c>
      <c r="D2274" s="36" t="str">
        <f>IFERROR(__xludf.DUMMYFUNCTION("""COMPUTED_VALUE"""),"")</f>
        <v/>
      </c>
      <c r="E2274" s="36" t="str">
        <f>IFERROR(__xludf.DUMMYFUNCTION("""COMPUTED_VALUE"""),"02-36-06-5A")</f>
        <v>02-36-06-5A</v>
      </c>
      <c r="F2274" s="36"/>
      <c r="G2274" s="36" t="str">
        <f>IFERROR(__xludf.DUMMYFUNCTION("""COMPUTED_VALUE"""),"Punta de Rieles y Meglioli N")</f>
        <v>Punta de Rieles y Meglioli N</v>
      </c>
      <c r="H2274" s="36" t="str">
        <f>IFERROR(__xludf.DUMMYFUNCTION("""COMPUTED_VALUE"""),"")</f>
        <v/>
      </c>
    </row>
    <row r="2275">
      <c r="A2275" s="36" t="str">
        <f>IFERROR(__xludf.DUMMYFUNCTION("""COMPUTED_VALUE"""),"04-35-12-54A")</f>
        <v>04-35-12-54A</v>
      </c>
      <c r="B2275" s="36" t="str">
        <f>IFERROR(__xludf.DUMMYFUNCTION("""COMPUTED_VALUE"""),"")</f>
        <v/>
      </c>
      <c r="C2275" s="36" t="str">
        <f>IFERROR(__xludf.DUMMYFUNCTION("""COMPUTED_VALUE"""),"")</f>
        <v/>
      </c>
      <c r="D2275" s="36" t="str">
        <f>IFERROR(__xludf.DUMMYFUNCTION("""COMPUTED_VALUE"""),"")</f>
        <v/>
      </c>
      <c r="E2275" s="36" t="str">
        <f>IFERROR(__xludf.DUMMYFUNCTION("""COMPUTED_VALUE"""),"02-36-06-5B")</f>
        <v>02-36-06-5B</v>
      </c>
      <c r="F2275" s="36"/>
      <c r="G2275" s="36" t="str">
        <f>IFERROR(__xludf.DUMMYFUNCTION("""COMPUTED_VALUE"""),"Punta de Rieles y Meglioli S")</f>
        <v>Punta de Rieles y Meglioli S</v>
      </c>
      <c r="H2275" s="36" t="str">
        <f>IFERROR(__xludf.DUMMYFUNCTION("""COMPUTED_VALUE"""),"")</f>
        <v/>
      </c>
    </row>
    <row r="2276">
      <c r="A2276" s="36" t="str">
        <f>IFERROR(__xludf.DUMMYFUNCTION("""COMPUTED_VALUE"""),"04-35-12-54B")</f>
        <v>04-35-12-54B</v>
      </c>
      <c r="B2276" s="36" t="str">
        <f>IFERROR(__xludf.DUMMYFUNCTION("""COMPUTED_VALUE"""),"")</f>
        <v/>
      </c>
      <c r="C2276" s="36" t="str">
        <f>IFERROR(__xludf.DUMMYFUNCTION("""COMPUTED_VALUE"""),"")</f>
        <v/>
      </c>
      <c r="D2276" s="36" t="str">
        <f>IFERROR(__xludf.DUMMYFUNCTION("""COMPUTED_VALUE"""),"")</f>
        <v/>
      </c>
      <c r="E2276" s="36" t="str">
        <f>IFERROR(__xludf.DUMMYFUNCTION("""COMPUTED_VALUE"""),"02-37-06-6A")</f>
        <v>02-37-06-6A</v>
      </c>
      <c r="F2276" s="36"/>
      <c r="G2276" s="36" t="str">
        <f>IFERROR(__xludf.DUMMYFUNCTION("""COMPUTED_VALUE"""),"Punta de Rieles y Reconquista")</f>
        <v>Punta de Rieles y Reconquista</v>
      </c>
      <c r="H2276" s="36" t="str">
        <f>IFERROR(__xludf.DUMMYFUNCTION("""COMPUTED_VALUE"""),"")</f>
        <v/>
      </c>
    </row>
    <row r="2277">
      <c r="A2277" s="36" t="str">
        <f>IFERROR(__xludf.DUMMYFUNCTION("""COMPUTED_VALUE"""),"04-35-12-54C")</f>
        <v>04-35-12-54C</v>
      </c>
      <c r="B2277" s="36" t="str">
        <f>IFERROR(__xludf.DUMMYFUNCTION("""COMPUTED_VALUE"""),"")</f>
        <v/>
      </c>
      <c r="C2277" s="36" t="str">
        <f>IFERROR(__xludf.DUMMYFUNCTION("""COMPUTED_VALUE"""),"")</f>
        <v/>
      </c>
      <c r="D2277" s="36" t="str">
        <f>IFERROR(__xludf.DUMMYFUNCTION("""COMPUTED_VALUE"""),"")</f>
        <v/>
      </c>
      <c r="E2277" s="36" t="str">
        <f>IFERROR(__xludf.DUMMYFUNCTION("""COMPUTED_VALUE"""),"02-37-06-9A")</f>
        <v>02-37-06-9A</v>
      </c>
      <c r="F2277" s="36"/>
      <c r="G2277" s="36" t="str">
        <f>IFERROR(__xludf.DUMMYFUNCTION("""COMPUTED_VALUE"""),"Punta de Rieles y Villicúm")</f>
        <v>Punta de Rieles y Villicúm</v>
      </c>
      <c r="H2277" s="36" t="str">
        <f>IFERROR(__xludf.DUMMYFUNCTION("""COMPUTED_VALUE"""),"")</f>
        <v/>
      </c>
    </row>
    <row r="2278">
      <c r="A2278" s="36" t="str">
        <f>IFERROR(__xludf.DUMMYFUNCTION("""COMPUTED_VALUE"""),"04-35-12-54D")</f>
        <v>04-35-12-54D</v>
      </c>
      <c r="B2278" s="36" t="str">
        <f>IFERROR(__xludf.DUMMYFUNCTION("""COMPUTED_VALUE"""),"")</f>
        <v/>
      </c>
      <c r="C2278" s="36" t="str">
        <f>IFERROR(__xludf.DUMMYFUNCTION("""COMPUTED_VALUE"""),"")</f>
        <v/>
      </c>
      <c r="D2278" s="36" t="str">
        <f>IFERROR(__xludf.DUMMYFUNCTION("""COMPUTED_VALUE"""),"")</f>
        <v/>
      </c>
      <c r="E2278" s="36" t="str">
        <f>IFERROR(__xludf.DUMMYFUNCTION("""COMPUTED_VALUE"""),"04-30-14-88")</f>
        <v>04-30-14-88</v>
      </c>
      <c r="F2278" s="36"/>
      <c r="G2278" s="36" t="str">
        <f>IFERROR(__xludf.DUMMYFUNCTION("""COMPUTED_VALUE"""),"Putaendo y Callejón 1 Este")</f>
        <v>Putaendo y Callejón 1 Este</v>
      </c>
      <c r="H2278" s="36" t="str">
        <f>IFERROR(__xludf.DUMMYFUNCTION("""COMPUTED_VALUE"""),"")</f>
        <v/>
      </c>
    </row>
    <row r="2279">
      <c r="A2279" s="36" t="str">
        <f>IFERROR(__xludf.DUMMYFUNCTION("""COMPUTED_VALUE"""),"04-35-12-54E")</f>
        <v>04-35-12-54E</v>
      </c>
      <c r="B2279" s="36" t="str">
        <f>IFERROR(__xludf.DUMMYFUNCTION("""COMPUTED_VALUE"""),"")</f>
        <v/>
      </c>
      <c r="C2279" s="36" t="str">
        <f>IFERROR(__xludf.DUMMYFUNCTION("""COMPUTED_VALUE"""),"")</f>
        <v/>
      </c>
      <c r="D2279" s="36" t="str">
        <f>IFERROR(__xludf.DUMMYFUNCTION("""COMPUTED_VALUE"""),"")</f>
        <v/>
      </c>
      <c r="E2279" s="36" t="str">
        <f>IFERROR(__xludf.DUMMYFUNCTION("""COMPUTED_VALUE"""),"04-22-14-87")</f>
        <v>04-22-14-87</v>
      </c>
      <c r="F2279" s="36"/>
      <c r="G2279" s="36" t="str">
        <f>IFERROR(__xludf.DUMMYFUNCTION("""COMPUTED_VALUE"""),"Putaendo y Callejón 1 Oeste")</f>
        <v>Putaendo y Callejón 1 Oeste</v>
      </c>
      <c r="H2279" s="36" t="str">
        <f>IFERROR(__xludf.DUMMYFUNCTION("""COMPUTED_VALUE"""),"")</f>
        <v/>
      </c>
    </row>
    <row r="2280">
      <c r="A2280" s="36" t="str">
        <f>IFERROR(__xludf.DUMMYFUNCTION("""COMPUTED_VALUE"""),"04-35-12-54F")</f>
        <v>04-35-12-54F</v>
      </c>
      <c r="B2280" s="36" t="str">
        <f>IFERROR(__xludf.DUMMYFUNCTION("""COMPUTED_VALUE"""),"")</f>
        <v/>
      </c>
      <c r="C2280" s="36" t="str">
        <f>IFERROR(__xludf.DUMMYFUNCTION("""COMPUTED_VALUE"""),"")</f>
        <v/>
      </c>
      <c r="D2280" s="36" t="str">
        <f>IFERROR(__xludf.DUMMYFUNCTION("""COMPUTED_VALUE"""),"")</f>
        <v/>
      </c>
      <c r="E2280" s="36" t="str">
        <f>IFERROR(__xludf.DUMMYFUNCTION("""COMPUTED_VALUE"""),"04-30-14-89A")</f>
        <v>04-30-14-89A</v>
      </c>
      <c r="F2280" s="36"/>
      <c r="G2280" s="36" t="str">
        <f>IFERROR(__xludf.DUMMYFUNCTION("""COMPUTED_VALUE"""),"Putaendo y Progreso Este")</f>
        <v>Putaendo y Progreso Este</v>
      </c>
      <c r="H2280" s="36" t="str">
        <f>IFERROR(__xludf.DUMMYFUNCTION("""COMPUTED_VALUE"""),"")</f>
        <v/>
      </c>
    </row>
    <row r="2281">
      <c r="A2281" s="36" t="str">
        <f>IFERROR(__xludf.DUMMYFUNCTION("""COMPUTED_VALUE"""),"04-35-12-54G")</f>
        <v>04-35-12-54G</v>
      </c>
      <c r="B2281" s="36" t="str">
        <f>IFERROR(__xludf.DUMMYFUNCTION("""COMPUTED_VALUE"""),"")</f>
        <v/>
      </c>
      <c r="C2281" s="36" t="str">
        <f>IFERROR(__xludf.DUMMYFUNCTION("""COMPUTED_VALUE"""),"")</f>
        <v/>
      </c>
      <c r="D2281" s="36" t="str">
        <f>IFERROR(__xludf.DUMMYFUNCTION("""COMPUTED_VALUE"""),"")</f>
        <v/>
      </c>
      <c r="E2281" s="36" t="str">
        <f>IFERROR(__xludf.DUMMYFUNCTION("""COMPUTED_VALUE"""),"04-30-14-89")</f>
        <v>04-30-14-89</v>
      </c>
      <c r="F2281" s="36"/>
      <c r="G2281" s="36" t="str">
        <f>IFERROR(__xludf.DUMMYFUNCTION("""COMPUTED_VALUE"""),"Putaendo y Progreso Oeste")</f>
        <v>Putaendo y Progreso Oeste</v>
      </c>
      <c r="H2281" s="36" t="str">
        <f>IFERROR(__xludf.DUMMYFUNCTION("""COMPUTED_VALUE"""),"")</f>
        <v/>
      </c>
    </row>
    <row r="2282">
      <c r="A2282" s="36" t="str">
        <f>IFERROR(__xludf.DUMMYFUNCTION("""COMPUTED_VALUE"""),"04-35-12-54H")</f>
        <v>04-35-12-54H</v>
      </c>
      <c r="B2282" s="36" t="str">
        <f>IFERROR(__xludf.DUMMYFUNCTION("""COMPUTED_VALUE"""),"")</f>
        <v/>
      </c>
      <c r="C2282" s="36" t="str">
        <f>IFERROR(__xludf.DUMMYFUNCTION("""COMPUTED_VALUE"""),"")</f>
        <v/>
      </c>
      <c r="D2282" s="36" t="str">
        <f>IFERROR(__xludf.DUMMYFUNCTION("""COMPUTED_VALUE"""),"")</f>
        <v/>
      </c>
      <c r="E2282" s="36" t="str">
        <f>IFERROR(__xludf.DUMMYFUNCTION("""COMPUTED_VALUE"""),"04-30-14-86")</f>
        <v>04-30-14-86</v>
      </c>
      <c r="F2282" s="36"/>
      <c r="G2282" s="36" t="str">
        <f>IFERROR(__xludf.DUMMYFUNCTION("""COMPUTED_VALUE"""),"Putaendo y Proyectada B° Luz y Fuerza 5 ")</f>
        <v>Putaendo y Proyectada B° Luz y Fuerza 5 </v>
      </c>
      <c r="H2282" s="36" t="str">
        <f>IFERROR(__xludf.DUMMYFUNCTION("""COMPUTED_VALUE"""),"")</f>
        <v/>
      </c>
    </row>
    <row r="2283">
      <c r="A2283" s="36" t="str">
        <f>IFERROR(__xludf.DUMMYFUNCTION("""COMPUTED_VALUE"""),"04-35-12-54I")</f>
        <v>04-35-12-54I</v>
      </c>
      <c r="B2283" s="36" t="str">
        <f>IFERROR(__xludf.DUMMYFUNCTION("""COMPUTED_VALUE"""),"")</f>
        <v/>
      </c>
      <c r="C2283" s="36" t="str">
        <f>IFERROR(__xludf.DUMMYFUNCTION("""COMPUTED_VALUE"""),"")</f>
        <v/>
      </c>
      <c r="D2283" s="36" t="str">
        <f>IFERROR(__xludf.DUMMYFUNCTION("""COMPUTED_VALUE"""),"")</f>
        <v/>
      </c>
      <c r="E2283" s="36" t="str">
        <f>IFERROR(__xludf.DUMMYFUNCTION("""COMPUTED_VALUE"""),"04-46-13-100")</f>
        <v>04-46-13-100</v>
      </c>
      <c r="F2283" s="36"/>
      <c r="G2283" s="36" t="str">
        <f>IFERROR(__xludf.DUMMYFUNCTION("""COMPUTED_VALUE"""),"Quiroga y Gdor. Rojas")</f>
        <v>Quiroga y Gdor. Rojas</v>
      </c>
      <c r="H2283" s="36" t="str">
        <f>IFERROR(__xludf.DUMMYFUNCTION("""COMPUTED_VALUE"""),"")</f>
        <v/>
      </c>
    </row>
    <row r="2284">
      <c r="A2284" s="36" t="str">
        <f>IFERROR(__xludf.DUMMYFUNCTION("""COMPUTED_VALUE"""),"04-35-12-55")</f>
        <v>04-35-12-55</v>
      </c>
      <c r="B2284" s="36" t="str">
        <f>IFERROR(__xludf.DUMMYFUNCTION("""COMPUTED_VALUE"""),"")</f>
        <v/>
      </c>
      <c r="C2284" s="36" t="str">
        <f>IFERROR(__xludf.DUMMYFUNCTION("""COMPUTED_VALUE"""),"")</f>
        <v/>
      </c>
      <c r="D2284" s="36" t="str">
        <f>IFERROR(__xludf.DUMMYFUNCTION("""COMPUTED_VALUE"""),"")</f>
        <v/>
      </c>
      <c r="E2284" s="36" t="str">
        <f>IFERROR(__xludf.DUMMYFUNCTION("""COMPUTED_VALUE"""),"04-46-13-79")</f>
        <v>04-46-13-79</v>
      </c>
      <c r="F2284" s="36"/>
      <c r="G2284" s="36" t="str">
        <f>IFERROR(__xludf.DUMMYFUNCTION("""COMPUTED_VALUE"""),"Quiroga y Gral. Godoy")</f>
        <v>Quiroga y Gral. Godoy</v>
      </c>
      <c r="H2284" s="36" t="str">
        <f>IFERROR(__xludf.DUMMYFUNCTION("""COMPUTED_VALUE"""),"")</f>
        <v/>
      </c>
    </row>
    <row r="2285">
      <c r="A2285" s="36" t="str">
        <f>IFERROR(__xludf.DUMMYFUNCTION("""COMPUTED_VALUE"""),"04-35-12-56")</f>
        <v>04-35-12-56</v>
      </c>
      <c r="B2285" s="36" t="str">
        <f>IFERROR(__xludf.DUMMYFUNCTION("""COMPUTED_VALUE"""),"")</f>
        <v/>
      </c>
      <c r="C2285" s="36" t="str">
        <f>IFERROR(__xludf.DUMMYFUNCTION("""COMPUTED_VALUE"""),"")</f>
        <v/>
      </c>
      <c r="D2285" s="36" t="str">
        <f>IFERROR(__xludf.DUMMYFUNCTION("""COMPUTED_VALUE"""),"")</f>
        <v/>
      </c>
      <c r="E2285" s="36" t="str">
        <f>IFERROR(__xludf.DUMMYFUNCTION("""COMPUTED_VALUE"""),"04-46-13-101")</f>
        <v>04-46-13-101</v>
      </c>
      <c r="F2285" s="36"/>
      <c r="G2285" s="36" t="str">
        <f>IFERROR(__xludf.DUMMYFUNCTION("""COMPUTED_VALUE"""),"Quiroga y Mendoza")</f>
        <v>Quiroga y Mendoza</v>
      </c>
      <c r="H2285" s="36" t="str">
        <f>IFERROR(__xludf.DUMMYFUNCTION("""COMPUTED_VALUE"""),"")</f>
        <v/>
      </c>
    </row>
    <row r="2286">
      <c r="A2286" s="36" t="str">
        <f>IFERROR(__xludf.DUMMYFUNCTION("""COMPUTED_VALUE"""),"04-35-12-57")</f>
        <v>04-35-12-57</v>
      </c>
      <c r="B2286" s="36" t="str">
        <f>IFERROR(__xludf.DUMMYFUNCTION("""COMPUTED_VALUE"""),"")</f>
        <v/>
      </c>
      <c r="C2286" s="36" t="str">
        <f>IFERROR(__xludf.DUMMYFUNCTION("""COMPUTED_VALUE"""),"")</f>
        <v/>
      </c>
      <c r="D2286" s="36" t="str">
        <f>IFERROR(__xludf.DUMMYFUNCTION("""COMPUTED_VALUE"""),"")</f>
        <v/>
      </c>
      <c r="E2286" s="36" t="str">
        <f>IFERROR(__xludf.DUMMYFUNCTION("""COMPUTED_VALUE"""),"04-46-13-99")</f>
        <v>04-46-13-99</v>
      </c>
      <c r="F2286" s="36"/>
      <c r="G2286" s="36" t="str">
        <f>IFERROR(__xludf.DUMMYFUNCTION("""COMPUTED_VALUE"""),"Quiroga y Pasaje Argentino")</f>
        <v>Quiroga y Pasaje Argentino</v>
      </c>
      <c r="H2286" s="36" t="str">
        <f>IFERROR(__xludf.DUMMYFUNCTION("""COMPUTED_VALUE"""),"")</f>
        <v/>
      </c>
    </row>
    <row r="2287">
      <c r="A2287" s="36" t="str">
        <f>IFERROR(__xludf.DUMMYFUNCTION("""COMPUTED_VALUE"""),"04-35-12-59")</f>
        <v>04-35-12-59</v>
      </c>
      <c r="B2287" s="36" t="str">
        <f>IFERROR(__xludf.DUMMYFUNCTION("""COMPUTED_VALUE"""),"")</f>
        <v/>
      </c>
      <c r="C2287" s="36" t="str">
        <f>IFERROR(__xludf.DUMMYFUNCTION("""COMPUTED_VALUE"""),"")</f>
        <v/>
      </c>
      <c r="D2287" s="36" t="str">
        <f>IFERROR(__xludf.DUMMYFUNCTION("""COMPUTED_VALUE"""),"")</f>
        <v/>
      </c>
      <c r="E2287" s="36" t="str">
        <f>IFERROR(__xludf.DUMMYFUNCTION("""COMPUTED_VALUE"""),"04-46-13-80")</f>
        <v>04-46-13-80</v>
      </c>
      <c r="F2287" s="36"/>
      <c r="G2287" s="36" t="str">
        <f>IFERROR(__xludf.DUMMYFUNCTION("""COMPUTED_VALUE"""),"Quiroga y Santa Rosa")</f>
        <v>Quiroga y Santa Rosa</v>
      </c>
      <c r="H2287" s="36" t="str">
        <f>IFERROR(__xludf.DUMMYFUNCTION("""COMPUTED_VALUE"""),"")</f>
        <v/>
      </c>
    </row>
    <row r="2288">
      <c r="A2288" s="36" t="str">
        <f>IFERROR(__xludf.DUMMYFUNCTION("""COMPUTED_VALUE"""),"04-35-12-6")</f>
        <v>04-35-12-6</v>
      </c>
      <c r="B2288" s="36" t="str">
        <f>IFERROR(__xludf.DUMMYFUNCTION("""COMPUTED_VALUE"""),"")</f>
        <v/>
      </c>
      <c r="C2288" s="36" t="str">
        <f>IFERROR(__xludf.DUMMYFUNCTION("""COMPUTED_VALUE"""),"")</f>
        <v/>
      </c>
      <c r="D2288" s="36" t="str">
        <f>IFERROR(__xludf.DUMMYFUNCTION("""COMPUTED_VALUE"""),"")</f>
        <v/>
      </c>
      <c r="E2288" s="36" t="str">
        <f>IFERROR(__xludf.DUMMYFUNCTION("""COMPUTED_VALUE"""),"01-54-14-7")</f>
        <v>01-54-14-7</v>
      </c>
      <c r="F2288" s="36"/>
      <c r="G2288" s="36" t="str">
        <f>IFERROR(__xludf.DUMMYFUNCTION("""COMPUTED_VALUE"""),"R. de Escalada Curva -N")</f>
        <v>R. de Escalada Curva -N</v>
      </c>
      <c r="H2288" s="36" t="str">
        <f>IFERROR(__xludf.DUMMYFUNCTION("""COMPUTED_VALUE"""),"")</f>
        <v/>
      </c>
    </row>
    <row r="2289">
      <c r="A2289" s="36" t="str">
        <f>IFERROR(__xludf.DUMMYFUNCTION("""COMPUTED_VALUE"""),"04-35-12-61")</f>
        <v>04-35-12-61</v>
      </c>
      <c r="B2289" s="36" t="str">
        <f>IFERROR(__xludf.DUMMYFUNCTION("""COMPUTED_VALUE"""),"")</f>
        <v/>
      </c>
      <c r="C2289" s="36" t="str">
        <f>IFERROR(__xludf.DUMMYFUNCTION("""COMPUTED_VALUE"""),"")</f>
        <v/>
      </c>
      <c r="D2289" s="36" t="str">
        <f>IFERROR(__xludf.DUMMYFUNCTION("""COMPUTED_VALUE"""),"")</f>
        <v/>
      </c>
      <c r="E2289" s="36" t="str">
        <f>IFERROR(__xludf.DUMMYFUNCTION("""COMPUTED_VALUE"""),"01-54-14-8")</f>
        <v>01-54-14-8</v>
      </c>
      <c r="F2289" s="36"/>
      <c r="G2289" s="36" t="str">
        <f>IFERROR(__xludf.DUMMYFUNCTION("""COMPUTED_VALUE"""),"R. de Escalada Curva -S")</f>
        <v>R. de Escalada Curva -S</v>
      </c>
      <c r="H2289" s="36" t="str">
        <f>IFERROR(__xludf.DUMMYFUNCTION("""COMPUTED_VALUE"""),"")</f>
        <v/>
      </c>
    </row>
    <row r="2290">
      <c r="A2290" s="36" t="str">
        <f>IFERROR(__xludf.DUMMYFUNCTION("""COMPUTED_VALUE"""),"04-35-12-61A")</f>
        <v>04-35-12-61A</v>
      </c>
      <c r="B2290" s="36" t="str">
        <f>IFERROR(__xludf.DUMMYFUNCTION("""COMPUTED_VALUE"""),"")</f>
        <v/>
      </c>
      <c r="C2290" s="36" t="str">
        <f>IFERROR(__xludf.DUMMYFUNCTION("""COMPUTED_VALUE"""),"")</f>
        <v/>
      </c>
      <c r="D2290" s="36" t="str">
        <f>IFERROR(__xludf.DUMMYFUNCTION("""COMPUTED_VALUE"""),"")</f>
        <v/>
      </c>
      <c r="E2290" s="36" t="str">
        <f>IFERROR(__xludf.DUMMYFUNCTION("""COMPUTED_VALUE"""),"01-54-14-9")</f>
        <v>01-54-14-9</v>
      </c>
      <c r="F2290" s="36"/>
      <c r="G2290" s="36" t="str">
        <f>IFERROR(__xludf.DUMMYFUNCTION("""COMPUTED_VALUE"""),"R. de Escalada y Pueyrredón -N")</f>
        <v>R. de Escalada y Pueyrredón -N</v>
      </c>
      <c r="H2290" s="36" t="str">
        <f>IFERROR(__xludf.DUMMYFUNCTION("""COMPUTED_VALUE"""),"")</f>
        <v/>
      </c>
    </row>
    <row r="2291">
      <c r="A2291" s="36" t="str">
        <f>IFERROR(__xludf.DUMMYFUNCTION("""COMPUTED_VALUE"""),"04-35-12-62")</f>
        <v>04-35-12-62</v>
      </c>
      <c r="B2291" s="36" t="str">
        <f>IFERROR(__xludf.DUMMYFUNCTION("""COMPUTED_VALUE"""),"")</f>
        <v/>
      </c>
      <c r="C2291" s="36" t="str">
        <f>IFERROR(__xludf.DUMMYFUNCTION("""COMPUTED_VALUE"""),"")</f>
        <v/>
      </c>
      <c r="D2291" s="36" t="str">
        <f>IFERROR(__xludf.DUMMYFUNCTION("""COMPUTED_VALUE"""),"")</f>
        <v/>
      </c>
      <c r="E2291" s="36" t="str">
        <f>IFERROR(__xludf.DUMMYFUNCTION("""COMPUTED_VALUE"""),"01-54-14-10")</f>
        <v>01-54-14-10</v>
      </c>
      <c r="F2291" s="36"/>
      <c r="G2291" s="36" t="str">
        <f>IFERROR(__xludf.DUMMYFUNCTION("""COMPUTED_VALUE"""),"R. de Escalada y Pueyrredón -S")</f>
        <v>R. de Escalada y Pueyrredón -S</v>
      </c>
      <c r="H2291" s="36" t="str">
        <f>IFERROR(__xludf.DUMMYFUNCTION("""COMPUTED_VALUE"""),"")</f>
        <v/>
      </c>
    </row>
    <row r="2292">
      <c r="A2292" s="36" t="str">
        <f>IFERROR(__xludf.DUMMYFUNCTION("""COMPUTED_VALUE"""),"04-35-12-62A")</f>
        <v>04-35-12-62A</v>
      </c>
      <c r="B2292" s="36" t="str">
        <f>IFERROR(__xludf.DUMMYFUNCTION("""COMPUTED_VALUE"""),"")</f>
        <v/>
      </c>
      <c r="C2292" s="36" t="str">
        <f>IFERROR(__xludf.DUMMYFUNCTION("""COMPUTED_VALUE"""),"")</f>
        <v/>
      </c>
      <c r="D2292" s="36" t="str">
        <f>IFERROR(__xludf.DUMMYFUNCTION("""COMPUTED_VALUE"""),"")</f>
        <v/>
      </c>
      <c r="E2292" s="36" t="str">
        <f>IFERROR(__xludf.DUMMYFUNCTION("""COMPUTED_VALUE"""),"04-22-13-223")</f>
        <v>04-22-13-223</v>
      </c>
      <c r="F2292" s="36"/>
      <c r="G2292" s="36" t="str">
        <f>IFERROR(__xludf.DUMMYFUNCTION("""COMPUTED_VALUE"""),"R. N. N°40 y Abraham Tapia -E")</f>
        <v>R. N. N°40 y Abraham Tapia -E</v>
      </c>
      <c r="H2292" s="36" t="str">
        <f>IFERROR(__xludf.DUMMYFUNCTION("""COMPUTED_VALUE"""),"")</f>
        <v/>
      </c>
    </row>
    <row r="2293">
      <c r="A2293" s="36" t="str">
        <f>IFERROR(__xludf.DUMMYFUNCTION("""COMPUTED_VALUE"""),"04-35-12-64")</f>
        <v>04-35-12-64</v>
      </c>
      <c r="B2293" s="36" t="str">
        <f>IFERROR(__xludf.DUMMYFUNCTION("""COMPUTED_VALUE"""),"")</f>
        <v/>
      </c>
      <c r="C2293" s="36" t="str">
        <f>IFERROR(__xludf.DUMMYFUNCTION("""COMPUTED_VALUE"""),"")</f>
        <v/>
      </c>
      <c r="D2293" s="36" t="str">
        <f>IFERROR(__xludf.DUMMYFUNCTION("""COMPUTED_VALUE"""),"")</f>
        <v/>
      </c>
      <c r="E2293" s="36" t="str">
        <f>IFERROR(__xludf.DUMMYFUNCTION("""COMPUTED_VALUE"""),"04-22-13-223")</f>
        <v>04-22-13-223</v>
      </c>
      <c r="F2293" s="36"/>
      <c r="G2293" s="36" t="str">
        <f>IFERROR(__xludf.DUMMYFUNCTION("""COMPUTED_VALUE"""),"R. N. N°40 y Abraham Tapia E")</f>
        <v>R. N. N°40 y Abraham Tapia E</v>
      </c>
      <c r="H2293" s="36" t="str">
        <f>IFERROR(__xludf.DUMMYFUNCTION("""COMPUTED_VALUE"""),"")</f>
        <v/>
      </c>
    </row>
    <row r="2294">
      <c r="A2294" s="36" t="str">
        <f>IFERROR(__xludf.DUMMYFUNCTION("""COMPUTED_VALUE"""),"04-35-12-64A")</f>
        <v>04-35-12-64A</v>
      </c>
      <c r="B2294" s="36" t="str">
        <f>IFERROR(__xludf.DUMMYFUNCTION("""COMPUTED_VALUE"""),"")</f>
        <v/>
      </c>
      <c r="C2294" s="36" t="str">
        <f>IFERROR(__xludf.DUMMYFUNCTION("""COMPUTED_VALUE"""),"")</f>
        <v/>
      </c>
      <c r="D2294" s="36" t="str">
        <f>IFERROR(__xludf.DUMMYFUNCTION("""COMPUTED_VALUE"""),"")</f>
        <v/>
      </c>
      <c r="E2294" s="36" t="str">
        <f>IFERROR(__xludf.DUMMYFUNCTION("""COMPUTED_VALUE"""),"04-22-13-220")</f>
        <v>04-22-13-220</v>
      </c>
      <c r="F2294" s="36"/>
      <c r="G2294" s="36" t="str">
        <f>IFERROR(__xludf.DUMMYFUNCTION("""COMPUTED_VALUE"""),"R. N. N°40 y Cano -E")</f>
        <v>R. N. N°40 y Cano -E</v>
      </c>
      <c r="H2294" s="36" t="str">
        <f>IFERROR(__xludf.DUMMYFUNCTION("""COMPUTED_VALUE"""),"NOMBRE")</f>
        <v>NOMBRE</v>
      </c>
    </row>
    <row r="2295">
      <c r="A2295" s="36" t="str">
        <f>IFERROR(__xludf.DUMMYFUNCTION("""COMPUTED_VALUE"""),"04-35-12-65")</f>
        <v>04-35-12-65</v>
      </c>
      <c r="B2295" s="36" t="str">
        <f>IFERROR(__xludf.DUMMYFUNCTION("""COMPUTED_VALUE"""),"")</f>
        <v/>
      </c>
      <c r="C2295" s="36" t="str">
        <f>IFERROR(__xludf.DUMMYFUNCTION("""COMPUTED_VALUE"""),"")</f>
        <v/>
      </c>
      <c r="D2295" s="36" t="str">
        <f>IFERROR(__xludf.DUMMYFUNCTION("""COMPUTED_VALUE"""),"")</f>
        <v/>
      </c>
      <c r="E2295" s="36" t="str">
        <f>IFERROR(__xludf.DUMMYFUNCTION("""COMPUTED_VALUE"""),"04-22-13-220")</f>
        <v>04-22-13-220</v>
      </c>
      <c r="F2295" s="36"/>
      <c r="G2295" s="36" t="str">
        <f>IFERROR(__xludf.DUMMYFUNCTION("""COMPUTED_VALUE"""),"R. N. N°40 y Cano -E")</f>
        <v>R. N. N°40 y Cano -E</v>
      </c>
      <c r="H2295" s="36" t="str">
        <f>IFERROR(__xludf.DUMMYFUNCTION("""COMPUTED_VALUE"""),"")</f>
        <v/>
      </c>
    </row>
    <row r="2296">
      <c r="A2296" s="36" t="str">
        <f>IFERROR(__xludf.DUMMYFUNCTION("""COMPUTED_VALUE"""),"04-35-12-66")</f>
        <v>04-35-12-66</v>
      </c>
      <c r="B2296" s="36" t="str">
        <f>IFERROR(__xludf.DUMMYFUNCTION("""COMPUTED_VALUE"""),"")</f>
        <v/>
      </c>
      <c r="C2296" s="36" t="str">
        <f>IFERROR(__xludf.DUMMYFUNCTION("""COMPUTED_VALUE"""),"")</f>
        <v/>
      </c>
      <c r="D2296" s="36" t="str">
        <f>IFERROR(__xludf.DUMMYFUNCTION("""COMPUTED_VALUE"""),"")</f>
        <v/>
      </c>
      <c r="E2296" s="36" t="str">
        <f>IFERROR(__xludf.DUMMYFUNCTION("""COMPUTED_VALUE"""),"04-22-13-221")</f>
        <v>04-22-13-221</v>
      </c>
      <c r="F2296" s="36"/>
      <c r="G2296" s="36" t="str">
        <f>IFERROR(__xludf.DUMMYFUNCTION("""COMPUTED_VALUE"""),"R. N. N°40 y Cano -O")</f>
        <v>R. N. N°40 y Cano -O</v>
      </c>
      <c r="H2296" s="36" t="str">
        <f>IFERROR(__xludf.DUMMYFUNCTION("""COMPUTED_VALUE"""),"")</f>
        <v/>
      </c>
    </row>
    <row r="2297">
      <c r="A2297" s="36" t="str">
        <f>IFERROR(__xludf.DUMMYFUNCTION("""COMPUTED_VALUE"""),"04-35-12-68")</f>
        <v>04-35-12-68</v>
      </c>
      <c r="B2297" s="36" t="str">
        <f>IFERROR(__xludf.DUMMYFUNCTION("""COMPUTED_VALUE"""),"")</f>
        <v/>
      </c>
      <c r="C2297" s="36" t="str">
        <f>IFERROR(__xludf.DUMMYFUNCTION("""COMPUTED_VALUE"""),"")</f>
        <v/>
      </c>
      <c r="D2297" s="36" t="str">
        <f>IFERROR(__xludf.DUMMYFUNCTION("""COMPUTED_VALUE"""),"")</f>
        <v/>
      </c>
      <c r="E2297" s="36" t="str">
        <f>IFERROR(__xludf.DUMMYFUNCTION("""COMPUTED_VALUE"""),"04-22-13-221")</f>
        <v>04-22-13-221</v>
      </c>
      <c r="F2297" s="36"/>
      <c r="G2297" s="36" t="str">
        <f>IFERROR(__xludf.DUMMYFUNCTION("""COMPUTED_VALUE"""),"R. N. N°40 y Cano O")</f>
        <v>R. N. N°40 y Cano O</v>
      </c>
      <c r="H2297" s="36" t="str">
        <f>IFERROR(__xludf.DUMMYFUNCTION("""COMPUTED_VALUE"""),"")</f>
        <v/>
      </c>
    </row>
    <row r="2298">
      <c r="A2298" s="36" t="str">
        <f>IFERROR(__xludf.DUMMYFUNCTION("""COMPUTED_VALUE"""),"04-35-12-70")</f>
        <v>04-35-12-70</v>
      </c>
      <c r="B2298" s="36" t="str">
        <f>IFERROR(__xludf.DUMMYFUNCTION("""COMPUTED_VALUE"""),"")</f>
        <v/>
      </c>
      <c r="C2298" s="36" t="str">
        <f>IFERROR(__xludf.DUMMYFUNCTION("""COMPUTED_VALUE"""),"")</f>
        <v/>
      </c>
      <c r="D2298" s="36" t="str">
        <f>IFERROR(__xludf.DUMMYFUNCTION("""COMPUTED_VALUE"""),"")</f>
        <v/>
      </c>
      <c r="E2298" s="36" t="str">
        <f>IFERROR(__xludf.DUMMYFUNCTION("""COMPUTED_VALUE"""),"04-47-13-471")</f>
        <v>04-47-13-471</v>
      </c>
      <c r="F2298" s="36"/>
      <c r="G2298" s="36" t="str">
        <f>IFERROR(__xludf.DUMMYFUNCTION("""COMPUTED_VALUE"""),"R. N. N°40 y Chacabuco -E")</f>
        <v>R. N. N°40 y Chacabuco -E</v>
      </c>
      <c r="H2298" s="36" t="str">
        <f>IFERROR(__xludf.DUMMYFUNCTION("""COMPUTED_VALUE"""),"")</f>
        <v/>
      </c>
    </row>
    <row r="2299">
      <c r="A2299" s="36" t="str">
        <f>IFERROR(__xludf.DUMMYFUNCTION("""COMPUTED_VALUE"""),"04-35-12-74")</f>
        <v>04-35-12-74</v>
      </c>
      <c r="B2299" s="36" t="str">
        <f>IFERROR(__xludf.DUMMYFUNCTION("""COMPUTED_VALUE"""),"")</f>
        <v/>
      </c>
      <c r="C2299" s="36" t="str">
        <f>IFERROR(__xludf.DUMMYFUNCTION("""COMPUTED_VALUE"""),"")</f>
        <v/>
      </c>
      <c r="D2299" s="36" t="str">
        <f>IFERROR(__xludf.DUMMYFUNCTION("""COMPUTED_VALUE"""),"")</f>
        <v/>
      </c>
      <c r="E2299" s="36" t="str">
        <f>IFERROR(__xludf.DUMMYFUNCTION("""COMPUTED_VALUE"""),"04-47-13-470")</f>
        <v>04-47-13-470</v>
      </c>
      <c r="F2299" s="36"/>
      <c r="G2299" s="36" t="str">
        <f>IFERROR(__xludf.DUMMYFUNCTION("""COMPUTED_VALUE"""),"R. N. N°40 y Chacabuco -O")</f>
        <v>R. N. N°40 y Chacabuco -O</v>
      </c>
      <c r="H2299" s="36" t="str">
        <f>IFERROR(__xludf.DUMMYFUNCTION("""COMPUTED_VALUE"""),"")</f>
        <v/>
      </c>
    </row>
    <row r="2300">
      <c r="A2300" s="36" t="str">
        <f>IFERROR(__xludf.DUMMYFUNCTION("""COMPUTED_VALUE"""),"04-35-12-76")</f>
        <v>04-35-12-76</v>
      </c>
      <c r="B2300" s="36" t="str">
        <f>IFERROR(__xludf.DUMMYFUNCTION("""COMPUTED_VALUE"""),"")</f>
        <v/>
      </c>
      <c r="C2300" s="36" t="str">
        <f>IFERROR(__xludf.DUMMYFUNCTION("""COMPUTED_VALUE"""),"")</f>
        <v/>
      </c>
      <c r="D2300" s="36" t="str">
        <f>IFERROR(__xludf.DUMMYFUNCTION("""COMPUTED_VALUE"""),"")</f>
        <v/>
      </c>
      <c r="E2300" s="36" t="str">
        <f>IFERROR(__xludf.DUMMYFUNCTION("""COMPUTED_VALUE"""),"04-32-13-464")</f>
        <v>04-32-13-464</v>
      </c>
      <c r="F2300" s="36"/>
      <c r="G2300" s="36" t="str">
        <f>IFERROR(__xludf.DUMMYFUNCTION("""COMPUTED_VALUE"""),"R. N. N°40 y Gral. Acha -E")</f>
        <v>R. N. N°40 y Gral. Acha -E</v>
      </c>
      <c r="H2300" s="36" t="str">
        <f>IFERROR(__xludf.DUMMYFUNCTION("""COMPUTED_VALUE"""),"")</f>
        <v/>
      </c>
    </row>
    <row r="2301">
      <c r="A2301" s="36" t="str">
        <f>IFERROR(__xludf.DUMMYFUNCTION("""COMPUTED_VALUE"""),"04-35-12-78")</f>
        <v>04-35-12-78</v>
      </c>
      <c r="B2301" s="36" t="str">
        <f>IFERROR(__xludf.DUMMYFUNCTION("""COMPUTED_VALUE"""),"")</f>
        <v/>
      </c>
      <c r="C2301" s="36" t="str">
        <f>IFERROR(__xludf.DUMMYFUNCTION("""COMPUTED_VALUE"""),"")</f>
        <v/>
      </c>
      <c r="D2301" s="36" t="str">
        <f>IFERROR(__xludf.DUMMYFUNCTION("""COMPUTED_VALUE"""),"")</f>
        <v/>
      </c>
      <c r="E2301" s="36" t="str">
        <f>IFERROR(__xludf.DUMMYFUNCTION("""COMPUTED_VALUE"""),"04-22-13-461")</f>
        <v>04-22-13-461</v>
      </c>
      <c r="F2301" s="36"/>
      <c r="G2301" s="36" t="str">
        <f>IFERROR(__xludf.DUMMYFUNCTION("""COMPUTED_VALUE"""),"R. N. N°40 y José Dolores")</f>
        <v>R. N. N°40 y José Dolores</v>
      </c>
      <c r="H2301" s="36" t="str">
        <f>IFERROR(__xludf.DUMMYFUNCTION("""COMPUTED_VALUE"""),"")</f>
        <v/>
      </c>
    </row>
    <row r="2302">
      <c r="A2302" s="36" t="str">
        <f>IFERROR(__xludf.DUMMYFUNCTION("""COMPUTED_VALUE"""),"04-35-12-79")</f>
        <v>04-35-12-79</v>
      </c>
      <c r="B2302" s="36" t="str">
        <f>IFERROR(__xludf.DUMMYFUNCTION("""COMPUTED_VALUE"""),"")</f>
        <v/>
      </c>
      <c r="C2302" s="36" t="str">
        <f>IFERROR(__xludf.DUMMYFUNCTION("""COMPUTED_VALUE"""),"")</f>
        <v/>
      </c>
      <c r="D2302" s="36" t="str">
        <f>IFERROR(__xludf.DUMMYFUNCTION("""COMPUTED_VALUE"""),"")</f>
        <v/>
      </c>
      <c r="E2302" s="36" t="str">
        <f>IFERROR(__xludf.DUMMYFUNCTION("""COMPUTED_VALUE"""),"04-32-13-463")</f>
        <v>04-32-13-463</v>
      </c>
      <c r="F2302" s="36"/>
      <c r="G2302" s="36" t="str">
        <f>IFERROR(__xludf.DUMMYFUNCTION("""COMPUTED_VALUE"""),"R. N. N°40 y Jujuy")</f>
        <v>R. N. N°40 y Jujuy</v>
      </c>
      <c r="H2302" s="36" t="str">
        <f>IFERROR(__xludf.DUMMYFUNCTION("""COMPUTED_VALUE"""),"")</f>
        <v/>
      </c>
    </row>
    <row r="2303">
      <c r="A2303" s="36" t="str">
        <f>IFERROR(__xludf.DUMMYFUNCTION("""COMPUTED_VALUE"""),"04-36-12-58")</f>
        <v>04-36-12-58</v>
      </c>
      <c r="B2303" s="36" t="str">
        <f>IFERROR(__xludf.DUMMYFUNCTION("""COMPUTED_VALUE"""),"")</f>
        <v/>
      </c>
      <c r="C2303" s="36" t="str">
        <f>IFERROR(__xludf.DUMMYFUNCTION("""COMPUTED_VALUE"""),"")</f>
        <v/>
      </c>
      <c r="D2303" s="36" t="str">
        <f>IFERROR(__xludf.DUMMYFUNCTION("""COMPUTED_VALUE"""),"")</f>
        <v/>
      </c>
      <c r="E2303" s="36" t="str">
        <f>IFERROR(__xludf.DUMMYFUNCTION("""COMPUTED_VALUE"""),"04-22-13-462")</f>
        <v>04-22-13-462</v>
      </c>
      <c r="F2303" s="36"/>
      <c r="G2303" s="36" t="str">
        <f>IFERROR(__xludf.DUMMYFUNCTION("""COMPUTED_VALUE"""),"R. N. N°40 y La Troja")</f>
        <v>R. N. N°40 y La Troja</v>
      </c>
      <c r="H2303" s="36" t="str">
        <f>IFERROR(__xludf.DUMMYFUNCTION("""COMPUTED_VALUE"""),"")</f>
        <v/>
      </c>
    </row>
    <row r="2304">
      <c r="A2304" s="36" t="str">
        <f>IFERROR(__xludf.DUMMYFUNCTION("""COMPUTED_VALUE"""),"04-36-12-60")</f>
        <v>04-36-12-60</v>
      </c>
      <c r="B2304" s="36" t="str">
        <f>IFERROR(__xludf.DUMMYFUNCTION("""COMPUTED_VALUE"""),"")</f>
        <v/>
      </c>
      <c r="C2304" s="36" t="str">
        <f>IFERROR(__xludf.DUMMYFUNCTION("""COMPUTED_VALUE"""),"")</f>
        <v/>
      </c>
      <c r="D2304" s="36" t="str">
        <f>IFERROR(__xludf.DUMMYFUNCTION("""COMPUTED_VALUE"""),"")</f>
        <v/>
      </c>
      <c r="E2304" s="36" t="str">
        <f>IFERROR(__xludf.DUMMYFUNCTION("""COMPUTED_VALUE"""),"04-22-13-460")</f>
        <v>04-22-13-460</v>
      </c>
      <c r="F2304" s="36"/>
      <c r="G2304" s="36" t="str">
        <f>IFERROR(__xludf.DUMMYFUNCTION("""COMPUTED_VALUE"""),"R. N. N°40 y Lavalle")</f>
        <v>R. N. N°40 y Lavalle</v>
      </c>
      <c r="H2304" s="36" t="str">
        <f>IFERROR(__xludf.DUMMYFUNCTION("""COMPUTED_VALUE"""),"NOMBRE")</f>
        <v>NOMBRE</v>
      </c>
    </row>
    <row r="2305">
      <c r="A2305" s="36" t="str">
        <f>IFERROR(__xludf.DUMMYFUNCTION("""COMPUTED_VALUE"""),"04-36-12-63")</f>
        <v>04-36-12-63</v>
      </c>
      <c r="B2305" s="36" t="str">
        <f>IFERROR(__xludf.DUMMYFUNCTION("""COMPUTED_VALUE"""),"")</f>
        <v/>
      </c>
      <c r="C2305" s="36" t="str">
        <f>IFERROR(__xludf.DUMMYFUNCTION("""COMPUTED_VALUE"""),"")</f>
        <v/>
      </c>
      <c r="D2305" s="36" t="str">
        <f>IFERROR(__xludf.DUMMYFUNCTION("""COMPUTED_VALUE"""),"")</f>
        <v/>
      </c>
      <c r="E2305" s="36" t="str">
        <f>IFERROR(__xludf.DUMMYFUNCTION("""COMPUTED_VALUE"""),"04-22-13-460")</f>
        <v>04-22-13-460</v>
      </c>
      <c r="F2305" s="36"/>
      <c r="G2305" s="36" t="str">
        <f>IFERROR(__xludf.DUMMYFUNCTION("""COMPUTED_VALUE"""),"R. N. N°40 y Lavalle")</f>
        <v>R. N. N°40 y Lavalle</v>
      </c>
      <c r="H2305" s="36" t="str">
        <f>IFERROR(__xludf.DUMMYFUNCTION("""COMPUTED_VALUE"""),"")</f>
        <v/>
      </c>
    </row>
    <row r="2306">
      <c r="A2306" s="36" t="str">
        <f>IFERROR(__xludf.DUMMYFUNCTION("""COMPUTED_VALUE"""),"04-36-12-63A")</f>
        <v>04-36-12-63A</v>
      </c>
      <c r="B2306" s="36" t="str">
        <f>IFERROR(__xludf.DUMMYFUNCTION("""COMPUTED_VALUE"""),"")</f>
        <v/>
      </c>
      <c r="C2306" s="36" t="str">
        <f>IFERROR(__xludf.DUMMYFUNCTION("""COMPUTED_VALUE"""),"")</f>
        <v/>
      </c>
      <c r="D2306" s="36" t="str">
        <f>IFERROR(__xludf.DUMMYFUNCTION("""COMPUTED_VALUE"""),"")</f>
        <v/>
      </c>
      <c r="E2306" s="36" t="str">
        <f>IFERROR(__xludf.DUMMYFUNCTION("""COMPUTED_VALUE"""),"04-22-13-222")</f>
        <v>04-22-13-222</v>
      </c>
      <c r="F2306" s="36"/>
      <c r="G2306" s="36" t="str">
        <f>IFERROR(__xludf.DUMMYFUNCTION("""COMPUTED_VALUE"""),"R. N. N°40 y Paraguay")</f>
        <v>R. N. N°40 y Paraguay</v>
      </c>
      <c r="H2306" s="36" t="str">
        <f>IFERROR(__xludf.DUMMYFUNCTION("""COMPUTED_VALUE"""),"NOMBRE")</f>
        <v>NOMBRE</v>
      </c>
    </row>
    <row r="2307">
      <c r="A2307" s="36" t="str">
        <f>IFERROR(__xludf.DUMMYFUNCTION("""COMPUTED_VALUE"""),"04-36-12-67")</f>
        <v>04-36-12-67</v>
      </c>
      <c r="B2307" s="36" t="str">
        <f>IFERROR(__xludf.DUMMYFUNCTION("""COMPUTED_VALUE"""),"")</f>
        <v/>
      </c>
      <c r="C2307" s="36" t="str">
        <f>IFERROR(__xludf.DUMMYFUNCTION("""COMPUTED_VALUE"""),"")</f>
        <v/>
      </c>
      <c r="D2307" s="36" t="str">
        <f>IFERROR(__xludf.DUMMYFUNCTION("""COMPUTED_VALUE"""),"")</f>
        <v/>
      </c>
      <c r="E2307" s="36" t="str">
        <f>IFERROR(__xludf.DUMMYFUNCTION("""COMPUTED_VALUE"""),"04-22-13-222")</f>
        <v>04-22-13-222</v>
      </c>
      <c r="F2307" s="36"/>
      <c r="G2307" s="36" t="str">
        <f>IFERROR(__xludf.DUMMYFUNCTION("""COMPUTED_VALUE"""),"R. N. N°40 y Paraguay")</f>
        <v>R. N. N°40 y Paraguay</v>
      </c>
      <c r="H2307" s="36" t="str">
        <f>IFERROR(__xludf.DUMMYFUNCTION("""COMPUTED_VALUE"""),"")</f>
        <v/>
      </c>
    </row>
    <row r="2308">
      <c r="A2308" s="36" t="str">
        <f>IFERROR(__xludf.DUMMYFUNCTION("""COMPUTED_VALUE"""),"04-36-12-68")</f>
        <v>04-36-12-68</v>
      </c>
      <c r="B2308" s="36" t="str">
        <f>IFERROR(__xludf.DUMMYFUNCTION("""COMPUTED_VALUE"""),"")</f>
        <v/>
      </c>
      <c r="C2308" s="36" t="str">
        <f>IFERROR(__xludf.DUMMYFUNCTION("""COMPUTED_VALUE"""),"")</f>
        <v/>
      </c>
      <c r="D2308" s="36" t="str">
        <f>IFERROR(__xludf.DUMMYFUNCTION("""COMPUTED_VALUE"""),"")</f>
        <v/>
      </c>
      <c r="E2308" s="36" t="str">
        <f>IFERROR(__xludf.DUMMYFUNCTION("""COMPUTED_VALUE"""),"04-32-13-466")</f>
        <v>04-32-13-466</v>
      </c>
      <c r="F2308" s="36"/>
      <c r="G2308" s="36" t="str">
        <f>IFERROR(__xludf.DUMMYFUNCTION("""COMPUTED_VALUE"""),"R. N. N°40 y Proyectada 1 -E")</f>
        <v>R. N. N°40 y Proyectada 1 -E</v>
      </c>
      <c r="H2308" s="36" t="str">
        <f>IFERROR(__xludf.DUMMYFUNCTION("""COMPUTED_VALUE"""),"")</f>
        <v/>
      </c>
    </row>
    <row r="2309">
      <c r="A2309" s="36" t="str">
        <f>IFERROR(__xludf.DUMMYFUNCTION("""COMPUTED_VALUE"""),"04-36-12-68A")</f>
        <v>04-36-12-68A</v>
      </c>
      <c r="B2309" s="36" t="str">
        <f>IFERROR(__xludf.DUMMYFUNCTION("""COMPUTED_VALUE"""),"")</f>
        <v/>
      </c>
      <c r="C2309" s="36" t="str">
        <f>IFERROR(__xludf.DUMMYFUNCTION("""COMPUTED_VALUE"""),"")</f>
        <v/>
      </c>
      <c r="D2309" s="36" t="str">
        <f>IFERROR(__xludf.DUMMYFUNCTION("""COMPUTED_VALUE"""),"")</f>
        <v/>
      </c>
      <c r="E2309" s="36" t="str">
        <f>IFERROR(__xludf.DUMMYFUNCTION("""COMPUTED_VALUE"""),"04-32-13-465")</f>
        <v>04-32-13-465</v>
      </c>
      <c r="F2309" s="36"/>
      <c r="G2309" s="36" t="str">
        <f>IFERROR(__xludf.DUMMYFUNCTION("""COMPUTED_VALUE"""),"R. N. N°40 y Proyectada 1 -O")</f>
        <v>R. N. N°40 y Proyectada 1 -O</v>
      </c>
      <c r="H2309" s="36" t="str">
        <f>IFERROR(__xludf.DUMMYFUNCTION("""COMPUTED_VALUE"""),"")</f>
        <v/>
      </c>
    </row>
    <row r="2310">
      <c r="A2310" s="36" t="str">
        <f>IFERROR(__xludf.DUMMYFUNCTION("""COMPUTED_VALUE"""),"04-36-12-82")</f>
        <v>04-36-12-82</v>
      </c>
      <c r="B2310" s="36" t="str">
        <f>IFERROR(__xludf.DUMMYFUNCTION("""COMPUTED_VALUE"""),"")</f>
        <v/>
      </c>
      <c r="C2310" s="36" t="str">
        <f>IFERROR(__xludf.DUMMYFUNCTION("""COMPUTED_VALUE"""),"")</f>
        <v/>
      </c>
      <c r="D2310" s="36" t="str">
        <f>IFERROR(__xludf.DUMMYFUNCTION("""COMPUTED_VALUE"""),"")</f>
        <v/>
      </c>
      <c r="E2310" s="36" t="str">
        <f>IFERROR(__xludf.DUMMYFUNCTION("""COMPUTED_VALUE"""),"04-32-13-468")</f>
        <v>04-32-13-468</v>
      </c>
      <c r="F2310" s="36"/>
      <c r="G2310" s="36" t="str">
        <f>IFERROR(__xludf.DUMMYFUNCTION("""COMPUTED_VALUE"""),"R. N. N°40 y Proyectada 2 -E")</f>
        <v>R. N. N°40 y Proyectada 2 -E</v>
      </c>
      <c r="H2310" s="36" t="str">
        <f>IFERROR(__xludf.DUMMYFUNCTION("""COMPUTED_VALUE"""),"")</f>
        <v/>
      </c>
    </row>
    <row r="2311">
      <c r="A2311" s="36" t="str">
        <f>IFERROR(__xludf.DUMMYFUNCTION("""COMPUTED_VALUE"""),"04-36-12-84B")</f>
        <v>04-36-12-84B</v>
      </c>
      <c r="B2311" s="36" t="str">
        <f>IFERROR(__xludf.DUMMYFUNCTION("""COMPUTED_VALUE"""),"")</f>
        <v/>
      </c>
      <c r="C2311" s="36" t="str">
        <f>IFERROR(__xludf.DUMMYFUNCTION("""COMPUTED_VALUE"""),"")</f>
        <v/>
      </c>
      <c r="D2311" s="36" t="str">
        <f>IFERROR(__xludf.DUMMYFUNCTION("""COMPUTED_VALUE"""),"")</f>
        <v/>
      </c>
      <c r="E2311" s="36" t="str">
        <f>IFERROR(__xludf.DUMMYFUNCTION("""COMPUTED_VALUE"""),"04-32-13-467")</f>
        <v>04-32-13-467</v>
      </c>
      <c r="F2311" s="36"/>
      <c r="G2311" s="36" t="str">
        <f>IFERROR(__xludf.DUMMYFUNCTION("""COMPUTED_VALUE"""),"R. N. N°40 y Proyectada 2 -O")</f>
        <v>R. N. N°40 y Proyectada 2 -O</v>
      </c>
      <c r="H2311" s="36" t="str">
        <f>IFERROR(__xludf.DUMMYFUNCTION("""COMPUTED_VALUE"""),"")</f>
        <v/>
      </c>
    </row>
    <row r="2312">
      <c r="A2312" s="36" t="str">
        <f>IFERROR(__xludf.DUMMYFUNCTION("""COMPUTED_VALUE"""),"04-36-12-92")</f>
        <v>04-36-12-92</v>
      </c>
      <c r="B2312" s="36" t="str">
        <f>IFERROR(__xludf.DUMMYFUNCTION("""COMPUTED_VALUE"""),"")</f>
        <v/>
      </c>
      <c r="C2312" s="36" t="str">
        <f>IFERROR(__xludf.DUMMYFUNCTION("""COMPUTED_VALUE"""),"")</f>
        <v/>
      </c>
      <c r="D2312" s="36" t="str">
        <f>IFERROR(__xludf.DUMMYFUNCTION("""COMPUTED_VALUE"""),"")</f>
        <v/>
      </c>
      <c r="E2312" s="36" t="str">
        <f>IFERROR(__xludf.DUMMYFUNCTION("""COMPUTED_VALUE"""),"04-22-13-459")</f>
        <v>04-22-13-459</v>
      </c>
      <c r="F2312" s="36"/>
      <c r="G2312" s="36" t="str">
        <f>IFERROR(__xludf.DUMMYFUNCTION("""COMPUTED_VALUE"""),"R. N. N°40 y Putaendo")</f>
        <v>R. N. N°40 y Putaendo</v>
      </c>
      <c r="H2312" s="36" t="str">
        <f>IFERROR(__xludf.DUMMYFUNCTION("""COMPUTED_VALUE"""),"NOMBRE")</f>
        <v>NOMBRE</v>
      </c>
    </row>
    <row r="2313">
      <c r="A2313" s="36" t="str">
        <f>IFERROR(__xludf.DUMMYFUNCTION("""COMPUTED_VALUE"""),"04-43-12-81")</f>
        <v>04-43-12-81</v>
      </c>
      <c r="B2313" s="36" t="str">
        <f>IFERROR(__xludf.DUMMYFUNCTION("""COMPUTED_VALUE"""),"")</f>
        <v/>
      </c>
      <c r="C2313" s="36" t="str">
        <f>IFERROR(__xludf.DUMMYFUNCTION("""COMPUTED_VALUE"""),"")</f>
        <v/>
      </c>
      <c r="D2313" s="36" t="str">
        <f>IFERROR(__xludf.DUMMYFUNCTION("""COMPUTED_VALUE"""),"")</f>
        <v/>
      </c>
      <c r="E2313" s="36" t="str">
        <f>IFERROR(__xludf.DUMMYFUNCTION("""COMPUTED_VALUE"""),"04-22-13-459")</f>
        <v>04-22-13-459</v>
      </c>
      <c r="F2313" s="36"/>
      <c r="G2313" s="36" t="str">
        <f>IFERROR(__xludf.DUMMYFUNCTION("""COMPUTED_VALUE"""),"R. N. N°40 y Putaendo")</f>
        <v>R. N. N°40 y Putaendo</v>
      </c>
      <c r="H2313" s="36" t="str">
        <f>IFERROR(__xludf.DUMMYFUNCTION("""COMPUTED_VALUE"""),"")</f>
        <v/>
      </c>
    </row>
    <row r="2314">
      <c r="A2314" s="36" t="str">
        <f>IFERROR(__xludf.DUMMYFUNCTION("""COMPUTED_VALUE"""),"04-43-12-82A")</f>
        <v>04-43-12-82A</v>
      </c>
      <c r="B2314" s="36" t="str">
        <f>IFERROR(__xludf.DUMMYFUNCTION("""COMPUTED_VALUE"""),"")</f>
        <v/>
      </c>
      <c r="C2314" s="36" t="str">
        <f>IFERROR(__xludf.DUMMYFUNCTION("""COMPUTED_VALUE"""),"")</f>
        <v/>
      </c>
      <c r="D2314" s="36" t="str">
        <f>IFERROR(__xludf.DUMMYFUNCTION("""COMPUTED_VALUE"""),"")</f>
        <v/>
      </c>
      <c r="E2314" s="36" t="str">
        <f>IFERROR(__xludf.DUMMYFUNCTION("""COMPUTED_VALUE"""),"04-47-13-473")</f>
        <v>04-47-13-473</v>
      </c>
      <c r="F2314" s="36"/>
      <c r="G2314" s="36" t="str">
        <f>IFERROR(__xludf.DUMMYFUNCTION("""COMPUTED_VALUE"""),"R. N. N°40 y Quiróz -E")</f>
        <v>R. N. N°40 y Quiróz -E</v>
      </c>
      <c r="H2314" s="36" t="str">
        <f>IFERROR(__xludf.DUMMYFUNCTION("""COMPUTED_VALUE"""),"")</f>
        <v/>
      </c>
    </row>
    <row r="2315">
      <c r="A2315" s="36" t="str">
        <f>IFERROR(__xludf.DUMMYFUNCTION("""COMPUTED_VALUE"""),"04-43-12-83")</f>
        <v>04-43-12-83</v>
      </c>
      <c r="B2315" s="36" t="str">
        <f>IFERROR(__xludf.DUMMYFUNCTION("""COMPUTED_VALUE"""),"")</f>
        <v/>
      </c>
      <c r="C2315" s="36" t="str">
        <f>IFERROR(__xludf.DUMMYFUNCTION("""COMPUTED_VALUE"""),"")</f>
        <v/>
      </c>
      <c r="D2315" s="36" t="str">
        <f>IFERROR(__xludf.DUMMYFUNCTION("""COMPUTED_VALUE"""),"")</f>
        <v/>
      </c>
      <c r="E2315" s="36" t="str">
        <f>IFERROR(__xludf.DUMMYFUNCTION("""COMPUTED_VALUE"""),"04-47-13-472")</f>
        <v>04-47-13-472</v>
      </c>
      <c r="F2315" s="36"/>
      <c r="G2315" s="36" t="str">
        <f>IFERROR(__xludf.DUMMYFUNCTION("""COMPUTED_VALUE"""),"R. N. N°40 y Quiróz -O")</f>
        <v>R. N. N°40 y Quiróz -O</v>
      </c>
      <c r="H2315" s="36" t="str">
        <f>IFERROR(__xludf.DUMMYFUNCTION("""COMPUTED_VALUE"""),"")</f>
        <v/>
      </c>
    </row>
    <row r="2316">
      <c r="A2316" s="36" t="str">
        <f>IFERROR(__xludf.DUMMYFUNCTION("""COMPUTED_VALUE"""),"04-43-12-84")</f>
        <v>04-43-12-84</v>
      </c>
      <c r="B2316" s="36" t="str">
        <f>IFERROR(__xludf.DUMMYFUNCTION("""COMPUTED_VALUE"""),"")</f>
        <v/>
      </c>
      <c r="C2316" s="36" t="str">
        <f>IFERROR(__xludf.DUMMYFUNCTION("""COMPUTED_VALUE"""),"")</f>
        <v/>
      </c>
      <c r="D2316" s="36" t="str">
        <f>IFERROR(__xludf.DUMMYFUNCTION("""COMPUTED_VALUE"""),"")</f>
        <v/>
      </c>
      <c r="E2316" s="36" t="str">
        <f>IFERROR(__xludf.DUMMYFUNCTION("""COMPUTED_VALUE"""),"04-22-13-224")</f>
        <v>04-22-13-224</v>
      </c>
      <c r="F2316" s="36"/>
      <c r="G2316" s="36" t="str">
        <f>IFERROR(__xludf.DUMMYFUNCTION("""COMPUTED_VALUE"""),"R. N. N°40 y Simón Bolívar")</f>
        <v>R. N. N°40 y Simón Bolívar</v>
      </c>
      <c r="H2316" s="36" t="str">
        <f>IFERROR(__xludf.DUMMYFUNCTION("""COMPUTED_VALUE"""),"NOMBRE")</f>
        <v>NOMBRE</v>
      </c>
    </row>
    <row r="2317">
      <c r="A2317" s="36" t="str">
        <f>IFERROR(__xludf.DUMMYFUNCTION("""COMPUTED_VALUE"""),"04-43-12-84A")</f>
        <v>04-43-12-84A</v>
      </c>
      <c r="B2317" s="36" t="str">
        <f>IFERROR(__xludf.DUMMYFUNCTION("""COMPUTED_VALUE"""),"")</f>
        <v/>
      </c>
      <c r="C2317" s="36" t="str">
        <f>IFERROR(__xludf.DUMMYFUNCTION("""COMPUTED_VALUE"""),"")</f>
        <v/>
      </c>
      <c r="D2317" s="36" t="str">
        <f>IFERROR(__xludf.DUMMYFUNCTION("""COMPUTED_VALUE"""),"")</f>
        <v/>
      </c>
      <c r="E2317" s="36" t="str">
        <f>IFERROR(__xludf.DUMMYFUNCTION("""COMPUTED_VALUE"""),"04-22-13-224")</f>
        <v>04-22-13-224</v>
      </c>
      <c r="F2317" s="36"/>
      <c r="G2317" s="36" t="str">
        <f>IFERROR(__xludf.DUMMYFUNCTION("""COMPUTED_VALUE"""),"R. N. N°40 y Simón Bolívar")</f>
        <v>R. N. N°40 y Simón Bolívar</v>
      </c>
      <c r="H2317" s="36" t="str">
        <f>IFERROR(__xludf.DUMMYFUNCTION("""COMPUTED_VALUE"""),"")</f>
        <v/>
      </c>
    </row>
    <row r="2318">
      <c r="A2318" s="36" t="str">
        <f>IFERROR(__xludf.DUMMYFUNCTION("""COMPUTED_VALUE"""),"04-43-12-84B")</f>
        <v>04-43-12-84B</v>
      </c>
      <c r="B2318" s="36" t="str">
        <f>IFERROR(__xludf.DUMMYFUNCTION("""COMPUTED_VALUE"""),"")</f>
        <v/>
      </c>
      <c r="C2318" s="36" t="str">
        <f>IFERROR(__xludf.DUMMYFUNCTION("""COMPUTED_VALUE"""),"")</f>
        <v/>
      </c>
      <c r="D2318" s="36" t="str">
        <f>IFERROR(__xludf.DUMMYFUNCTION("""COMPUTED_VALUE"""),"")</f>
        <v/>
      </c>
      <c r="E2318" s="36" t="str">
        <f>IFERROR(__xludf.DUMMYFUNCTION("""COMPUTED_VALUE"""),"02-32-11-103A")</f>
        <v>02-32-11-103A</v>
      </c>
      <c r="F2318" s="36"/>
      <c r="G2318" s="36" t="str">
        <f>IFERROR(__xludf.DUMMYFUNCTION("""COMPUTED_VALUE"""),"R. Salinas Este y Los Plátanos")</f>
        <v>R. Salinas Este y Los Plátanos</v>
      </c>
      <c r="H2318" s="36" t="str">
        <f>IFERROR(__xludf.DUMMYFUNCTION("""COMPUTED_VALUE"""),"")</f>
        <v/>
      </c>
    </row>
    <row r="2319">
      <c r="A2319" s="36" t="str">
        <f>IFERROR(__xludf.DUMMYFUNCTION("""COMPUTED_VALUE"""),"04-43-12-85")</f>
        <v>04-43-12-85</v>
      </c>
      <c r="B2319" s="36" t="str">
        <f>IFERROR(__xludf.DUMMYFUNCTION("""COMPUTED_VALUE"""),"")</f>
        <v/>
      </c>
      <c r="C2319" s="36" t="str">
        <f>IFERROR(__xludf.DUMMYFUNCTION("""COMPUTED_VALUE"""),"")</f>
        <v/>
      </c>
      <c r="D2319" s="36" t="str">
        <f>IFERROR(__xludf.DUMMYFUNCTION("""COMPUTED_VALUE"""),"")</f>
        <v/>
      </c>
      <c r="E2319" s="36" t="str">
        <f>IFERROR(__xludf.DUMMYFUNCTION("""COMPUTED_VALUE"""),"02-32-11-102")</f>
        <v>02-32-11-102</v>
      </c>
      <c r="F2319" s="36"/>
      <c r="G2319" s="36" t="str">
        <f>IFERROR(__xludf.DUMMYFUNCTION("""COMPUTED_VALUE"""),"R. Salinas Este y Valenzuela Varas")</f>
        <v>R. Salinas Este y Valenzuela Varas</v>
      </c>
      <c r="H2319" s="36" t="str">
        <f>IFERROR(__xludf.DUMMYFUNCTION("""COMPUTED_VALUE"""),"")</f>
        <v/>
      </c>
    </row>
    <row r="2320">
      <c r="A2320" s="36" t="str">
        <f>IFERROR(__xludf.DUMMYFUNCTION("""COMPUTED_VALUE"""),"04-43-12-86")</f>
        <v>04-43-12-86</v>
      </c>
      <c r="B2320" s="36" t="str">
        <f>IFERROR(__xludf.DUMMYFUNCTION("""COMPUTED_VALUE"""),"")</f>
        <v/>
      </c>
      <c r="C2320" s="36" t="str">
        <f>IFERROR(__xludf.DUMMYFUNCTION("""COMPUTED_VALUE"""),"")</f>
        <v/>
      </c>
      <c r="D2320" s="36" t="str">
        <f>IFERROR(__xludf.DUMMYFUNCTION("""COMPUTED_VALUE"""),"")</f>
        <v/>
      </c>
      <c r="E2320" s="36" t="str">
        <f>IFERROR(__xludf.DUMMYFUNCTION("""COMPUTED_VALUE"""),"02-32-11-103")</f>
        <v>02-32-11-103</v>
      </c>
      <c r="F2320" s="36"/>
      <c r="G2320" s="36" t="str">
        <f>IFERROR(__xludf.DUMMYFUNCTION("""COMPUTED_VALUE"""),"R. Salinas Oeste  y Los Plátanos")</f>
        <v>R. Salinas Oeste  y Los Plátanos</v>
      </c>
      <c r="H2320" s="36" t="str">
        <f>IFERROR(__xludf.DUMMYFUNCTION("""COMPUTED_VALUE"""),"")</f>
        <v/>
      </c>
    </row>
    <row r="2321">
      <c r="A2321" s="36" t="str">
        <f>IFERROR(__xludf.DUMMYFUNCTION("""COMPUTED_VALUE"""),"04-43-12-86A")</f>
        <v>04-43-12-86A</v>
      </c>
      <c r="B2321" s="36" t="str">
        <f>IFERROR(__xludf.DUMMYFUNCTION("""COMPUTED_VALUE"""),"")</f>
        <v/>
      </c>
      <c r="C2321" s="36" t="str">
        <f>IFERROR(__xludf.DUMMYFUNCTION("""COMPUTED_VALUE"""),"")</f>
        <v/>
      </c>
      <c r="D2321" s="36" t="str">
        <f>IFERROR(__xludf.DUMMYFUNCTION("""COMPUTED_VALUE"""),"")</f>
        <v/>
      </c>
      <c r="E2321" s="36" t="str">
        <f>IFERROR(__xludf.DUMMYFUNCTION("""COMPUTED_VALUE"""),"02-32-11-102A")</f>
        <v>02-32-11-102A</v>
      </c>
      <c r="F2321" s="36"/>
      <c r="G2321" s="36" t="str">
        <f>IFERROR(__xludf.DUMMYFUNCTION("""COMPUTED_VALUE"""),"R. Salinas Oeste y Valenzuela Varas")</f>
        <v>R. Salinas Oeste y Valenzuela Varas</v>
      </c>
      <c r="H2321" s="36" t="str">
        <f>IFERROR(__xludf.DUMMYFUNCTION("""COMPUTED_VALUE"""),"")</f>
        <v/>
      </c>
    </row>
    <row r="2322">
      <c r="A2322" s="36" t="str">
        <f>IFERROR(__xludf.DUMMYFUNCTION("""COMPUTED_VALUE"""),"04-43-12-87")</f>
        <v>04-43-12-87</v>
      </c>
      <c r="B2322" s="36" t="str">
        <f>IFERROR(__xludf.DUMMYFUNCTION("""COMPUTED_VALUE"""),"")</f>
        <v/>
      </c>
      <c r="C2322" s="36" t="str">
        <f>IFERROR(__xludf.DUMMYFUNCTION("""COMPUTED_VALUE"""),"")</f>
        <v/>
      </c>
      <c r="D2322" s="36" t="str">
        <f>IFERROR(__xludf.DUMMYFUNCTION("""COMPUTED_VALUE"""),"")</f>
        <v/>
      </c>
      <c r="E2322" s="36" t="str">
        <f>IFERROR(__xludf.DUMMYFUNCTION("""COMPUTED_VALUE"""),"03-32-09-67x")</f>
        <v>03-32-09-67x</v>
      </c>
      <c r="F2322" s="36"/>
      <c r="G2322" s="36" t="str">
        <f>IFERROR(__xludf.DUMMYFUNCTION("""COMPUTED_VALUE"""),"Ramón Franco y Córdoba")</f>
        <v>Ramón Franco y Córdoba</v>
      </c>
      <c r="H2322" s="36" t="str">
        <f>IFERROR(__xludf.DUMMYFUNCTION("""COMPUTED_VALUE"""),"NOMBRE")</f>
        <v>NOMBRE</v>
      </c>
    </row>
    <row r="2323">
      <c r="A2323" s="36" t="str">
        <f>IFERROR(__xludf.DUMMYFUNCTION("""COMPUTED_VALUE"""),"04-43-12-88")</f>
        <v>04-43-12-88</v>
      </c>
      <c r="B2323" s="36" t="str">
        <f>IFERROR(__xludf.DUMMYFUNCTION("""COMPUTED_VALUE"""),"")</f>
        <v/>
      </c>
      <c r="C2323" s="36" t="str">
        <f>IFERROR(__xludf.DUMMYFUNCTION("""COMPUTED_VALUE"""),"")</f>
        <v/>
      </c>
      <c r="D2323" s="36" t="str">
        <f>IFERROR(__xludf.DUMMYFUNCTION("""COMPUTED_VALUE"""),"")</f>
        <v/>
      </c>
      <c r="E2323" s="36" t="str">
        <f>IFERROR(__xludf.DUMMYFUNCTION("""COMPUTED_VALUE"""),"03-48-09-68")</f>
        <v>03-48-09-68</v>
      </c>
      <c r="F2323" s="36"/>
      <c r="G2323" s="36" t="str">
        <f>IFERROR(__xludf.DUMMYFUNCTION("""COMPUTED_VALUE"""),"Ramón Franco y Córdoba")</f>
        <v>Ramón Franco y Córdoba</v>
      </c>
      <c r="H2323" s="36" t="str">
        <f>IFERROR(__xludf.DUMMYFUNCTION("""COMPUTED_VALUE"""),"")</f>
        <v/>
      </c>
    </row>
    <row r="2324">
      <c r="A2324" s="36" t="str">
        <f>IFERROR(__xludf.DUMMYFUNCTION("""COMPUTED_VALUE"""),"04-43-12-88A")</f>
        <v>04-43-12-88A</v>
      </c>
      <c r="B2324" s="36" t="str">
        <f>IFERROR(__xludf.DUMMYFUNCTION("""COMPUTED_VALUE"""),"")</f>
        <v/>
      </c>
      <c r="C2324" s="36" t="str">
        <f>IFERROR(__xludf.DUMMYFUNCTION("""COMPUTED_VALUE"""),"")</f>
        <v/>
      </c>
      <c r="D2324" s="36" t="str">
        <f>IFERROR(__xludf.DUMMYFUNCTION("""COMPUTED_VALUE"""),"")</f>
        <v/>
      </c>
      <c r="E2324" s="36" t="str">
        <f>IFERROR(__xludf.DUMMYFUNCTION("""COMPUTED_VALUE"""),"08-38-02-21")</f>
        <v>08-38-02-21</v>
      </c>
      <c r="F2324" s="36"/>
      <c r="G2324" s="36" t="str">
        <f>IFERROR(__xludf.DUMMYFUNCTION("""COMPUTED_VALUE"""),"Ramón Godoy y 11 de Septiembre")</f>
        <v>Ramón Godoy y 11 de Septiembre</v>
      </c>
      <c r="H2324" s="36" t="str">
        <f>IFERROR(__xludf.DUMMYFUNCTION("""COMPUTED_VALUE"""),"")</f>
        <v/>
      </c>
    </row>
    <row r="2325">
      <c r="A2325" s="36" t="str">
        <f>IFERROR(__xludf.DUMMYFUNCTION("""COMPUTED_VALUE"""),"04-43-12-89")</f>
        <v>04-43-12-89</v>
      </c>
      <c r="B2325" s="36" t="str">
        <f>IFERROR(__xludf.DUMMYFUNCTION("""COMPUTED_VALUE"""),"")</f>
        <v/>
      </c>
      <c r="C2325" s="36" t="str">
        <f>IFERROR(__xludf.DUMMYFUNCTION("""COMPUTED_VALUE"""),"")</f>
        <v/>
      </c>
      <c r="D2325" s="36" t="str">
        <f>IFERROR(__xludf.DUMMYFUNCTION("""COMPUTED_VALUE"""),"")</f>
        <v/>
      </c>
      <c r="E2325" s="36" t="str">
        <f>IFERROR(__xludf.DUMMYFUNCTION("""COMPUTED_VALUE"""),"08-38-02-23")</f>
        <v>08-38-02-23</v>
      </c>
      <c r="F2325" s="36"/>
      <c r="G2325" s="36" t="str">
        <f>IFERROR(__xludf.DUMMYFUNCTION("""COMPUTED_VALUE"""),"Ramón Godoy y Díaz Velez")</f>
        <v>Ramón Godoy y Díaz Velez</v>
      </c>
      <c r="H2325" s="36" t="str">
        <f>IFERROR(__xludf.DUMMYFUNCTION("""COMPUTED_VALUE"""),"")</f>
        <v/>
      </c>
    </row>
    <row r="2326">
      <c r="A2326" s="36" t="str">
        <f>IFERROR(__xludf.DUMMYFUNCTION("""COMPUTED_VALUE"""),"04-43-12-90")</f>
        <v>04-43-12-90</v>
      </c>
      <c r="B2326" s="36" t="str">
        <f>IFERROR(__xludf.DUMMYFUNCTION("""COMPUTED_VALUE"""),"")</f>
        <v/>
      </c>
      <c r="C2326" s="36" t="str">
        <f>IFERROR(__xludf.DUMMYFUNCTION("""COMPUTED_VALUE"""),"")</f>
        <v/>
      </c>
      <c r="D2326" s="36" t="str">
        <f>IFERROR(__xludf.DUMMYFUNCTION("""COMPUTED_VALUE"""),"")</f>
        <v/>
      </c>
      <c r="E2326" s="36" t="str">
        <f>IFERROR(__xludf.DUMMYFUNCTION("""COMPUTED_VALUE"""),"08-38-02-22")</f>
        <v>08-38-02-22</v>
      </c>
      <c r="F2326" s="36"/>
      <c r="G2326" s="36" t="str">
        <f>IFERROR(__xludf.DUMMYFUNCTION("""COMPUTED_VALUE"""),"Ramón Godoy y Proyectada 1")</f>
        <v>Ramón Godoy y Proyectada 1</v>
      </c>
      <c r="H2326" s="36" t="str">
        <f>IFERROR(__xludf.DUMMYFUNCTION("""COMPUTED_VALUE"""),"")</f>
        <v/>
      </c>
    </row>
    <row r="2327">
      <c r="A2327" s="36" t="str">
        <f>IFERROR(__xludf.DUMMYFUNCTION("""COMPUTED_VALUE"""),"04-43-12-91")</f>
        <v>04-43-12-91</v>
      </c>
      <c r="B2327" s="36" t="str">
        <f>IFERROR(__xludf.DUMMYFUNCTION("""COMPUTED_VALUE"""),"")</f>
        <v/>
      </c>
      <c r="C2327" s="36" t="str">
        <f>IFERROR(__xludf.DUMMYFUNCTION("""COMPUTED_VALUE"""),"")</f>
        <v/>
      </c>
      <c r="D2327" s="36" t="str">
        <f>IFERROR(__xludf.DUMMYFUNCTION("""COMPUTED_VALUE"""),"")</f>
        <v/>
      </c>
      <c r="E2327" s="36" t="str">
        <f>IFERROR(__xludf.DUMMYFUNCTION("""COMPUTED_VALUE"""),"08-38-02-24")</f>
        <v>08-38-02-24</v>
      </c>
      <c r="F2327" s="36"/>
      <c r="G2327" s="36" t="str">
        <f>IFERROR(__xludf.DUMMYFUNCTION("""COMPUTED_VALUE"""),"Ramón Godoy y Proyectada 2")</f>
        <v>Ramón Godoy y Proyectada 2</v>
      </c>
      <c r="H2327" s="36" t="str">
        <f>IFERROR(__xludf.DUMMYFUNCTION("""COMPUTED_VALUE"""),"")</f>
        <v/>
      </c>
    </row>
    <row r="2328">
      <c r="A2328" s="36" t="str">
        <f>IFERROR(__xludf.DUMMYFUNCTION("""COMPUTED_VALUE"""),"04-43-12-91A")</f>
        <v>04-43-12-91A</v>
      </c>
      <c r="B2328" s="36" t="str">
        <f>IFERROR(__xludf.DUMMYFUNCTION("""COMPUTED_VALUE"""),"")</f>
        <v/>
      </c>
      <c r="C2328" s="36" t="str">
        <f>IFERROR(__xludf.DUMMYFUNCTION("""COMPUTED_VALUE"""),"")</f>
        <v/>
      </c>
      <c r="D2328" s="36" t="str">
        <f>IFERROR(__xludf.DUMMYFUNCTION("""COMPUTED_VALUE"""),"")</f>
        <v/>
      </c>
      <c r="E2328" s="36" t="str">
        <f>IFERROR(__xludf.DUMMYFUNCTION("""COMPUTED_VALUE"""),"08-32-01-16")</f>
        <v>08-32-01-16</v>
      </c>
      <c r="F2328" s="36"/>
      <c r="G2328" s="36" t="str">
        <f>IFERROR(__xludf.DUMMYFUNCTION("""COMPUTED_VALUE"""),"Rastreador Calivar y Av. N. Benavídez")</f>
        <v>Rastreador Calivar y Av. N. Benavídez</v>
      </c>
      <c r="H2328" s="36" t="str">
        <f>IFERROR(__xludf.DUMMYFUNCTION("""COMPUTED_VALUE"""),"")</f>
        <v/>
      </c>
    </row>
    <row r="2329">
      <c r="A2329" s="36" t="str">
        <f>IFERROR(__xludf.DUMMYFUNCTION("""COMPUTED_VALUE"""),"04-43-12-92")</f>
        <v>04-43-12-92</v>
      </c>
      <c r="B2329" s="36" t="str">
        <f>IFERROR(__xludf.DUMMYFUNCTION("""COMPUTED_VALUE"""),"")</f>
        <v/>
      </c>
      <c r="C2329" s="36" t="str">
        <f>IFERROR(__xludf.DUMMYFUNCTION("""COMPUTED_VALUE"""),"")</f>
        <v/>
      </c>
      <c r="D2329" s="36" t="str">
        <f>IFERROR(__xludf.DUMMYFUNCTION("""COMPUTED_VALUE"""),"")</f>
        <v/>
      </c>
      <c r="E2329" s="36" t="str">
        <f>IFERROR(__xludf.DUMMYFUNCTION("""COMPUTED_VALUE"""),"08-32-01-14A")</f>
        <v>08-32-01-14A</v>
      </c>
      <c r="F2329" s="36"/>
      <c r="G2329" s="36" t="str">
        <f>IFERROR(__xludf.DUMMYFUNCTION("""COMPUTED_VALUE"""),"Rastreador Calivar y Benavídez")</f>
        <v>Rastreador Calivar y Benavídez</v>
      </c>
      <c r="H2329" s="36" t="str">
        <f>IFERROR(__xludf.DUMMYFUNCTION("""COMPUTED_VALUE"""),"")</f>
        <v/>
      </c>
    </row>
    <row r="2330">
      <c r="A2330" s="36" t="str">
        <f>IFERROR(__xludf.DUMMYFUNCTION("""COMPUTED_VALUE"""),"04-43-12-93")</f>
        <v>04-43-12-93</v>
      </c>
      <c r="B2330" s="36" t="str">
        <f>IFERROR(__xludf.DUMMYFUNCTION("""COMPUTED_VALUE"""),"")</f>
        <v/>
      </c>
      <c r="C2330" s="36" t="str">
        <f>IFERROR(__xludf.DUMMYFUNCTION("""COMPUTED_VALUE"""),"")</f>
        <v/>
      </c>
      <c r="D2330" s="36" t="str">
        <f>IFERROR(__xludf.DUMMYFUNCTION("""COMPUTED_VALUE"""),"")</f>
        <v/>
      </c>
      <c r="E2330" s="36" t="str">
        <f>IFERROR(__xludf.DUMMYFUNCTION("""COMPUTED_VALUE"""),"08-32-01-13")</f>
        <v>08-32-01-13</v>
      </c>
      <c r="F2330" s="36"/>
      <c r="G2330" s="36" t="str">
        <f>IFERROR(__xludf.DUMMYFUNCTION("""COMPUTED_VALUE"""),"Rastreador Calivar y El Marucho E")</f>
        <v>Rastreador Calivar y El Marucho E</v>
      </c>
      <c r="H2330" s="36" t="str">
        <f>IFERROR(__xludf.DUMMYFUNCTION("""COMPUTED_VALUE"""),"")</f>
        <v/>
      </c>
    </row>
    <row r="2331">
      <c r="A2331" s="36" t="str">
        <f>IFERROR(__xludf.DUMMYFUNCTION("""COMPUTED_VALUE"""),"04-43-12-95")</f>
        <v>04-43-12-95</v>
      </c>
      <c r="B2331" s="36" t="str">
        <f>IFERROR(__xludf.DUMMYFUNCTION("""COMPUTED_VALUE"""),"")</f>
        <v/>
      </c>
      <c r="C2331" s="36" t="str">
        <f>IFERROR(__xludf.DUMMYFUNCTION("""COMPUTED_VALUE"""),"")</f>
        <v/>
      </c>
      <c r="D2331" s="36" t="str">
        <f>IFERROR(__xludf.DUMMYFUNCTION("""COMPUTED_VALUE"""),"")</f>
        <v/>
      </c>
      <c r="E2331" s="36" t="str">
        <f>IFERROR(__xludf.DUMMYFUNCTION("""COMPUTED_VALUE"""),"08-32-01-12")</f>
        <v>08-32-01-12</v>
      </c>
      <c r="F2331" s="36"/>
      <c r="G2331" s="36" t="str">
        <f>IFERROR(__xludf.DUMMYFUNCTION("""COMPUTED_VALUE"""),"Rastreador Calivar y El Marucho O")</f>
        <v>Rastreador Calivar y El Marucho O</v>
      </c>
      <c r="H2331" s="36" t="str">
        <f>IFERROR(__xludf.DUMMYFUNCTION("""COMPUTED_VALUE"""),"")</f>
        <v/>
      </c>
    </row>
    <row r="2332">
      <c r="A2332" s="36" t="str">
        <f>IFERROR(__xludf.DUMMYFUNCTION("""COMPUTED_VALUE"""),"04-43-12-96")</f>
        <v>04-43-12-96</v>
      </c>
      <c r="B2332" s="36" t="str">
        <f>IFERROR(__xludf.DUMMYFUNCTION("""COMPUTED_VALUE"""),"")</f>
        <v/>
      </c>
      <c r="C2332" s="36" t="str">
        <f>IFERROR(__xludf.DUMMYFUNCTION("""COMPUTED_VALUE"""),"")</f>
        <v/>
      </c>
      <c r="D2332" s="36" t="str">
        <f>IFERROR(__xludf.DUMMYFUNCTION("""COMPUTED_VALUE"""),"")</f>
        <v/>
      </c>
      <c r="E2332" s="36" t="str">
        <f>IFERROR(__xludf.DUMMYFUNCTION("""COMPUTED_VALUE"""),"08-32-01-14")</f>
        <v>08-32-01-14</v>
      </c>
      <c r="F2332" s="36"/>
      <c r="G2332" s="36" t="str">
        <f>IFERROR(__xludf.DUMMYFUNCTION("""COMPUTED_VALUE"""),"Rastreador Calivar y Paisano E")</f>
        <v>Rastreador Calivar y Paisano E</v>
      </c>
      <c r="H2332" s="36" t="str">
        <f>IFERROR(__xludf.DUMMYFUNCTION("""COMPUTED_VALUE"""),"")</f>
        <v/>
      </c>
    </row>
    <row r="2333">
      <c r="A2333" s="36" t="str">
        <f>IFERROR(__xludf.DUMMYFUNCTION("""COMPUTED_VALUE"""),"04-43-12-97")</f>
        <v>04-43-12-97</v>
      </c>
      <c r="B2333" s="36" t="str">
        <f>IFERROR(__xludf.DUMMYFUNCTION("""COMPUTED_VALUE"""),"")</f>
        <v/>
      </c>
      <c r="C2333" s="36" t="str">
        <f>IFERROR(__xludf.DUMMYFUNCTION("""COMPUTED_VALUE"""),"")</f>
        <v/>
      </c>
      <c r="D2333" s="36" t="str">
        <f>IFERROR(__xludf.DUMMYFUNCTION("""COMPUTED_VALUE"""),"")</f>
        <v/>
      </c>
      <c r="E2333" s="36" t="str">
        <f>IFERROR(__xludf.DUMMYFUNCTION("""COMPUTED_VALUE"""),"08-32-01-15")</f>
        <v>08-32-01-15</v>
      </c>
      <c r="F2333" s="36"/>
      <c r="G2333" s="36" t="str">
        <f>IFERROR(__xludf.DUMMYFUNCTION("""COMPUTED_VALUE"""),"Rastreador Calivar y Paisano O")</f>
        <v>Rastreador Calivar y Paisano O</v>
      </c>
      <c r="H2333" s="36" t="str">
        <f>IFERROR(__xludf.DUMMYFUNCTION("""COMPUTED_VALUE"""),"")</f>
        <v/>
      </c>
    </row>
    <row r="2334">
      <c r="A2334" s="36" t="str">
        <f>IFERROR(__xludf.DUMMYFUNCTION("""COMPUTED_VALUE"""),"04-43-12-99")</f>
        <v>04-43-12-99</v>
      </c>
      <c r="B2334" s="36" t="str">
        <f>IFERROR(__xludf.DUMMYFUNCTION("""COMPUTED_VALUE"""),"")</f>
        <v/>
      </c>
      <c r="C2334" s="36" t="str">
        <f>IFERROR(__xludf.DUMMYFUNCTION("""COMPUTED_VALUE"""),"")</f>
        <v/>
      </c>
      <c r="D2334" s="36" t="str">
        <f>IFERROR(__xludf.DUMMYFUNCTION("""COMPUTED_VALUE"""),"")</f>
        <v/>
      </c>
      <c r="E2334" s="36" t="str">
        <f>IFERROR(__xludf.DUMMYFUNCTION("""COMPUTED_VALUE"""),"08-32-01-11A")</f>
        <v>08-32-01-11A</v>
      </c>
      <c r="F2334" s="36"/>
      <c r="G2334" s="36" t="str">
        <f>IFERROR(__xludf.DUMMYFUNCTION("""COMPUTED_VALUE"""),"Rastreador Calivar y Tulúm ")</f>
        <v>Rastreador Calivar y Tulúm </v>
      </c>
      <c r="H2334" s="36" t="str">
        <f>IFERROR(__xludf.DUMMYFUNCTION("""COMPUTED_VALUE"""),"")</f>
        <v/>
      </c>
    </row>
    <row r="2335">
      <c r="A2335" s="36" t="str">
        <f>IFERROR(__xludf.DUMMYFUNCTION("""COMPUTED_VALUE"""),"04-44-12-1")</f>
        <v>04-44-12-1</v>
      </c>
      <c r="B2335" s="36" t="str">
        <f>IFERROR(__xludf.DUMMYFUNCTION("""COMPUTED_VALUE"""),"")</f>
        <v/>
      </c>
      <c r="C2335" s="36" t="str">
        <f>IFERROR(__xludf.DUMMYFUNCTION("""COMPUTED_VALUE"""),"")</f>
        <v/>
      </c>
      <c r="D2335" s="36" t="str">
        <f>IFERROR(__xludf.DUMMYFUNCTION("""COMPUTED_VALUE"""),"")</f>
        <v/>
      </c>
      <c r="E2335" s="36" t="str">
        <f>IFERROR(__xludf.DUMMYFUNCTION("""COMPUTED_VALUE"""),"01-46-06-16A")</f>
        <v>01-46-06-16A</v>
      </c>
      <c r="F2335" s="36"/>
      <c r="G2335" s="36" t="str">
        <f>IFERROR(__xludf.DUMMYFUNCTION("""COMPUTED_VALUE"""),"Reconquista e Hipólito Yrigoyen")</f>
        <v>Reconquista e Hipólito Yrigoyen</v>
      </c>
      <c r="H2335" s="36" t="str">
        <f>IFERROR(__xludf.DUMMYFUNCTION("""COMPUTED_VALUE"""),"")</f>
        <v/>
      </c>
    </row>
    <row r="2336">
      <c r="A2336" s="36" t="str">
        <f>IFERROR(__xludf.DUMMYFUNCTION("""COMPUTED_VALUE"""),"04-44-12-1A")</f>
        <v>04-44-12-1A</v>
      </c>
      <c r="B2336" s="36" t="str">
        <f>IFERROR(__xludf.DUMMYFUNCTION("""COMPUTED_VALUE"""),"")</f>
        <v/>
      </c>
      <c r="C2336" s="36" t="str">
        <f>IFERROR(__xludf.DUMMYFUNCTION("""COMPUTED_VALUE"""),"")</f>
        <v/>
      </c>
      <c r="D2336" s="36" t="str">
        <f>IFERROR(__xludf.DUMMYFUNCTION("""COMPUTED_VALUE"""),"")</f>
        <v/>
      </c>
      <c r="E2336" s="36" t="str">
        <f>IFERROR(__xludf.DUMMYFUNCTION("""COMPUTED_VALUE"""),"08-36-01-52")</f>
        <v>08-36-01-52</v>
      </c>
      <c r="F2336" s="36"/>
      <c r="G2336" s="36" t="str">
        <f>IFERROR(__xludf.DUMMYFUNCTION("""COMPUTED_VALUE"""),"Reconquista y Bonduel E")</f>
        <v>Reconquista y Bonduel E</v>
      </c>
      <c r="H2336" s="36" t="str">
        <f>IFERROR(__xludf.DUMMYFUNCTION("""COMPUTED_VALUE"""),"")</f>
        <v/>
      </c>
    </row>
    <row r="2337">
      <c r="A2337" s="36" t="str">
        <f>IFERROR(__xludf.DUMMYFUNCTION("""COMPUTED_VALUE"""),"04-44-12-1B")</f>
        <v>04-44-12-1B</v>
      </c>
      <c r="B2337" s="36" t="str">
        <f>IFERROR(__xludf.DUMMYFUNCTION("""COMPUTED_VALUE"""),"")</f>
        <v/>
      </c>
      <c r="C2337" s="36" t="str">
        <f>IFERROR(__xludf.DUMMYFUNCTION("""COMPUTED_VALUE"""),"")</f>
        <v/>
      </c>
      <c r="D2337" s="36" t="str">
        <f>IFERROR(__xludf.DUMMYFUNCTION("""COMPUTED_VALUE"""),"")</f>
        <v/>
      </c>
      <c r="E2337" s="36" t="str">
        <f>IFERROR(__xludf.DUMMYFUNCTION("""COMPUTED_VALUE"""),"08-34-01-51")</f>
        <v>08-34-01-51</v>
      </c>
      <c r="F2337" s="36"/>
      <c r="G2337" s="36" t="str">
        <f>IFERROR(__xludf.DUMMYFUNCTION("""COMPUTED_VALUE"""),"Reconquista y Bonduel S")</f>
        <v>Reconquista y Bonduel S</v>
      </c>
      <c r="H2337" s="36" t="str">
        <f>IFERROR(__xludf.DUMMYFUNCTION("""COMPUTED_VALUE"""),"")</f>
        <v/>
      </c>
    </row>
    <row r="2338">
      <c r="A2338" s="36" t="str">
        <f>IFERROR(__xludf.DUMMYFUNCTION("""COMPUTED_VALUE"""),"04-44-12-2")</f>
        <v>04-44-12-2</v>
      </c>
      <c r="B2338" s="36" t="str">
        <f>IFERROR(__xludf.DUMMYFUNCTION("""COMPUTED_VALUE"""),"")</f>
        <v/>
      </c>
      <c r="C2338" s="36" t="str">
        <f>IFERROR(__xludf.DUMMYFUNCTION("""COMPUTED_VALUE"""),"")</f>
        <v/>
      </c>
      <c r="D2338" s="36" t="str">
        <f>IFERROR(__xludf.DUMMYFUNCTION("""COMPUTED_VALUE"""),"")</f>
        <v/>
      </c>
      <c r="E2338" s="36" t="str">
        <f>IFERROR(__xludf.DUMMYFUNCTION("""COMPUTED_VALUE"""),"02-37-06-15B")</f>
        <v>02-37-06-15B</v>
      </c>
      <c r="F2338" s="36"/>
      <c r="G2338" s="36" t="str">
        <f>IFERROR(__xludf.DUMMYFUNCTION("""COMPUTED_VALUE"""),"Reconquista y Estación Wilkinson N")</f>
        <v>Reconquista y Estación Wilkinson N</v>
      </c>
      <c r="H2338" s="36" t="str">
        <f>IFERROR(__xludf.DUMMYFUNCTION("""COMPUTED_VALUE"""),"")</f>
        <v/>
      </c>
    </row>
    <row r="2339">
      <c r="A2339" s="36" t="str">
        <f>IFERROR(__xludf.DUMMYFUNCTION("""COMPUTED_VALUE"""),"04-44-12-3")</f>
        <v>04-44-12-3</v>
      </c>
      <c r="B2339" s="36" t="str">
        <f>IFERROR(__xludf.DUMMYFUNCTION("""COMPUTED_VALUE"""),"")</f>
        <v/>
      </c>
      <c r="C2339" s="36" t="str">
        <f>IFERROR(__xludf.DUMMYFUNCTION("""COMPUTED_VALUE"""),"")</f>
        <v/>
      </c>
      <c r="D2339" s="36" t="str">
        <f>IFERROR(__xludf.DUMMYFUNCTION("""COMPUTED_VALUE"""),"")</f>
        <v/>
      </c>
      <c r="E2339" s="36" t="str">
        <f>IFERROR(__xludf.DUMMYFUNCTION("""COMPUTED_VALUE"""),"02-37-06-15A")</f>
        <v>02-37-06-15A</v>
      </c>
      <c r="F2339" s="36"/>
      <c r="G2339" s="36" t="str">
        <f>IFERROR(__xludf.DUMMYFUNCTION("""COMPUTED_VALUE"""),"Reconquista y Estación Wilkinson S")</f>
        <v>Reconquista y Estación Wilkinson S</v>
      </c>
      <c r="H2339" s="36" t="str">
        <f>IFERROR(__xludf.DUMMYFUNCTION("""COMPUTED_VALUE"""),"")</f>
        <v/>
      </c>
    </row>
    <row r="2340">
      <c r="A2340" s="36" t="str">
        <f>IFERROR(__xludf.DUMMYFUNCTION("""COMPUTED_VALUE"""),"04-44-12-4")</f>
        <v>04-44-12-4</v>
      </c>
      <c r="B2340" s="36" t="str">
        <f>IFERROR(__xludf.DUMMYFUNCTION("""COMPUTED_VALUE"""),"")</f>
        <v/>
      </c>
      <c r="C2340" s="36" t="str">
        <f>IFERROR(__xludf.DUMMYFUNCTION("""COMPUTED_VALUE"""),"")</f>
        <v/>
      </c>
      <c r="D2340" s="36" t="str">
        <f>IFERROR(__xludf.DUMMYFUNCTION("""COMPUTED_VALUE"""),"")</f>
        <v/>
      </c>
      <c r="E2340" s="36" t="str">
        <f>IFERROR(__xludf.DUMMYFUNCTION("""COMPUTED_VALUE"""),"02-37-06-14A")</f>
        <v>02-37-06-14A</v>
      </c>
      <c r="F2340" s="36"/>
      <c r="G2340" s="36" t="str">
        <f>IFERROR(__xludf.DUMMYFUNCTION("""COMPUTED_VALUE"""),"Reconquista y Juan B. Justo N")</f>
        <v>Reconquista y Juan B. Justo N</v>
      </c>
      <c r="H2340" s="36" t="str">
        <f>IFERROR(__xludf.DUMMYFUNCTION("""COMPUTED_VALUE"""),"")</f>
        <v/>
      </c>
    </row>
    <row r="2341">
      <c r="A2341" s="36" t="str">
        <f>IFERROR(__xludf.DUMMYFUNCTION("""COMPUTED_VALUE"""),"04-44-12-5")</f>
        <v>04-44-12-5</v>
      </c>
      <c r="B2341" s="36" t="str">
        <f>IFERROR(__xludf.DUMMYFUNCTION("""COMPUTED_VALUE"""),"")</f>
        <v/>
      </c>
      <c r="C2341" s="36" t="str">
        <f>IFERROR(__xludf.DUMMYFUNCTION("""COMPUTED_VALUE"""),"")</f>
        <v/>
      </c>
      <c r="D2341" s="36" t="str">
        <f>IFERROR(__xludf.DUMMYFUNCTION("""COMPUTED_VALUE"""),"")</f>
        <v/>
      </c>
      <c r="E2341" s="36" t="str">
        <f>IFERROR(__xludf.DUMMYFUNCTION("""COMPUTED_VALUE"""),"02-37-06-14")</f>
        <v>02-37-06-14</v>
      </c>
      <c r="F2341" s="36"/>
      <c r="G2341" s="36" t="str">
        <f>IFERROR(__xludf.DUMMYFUNCTION("""COMPUTED_VALUE"""),"Reconquista y Juan B. Justo S")</f>
        <v>Reconquista y Juan B. Justo S</v>
      </c>
      <c r="H2341" s="36" t="str">
        <f>IFERROR(__xludf.DUMMYFUNCTION("""COMPUTED_VALUE"""),"")</f>
        <v/>
      </c>
    </row>
    <row r="2342">
      <c r="A2342" s="36" t="str">
        <f>IFERROR(__xludf.DUMMYFUNCTION("""COMPUTED_VALUE"""),"04-44-12-54")</f>
        <v>04-44-12-54</v>
      </c>
      <c r="B2342" s="36" t="str">
        <f>IFERROR(__xludf.DUMMYFUNCTION("""COMPUTED_VALUE"""),"")</f>
        <v/>
      </c>
      <c r="C2342" s="36" t="str">
        <f>IFERROR(__xludf.DUMMYFUNCTION("""COMPUTED_VALUE"""),"")</f>
        <v/>
      </c>
      <c r="D2342" s="36" t="str">
        <f>IFERROR(__xludf.DUMMYFUNCTION("""COMPUTED_VALUE"""),"")</f>
        <v/>
      </c>
      <c r="E2342" s="36" t="str">
        <f>IFERROR(__xludf.DUMMYFUNCTION("""COMPUTED_VALUE"""),"02-37-06-11")</f>
        <v>02-37-06-11</v>
      </c>
      <c r="F2342" s="36"/>
      <c r="G2342" s="36" t="str">
        <f>IFERROR(__xludf.DUMMYFUNCTION("""COMPUTED_VALUE"""),"Reconquista y Manuel Belgrano")</f>
        <v>Reconquista y Manuel Belgrano</v>
      </c>
      <c r="H2342" s="36" t="str">
        <f>IFERROR(__xludf.DUMMYFUNCTION("""COMPUTED_VALUE"""),"")</f>
        <v/>
      </c>
    </row>
    <row r="2343">
      <c r="A2343" s="36" t="str">
        <f>IFERROR(__xludf.DUMMYFUNCTION("""COMPUTED_VALUE"""),"04-44-12-55")</f>
        <v>04-44-12-55</v>
      </c>
      <c r="B2343" s="36" t="str">
        <f>IFERROR(__xludf.DUMMYFUNCTION("""COMPUTED_VALUE"""),"")</f>
        <v/>
      </c>
      <c r="C2343" s="36" t="str">
        <f>IFERROR(__xludf.DUMMYFUNCTION("""COMPUTED_VALUE"""),"")</f>
        <v/>
      </c>
      <c r="D2343" s="36" t="str">
        <f>IFERROR(__xludf.DUMMYFUNCTION("""COMPUTED_VALUE"""),"")</f>
        <v/>
      </c>
      <c r="E2343" s="36" t="str">
        <f>IFERROR(__xludf.DUMMYFUNCTION("""COMPUTED_VALUE"""),"02-37-06-12A")</f>
        <v>02-37-06-12A</v>
      </c>
      <c r="F2343" s="36"/>
      <c r="G2343" s="36" t="str">
        <f>IFERROR(__xludf.DUMMYFUNCTION("""COMPUTED_VALUE"""),"Reconquista y Mariano Moreno N")</f>
        <v>Reconquista y Mariano Moreno N</v>
      </c>
      <c r="H2343" s="36" t="str">
        <f>IFERROR(__xludf.DUMMYFUNCTION("""COMPUTED_VALUE"""),"")</f>
        <v/>
      </c>
    </row>
    <row r="2344">
      <c r="A2344" s="36" t="str">
        <f>IFERROR(__xludf.DUMMYFUNCTION("""COMPUTED_VALUE"""),"04-44-12-60")</f>
        <v>04-44-12-60</v>
      </c>
      <c r="B2344" s="36" t="str">
        <f>IFERROR(__xludf.DUMMYFUNCTION("""COMPUTED_VALUE"""),"")</f>
        <v/>
      </c>
      <c r="C2344" s="36" t="str">
        <f>IFERROR(__xludf.DUMMYFUNCTION("""COMPUTED_VALUE"""),"")</f>
        <v/>
      </c>
      <c r="D2344" s="36" t="str">
        <f>IFERROR(__xludf.DUMMYFUNCTION("""COMPUTED_VALUE"""),"")</f>
        <v/>
      </c>
      <c r="E2344" s="36" t="str">
        <f>IFERROR(__xludf.DUMMYFUNCTION("""COMPUTED_VALUE"""),"02-37-06-12")</f>
        <v>02-37-06-12</v>
      </c>
      <c r="F2344" s="36"/>
      <c r="G2344" s="36" t="str">
        <f>IFERROR(__xludf.DUMMYFUNCTION("""COMPUTED_VALUE"""),"Reconquista y Mariano Moreno S")</f>
        <v>Reconquista y Mariano Moreno S</v>
      </c>
      <c r="H2344" s="36" t="str">
        <f>IFERROR(__xludf.DUMMYFUNCTION("""COMPUTED_VALUE"""),"")</f>
        <v/>
      </c>
    </row>
    <row r="2345">
      <c r="A2345" s="36" t="str">
        <f>IFERROR(__xludf.DUMMYFUNCTION("""COMPUTED_VALUE"""),"04-44-12-62")</f>
        <v>04-44-12-62</v>
      </c>
      <c r="B2345" s="36" t="str">
        <f>IFERROR(__xludf.DUMMYFUNCTION("""COMPUTED_VALUE"""),"")</f>
        <v/>
      </c>
      <c r="C2345" s="36" t="str">
        <f>IFERROR(__xludf.DUMMYFUNCTION("""COMPUTED_VALUE"""),"")</f>
        <v/>
      </c>
      <c r="D2345" s="36" t="str">
        <f>IFERROR(__xludf.DUMMYFUNCTION("""COMPUTED_VALUE"""),"")</f>
        <v/>
      </c>
      <c r="E2345" s="36" t="str">
        <f>IFERROR(__xludf.DUMMYFUNCTION("""COMPUTED_VALUE"""),"08-34-01-37B")</f>
        <v>08-34-01-37B</v>
      </c>
      <c r="F2345" s="36"/>
      <c r="G2345" s="36" t="str">
        <f>IFERROR(__xludf.DUMMYFUNCTION("""COMPUTED_VALUE"""),"Reconquista y Padre Mariano Iannelli ")</f>
        <v>Reconquista y Padre Mariano Iannelli </v>
      </c>
      <c r="H2345" s="36" t="str">
        <f>IFERROR(__xludf.DUMMYFUNCTION("""COMPUTED_VALUE"""),"")</f>
        <v/>
      </c>
    </row>
    <row r="2346">
      <c r="A2346" s="36" t="str">
        <f>IFERROR(__xludf.DUMMYFUNCTION("""COMPUTED_VALUE"""),"04-44-12-64")</f>
        <v>04-44-12-64</v>
      </c>
      <c r="B2346" s="36" t="str">
        <f>IFERROR(__xludf.DUMMYFUNCTION("""COMPUTED_VALUE"""),"")</f>
        <v/>
      </c>
      <c r="C2346" s="36" t="str">
        <f>IFERROR(__xludf.DUMMYFUNCTION("""COMPUTED_VALUE"""),"")</f>
        <v/>
      </c>
      <c r="D2346" s="36" t="str">
        <f>IFERROR(__xludf.DUMMYFUNCTION("""COMPUTED_VALUE"""),"")</f>
        <v/>
      </c>
      <c r="E2346" s="36" t="str">
        <f>IFERROR(__xludf.DUMMYFUNCTION("""COMPUTED_VALUE"""),"08-44-03-47")</f>
        <v>08-44-03-47</v>
      </c>
      <c r="F2346" s="36"/>
      <c r="G2346" s="36" t="str">
        <f>IFERROR(__xludf.DUMMYFUNCTION("""COMPUTED_VALUE"""),"Reconquista y San Juan")</f>
        <v>Reconquista y San Juan</v>
      </c>
      <c r="H2346" s="36" t="str">
        <f>IFERROR(__xludf.DUMMYFUNCTION("""COMPUTED_VALUE"""),"")</f>
        <v/>
      </c>
    </row>
    <row r="2347">
      <c r="A2347" s="36" t="str">
        <f>IFERROR(__xludf.DUMMYFUNCTION("""COMPUTED_VALUE"""),"04-44-12-66")</f>
        <v>04-44-12-66</v>
      </c>
      <c r="B2347" s="36" t="str">
        <f>IFERROR(__xludf.DUMMYFUNCTION("""COMPUTED_VALUE"""),"")</f>
        <v/>
      </c>
      <c r="C2347" s="36" t="str">
        <f>IFERROR(__xludf.DUMMYFUNCTION("""COMPUTED_VALUE"""),"")</f>
        <v/>
      </c>
      <c r="D2347" s="36" t="str">
        <f>IFERROR(__xludf.DUMMYFUNCTION("""COMPUTED_VALUE"""),"")</f>
        <v/>
      </c>
      <c r="E2347" s="36" t="str">
        <f>IFERROR(__xludf.DUMMYFUNCTION("""COMPUTED_VALUE"""),"08-23-04-74")</f>
        <v>08-23-04-74</v>
      </c>
      <c r="F2347" s="36"/>
      <c r="G2347" s="36" t="str">
        <f>IFERROR(__xludf.DUMMYFUNCTION("""COMPUTED_VALUE"""),"Reconquista y Soler")</f>
        <v>Reconquista y Soler</v>
      </c>
      <c r="H2347" s="36" t="str">
        <f>IFERROR(__xludf.DUMMYFUNCTION("""COMPUTED_VALUE"""),"")</f>
        <v/>
      </c>
    </row>
    <row r="2348">
      <c r="A2348" s="36" t="str">
        <f>IFERROR(__xludf.DUMMYFUNCTION("""COMPUTED_VALUE"""),"04-44-12-7")</f>
        <v>04-44-12-7</v>
      </c>
      <c r="B2348" s="36" t="str">
        <f>IFERROR(__xludf.DUMMYFUNCTION("""COMPUTED_VALUE"""),"")</f>
        <v/>
      </c>
      <c r="C2348" s="36" t="str">
        <f>IFERROR(__xludf.DUMMYFUNCTION("""COMPUTED_VALUE"""),"")</f>
        <v/>
      </c>
      <c r="D2348" s="36" t="str">
        <f>IFERROR(__xludf.DUMMYFUNCTION("""COMPUTED_VALUE"""),"")</f>
        <v/>
      </c>
      <c r="E2348" s="36" t="str">
        <f>IFERROR(__xludf.DUMMYFUNCTION("""COMPUTED_VALUE"""),"02-37-06-13A")</f>
        <v>02-37-06-13A</v>
      </c>
      <c r="F2348" s="36"/>
      <c r="G2348" s="36" t="str">
        <f>IFERROR(__xludf.DUMMYFUNCTION("""COMPUTED_VALUE"""),"Reconquista y Zonda N")</f>
        <v>Reconquista y Zonda N</v>
      </c>
      <c r="H2348" s="36" t="str">
        <f>IFERROR(__xludf.DUMMYFUNCTION("""COMPUTED_VALUE"""),"")</f>
        <v/>
      </c>
    </row>
    <row r="2349">
      <c r="A2349" s="36" t="str">
        <f>IFERROR(__xludf.DUMMYFUNCTION("""COMPUTED_VALUE"""),"04-44-12-83")</f>
        <v>04-44-12-83</v>
      </c>
      <c r="B2349" s="36" t="str">
        <f>IFERROR(__xludf.DUMMYFUNCTION("""COMPUTED_VALUE"""),"")</f>
        <v/>
      </c>
      <c r="C2349" s="36" t="str">
        <f>IFERROR(__xludf.DUMMYFUNCTION("""COMPUTED_VALUE"""),"")</f>
        <v/>
      </c>
      <c r="D2349" s="36" t="str">
        <f>IFERROR(__xludf.DUMMYFUNCTION("""COMPUTED_VALUE"""),"")</f>
        <v/>
      </c>
      <c r="E2349" s="36" t="str">
        <f>IFERROR(__xludf.DUMMYFUNCTION("""COMPUTED_VALUE"""),"02-37-06-13")</f>
        <v>02-37-06-13</v>
      </c>
      <c r="F2349" s="36"/>
      <c r="G2349" s="36" t="str">
        <f>IFERROR(__xludf.DUMMYFUNCTION("""COMPUTED_VALUE"""),"Reconquista y Zonda S")</f>
        <v>Reconquista y Zonda S</v>
      </c>
      <c r="H2349" s="36" t="str">
        <f>IFERROR(__xludf.DUMMYFUNCTION("""COMPUTED_VALUE"""),"")</f>
        <v/>
      </c>
    </row>
    <row r="2350">
      <c r="A2350" s="36" t="str">
        <f>IFERROR(__xludf.DUMMYFUNCTION("""COMPUTED_VALUE"""),"04-44-12-83A")</f>
        <v>04-44-12-83A</v>
      </c>
      <c r="B2350" s="36" t="str">
        <f>IFERROR(__xludf.DUMMYFUNCTION("""COMPUTED_VALUE"""),"")</f>
        <v/>
      </c>
      <c r="C2350" s="36" t="str">
        <f>IFERROR(__xludf.DUMMYFUNCTION("""COMPUTED_VALUE"""),"")</f>
        <v/>
      </c>
      <c r="D2350" s="36" t="str">
        <f>IFERROR(__xludf.DUMMYFUNCTION("""COMPUTED_VALUE"""),"")</f>
        <v/>
      </c>
      <c r="E2350" s="36" t="str">
        <f>IFERROR(__xludf.DUMMYFUNCTION("""COMPUTED_VALUE"""),"01-63-14-38")</f>
        <v>01-63-14-38</v>
      </c>
      <c r="F2350" s="36"/>
      <c r="G2350" s="36" t="str">
        <f>IFERROR(__xludf.DUMMYFUNCTION("""COMPUTED_VALUE"""),"René Favaloro y Madre Teresa")</f>
        <v>René Favaloro y Madre Teresa</v>
      </c>
      <c r="H2350" s="36" t="str">
        <f>IFERROR(__xludf.DUMMYFUNCTION("""COMPUTED_VALUE"""),"")</f>
        <v/>
      </c>
    </row>
    <row r="2351">
      <c r="A2351" s="36" t="str">
        <f>IFERROR(__xludf.DUMMYFUNCTION("""COMPUTED_VALUE"""),"04-44-12-85")</f>
        <v>04-44-12-85</v>
      </c>
      <c r="B2351" s="36" t="str">
        <f>IFERROR(__xludf.DUMMYFUNCTION("""COMPUTED_VALUE"""),"")</f>
        <v/>
      </c>
      <c r="C2351" s="36" t="str">
        <f>IFERROR(__xludf.DUMMYFUNCTION("""COMPUTED_VALUE"""),"")</f>
        <v/>
      </c>
      <c r="D2351" s="36" t="str">
        <f>IFERROR(__xludf.DUMMYFUNCTION("""COMPUTED_VALUE"""),"")</f>
        <v/>
      </c>
      <c r="E2351" s="36" t="str">
        <f>IFERROR(__xludf.DUMMYFUNCTION("""COMPUTED_VALUE"""),"01-63-14-39")</f>
        <v>01-63-14-39</v>
      </c>
      <c r="F2351" s="36"/>
      <c r="G2351" s="36" t="str">
        <f>IFERROR(__xludf.DUMMYFUNCTION("""COMPUTED_VALUE"""),"René Favaloro y Pérez Esquivel")</f>
        <v>René Favaloro y Pérez Esquivel</v>
      </c>
      <c r="H2351" s="36" t="str">
        <f>IFERROR(__xludf.DUMMYFUNCTION("""COMPUTED_VALUE"""),"")</f>
        <v/>
      </c>
    </row>
    <row r="2352">
      <c r="A2352" s="36" t="str">
        <f>IFERROR(__xludf.DUMMYFUNCTION("""COMPUTED_VALUE"""),"04-44-12-87")</f>
        <v>04-44-12-87</v>
      </c>
      <c r="B2352" s="36" t="str">
        <f>IFERROR(__xludf.DUMMYFUNCTION("""COMPUTED_VALUE"""),"")</f>
        <v/>
      </c>
      <c r="C2352" s="36" t="str">
        <f>IFERROR(__xludf.DUMMYFUNCTION("""COMPUTED_VALUE"""),"")</f>
        <v/>
      </c>
      <c r="D2352" s="36" t="str">
        <f>IFERROR(__xludf.DUMMYFUNCTION("""COMPUTED_VALUE"""),"")</f>
        <v/>
      </c>
      <c r="E2352" s="36" t="str">
        <f>IFERROR(__xludf.DUMMYFUNCTION("""COMPUTED_VALUE"""),"08-22-03-31A")</f>
        <v>08-22-03-31A</v>
      </c>
      <c r="F2352" s="36"/>
      <c r="G2352" s="36" t="str">
        <f>IFERROR(__xludf.DUMMYFUNCTION("""COMPUTED_VALUE"""),"Rep. Argentina y Brasil")</f>
        <v>Rep. Argentina y Brasil</v>
      </c>
      <c r="H2352" s="36" t="str">
        <f>IFERROR(__xludf.DUMMYFUNCTION("""COMPUTED_VALUE"""),"")</f>
        <v/>
      </c>
    </row>
    <row r="2353">
      <c r="A2353" s="36" t="str">
        <f>IFERROR(__xludf.DUMMYFUNCTION("""COMPUTED_VALUE"""),"04-44-12-89")</f>
        <v>04-44-12-89</v>
      </c>
      <c r="B2353" s="36" t="str">
        <f>IFERROR(__xludf.DUMMYFUNCTION("""COMPUTED_VALUE"""),"")</f>
        <v/>
      </c>
      <c r="C2353" s="36" t="str">
        <f>IFERROR(__xludf.DUMMYFUNCTION("""COMPUTED_VALUE"""),"")</f>
        <v/>
      </c>
      <c r="D2353" s="36" t="str">
        <f>IFERROR(__xludf.DUMMYFUNCTION("""COMPUTED_VALUE"""),"")</f>
        <v/>
      </c>
      <c r="E2353" s="36" t="str">
        <f>IFERROR(__xludf.DUMMYFUNCTION("""COMPUTED_VALUE"""),"08-22-03-31")</f>
        <v>08-22-03-31</v>
      </c>
      <c r="F2353" s="36"/>
      <c r="G2353" s="36" t="str">
        <f>IFERROR(__xludf.DUMMYFUNCTION("""COMPUTED_VALUE"""),"Rep. Argentina y Centenario")</f>
        <v>Rep. Argentina y Centenario</v>
      </c>
      <c r="H2353" s="36" t="str">
        <f>IFERROR(__xludf.DUMMYFUNCTION("""COMPUTED_VALUE"""),"")</f>
        <v/>
      </c>
    </row>
    <row r="2354">
      <c r="A2354" s="36" t="str">
        <f>IFERROR(__xludf.DUMMYFUNCTION("""COMPUTED_VALUE"""),"04-44-12-91")</f>
        <v>04-44-12-91</v>
      </c>
      <c r="B2354" s="36" t="str">
        <f>IFERROR(__xludf.DUMMYFUNCTION("""COMPUTED_VALUE"""),"")</f>
        <v/>
      </c>
      <c r="C2354" s="36" t="str">
        <f>IFERROR(__xludf.DUMMYFUNCTION("""COMPUTED_VALUE"""),"")</f>
        <v/>
      </c>
      <c r="D2354" s="36" t="str">
        <f>IFERROR(__xludf.DUMMYFUNCTION("""COMPUTED_VALUE"""),"")</f>
        <v/>
      </c>
      <c r="E2354" s="36" t="str">
        <f>IFERROR(__xludf.DUMMYFUNCTION("""COMPUTED_VALUE"""),"08-22-03-33")</f>
        <v>08-22-03-33</v>
      </c>
      <c r="F2354" s="36"/>
      <c r="G2354" s="36" t="str">
        <f>IFERROR(__xludf.DUMMYFUNCTION("""COMPUTED_VALUE"""),"Rep. Argentina y México")</f>
        <v>Rep. Argentina y México</v>
      </c>
      <c r="H2354" s="36" t="str">
        <f>IFERROR(__xludf.DUMMYFUNCTION("""COMPUTED_VALUE"""),"")</f>
        <v/>
      </c>
    </row>
    <row r="2355">
      <c r="A2355" s="36" t="str">
        <f>IFERROR(__xludf.DUMMYFUNCTION("""COMPUTED_VALUE"""),"04-44-12-93")</f>
        <v>04-44-12-93</v>
      </c>
      <c r="B2355" s="36" t="str">
        <f>IFERROR(__xludf.DUMMYFUNCTION("""COMPUTED_VALUE"""),"")</f>
        <v/>
      </c>
      <c r="C2355" s="36" t="str">
        <f>IFERROR(__xludf.DUMMYFUNCTION("""COMPUTED_VALUE"""),"")</f>
        <v/>
      </c>
      <c r="D2355" s="36" t="str">
        <f>IFERROR(__xludf.DUMMYFUNCTION("""COMPUTED_VALUE"""),"")</f>
        <v/>
      </c>
      <c r="E2355" s="36" t="str">
        <f>IFERROR(__xludf.DUMMYFUNCTION("""COMPUTED_VALUE"""),"04-35-12-70")</f>
        <v>04-35-12-70</v>
      </c>
      <c r="F2355" s="36"/>
      <c r="G2355" s="36" t="str">
        <f>IFERROR(__xludf.DUMMYFUNCTION("""COMPUTED_VALUE"""),"Rep. del Líbano e Hipólito Yrigoyen")</f>
        <v>Rep. del Líbano e Hipólito Yrigoyen</v>
      </c>
      <c r="H2355" s="36" t="str">
        <f>IFERROR(__xludf.DUMMYFUNCTION("""COMPUTED_VALUE"""),"")</f>
        <v/>
      </c>
    </row>
    <row r="2356">
      <c r="A2356" s="36" t="str">
        <f>IFERROR(__xludf.DUMMYFUNCTION("""COMPUTED_VALUE"""),"04-44-12-94")</f>
        <v>04-44-12-94</v>
      </c>
      <c r="B2356" s="36" t="str">
        <f>IFERROR(__xludf.DUMMYFUNCTION("""COMPUTED_VALUE"""),"")</f>
        <v/>
      </c>
      <c r="C2356" s="36" t="str">
        <f>IFERROR(__xludf.DUMMYFUNCTION("""COMPUTED_VALUE"""),"")</f>
        <v/>
      </c>
      <c r="D2356" s="36" t="str">
        <f>IFERROR(__xludf.DUMMYFUNCTION("""COMPUTED_VALUE"""),"")</f>
        <v/>
      </c>
      <c r="E2356" s="36" t="str">
        <f>IFERROR(__xludf.DUMMYFUNCTION("""COMPUTED_VALUE"""),"02-40-11-117C")</f>
        <v>02-40-11-117C</v>
      </c>
      <c r="F2356" s="36"/>
      <c r="G2356" s="36" t="str">
        <f>IFERROR(__xludf.DUMMYFUNCTION("""COMPUTED_VALUE"""),"Rep. del Líbano Norte y Calívar")</f>
        <v>Rep. del Líbano Norte y Calívar</v>
      </c>
      <c r="H2356" s="36" t="str">
        <f>IFERROR(__xludf.DUMMYFUNCTION("""COMPUTED_VALUE"""),"")</f>
        <v/>
      </c>
    </row>
    <row r="2357">
      <c r="A2357" s="36" t="str">
        <f>IFERROR(__xludf.DUMMYFUNCTION("""COMPUTED_VALUE"""),"04-44-12-95")</f>
        <v>04-44-12-95</v>
      </c>
      <c r="B2357" s="36" t="str">
        <f>IFERROR(__xludf.DUMMYFUNCTION("""COMPUTED_VALUE"""),"")</f>
        <v/>
      </c>
      <c r="C2357" s="36" t="str">
        <f>IFERROR(__xludf.DUMMYFUNCTION("""COMPUTED_VALUE"""),"")</f>
        <v/>
      </c>
      <c r="D2357" s="36" t="str">
        <f>IFERROR(__xludf.DUMMYFUNCTION("""COMPUTED_VALUE"""),"")</f>
        <v/>
      </c>
      <c r="E2357" s="36" t="str">
        <f>IFERROR(__xludf.DUMMYFUNCTION("""COMPUTED_VALUE"""),"04-38-11-117B")</f>
        <v>04-38-11-117B</v>
      </c>
      <c r="F2357" s="36"/>
      <c r="G2357" s="36" t="str">
        <f>IFERROR(__xludf.DUMMYFUNCTION("""COMPUTED_VALUE"""),"Rep. del Líbano Sur y Calívar")</f>
        <v>Rep. del Líbano Sur y Calívar</v>
      </c>
      <c r="H2357" s="36" t="str">
        <f>IFERROR(__xludf.DUMMYFUNCTION("""COMPUTED_VALUE"""),"")</f>
        <v/>
      </c>
    </row>
    <row r="2358">
      <c r="A2358" s="36" t="str">
        <f>IFERROR(__xludf.DUMMYFUNCTION("""COMPUTED_VALUE"""),"04-44-12-96")</f>
        <v>04-44-12-96</v>
      </c>
      <c r="B2358" s="36" t="str">
        <f>IFERROR(__xludf.DUMMYFUNCTION("""COMPUTED_VALUE"""),"")</f>
        <v/>
      </c>
      <c r="C2358" s="36" t="str">
        <f>IFERROR(__xludf.DUMMYFUNCTION("""COMPUTED_VALUE"""),"")</f>
        <v/>
      </c>
      <c r="D2358" s="36" t="str">
        <f>IFERROR(__xludf.DUMMYFUNCTION("""COMPUTED_VALUE"""),"")</f>
        <v/>
      </c>
      <c r="E2358" s="36" t="str">
        <f>IFERROR(__xludf.DUMMYFUNCTION("""COMPUTED_VALUE"""),"04-35-12-74")</f>
        <v>04-35-12-74</v>
      </c>
      <c r="F2358" s="36"/>
      <c r="G2358" s="36" t="str">
        <f>IFERROR(__xludf.DUMMYFUNCTION("""COMPUTED_VALUE"""),"Rep. del Líbano y 25 de Mayo")</f>
        <v>Rep. del Líbano y 25 de Mayo</v>
      </c>
      <c r="H2358" s="36" t="str">
        <f>IFERROR(__xludf.DUMMYFUNCTION("""COMPUTED_VALUE"""),"")</f>
        <v/>
      </c>
    </row>
    <row r="2359">
      <c r="A2359" s="36" t="str">
        <f>IFERROR(__xludf.DUMMYFUNCTION("""COMPUTED_VALUE"""),"04-44-12-97")</f>
        <v>04-44-12-97</v>
      </c>
      <c r="B2359" s="36" t="str">
        <f>IFERROR(__xludf.DUMMYFUNCTION("""COMPUTED_VALUE"""),"")</f>
        <v/>
      </c>
      <c r="C2359" s="36" t="str">
        <f>IFERROR(__xludf.DUMMYFUNCTION("""COMPUTED_VALUE"""),"")</f>
        <v/>
      </c>
      <c r="D2359" s="36" t="str">
        <f>IFERROR(__xludf.DUMMYFUNCTION("""COMPUTED_VALUE"""),"")</f>
        <v/>
      </c>
      <c r="E2359" s="36" t="str">
        <f>IFERROR(__xludf.DUMMYFUNCTION("""COMPUTED_VALUE"""),"02-38-12-26")</f>
        <v>02-38-12-26</v>
      </c>
      <c r="F2359" s="36"/>
      <c r="G2359" s="36" t="str">
        <f>IFERROR(__xludf.DUMMYFUNCTION("""COMPUTED_VALUE"""),"Rep. del Líbano y Av. Vidart")</f>
        <v>Rep. del Líbano y Av. Vidart</v>
      </c>
      <c r="H2359" s="36" t="str">
        <f>IFERROR(__xludf.DUMMYFUNCTION("""COMPUTED_VALUE"""),"")</f>
        <v/>
      </c>
    </row>
    <row r="2360">
      <c r="A2360" s="36" t="str">
        <f>IFERROR(__xludf.DUMMYFUNCTION("""COMPUTED_VALUE"""),"04-44-12-98")</f>
        <v>04-44-12-98</v>
      </c>
      <c r="B2360" s="36" t="str">
        <f>IFERROR(__xludf.DUMMYFUNCTION("""COMPUTED_VALUE"""),"")</f>
        <v/>
      </c>
      <c r="C2360" s="36" t="str">
        <f>IFERROR(__xludf.DUMMYFUNCTION("""COMPUTED_VALUE"""),"")</f>
        <v/>
      </c>
      <c r="D2360" s="36" t="str">
        <f>IFERROR(__xludf.DUMMYFUNCTION("""COMPUTED_VALUE"""),"")</f>
        <v/>
      </c>
      <c r="E2360" s="36" t="str">
        <f>IFERROR(__xludf.DUMMYFUNCTION("""COMPUTED_VALUE"""),"02-38-12-72")</f>
        <v>02-38-12-72</v>
      </c>
      <c r="F2360" s="36"/>
      <c r="G2360" s="36" t="str">
        <f>IFERROR(__xludf.DUMMYFUNCTION("""COMPUTED_VALUE"""),"Rep. del Libano y Esmeralda")</f>
        <v>Rep. del Libano y Esmeralda</v>
      </c>
      <c r="H2360" s="36" t="str">
        <f>IFERROR(__xludf.DUMMYFUNCTION("""COMPUTED_VALUE"""),"")</f>
        <v/>
      </c>
    </row>
    <row r="2361">
      <c r="A2361" s="36" t="str">
        <f>IFERROR(__xludf.DUMMYFUNCTION("""COMPUTED_VALUE"""),"04-45-12-11")</f>
        <v>04-45-12-11</v>
      </c>
      <c r="B2361" s="36" t="str">
        <f>IFERROR(__xludf.DUMMYFUNCTION("""COMPUTED_VALUE"""),"")</f>
        <v/>
      </c>
      <c r="C2361" s="36" t="str">
        <f>IFERROR(__xludf.DUMMYFUNCTION("""COMPUTED_VALUE"""),"")</f>
        <v/>
      </c>
      <c r="D2361" s="36" t="str">
        <f>IFERROR(__xludf.DUMMYFUNCTION("""COMPUTED_VALUE"""),"")</f>
        <v/>
      </c>
      <c r="E2361" s="36" t="str">
        <f>IFERROR(__xludf.DUMMYFUNCTION("""COMPUTED_VALUE"""),"02-38-12-75")</f>
        <v>02-38-12-75</v>
      </c>
      <c r="F2361" s="36"/>
      <c r="G2361" s="36" t="str">
        <f>IFERROR(__xludf.DUMMYFUNCTION("""COMPUTED_VALUE"""),"Rep. del Libano y Esteban Echeverria")</f>
        <v>Rep. del Libano y Esteban Echeverria</v>
      </c>
      <c r="H2361" s="36" t="str">
        <f>IFERROR(__xludf.DUMMYFUNCTION("""COMPUTED_VALUE"""),"")</f>
        <v/>
      </c>
    </row>
    <row r="2362">
      <c r="A2362" s="36" t="str">
        <f>IFERROR(__xludf.DUMMYFUNCTION("""COMPUTED_VALUE"""),"04-45-12-12")</f>
        <v>04-45-12-12</v>
      </c>
      <c r="B2362" s="36" t="str">
        <f>IFERROR(__xludf.DUMMYFUNCTION("""COMPUTED_VALUE"""),"")</f>
        <v/>
      </c>
      <c r="C2362" s="36" t="str">
        <f>IFERROR(__xludf.DUMMYFUNCTION("""COMPUTED_VALUE"""),"")</f>
        <v/>
      </c>
      <c r="D2362" s="36" t="str">
        <f>IFERROR(__xludf.DUMMYFUNCTION("""COMPUTED_VALUE"""),"")</f>
        <v/>
      </c>
      <c r="E2362" s="36" t="str">
        <f>IFERROR(__xludf.DUMMYFUNCTION("""COMPUTED_VALUE"""),"04-35-12-76")</f>
        <v>04-35-12-76</v>
      </c>
      <c r="F2362" s="36"/>
      <c r="G2362" s="36" t="str">
        <f>IFERROR(__xludf.DUMMYFUNCTION("""COMPUTED_VALUE"""),"Rep. del líbano y J. Newbery")</f>
        <v>Rep. del líbano y J. Newbery</v>
      </c>
      <c r="H2362" s="36" t="str">
        <f>IFERROR(__xludf.DUMMYFUNCTION("""COMPUTED_VALUE"""),"")</f>
        <v/>
      </c>
    </row>
    <row r="2363">
      <c r="A2363" s="36" t="str">
        <f>IFERROR(__xludf.DUMMYFUNCTION("""COMPUTED_VALUE"""),"04-45-12-13")</f>
        <v>04-45-12-13</v>
      </c>
      <c r="B2363" s="36" t="str">
        <f>IFERROR(__xludf.DUMMYFUNCTION("""COMPUTED_VALUE"""),"")</f>
        <v/>
      </c>
      <c r="C2363" s="36" t="str">
        <f>IFERROR(__xludf.DUMMYFUNCTION("""COMPUTED_VALUE"""),"")</f>
        <v/>
      </c>
      <c r="D2363" s="36" t="str">
        <f>IFERROR(__xludf.DUMMYFUNCTION("""COMPUTED_VALUE"""),"")</f>
        <v/>
      </c>
      <c r="E2363" s="36" t="str">
        <f>IFERROR(__xludf.DUMMYFUNCTION("""COMPUTED_VALUE"""),"04-36-12-68A")</f>
        <v>04-36-12-68A</v>
      </c>
      <c r="F2363" s="36"/>
      <c r="G2363" s="36" t="str">
        <f>IFERROR(__xludf.DUMMYFUNCTION("""COMPUTED_VALUE"""),"Rep. del Líbano y Pedro Echagüe")</f>
        <v>Rep. del Líbano y Pedro Echagüe</v>
      </c>
      <c r="H2363" s="36" t="str">
        <f>IFERROR(__xludf.DUMMYFUNCTION("""COMPUTED_VALUE"""),"")</f>
        <v/>
      </c>
    </row>
    <row r="2364">
      <c r="A2364" s="36" t="str">
        <f>IFERROR(__xludf.DUMMYFUNCTION("""COMPUTED_VALUE"""),"04-45-12-14")</f>
        <v>04-45-12-14</v>
      </c>
      <c r="B2364" s="36" t="str">
        <f>IFERROR(__xludf.DUMMYFUNCTION("""COMPUTED_VALUE"""),"")</f>
        <v/>
      </c>
      <c r="C2364" s="36" t="str">
        <f>IFERROR(__xludf.DUMMYFUNCTION("""COMPUTED_VALUE"""),"")</f>
        <v/>
      </c>
      <c r="D2364" s="36" t="str">
        <f>IFERROR(__xludf.DUMMYFUNCTION("""COMPUTED_VALUE"""),"")</f>
        <v/>
      </c>
      <c r="E2364" s="36" t="str">
        <f>IFERROR(__xludf.DUMMYFUNCTION("""COMPUTED_VALUE"""),"02-38-12-73")</f>
        <v>02-38-12-73</v>
      </c>
      <c r="F2364" s="36"/>
      <c r="G2364" s="36" t="str">
        <f>IFERROR(__xludf.DUMMYFUNCTION("""COMPUTED_VALUE"""),"Rep. del Libano y Sargento Acosta")</f>
        <v>Rep. del Libano y Sargento Acosta</v>
      </c>
      <c r="H2364" s="36" t="str">
        <f>IFERROR(__xludf.DUMMYFUNCTION("""COMPUTED_VALUE"""),"")</f>
        <v/>
      </c>
    </row>
    <row r="2365">
      <c r="A2365" s="36" t="str">
        <f>IFERROR(__xludf.DUMMYFUNCTION("""COMPUTED_VALUE"""),"04-45-12-14A")</f>
        <v>04-45-12-14A</v>
      </c>
      <c r="B2365" s="36" t="str">
        <f>IFERROR(__xludf.DUMMYFUNCTION("""COMPUTED_VALUE"""),"")</f>
        <v/>
      </c>
      <c r="C2365" s="36" t="str">
        <f>IFERROR(__xludf.DUMMYFUNCTION("""COMPUTED_VALUE"""),"")</f>
        <v/>
      </c>
      <c r="D2365" s="36" t="str">
        <f>IFERROR(__xludf.DUMMYFUNCTION("""COMPUTED_VALUE"""),"")</f>
        <v/>
      </c>
      <c r="E2365" s="36" t="str">
        <f>IFERROR(__xludf.DUMMYFUNCTION("""COMPUTED_VALUE"""),"02-38-12-28")</f>
        <v>02-38-12-28</v>
      </c>
      <c r="F2365" s="36"/>
      <c r="G2365" s="36" t="str">
        <f>IFERROR(__xludf.DUMMYFUNCTION("""COMPUTED_VALUE"""),"Rep. del Líbano y Soldado Argentino ")</f>
        <v>Rep. del Líbano y Soldado Argentino </v>
      </c>
      <c r="H2365" s="36" t="str">
        <f>IFERROR(__xludf.DUMMYFUNCTION("""COMPUTED_VALUE"""),"")</f>
        <v/>
      </c>
    </row>
    <row r="2366">
      <c r="A2366" s="36" t="str">
        <f>IFERROR(__xludf.DUMMYFUNCTION("""COMPUTED_VALUE"""),"04-45-12-14B")</f>
        <v>04-45-12-14B</v>
      </c>
      <c r="B2366" s="36" t="str">
        <f>IFERROR(__xludf.DUMMYFUNCTION("""COMPUTED_VALUE"""),"")</f>
        <v/>
      </c>
      <c r="C2366" s="36" t="str">
        <f>IFERROR(__xludf.DUMMYFUNCTION("""COMPUTED_VALUE"""),"")</f>
        <v/>
      </c>
      <c r="D2366" s="36" t="str">
        <f>IFERROR(__xludf.DUMMYFUNCTION("""COMPUTED_VALUE"""),"")</f>
        <v/>
      </c>
      <c r="E2366" s="36" t="str">
        <f>IFERROR(__xludf.DUMMYFUNCTION("""COMPUTED_VALUE"""),"04-20-13-8")</f>
        <v>04-20-13-8</v>
      </c>
      <c r="F2366" s="36"/>
      <c r="G2366" s="36" t="str">
        <f>IFERROR(__xludf.DUMMYFUNCTION("""COMPUTED_VALUE"""),"República del Líbano y Av. España -N")</f>
        <v>República del Líbano y Av. España -N</v>
      </c>
      <c r="H2366" s="36" t="str">
        <f>IFERROR(__xludf.DUMMYFUNCTION("""COMPUTED_VALUE"""),"NOMBRE")</f>
        <v>NOMBRE</v>
      </c>
    </row>
    <row r="2367">
      <c r="A2367" s="36" t="str">
        <f>IFERROR(__xludf.DUMMYFUNCTION("""COMPUTED_VALUE"""),"04-45-12-14C")</f>
        <v>04-45-12-14C</v>
      </c>
      <c r="B2367" s="36" t="str">
        <f>IFERROR(__xludf.DUMMYFUNCTION("""COMPUTED_VALUE"""),"")</f>
        <v/>
      </c>
      <c r="C2367" s="36" t="str">
        <f>IFERROR(__xludf.DUMMYFUNCTION("""COMPUTED_VALUE"""),"")</f>
        <v/>
      </c>
      <c r="D2367" s="36" t="str">
        <f>IFERROR(__xludf.DUMMYFUNCTION("""COMPUTED_VALUE"""),"")</f>
        <v/>
      </c>
      <c r="E2367" s="36" t="str">
        <f>IFERROR(__xludf.DUMMYFUNCTION("""COMPUTED_VALUE"""),"04-20-13-8")</f>
        <v>04-20-13-8</v>
      </c>
      <c r="F2367" s="36"/>
      <c r="G2367" s="36" t="str">
        <f>IFERROR(__xludf.DUMMYFUNCTION("""COMPUTED_VALUE"""),"República del Líbano y Av. España -N")</f>
        <v>República del Líbano y Av. España -N</v>
      </c>
      <c r="H2367" s="36" t="str">
        <f>IFERROR(__xludf.DUMMYFUNCTION("""COMPUTED_VALUE"""),"")</f>
        <v/>
      </c>
    </row>
    <row r="2368">
      <c r="A2368" s="36" t="str">
        <f>IFERROR(__xludf.DUMMYFUNCTION("""COMPUTED_VALUE"""),"04-45-12-14D")</f>
        <v>04-45-12-14D</v>
      </c>
      <c r="B2368" s="36" t="str">
        <f>IFERROR(__xludf.DUMMYFUNCTION("""COMPUTED_VALUE"""),"")</f>
        <v/>
      </c>
      <c r="C2368" s="36" t="str">
        <f>IFERROR(__xludf.DUMMYFUNCTION("""COMPUTED_VALUE"""),"")</f>
        <v/>
      </c>
      <c r="D2368" s="36" t="str">
        <f>IFERROR(__xludf.DUMMYFUNCTION("""COMPUTED_VALUE"""),"")</f>
        <v/>
      </c>
      <c r="E2368" s="36" t="str">
        <f>IFERROR(__xludf.DUMMYFUNCTION("""COMPUTED_VALUE"""),"04-33-13-7")</f>
        <v>04-33-13-7</v>
      </c>
      <c r="F2368" s="36"/>
      <c r="G2368" s="36" t="str">
        <f>IFERROR(__xludf.DUMMYFUNCTION("""COMPUTED_VALUE"""),"República del Líbano y Av. España -S")</f>
        <v>República del Líbano y Av. España -S</v>
      </c>
      <c r="H2368" s="36" t="str">
        <f>IFERROR(__xludf.DUMMYFUNCTION("""COMPUTED_VALUE"""),"")</f>
        <v/>
      </c>
    </row>
    <row r="2369">
      <c r="A2369" s="36" t="str">
        <f>IFERROR(__xludf.DUMMYFUNCTION("""COMPUTED_VALUE"""),"04-45-12-14E")</f>
        <v>04-45-12-14E</v>
      </c>
      <c r="B2369" s="36" t="str">
        <f>IFERROR(__xludf.DUMMYFUNCTION("""COMPUTED_VALUE"""),"")</f>
        <v/>
      </c>
      <c r="C2369" s="36" t="str">
        <f>IFERROR(__xludf.DUMMYFUNCTION("""COMPUTED_VALUE"""),"")</f>
        <v/>
      </c>
      <c r="D2369" s="36" t="str">
        <f>IFERROR(__xludf.DUMMYFUNCTION("""COMPUTED_VALUE"""),"")</f>
        <v/>
      </c>
      <c r="E2369" s="36" t="str">
        <f>IFERROR(__xludf.DUMMYFUNCTION("""COMPUTED_VALUE"""),"04-34-12-29")</f>
        <v>04-34-12-29</v>
      </c>
      <c r="F2369" s="36"/>
      <c r="G2369" s="36" t="str">
        <f>IFERROR(__xludf.DUMMYFUNCTION("""COMPUTED_VALUE"""),"República del Libano y Coronel Zapiola S")</f>
        <v>República del Libano y Coronel Zapiola S</v>
      </c>
      <c r="H2369" s="36" t="str">
        <f>IFERROR(__xludf.DUMMYFUNCTION("""COMPUTED_VALUE"""),"")</f>
        <v/>
      </c>
    </row>
    <row r="2370">
      <c r="A2370" s="36" t="str">
        <f>IFERROR(__xludf.DUMMYFUNCTION("""COMPUTED_VALUE"""),"04-45-12-14F")</f>
        <v>04-45-12-14F</v>
      </c>
      <c r="B2370" s="36" t="str">
        <f>IFERROR(__xludf.DUMMYFUNCTION("""COMPUTED_VALUE"""),"")</f>
        <v/>
      </c>
      <c r="C2370" s="36" t="str">
        <f>IFERROR(__xludf.DUMMYFUNCTION("""COMPUTED_VALUE"""),"")</f>
        <v/>
      </c>
      <c r="D2370" s="36" t="str">
        <f>IFERROR(__xludf.DUMMYFUNCTION("""COMPUTED_VALUE"""),"")</f>
        <v/>
      </c>
      <c r="E2370" s="36" t="str">
        <f>IFERROR(__xludf.DUMMYFUNCTION("""COMPUTED_VALUE"""),"04-34-12-32B")</f>
        <v>04-34-12-32B</v>
      </c>
      <c r="F2370" s="36"/>
      <c r="G2370" s="36" t="str">
        <f>IFERROR(__xludf.DUMMYFUNCTION("""COMPUTED_VALUE"""),"República del Libano y Dominguito Sur")</f>
        <v>República del Libano y Dominguito Sur</v>
      </c>
      <c r="H2370" s="36" t="str">
        <f>IFERROR(__xludf.DUMMYFUNCTION("""COMPUTED_VALUE"""),"")</f>
        <v/>
      </c>
    </row>
    <row r="2371">
      <c r="A2371" s="36" t="str">
        <f>IFERROR(__xludf.DUMMYFUNCTION("""COMPUTED_VALUE"""),"04-45-12-17")</f>
        <v>04-45-12-17</v>
      </c>
      <c r="B2371" s="36" t="str">
        <f>IFERROR(__xludf.DUMMYFUNCTION("""COMPUTED_VALUE"""),"")</f>
        <v/>
      </c>
      <c r="C2371" s="36" t="str">
        <f>IFERROR(__xludf.DUMMYFUNCTION("""COMPUTED_VALUE"""),"")</f>
        <v/>
      </c>
      <c r="D2371" s="36" t="str">
        <f>IFERROR(__xludf.DUMMYFUNCTION("""COMPUTED_VALUE"""),"")</f>
        <v/>
      </c>
      <c r="E2371" s="36" t="str">
        <f>IFERROR(__xludf.DUMMYFUNCTION("""COMPUTED_VALUE"""),"02-39-12-68b")</f>
        <v>02-39-12-68b</v>
      </c>
      <c r="F2371" s="36"/>
      <c r="G2371" s="36" t="str">
        <f>IFERROR(__xludf.DUMMYFUNCTION("""COMPUTED_VALUE"""),"Republica del Libano y Echague ")</f>
        <v>Republica del Libano y Echague </v>
      </c>
      <c r="H2371" s="36" t="str">
        <f>IFERROR(__xludf.DUMMYFUNCTION("""COMPUTED_VALUE"""),"")</f>
        <v/>
      </c>
    </row>
    <row r="2372">
      <c r="A2372" s="36" t="str">
        <f>IFERROR(__xludf.DUMMYFUNCTION("""COMPUTED_VALUE"""),"04-45-12-17A")</f>
        <v>04-45-12-17A</v>
      </c>
      <c r="B2372" s="36" t="str">
        <f>IFERROR(__xludf.DUMMYFUNCTION("""COMPUTED_VALUE"""),"")</f>
        <v/>
      </c>
      <c r="C2372" s="36" t="str">
        <f>IFERROR(__xludf.DUMMYFUNCTION("""COMPUTED_VALUE"""),"")</f>
        <v/>
      </c>
      <c r="D2372" s="36" t="str">
        <f>IFERROR(__xludf.DUMMYFUNCTION("""COMPUTED_VALUE"""),"")</f>
        <v/>
      </c>
      <c r="E2372" s="36" t="str">
        <f>IFERROR(__xludf.DUMMYFUNCTION("""COMPUTED_VALUE"""),"04-21-13-458B")</f>
        <v>04-21-13-458B</v>
      </c>
      <c r="F2372" s="36"/>
      <c r="G2372" s="36" t="str">
        <f>IFERROR(__xludf.DUMMYFUNCTION("""COMPUTED_VALUE"""),"República del Líbano y José Sarmiento")</f>
        <v>República del Líbano y José Sarmiento</v>
      </c>
      <c r="H2372" s="36" t="str">
        <f>IFERROR(__xludf.DUMMYFUNCTION("""COMPUTED_VALUE"""),"")</f>
        <v/>
      </c>
    </row>
    <row r="2373">
      <c r="A2373" s="36" t="str">
        <f>IFERROR(__xludf.DUMMYFUNCTION("""COMPUTED_VALUE"""),"04-45-12-17B")</f>
        <v>04-45-12-17B</v>
      </c>
      <c r="B2373" s="36" t="str">
        <f>IFERROR(__xludf.DUMMYFUNCTION("""COMPUTED_VALUE"""),"")</f>
        <v/>
      </c>
      <c r="C2373" s="36" t="str">
        <f>IFERROR(__xludf.DUMMYFUNCTION("""COMPUTED_VALUE"""),"")</f>
        <v/>
      </c>
      <c r="D2373" s="36" t="str">
        <f>IFERROR(__xludf.DUMMYFUNCTION("""COMPUTED_VALUE"""),"")</f>
        <v/>
      </c>
      <c r="E2373" s="36" t="str">
        <f>IFERROR(__xludf.DUMMYFUNCTION("""COMPUTED_VALUE"""),"04-32-13-458A")</f>
        <v>04-32-13-458A</v>
      </c>
      <c r="F2373" s="36"/>
      <c r="G2373" s="36" t="str">
        <f>IFERROR(__xludf.DUMMYFUNCTION("""COMPUTED_VALUE"""),"República del Líbano y Libertad")</f>
        <v>República del Líbano y Libertad</v>
      </c>
      <c r="H2373" s="36" t="str">
        <f>IFERROR(__xludf.DUMMYFUNCTION("""COMPUTED_VALUE"""),"")</f>
        <v/>
      </c>
    </row>
    <row r="2374">
      <c r="A2374" s="36" t="str">
        <f>IFERROR(__xludf.DUMMYFUNCTION("""COMPUTED_VALUE"""),"04-45-12-17C")</f>
        <v>04-45-12-17C</v>
      </c>
      <c r="B2374" s="36" t="str">
        <f>IFERROR(__xludf.DUMMYFUNCTION("""COMPUTED_VALUE"""),"")</f>
        <v/>
      </c>
      <c r="C2374" s="36" t="str">
        <f>IFERROR(__xludf.DUMMYFUNCTION("""COMPUTED_VALUE"""),"")</f>
        <v/>
      </c>
      <c r="D2374" s="36" t="str">
        <f>IFERROR(__xludf.DUMMYFUNCTION("""COMPUTED_VALUE"""),"")</f>
        <v/>
      </c>
      <c r="E2374" s="36" t="str">
        <f>IFERROR(__xludf.DUMMYFUNCTION("""COMPUTED_VALUE"""),"04-20-13-542")</f>
        <v>04-20-13-542</v>
      </c>
      <c r="F2374" s="36"/>
      <c r="G2374" s="36" t="str">
        <f>IFERROR(__xludf.DUMMYFUNCTION("""COMPUTED_VALUE"""),"República del Líbano y Misiones")</f>
        <v>República del Líbano y Misiones</v>
      </c>
      <c r="H2374" s="36" t="str">
        <f>IFERROR(__xludf.DUMMYFUNCTION("""COMPUTED_VALUE"""),"")</f>
        <v/>
      </c>
    </row>
    <row r="2375">
      <c r="A2375" s="36" t="str">
        <f>IFERROR(__xludf.DUMMYFUNCTION("""COMPUTED_VALUE"""),"04-45-12-17D")</f>
        <v>04-45-12-17D</v>
      </c>
      <c r="B2375" s="36" t="str">
        <f>IFERROR(__xludf.DUMMYFUNCTION("""COMPUTED_VALUE"""),"")</f>
        <v/>
      </c>
      <c r="C2375" s="36" t="str">
        <f>IFERROR(__xludf.DUMMYFUNCTION("""COMPUTED_VALUE"""),"")</f>
        <v/>
      </c>
      <c r="D2375" s="36" t="str">
        <f>IFERROR(__xludf.DUMMYFUNCTION("""COMPUTED_VALUE"""),"")</f>
        <v/>
      </c>
      <c r="E2375" s="36" t="str">
        <f>IFERROR(__xludf.DUMMYFUNCTION("""COMPUTED_VALUE"""),"04-20-13-540")</f>
        <v>04-20-13-540</v>
      </c>
      <c r="F2375" s="36"/>
      <c r="G2375" s="36" t="str">
        <f>IFERROR(__xludf.DUMMYFUNCTION("""COMPUTED_VALUE"""),"República del Líbano y Rua Guiraldes -N")</f>
        <v>República del Líbano y Rua Guiraldes -N</v>
      </c>
      <c r="H2375" s="36" t="str">
        <f>IFERROR(__xludf.DUMMYFUNCTION("""COMPUTED_VALUE"""),"")</f>
        <v/>
      </c>
    </row>
    <row r="2376">
      <c r="A2376" s="36" t="str">
        <f>IFERROR(__xludf.DUMMYFUNCTION("""COMPUTED_VALUE"""),"04-45-12-21")</f>
        <v>04-45-12-21</v>
      </c>
      <c r="B2376" s="36" t="str">
        <f>IFERROR(__xludf.DUMMYFUNCTION("""COMPUTED_VALUE"""),"")</f>
        <v/>
      </c>
      <c r="C2376" s="36" t="str">
        <f>IFERROR(__xludf.DUMMYFUNCTION("""COMPUTED_VALUE"""),"")</f>
        <v/>
      </c>
      <c r="D2376" s="36" t="str">
        <f>IFERROR(__xludf.DUMMYFUNCTION("""COMPUTED_VALUE"""),"")</f>
        <v/>
      </c>
      <c r="E2376" s="36" t="str">
        <f>IFERROR(__xludf.DUMMYFUNCTION("""COMPUTED_VALUE"""),"04-33-13-541")</f>
        <v>04-33-13-541</v>
      </c>
      <c r="F2376" s="36"/>
      <c r="G2376" s="36" t="str">
        <f>IFERROR(__xludf.DUMMYFUNCTION("""COMPUTED_VALUE"""),"República del Líbano y Rua Guiraldes -S")</f>
        <v>República del Líbano y Rua Guiraldes -S</v>
      </c>
      <c r="H2376" s="36" t="str">
        <f>IFERROR(__xludf.DUMMYFUNCTION("""COMPUTED_VALUE"""),"")</f>
        <v/>
      </c>
    </row>
    <row r="2377">
      <c r="A2377" s="36" t="str">
        <f>IFERROR(__xludf.DUMMYFUNCTION("""COMPUTED_VALUE"""),"04-45-12-22")</f>
        <v>04-45-12-22</v>
      </c>
      <c r="B2377" s="36" t="str">
        <f>IFERROR(__xludf.DUMMYFUNCTION("""COMPUTED_VALUE"""),"")</f>
        <v/>
      </c>
      <c r="C2377" s="36" t="str">
        <f>IFERROR(__xludf.DUMMYFUNCTION("""COMPUTED_VALUE"""),"")</f>
        <v/>
      </c>
      <c r="D2377" s="36" t="str">
        <f>IFERROR(__xludf.DUMMYFUNCTION("""COMPUTED_VALUE"""),"")</f>
        <v/>
      </c>
      <c r="E2377" s="36" t="str">
        <f>IFERROR(__xludf.DUMMYFUNCTION("""COMPUTED_VALUE"""),"08-36-02-99")</f>
        <v>08-36-02-99</v>
      </c>
      <c r="F2377" s="36"/>
      <c r="G2377" s="36" t="str">
        <f>IFERROR(__xludf.DUMMYFUNCTION("""COMPUTED_VALUE"""),"Retiro y Cipolletti")</f>
        <v>Retiro y Cipolletti</v>
      </c>
      <c r="H2377" s="36" t="str">
        <f>IFERROR(__xludf.DUMMYFUNCTION("""COMPUTED_VALUE"""),"")</f>
        <v/>
      </c>
    </row>
    <row r="2378">
      <c r="A2378" s="36" t="str">
        <f>IFERROR(__xludf.DUMMYFUNCTION("""COMPUTED_VALUE"""),"04-45-12-22A")</f>
        <v>04-45-12-22A</v>
      </c>
      <c r="B2378" s="36" t="str">
        <f>IFERROR(__xludf.DUMMYFUNCTION("""COMPUTED_VALUE"""),"")</f>
        <v/>
      </c>
      <c r="C2378" s="36" t="str">
        <f>IFERROR(__xludf.DUMMYFUNCTION("""COMPUTED_VALUE"""),"")</f>
        <v/>
      </c>
      <c r="D2378" s="36" t="str">
        <f>IFERROR(__xludf.DUMMYFUNCTION("""COMPUTED_VALUE"""),"")</f>
        <v/>
      </c>
      <c r="E2378" s="36" t="str">
        <f>IFERROR(__xludf.DUMMYFUNCTION("""COMPUTED_VALUE"""),"08-36-02-100")</f>
        <v>08-36-02-100</v>
      </c>
      <c r="F2378" s="36"/>
      <c r="G2378" s="36" t="str">
        <f>IFERROR(__xludf.DUMMYFUNCTION("""COMPUTED_VALUE"""),"Retiro y Sgto. Cabral")</f>
        <v>Retiro y Sgto. Cabral</v>
      </c>
      <c r="H2378" s="36" t="str">
        <f>IFERROR(__xludf.DUMMYFUNCTION("""COMPUTED_VALUE"""),"")</f>
        <v/>
      </c>
    </row>
    <row r="2379">
      <c r="A2379" s="36" t="str">
        <f>IFERROR(__xludf.DUMMYFUNCTION("""COMPUTED_VALUE"""),"04-45-12-23")</f>
        <v>04-45-12-23</v>
      </c>
      <c r="B2379" s="36" t="str">
        <f>IFERROR(__xludf.DUMMYFUNCTION("""COMPUTED_VALUE"""),"")</f>
        <v/>
      </c>
      <c r="C2379" s="36" t="str">
        <f>IFERROR(__xludf.DUMMYFUNCTION("""COMPUTED_VALUE"""),"")</f>
        <v/>
      </c>
      <c r="D2379" s="36" t="str">
        <f>IFERROR(__xludf.DUMMYFUNCTION("""COMPUTED_VALUE"""),"")</f>
        <v/>
      </c>
      <c r="E2379" s="36" t="str">
        <f>IFERROR(__xludf.DUMMYFUNCTION("""COMPUTED_VALUE"""),"03-30-10-69B")</f>
        <v>03-30-10-69B</v>
      </c>
      <c r="F2379" s="36"/>
      <c r="G2379" s="36" t="str">
        <f>IFERROR(__xludf.DUMMYFUNCTION("""COMPUTED_VALUE"""),"Richet y Angualasto")</f>
        <v>Richet y Angualasto</v>
      </c>
      <c r="H2379" s="36" t="str">
        <f>IFERROR(__xludf.DUMMYFUNCTION("""COMPUTED_VALUE"""),"")</f>
        <v/>
      </c>
    </row>
    <row r="2380">
      <c r="A2380" s="36" t="str">
        <f>IFERROR(__xludf.DUMMYFUNCTION("""COMPUTED_VALUE"""),"04-45-12-24")</f>
        <v>04-45-12-24</v>
      </c>
      <c r="B2380" s="36" t="str">
        <f>IFERROR(__xludf.DUMMYFUNCTION("""COMPUTED_VALUE"""),"")</f>
        <v/>
      </c>
      <c r="C2380" s="36" t="str">
        <f>IFERROR(__xludf.DUMMYFUNCTION("""COMPUTED_VALUE"""),"")</f>
        <v/>
      </c>
      <c r="D2380" s="36" t="str">
        <f>IFERROR(__xludf.DUMMYFUNCTION("""COMPUTED_VALUE"""),"")</f>
        <v/>
      </c>
      <c r="E2380" s="36" t="str">
        <f>IFERROR(__xludf.DUMMYFUNCTION("""COMPUTED_VALUE"""),"03-30-10-68A")</f>
        <v>03-30-10-68A</v>
      </c>
      <c r="F2380" s="36"/>
      <c r="G2380" s="36" t="str">
        <f>IFERROR(__xludf.DUMMYFUNCTION("""COMPUTED_VALUE"""),"Richet y Quintana Norte")</f>
        <v>Richet y Quintana Norte</v>
      </c>
      <c r="H2380" s="36" t="str">
        <f>IFERROR(__xludf.DUMMYFUNCTION("""COMPUTED_VALUE"""),"")</f>
        <v/>
      </c>
    </row>
    <row r="2381">
      <c r="A2381" s="36" t="str">
        <f>IFERROR(__xludf.DUMMYFUNCTION("""COMPUTED_VALUE"""),"04-45-12-25")</f>
        <v>04-45-12-25</v>
      </c>
      <c r="B2381" s="36" t="str">
        <f>IFERROR(__xludf.DUMMYFUNCTION("""COMPUTED_VALUE"""),"")</f>
        <v/>
      </c>
      <c r="C2381" s="36" t="str">
        <f>IFERROR(__xludf.DUMMYFUNCTION("""COMPUTED_VALUE"""),"")</f>
        <v/>
      </c>
      <c r="D2381" s="36" t="str">
        <f>IFERROR(__xludf.DUMMYFUNCTION("""COMPUTED_VALUE"""),"")</f>
        <v/>
      </c>
      <c r="E2381" s="36" t="str">
        <f>IFERROR(__xludf.DUMMYFUNCTION("""COMPUTED_VALUE"""),"03-30-10-68B")</f>
        <v>03-30-10-68B</v>
      </c>
      <c r="F2381" s="36"/>
      <c r="G2381" s="36" t="str">
        <f>IFERROR(__xludf.DUMMYFUNCTION("""COMPUTED_VALUE"""),"Richet y Quintana Sur")</f>
        <v>Richet y Quintana Sur</v>
      </c>
      <c r="H2381" s="36" t="str">
        <f>IFERROR(__xludf.DUMMYFUNCTION("""COMPUTED_VALUE"""),"")</f>
        <v/>
      </c>
    </row>
    <row r="2382">
      <c r="A2382" s="36" t="str">
        <f>IFERROR(__xludf.DUMMYFUNCTION("""COMPUTED_VALUE"""),"04-45-12-26")</f>
        <v>04-45-12-26</v>
      </c>
      <c r="B2382" s="36" t="str">
        <f>IFERROR(__xludf.DUMMYFUNCTION("""COMPUTED_VALUE"""),"")</f>
        <v/>
      </c>
      <c r="C2382" s="36" t="str">
        <f>IFERROR(__xludf.DUMMYFUNCTION("""COMPUTED_VALUE"""),"")</f>
        <v/>
      </c>
      <c r="D2382" s="36" t="str">
        <f>IFERROR(__xludf.DUMMYFUNCTION("""COMPUTED_VALUE"""),"")</f>
        <v/>
      </c>
      <c r="E2382" s="36" t="str">
        <f>IFERROR(__xludf.DUMMYFUNCTION("""COMPUTED_VALUE"""),"02-38-12-308")</f>
        <v>02-38-12-308</v>
      </c>
      <c r="F2382" s="36"/>
      <c r="G2382" s="36" t="str">
        <f>IFERROR(__xludf.DUMMYFUNCTION("""COMPUTED_VALUE"""),"Río Bamba y América")</f>
        <v>Río Bamba y América</v>
      </c>
      <c r="H2382" s="36" t="str">
        <f>IFERROR(__xludf.DUMMYFUNCTION("""COMPUTED_VALUE"""),"")</f>
        <v/>
      </c>
    </row>
    <row r="2383">
      <c r="A2383" s="36" t="str">
        <f>IFERROR(__xludf.DUMMYFUNCTION("""COMPUTED_VALUE"""),"04-45-12-26A")</f>
        <v>04-45-12-26A</v>
      </c>
      <c r="B2383" s="36" t="str">
        <f>IFERROR(__xludf.DUMMYFUNCTION("""COMPUTED_VALUE"""),"")</f>
        <v/>
      </c>
      <c r="C2383" s="36" t="str">
        <f>IFERROR(__xludf.DUMMYFUNCTION("""COMPUTED_VALUE"""),"")</f>
        <v/>
      </c>
      <c r="D2383" s="36" t="str">
        <f>IFERROR(__xludf.DUMMYFUNCTION("""COMPUTED_VALUE"""),"")</f>
        <v/>
      </c>
      <c r="E2383" s="36" t="str">
        <f>IFERROR(__xludf.DUMMYFUNCTION("""COMPUTED_VALUE"""),"02-38-12-314")</f>
        <v>02-38-12-314</v>
      </c>
      <c r="F2383" s="36"/>
      <c r="G2383" s="36" t="str">
        <f>IFERROR(__xludf.DUMMYFUNCTION("""COMPUTED_VALUE"""),"Río Bamba y Bahia Blanca")</f>
        <v>Río Bamba y Bahia Blanca</v>
      </c>
      <c r="H2383" s="36" t="str">
        <f>IFERROR(__xludf.DUMMYFUNCTION("""COMPUTED_VALUE"""),"")</f>
        <v/>
      </c>
    </row>
    <row r="2384">
      <c r="A2384" s="36" t="str">
        <f>IFERROR(__xludf.DUMMYFUNCTION("""COMPUTED_VALUE"""),"04-45-12-27")</f>
        <v>04-45-12-27</v>
      </c>
      <c r="B2384" s="36" t="str">
        <f>IFERROR(__xludf.DUMMYFUNCTION("""COMPUTED_VALUE"""),"")</f>
        <v/>
      </c>
      <c r="C2384" s="36" t="str">
        <f>IFERROR(__xludf.DUMMYFUNCTION("""COMPUTED_VALUE"""),"")</f>
        <v/>
      </c>
      <c r="D2384" s="36" t="str">
        <f>IFERROR(__xludf.DUMMYFUNCTION("""COMPUTED_VALUE"""),"")</f>
        <v/>
      </c>
      <c r="E2384" s="36" t="str">
        <f>IFERROR(__xludf.DUMMYFUNCTION("""COMPUTED_VALUE"""),"02-38-12-315")</f>
        <v>02-38-12-315</v>
      </c>
      <c r="F2384" s="36"/>
      <c r="G2384" s="36" t="str">
        <f>IFERROR(__xludf.DUMMYFUNCTION("""COMPUTED_VALUE"""),"Río Bamba y Gral. Arenales")</f>
        <v>Río Bamba y Gral. Arenales</v>
      </c>
      <c r="H2384" s="36" t="str">
        <f>IFERROR(__xludf.DUMMYFUNCTION("""COMPUTED_VALUE"""),"")</f>
        <v/>
      </c>
    </row>
    <row r="2385">
      <c r="A2385" s="36" t="str">
        <f>IFERROR(__xludf.DUMMYFUNCTION("""COMPUTED_VALUE"""),"04-45-12-28")</f>
        <v>04-45-12-28</v>
      </c>
      <c r="B2385" s="36" t="str">
        <f>IFERROR(__xludf.DUMMYFUNCTION("""COMPUTED_VALUE"""),"")</f>
        <v/>
      </c>
      <c r="C2385" s="36" t="str">
        <f>IFERROR(__xludf.DUMMYFUNCTION("""COMPUTED_VALUE"""),"")</f>
        <v/>
      </c>
      <c r="D2385" s="36" t="str">
        <f>IFERROR(__xludf.DUMMYFUNCTION("""COMPUTED_VALUE"""),"")</f>
        <v/>
      </c>
      <c r="E2385" s="36" t="str">
        <f>IFERROR(__xludf.DUMMYFUNCTION("""COMPUTED_VALUE"""),"02-38-12-316")</f>
        <v>02-38-12-316</v>
      </c>
      <c r="F2385" s="36"/>
      <c r="G2385" s="36" t="str">
        <f>IFERROR(__xludf.DUMMYFUNCTION("""COMPUTED_VALUE"""),"Río Bamba y Guillermo Morales")</f>
        <v>Río Bamba y Guillermo Morales</v>
      </c>
      <c r="H2385" s="36" t="str">
        <f>IFERROR(__xludf.DUMMYFUNCTION("""COMPUTED_VALUE"""),"")</f>
        <v/>
      </c>
    </row>
    <row r="2386">
      <c r="A2386" s="36" t="str">
        <f>IFERROR(__xludf.DUMMYFUNCTION("""COMPUTED_VALUE"""),"04-45-12-29")</f>
        <v>04-45-12-29</v>
      </c>
      <c r="B2386" s="36" t="str">
        <f>IFERROR(__xludf.DUMMYFUNCTION("""COMPUTED_VALUE"""),"")</f>
        <v/>
      </c>
      <c r="C2386" s="36" t="str">
        <f>IFERROR(__xludf.DUMMYFUNCTION("""COMPUTED_VALUE"""),"")</f>
        <v/>
      </c>
      <c r="D2386" s="36" t="str">
        <f>IFERROR(__xludf.DUMMYFUNCTION("""COMPUTED_VALUE"""),"")</f>
        <v/>
      </c>
      <c r="E2386" s="36" t="str">
        <f>IFERROR(__xludf.DUMMYFUNCTION("""COMPUTED_VALUE"""),"02-38-12-312")</f>
        <v>02-38-12-312</v>
      </c>
      <c r="F2386" s="36"/>
      <c r="G2386" s="36" t="str">
        <f>IFERROR(__xludf.DUMMYFUNCTION("""COMPUTED_VALUE"""),"Río Bamba y Luis Raimundo")</f>
        <v>Río Bamba y Luis Raimundo</v>
      </c>
      <c r="H2386" s="36" t="str">
        <f>IFERROR(__xludf.DUMMYFUNCTION("""COMPUTED_VALUE"""),"")</f>
        <v/>
      </c>
    </row>
    <row r="2387">
      <c r="A2387" s="36" t="str">
        <f>IFERROR(__xludf.DUMMYFUNCTION("""COMPUTED_VALUE"""),"04-45-12-29A")</f>
        <v>04-45-12-29A</v>
      </c>
      <c r="B2387" s="36" t="str">
        <f>IFERROR(__xludf.DUMMYFUNCTION("""COMPUTED_VALUE"""),"")</f>
        <v/>
      </c>
      <c r="C2387" s="36" t="str">
        <f>IFERROR(__xludf.DUMMYFUNCTION("""COMPUTED_VALUE"""),"")</f>
        <v/>
      </c>
      <c r="D2387" s="36" t="str">
        <f>IFERROR(__xludf.DUMMYFUNCTION("""COMPUTED_VALUE"""),"")</f>
        <v/>
      </c>
      <c r="E2387" s="36" t="str">
        <f>IFERROR(__xludf.DUMMYFUNCTION("""COMPUTED_VALUE"""),"02-38-12-311")</f>
        <v>02-38-12-311</v>
      </c>
      <c r="F2387" s="36"/>
      <c r="G2387" s="36" t="str">
        <f>IFERROR(__xludf.DUMMYFUNCTION("""COMPUTED_VALUE"""),"Río Bamba y Pedro de Valdivia")</f>
        <v>Río Bamba y Pedro de Valdivia</v>
      </c>
      <c r="H2387" s="36" t="str">
        <f>IFERROR(__xludf.DUMMYFUNCTION("""COMPUTED_VALUE"""),"")</f>
        <v/>
      </c>
    </row>
    <row r="2388">
      <c r="A2388" s="36" t="str">
        <f>IFERROR(__xludf.DUMMYFUNCTION("""COMPUTED_VALUE"""),"04-45-12-29B")</f>
        <v>04-45-12-29B</v>
      </c>
      <c r="B2388" s="36" t="str">
        <f>IFERROR(__xludf.DUMMYFUNCTION("""COMPUTED_VALUE"""),"")</f>
        <v/>
      </c>
      <c r="C2388" s="36" t="str">
        <f>IFERROR(__xludf.DUMMYFUNCTION("""COMPUTED_VALUE"""),"")</f>
        <v/>
      </c>
      <c r="D2388" s="36" t="str">
        <f>IFERROR(__xludf.DUMMYFUNCTION("""COMPUTED_VALUE"""),"")</f>
        <v/>
      </c>
      <c r="E2388" s="36" t="str">
        <f>IFERROR(__xludf.DUMMYFUNCTION("""COMPUTED_VALUE"""),"02-38-12-313")</f>
        <v>02-38-12-313</v>
      </c>
      <c r="F2388" s="36"/>
      <c r="G2388" s="36" t="str">
        <f>IFERROR(__xludf.DUMMYFUNCTION("""COMPUTED_VALUE"""),"Río Bamba y Rodriguez Pinto")</f>
        <v>Río Bamba y Rodriguez Pinto</v>
      </c>
      <c r="H2388" s="36" t="str">
        <f>IFERROR(__xludf.DUMMYFUNCTION("""COMPUTED_VALUE"""),"")</f>
        <v/>
      </c>
    </row>
    <row r="2389">
      <c r="A2389" s="36" t="str">
        <f>IFERROR(__xludf.DUMMYFUNCTION("""COMPUTED_VALUE"""),"04-45-12-29C")</f>
        <v>04-45-12-29C</v>
      </c>
      <c r="B2389" s="36" t="str">
        <f>IFERROR(__xludf.DUMMYFUNCTION("""COMPUTED_VALUE"""),"")</f>
        <v/>
      </c>
      <c r="C2389" s="36" t="str">
        <f>IFERROR(__xludf.DUMMYFUNCTION("""COMPUTED_VALUE"""),"")</f>
        <v/>
      </c>
      <c r="D2389" s="36" t="str">
        <f>IFERROR(__xludf.DUMMYFUNCTION("""COMPUTED_VALUE"""),"")</f>
        <v/>
      </c>
      <c r="E2389" s="36" t="str">
        <f>IFERROR(__xludf.DUMMYFUNCTION("""COMPUTED_VALUE"""),"02-38-12-310")</f>
        <v>02-38-12-310</v>
      </c>
      <c r="F2389" s="36"/>
      <c r="G2389" s="36" t="str">
        <f>IFERROR(__xludf.DUMMYFUNCTION("""COMPUTED_VALUE"""),"Río Bamba y Tulum")</f>
        <v>Río Bamba y Tulum</v>
      </c>
      <c r="H2389" s="36" t="str">
        <f>IFERROR(__xludf.DUMMYFUNCTION("""COMPUTED_VALUE"""),"")</f>
        <v/>
      </c>
    </row>
    <row r="2390">
      <c r="A2390" s="36" t="str">
        <f>IFERROR(__xludf.DUMMYFUNCTION("""COMPUTED_VALUE"""),"04-45-12-29D")</f>
        <v>04-45-12-29D</v>
      </c>
      <c r="B2390" s="36" t="str">
        <f>IFERROR(__xludf.DUMMYFUNCTION("""COMPUTED_VALUE"""),"")</f>
        <v/>
      </c>
      <c r="C2390" s="36" t="str">
        <f>IFERROR(__xludf.DUMMYFUNCTION("""COMPUTED_VALUE"""),"")</f>
        <v/>
      </c>
      <c r="D2390" s="36" t="str">
        <f>IFERROR(__xludf.DUMMYFUNCTION("""COMPUTED_VALUE"""),"")</f>
        <v/>
      </c>
      <c r="E2390" s="36" t="str">
        <f>IFERROR(__xludf.DUMMYFUNCTION("""COMPUTED_VALUE"""),"04-34-12-33")</f>
        <v>04-34-12-33</v>
      </c>
      <c r="F2390" s="36"/>
      <c r="G2390" s="36" t="str">
        <f>IFERROR(__xludf.DUMMYFUNCTION("""COMPUTED_VALUE"""),"Rivadavia y 11 de Septiembre")</f>
        <v>Rivadavia y 11 de Septiembre</v>
      </c>
      <c r="H2390" s="36" t="str">
        <f>IFERROR(__xludf.DUMMYFUNCTION("""COMPUTED_VALUE"""),"")</f>
        <v/>
      </c>
    </row>
    <row r="2391">
      <c r="A2391" s="36" t="str">
        <f>IFERROR(__xludf.DUMMYFUNCTION("""COMPUTED_VALUE"""),"04-45-12-29E")</f>
        <v>04-45-12-29E</v>
      </c>
      <c r="B2391" s="36" t="str">
        <f>IFERROR(__xludf.DUMMYFUNCTION("""COMPUTED_VALUE"""),"")</f>
        <v/>
      </c>
      <c r="C2391" s="36" t="str">
        <f>IFERROR(__xludf.DUMMYFUNCTION("""COMPUTED_VALUE"""),"")</f>
        <v/>
      </c>
      <c r="D2391" s="36" t="str">
        <f>IFERROR(__xludf.DUMMYFUNCTION("""COMPUTED_VALUE"""),"")</f>
        <v/>
      </c>
      <c r="E2391" s="36" t="str">
        <f>IFERROR(__xludf.DUMMYFUNCTION("""COMPUTED_VALUE"""),"04-45-12-17A")</f>
        <v>04-45-12-17A</v>
      </c>
      <c r="F2391" s="36"/>
      <c r="G2391" s="36" t="str">
        <f>IFERROR(__xludf.DUMMYFUNCTION("""COMPUTED_VALUE"""),"Rivadavia y Agustín Gomez")</f>
        <v>Rivadavia y Agustín Gomez</v>
      </c>
      <c r="H2391" s="36" t="str">
        <f>IFERROR(__xludf.DUMMYFUNCTION("""COMPUTED_VALUE"""),"")</f>
        <v/>
      </c>
    </row>
    <row r="2392">
      <c r="A2392" s="36" t="str">
        <f>IFERROR(__xludf.DUMMYFUNCTION("""COMPUTED_VALUE"""),"04-45-12-29F")</f>
        <v>04-45-12-29F</v>
      </c>
      <c r="B2392" s="36" t="str">
        <f>IFERROR(__xludf.DUMMYFUNCTION("""COMPUTED_VALUE"""),"")</f>
        <v/>
      </c>
      <c r="C2392" s="36" t="str">
        <f>IFERROR(__xludf.DUMMYFUNCTION("""COMPUTED_VALUE"""),"")</f>
        <v/>
      </c>
      <c r="D2392" s="36" t="str">
        <f>IFERROR(__xludf.DUMMYFUNCTION("""COMPUTED_VALUE"""),"")</f>
        <v/>
      </c>
      <c r="E2392" s="36" t="str">
        <f>IFERROR(__xludf.DUMMYFUNCTION("""COMPUTED_VALUE"""),"03-31-09-149")</f>
        <v>03-31-09-149</v>
      </c>
      <c r="F2392" s="36"/>
      <c r="G2392" s="36" t="str">
        <f>IFERROR(__xludf.DUMMYFUNCTION("""COMPUTED_VALUE"""),"Rivadavia y Alberti")</f>
        <v>Rivadavia y Alberti</v>
      </c>
      <c r="H2392" s="36" t="str">
        <f>IFERROR(__xludf.DUMMYFUNCTION("""COMPUTED_VALUE"""),"")</f>
        <v/>
      </c>
    </row>
    <row r="2393">
      <c r="A2393" s="36" t="str">
        <f>IFERROR(__xludf.DUMMYFUNCTION("""COMPUTED_VALUE"""),"04-45-12-29G")</f>
        <v>04-45-12-29G</v>
      </c>
      <c r="B2393" s="36" t="str">
        <f>IFERROR(__xludf.DUMMYFUNCTION("""COMPUTED_VALUE"""),"")</f>
        <v/>
      </c>
      <c r="C2393" s="36" t="str">
        <f>IFERROR(__xludf.DUMMYFUNCTION("""COMPUTED_VALUE"""),"")</f>
        <v/>
      </c>
      <c r="D2393" s="36" t="str">
        <f>IFERROR(__xludf.DUMMYFUNCTION("""COMPUTED_VALUE"""),"")</f>
        <v/>
      </c>
      <c r="E2393" s="36" t="str">
        <f>IFERROR(__xludf.DUMMYFUNCTION("""COMPUTED_VALUE"""),"04-45-12-26")</f>
        <v>04-45-12-26</v>
      </c>
      <c r="F2393" s="36"/>
      <c r="G2393" s="36" t="str">
        <f>IFERROR(__xludf.DUMMYFUNCTION("""COMPUTED_VALUE"""),"Rivadavia y Bv. Sarmiento Norte")</f>
        <v>Rivadavia y Bv. Sarmiento Norte</v>
      </c>
      <c r="H2393" s="36" t="str">
        <f>IFERROR(__xludf.DUMMYFUNCTION("""COMPUTED_VALUE"""),"")</f>
        <v/>
      </c>
    </row>
    <row r="2394">
      <c r="A2394" s="36" t="str">
        <f>IFERROR(__xludf.DUMMYFUNCTION("""COMPUTED_VALUE"""),"04-45-12-3")</f>
        <v>04-45-12-3</v>
      </c>
      <c r="B2394" s="36" t="str">
        <f>IFERROR(__xludf.DUMMYFUNCTION("""COMPUTED_VALUE"""),"")</f>
        <v/>
      </c>
      <c r="C2394" s="36" t="str">
        <f>IFERROR(__xludf.DUMMYFUNCTION("""COMPUTED_VALUE"""),"")</f>
        <v/>
      </c>
      <c r="D2394" s="36" t="str">
        <f>IFERROR(__xludf.DUMMYFUNCTION("""COMPUTED_VALUE"""),"")</f>
        <v/>
      </c>
      <c r="E2394" s="36" t="str">
        <f>IFERROR(__xludf.DUMMYFUNCTION("""COMPUTED_VALUE"""),"04-45-12-25")</f>
        <v>04-45-12-25</v>
      </c>
      <c r="F2394" s="36"/>
      <c r="G2394" s="36" t="str">
        <f>IFERROR(__xludf.DUMMYFUNCTION("""COMPUTED_VALUE"""),"Rivadavia y Bv. Sarmiento Sur")</f>
        <v>Rivadavia y Bv. Sarmiento Sur</v>
      </c>
      <c r="H2394" s="36" t="str">
        <f>IFERROR(__xludf.DUMMYFUNCTION("""COMPUTED_VALUE"""),"")</f>
        <v/>
      </c>
    </row>
    <row r="2395">
      <c r="A2395" s="36" t="str">
        <f>IFERROR(__xludf.DUMMYFUNCTION("""COMPUTED_VALUE"""),"04-45-12-47")</f>
        <v>04-45-12-47</v>
      </c>
      <c r="B2395" s="36" t="str">
        <f>IFERROR(__xludf.DUMMYFUNCTION("""COMPUTED_VALUE"""),"")</f>
        <v/>
      </c>
      <c r="C2395" s="36" t="str">
        <f>IFERROR(__xludf.DUMMYFUNCTION("""COMPUTED_VALUE"""),"")</f>
        <v/>
      </c>
      <c r="D2395" s="36" t="str">
        <f>IFERROR(__xludf.DUMMYFUNCTION("""COMPUTED_VALUE"""),"")</f>
        <v/>
      </c>
      <c r="E2395" s="36" t="str">
        <f>IFERROR(__xludf.DUMMYFUNCTION("""COMPUTED_VALUE"""),"04-45-12-29")</f>
        <v>04-45-12-29</v>
      </c>
      <c r="F2395" s="36"/>
      <c r="G2395" s="36" t="str">
        <f>IFERROR(__xludf.DUMMYFUNCTION("""COMPUTED_VALUE"""),"Rivadavia y Dr. Ortega Este")</f>
        <v>Rivadavia y Dr. Ortega Este</v>
      </c>
      <c r="H2395" s="36" t="str">
        <f>IFERROR(__xludf.DUMMYFUNCTION("""COMPUTED_VALUE"""),"")</f>
        <v/>
      </c>
    </row>
    <row r="2396">
      <c r="A2396" s="36" t="str">
        <f>IFERROR(__xludf.DUMMYFUNCTION("""COMPUTED_VALUE"""),"04-45-12-48")</f>
        <v>04-45-12-48</v>
      </c>
      <c r="B2396" s="36" t="str">
        <f>IFERROR(__xludf.DUMMYFUNCTION("""COMPUTED_VALUE"""),"")</f>
        <v/>
      </c>
      <c r="C2396" s="36" t="str">
        <f>IFERROR(__xludf.DUMMYFUNCTION("""COMPUTED_VALUE"""),"")</f>
        <v/>
      </c>
      <c r="D2396" s="36" t="str">
        <f>IFERROR(__xludf.DUMMYFUNCTION("""COMPUTED_VALUE"""),"")</f>
        <v/>
      </c>
      <c r="E2396" s="36" t="str">
        <f>IFERROR(__xludf.DUMMYFUNCTION("""COMPUTED_VALUE"""),"04-34-12-30")</f>
        <v>04-34-12-30</v>
      </c>
      <c r="F2396" s="36"/>
      <c r="G2396" s="36" t="str">
        <f>IFERROR(__xludf.DUMMYFUNCTION("""COMPUTED_VALUE"""),"Rivadavia y Dr. Ortega Oeste")</f>
        <v>Rivadavia y Dr. Ortega Oeste</v>
      </c>
      <c r="H2396" s="36" t="str">
        <f>IFERROR(__xludf.DUMMYFUNCTION("""COMPUTED_VALUE"""),"")</f>
        <v/>
      </c>
    </row>
    <row r="2397">
      <c r="A2397" s="36" t="str">
        <f>IFERROR(__xludf.DUMMYFUNCTION("""COMPUTED_VALUE"""),"04-45-12-49")</f>
        <v>04-45-12-49</v>
      </c>
      <c r="B2397" s="36" t="str">
        <f>IFERROR(__xludf.DUMMYFUNCTION("""COMPUTED_VALUE"""),"")</f>
        <v/>
      </c>
      <c r="C2397" s="36" t="str">
        <f>IFERROR(__xludf.DUMMYFUNCTION("""COMPUTED_VALUE"""),"")</f>
        <v/>
      </c>
      <c r="D2397" s="36" t="str">
        <f>IFERROR(__xludf.DUMMYFUNCTION("""COMPUTED_VALUE"""),"")</f>
        <v/>
      </c>
      <c r="E2397" s="36" t="str">
        <f>IFERROR(__xludf.DUMMYFUNCTION("""COMPUTED_VALUE"""),"04-45-12-21")</f>
        <v>04-45-12-21</v>
      </c>
      <c r="F2397" s="36"/>
      <c r="G2397" s="36" t="str">
        <f>IFERROR(__xludf.DUMMYFUNCTION("""COMPUTED_VALUE"""),"Rivadavia y Espeleta Este")</f>
        <v>Rivadavia y Espeleta Este</v>
      </c>
      <c r="H2397" s="36" t="str">
        <f>IFERROR(__xludf.DUMMYFUNCTION("""COMPUTED_VALUE"""),"")</f>
        <v/>
      </c>
    </row>
    <row r="2398">
      <c r="A2398" s="36" t="str">
        <f>IFERROR(__xludf.DUMMYFUNCTION("""COMPUTED_VALUE"""),"04-45-12-5")</f>
        <v>04-45-12-5</v>
      </c>
      <c r="B2398" s="36" t="str">
        <f>IFERROR(__xludf.DUMMYFUNCTION("""COMPUTED_VALUE"""),"")</f>
        <v/>
      </c>
      <c r="C2398" s="36" t="str">
        <f>IFERROR(__xludf.DUMMYFUNCTION("""COMPUTED_VALUE"""),"")</f>
        <v/>
      </c>
      <c r="D2398" s="36" t="str">
        <f>IFERROR(__xludf.DUMMYFUNCTION("""COMPUTED_VALUE"""),"")</f>
        <v/>
      </c>
      <c r="E2398" s="36" t="str">
        <f>IFERROR(__xludf.DUMMYFUNCTION("""COMPUTED_VALUE"""),"04-45-12-22A")</f>
        <v>04-45-12-22A</v>
      </c>
      <c r="F2398" s="36"/>
      <c r="G2398" s="36" t="str">
        <f>IFERROR(__xludf.DUMMYFUNCTION("""COMPUTED_VALUE"""),"Rivadavia y Espeleta Oeste")</f>
        <v>Rivadavia y Espeleta Oeste</v>
      </c>
      <c r="H2398" s="36" t="str">
        <f>IFERROR(__xludf.DUMMYFUNCTION("""COMPUTED_VALUE"""),"")</f>
        <v/>
      </c>
    </row>
    <row r="2399">
      <c r="A2399" s="36" t="str">
        <f>IFERROR(__xludf.DUMMYFUNCTION("""COMPUTED_VALUE"""),"04-45-12-50")</f>
        <v>04-45-12-50</v>
      </c>
      <c r="B2399" s="36" t="str">
        <f>IFERROR(__xludf.DUMMYFUNCTION("""COMPUTED_VALUE"""),"")</f>
        <v/>
      </c>
      <c r="C2399" s="36" t="str">
        <f>IFERROR(__xludf.DUMMYFUNCTION("""COMPUTED_VALUE"""),"")</f>
        <v/>
      </c>
      <c r="D2399" s="36" t="str">
        <f>IFERROR(__xludf.DUMMYFUNCTION("""COMPUTED_VALUE"""),"")</f>
        <v/>
      </c>
      <c r="E2399" s="36" t="str">
        <f>IFERROR(__xludf.DUMMYFUNCTION("""COMPUTED_VALUE"""),"04-45-12-17C")</f>
        <v>04-45-12-17C</v>
      </c>
      <c r="F2399" s="36"/>
      <c r="G2399" s="36" t="str">
        <f>IFERROR(__xludf.DUMMYFUNCTION("""COMPUTED_VALUE"""),"Rivadavia y Felix Aguilar")</f>
        <v>Rivadavia y Felix Aguilar</v>
      </c>
      <c r="H2399" s="36" t="str">
        <f>IFERROR(__xludf.DUMMYFUNCTION("""COMPUTED_VALUE"""),"")</f>
        <v/>
      </c>
    </row>
    <row r="2400">
      <c r="A2400" s="36" t="str">
        <f>IFERROR(__xludf.DUMMYFUNCTION("""COMPUTED_VALUE"""),"04-45-12-51")</f>
        <v>04-45-12-51</v>
      </c>
      <c r="B2400" s="36" t="str">
        <f>IFERROR(__xludf.DUMMYFUNCTION("""COMPUTED_VALUE"""),"")</f>
        <v/>
      </c>
      <c r="C2400" s="36" t="str">
        <f>IFERROR(__xludf.DUMMYFUNCTION("""COMPUTED_VALUE"""),"")</f>
        <v/>
      </c>
      <c r="D2400" s="36" t="str">
        <f>IFERROR(__xludf.DUMMYFUNCTION("""COMPUTED_VALUE"""),"")</f>
        <v/>
      </c>
      <c r="E2400" s="36" t="str">
        <f>IFERROR(__xludf.DUMMYFUNCTION("""COMPUTED_VALUE"""),"04-45-12-27")</f>
        <v>04-45-12-27</v>
      </c>
      <c r="F2400" s="36"/>
      <c r="G2400" s="36" t="str">
        <f>IFERROR(__xludf.DUMMYFUNCTION("""COMPUTED_VALUE"""),"Rivadavia y Fray Luis Beltrán Este")</f>
        <v>Rivadavia y Fray Luis Beltrán Este</v>
      </c>
      <c r="H2400" s="36" t="str">
        <f>IFERROR(__xludf.DUMMYFUNCTION("""COMPUTED_VALUE"""),"")</f>
        <v/>
      </c>
    </row>
    <row r="2401">
      <c r="A2401" s="36" t="str">
        <f>IFERROR(__xludf.DUMMYFUNCTION("""COMPUTED_VALUE"""),"04-45-12-52")</f>
        <v>04-45-12-52</v>
      </c>
      <c r="B2401" s="36" t="str">
        <f>IFERROR(__xludf.DUMMYFUNCTION("""COMPUTED_VALUE"""),"")</f>
        <v/>
      </c>
      <c r="C2401" s="36" t="str">
        <f>IFERROR(__xludf.DUMMYFUNCTION("""COMPUTED_VALUE"""),"")</f>
        <v/>
      </c>
      <c r="D2401" s="36" t="str">
        <f>IFERROR(__xludf.DUMMYFUNCTION("""COMPUTED_VALUE"""),"")</f>
        <v/>
      </c>
      <c r="E2401" s="36" t="str">
        <f>IFERROR(__xludf.DUMMYFUNCTION("""COMPUTED_VALUE"""),"04-45-12-28")</f>
        <v>04-45-12-28</v>
      </c>
      <c r="F2401" s="36"/>
      <c r="G2401" s="36" t="str">
        <f>IFERROR(__xludf.DUMMYFUNCTION("""COMPUTED_VALUE"""),"Rivadavia y Fray Luis Beltrán Oeste")</f>
        <v>Rivadavia y Fray Luis Beltrán Oeste</v>
      </c>
      <c r="H2401" s="36" t="str">
        <f>IFERROR(__xludf.DUMMYFUNCTION("""COMPUTED_VALUE"""),"")</f>
        <v/>
      </c>
    </row>
    <row r="2402">
      <c r="A2402" s="36" t="str">
        <f>IFERROR(__xludf.DUMMYFUNCTION("""COMPUTED_VALUE"""),"04-45-12-53")</f>
        <v>04-45-12-53</v>
      </c>
      <c r="B2402" s="36" t="str">
        <f>IFERROR(__xludf.DUMMYFUNCTION("""COMPUTED_VALUE"""),"")</f>
        <v/>
      </c>
      <c r="C2402" s="36" t="str">
        <f>IFERROR(__xludf.DUMMYFUNCTION("""COMPUTED_VALUE"""),"")</f>
        <v/>
      </c>
      <c r="D2402" s="36" t="str">
        <f>IFERROR(__xludf.DUMMYFUNCTION("""COMPUTED_VALUE"""),"")</f>
        <v/>
      </c>
      <c r="E2402" s="36" t="str">
        <f>IFERROR(__xludf.DUMMYFUNCTION("""COMPUTED_VALUE"""),"03-31-09-148")</f>
        <v>03-31-09-148</v>
      </c>
      <c r="F2402" s="36"/>
      <c r="G2402" s="36" t="str">
        <f>IFERROR(__xludf.DUMMYFUNCTION("""COMPUTED_VALUE"""),"Rivadavia y Las Heras")</f>
        <v>Rivadavia y Las Heras</v>
      </c>
      <c r="H2402" s="36" t="str">
        <f>IFERROR(__xludf.DUMMYFUNCTION("""COMPUTED_VALUE"""),"")</f>
        <v/>
      </c>
    </row>
    <row r="2403">
      <c r="A2403" s="36" t="str">
        <f>IFERROR(__xludf.DUMMYFUNCTION("""COMPUTED_VALUE"""),"04-45-12-53A")</f>
        <v>04-45-12-53A</v>
      </c>
      <c r="B2403" s="36" t="str">
        <f>IFERROR(__xludf.DUMMYFUNCTION("""COMPUTED_VALUE"""),"")</f>
        <v/>
      </c>
      <c r="C2403" s="36" t="str">
        <f>IFERROR(__xludf.DUMMYFUNCTION("""COMPUTED_VALUE"""),"")</f>
        <v/>
      </c>
      <c r="D2403" s="36" t="str">
        <f>IFERROR(__xludf.DUMMYFUNCTION("""COMPUTED_VALUE"""),"")</f>
        <v/>
      </c>
      <c r="E2403" s="36" t="str">
        <f>IFERROR(__xludf.DUMMYFUNCTION("""COMPUTED_VALUE"""),"04-34-12-32")</f>
        <v>04-34-12-32</v>
      </c>
      <c r="F2403" s="36"/>
      <c r="G2403" s="36" t="str">
        <f>IFERROR(__xludf.DUMMYFUNCTION("""COMPUTED_VALUE"""),"Rivadavia y Perona Norte")</f>
        <v>Rivadavia y Perona Norte</v>
      </c>
      <c r="H2403" s="36" t="str">
        <f>IFERROR(__xludf.DUMMYFUNCTION("""COMPUTED_VALUE"""),"")</f>
        <v/>
      </c>
    </row>
    <row r="2404">
      <c r="A2404" s="36" t="str">
        <f>IFERROR(__xludf.DUMMYFUNCTION("""COMPUTED_VALUE"""),"04-45-12-55A")</f>
        <v>04-45-12-55A</v>
      </c>
      <c r="B2404" s="36" t="str">
        <f>IFERROR(__xludf.DUMMYFUNCTION("""COMPUTED_VALUE"""),"")</f>
        <v/>
      </c>
      <c r="C2404" s="36" t="str">
        <f>IFERROR(__xludf.DUMMYFUNCTION("""COMPUTED_VALUE"""),"")</f>
        <v/>
      </c>
      <c r="D2404" s="36" t="str">
        <f>IFERROR(__xludf.DUMMYFUNCTION("""COMPUTED_VALUE"""),"")</f>
        <v/>
      </c>
      <c r="E2404" s="36" t="str">
        <f>IFERROR(__xludf.DUMMYFUNCTION("""COMPUTED_VALUE"""),"04-34-12-31")</f>
        <v>04-34-12-31</v>
      </c>
      <c r="F2404" s="36"/>
      <c r="G2404" s="36" t="str">
        <f>IFERROR(__xludf.DUMMYFUNCTION("""COMPUTED_VALUE"""),"Rivadavia y Perona Sur")</f>
        <v>Rivadavia y Perona Sur</v>
      </c>
      <c r="H2404" s="36" t="str">
        <f>IFERROR(__xludf.DUMMYFUNCTION("""COMPUTED_VALUE"""),"")</f>
        <v/>
      </c>
    </row>
    <row r="2405">
      <c r="A2405" s="36" t="str">
        <f>IFERROR(__xludf.DUMMYFUNCTION("""COMPUTED_VALUE"""),"04-45-12-59")</f>
        <v>04-45-12-59</v>
      </c>
      <c r="B2405" s="36" t="str">
        <f>IFERROR(__xludf.DUMMYFUNCTION("""COMPUTED_VALUE"""),"")</f>
        <v/>
      </c>
      <c r="C2405" s="36" t="str">
        <f>IFERROR(__xludf.DUMMYFUNCTION("""COMPUTED_VALUE"""),"")</f>
        <v/>
      </c>
      <c r="D2405" s="36" t="str">
        <f>IFERROR(__xludf.DUMMYFUNCTION("""COMPUTED_VALUE"""),"")</f>
        <v/>
      </c>
      <c r="E2405" s="36" t="str">
        <f>IFERROR(__xludf.DUMMYFUNCTION("""COMPUTED_VALUE"""),"03-31-09-150")</f>
        <v>03-31-09-150</v>
      </c>
      <c r="F2405" s="36"/>
      <c r="G2405" s="36" t="str">
        <f>IFERROR(__xludf.DUMMYFUNCTION("""COMPUTED_VALUE"""),"Rivadavia y Pueyrredón")</f>
        <v>Rivadavia y Pueyrredón</v>
      </c>
      <c r="H2405" s="36" t="str">
        <f>IFERROR(__xludf.DUMMYFUNCTION("""COMPUTED_VALUE"""),"")</f>
        <v/>
      </c>
    </row>
    <row r="2406">
      <c r="A2406" s="36" t="str">
        <f>IFERROR(__xludf.DUMMYFUNCTION("""COMPUTED_VALUE"""),"04-45-12-61")</f>
        <v>04-45-12-61</v>
      </c>
      <c r="B2406" s="36" t="str">
        <f>IFERROR(__xludf.DUMMYFUNCTION("""COMPUTED_VALUE"""),"")</f>
        <v/>
      </c>
      <c r="C2406" s="36" t="str">
        <f>IFERROR(__xludf.DUMMYFUNCTION("""COMPUTED_VALUE"""),"")</f>
        <v/>
      </c>
      <c r="D2406" s="36" t="str">
        <f>IFERROR(__xludf.DUMMYFUNCTION("""COMPUTED_VALUE"""),"")</f>
        <v/>
      </c>
      <c r="E2406" s="36" t="str">
        <f>IFERROR(__xludf.DUMMYFUNCTION("""COMPUTED_VALUE"""),"04-45-12-23")</f>
        <v>04-45-12-23</v>
      </c>
      <c r="F2406" s="36"/>
      <c r="G2406" s="36" t="str">
        <f>IFERROR(__xludf.DUMMYFUNCTION("""COMPUTED_VALUE"""),"Rivadavia y Quiroga Este")</f>
        <v>Rivadavia y Quiroga Este</v>
      </c>
      <c r="H2406" s="36" t="str">
        <f>IFERROR(__xludf.DUMMYFUNCTION("""COMPUTED_VALUE"""),"")</f>
        <v/>
      </c>
    </row>
    <row r="2407">
      <c r="A2407" s="36" t="str">
        <f>IFERROR(__xludf.DUMMYFUNCTION("""COMPUTED_VALUE"""),"04-45-12-63")</f>
        <v>04-45-12-63</v>
      </c>
      <c r="B2407" s="36" t="str">
        <f>IFERROR(__xludf.DUMMYFUNCTION("""COMPUTED_VALUE"""),"")</f>
        <v/>
      </c>
      <c r="C2407" s="36" t="str">
        <f>IFERROR(__xludf.DUMMYFUNCTION("""COMPUTED_VALUE"""),"")</f>
        <v/>
      </c>
      <c r="D2407" s="36" t="str">
        <f>IFERROR(__xludf.DUMMYFUNCTION("""COMPUTED_VALUE"""),"")</f>
        <v/>
      </c>
      <c r="E2407" s="36" t="str">
        <f>IFERROR(__xludf.DUMMYFUNCTION("""COMPUTED_VALUE"""),"04-45-12-24")</f>
        <v>04-45-12-24</v>
      </c>
      <c r="F2407" s="36"/>
      <c r="G2407" s="36" t="str">
        <f>IFERROR(__xludf.DUMMYFUNCTION("""COMPUTED_VALUE"""),"Rivadavia y Quiroga Oeste")</f>
        <v>Rivadavia y Quiroga Oeste</v>
      </c>
      <c r="H2407" s="36" t="str">
        <f>IFERROR(__xludf.DUMMYFUNCTION("""COMPUTED_VALUE"""),"")</f>
        <v/>
      </c>
    </row>
    <row r="2408">
      <c r="A2408" s="36" t="str">
        <f>IFERROR(__xludf.DUMMYFUNCTION("""COMPUTED_VALUE"""),"04-45-12-65")</f>
        <v>04-45-12-65</v>
      </c>
      <c r="B2408" s="36" t="str">
        <f>IFERROR(__xludf.DUMMYFUNCTION("""COMPUTED_VALUE"""),"")</f>
        <v/>
      </c>
      <c r="C2408" s="36" t="str">
        <f>IFERROR(__xludf.DUMMYFUNCTION("""COMPUTED_VALUE"""),"")</f>
        <v/>
      </c>
      <c r="D2408" s="36" t="str">
        <f>IFERROR(__xludf.DUMMYFUNCTION("""COMPUTED_VALUE"""),"")</f>
        <v/>
      </c>
      <c r="E2408" s="36" t="str">
        <f>IFERROR(__xludf.DUMMYFUNCTION("""COMPUTED_VALUE"""),"04-45-12-17D")</f>
        <v>04-45-12-17D</v>
      </c>
      <c r="F2408" s="36"/>
      <c r="G2408" s="36" t="str">
        <f>IFERROR(__xludf.DUMMYFUNCTION("""COMPUTED_VALUE"""),"Rivadavia y Quiroz Este")</f>
        <v>Rivadavia y Quiroz Este</v>
      </c>
      <c r="H2408" s="36" t="str">
        <f>IFERROR(__xludf.DUMMYFUNCTION("""COMPUTED_VALUE"""),"")</f>
        <v/>
      </c>
    </row>
    <row r="2409">
      <c r="A2409" s="36" t="str">
        <f>IFERROR(__xludf.DUMMYFUNCTION("""COMPUTED_VALUE"""),"04-45-12-67")</f>
        <v>04-45-12-67</v>
      </c>
      <c r="B2409" s="36" t="str">
        <f>IFERROR(__xludf.DUMMYFUNCTION("""COMPUTED_VALUE"""),"")</f>
        <v/>
      </c>
      <c r="C2409" s="36" t="str">
        <f>IFERROR(__xludf.DUMMYFUNCTION("""COMPUTED_VALUE"""),"")</f>
        <v/>
      </c>
      <c r="D2409" s="36" t="str">
        <f>IFERROR(__xludf.DUMMYFUNCTION("""COMPUTED_VALUE"""),"")</f>
        <v/>
      </c>
      <c r="E2409" s="36" t="str">
        <f>IFERROR(__xludf.DUMMYFUNCTION("""COMPUTED_VALUE"""),"04-45-12-22")</f>
        <v>04-45-12-22</v>
      </c>
      <c r="F2409" s="36"/>
      <c r="G2409" s="36" t="str">
        <f>IFERROR(__xludf.DUMMYFUNCTION("""COMPUTED_VALUE"""),"Rivadavia y Quiroz Oeste")</f>
        <v>Rivadavia y Quiroz Oeste</v>
      </c>
      <c r="H2409" s="36" t="str">
        <f>IFERROR(__xludf.DUMMYFUNCTION("""COMPUTED_VALUE"""),"")</f>
        <v/>
      </c>
    </row>
    <row r="2410">
      <c r="A2410" s="36" t="str">
        <f>IFERROR(__xludf.DUMMYFUNCTION("""COMPUTED_VALUE"""),"04-45-12-7")</f>
        <v>04-45-12-7</v>
      </c>
      <c r="B2410" s="36" t="str">
        <f>IFERROR(__xludf.DUMMYFUNCTION("""COMPUTED_VALUE"""),"")</f>
        <v/>
      </c>
      <c r="C2410" s="36" t="str">
        <f>IFERROR(__xludf.DUMMYFUNCTION("""COMPUTED_VALUE"""),"")</f>
        <v/>
      </c>
      <c r="D2410" s="36" t="str">
        <f>IFERROR(__xludf.DUMMYFUNCTION("""COMPUTED_VALUE"""),"")</f>
        <v/>
      </c>
      <c r="E2410" s="36" t="str">
        <f>IFERROR(__xludf.DUMMYFUNCTION("""COMPUTED_VALUE"""),"08-22-04-35")</f>
        <v>08-22-04-35</v>
      </c>
      <c r="F2410" s="36"/>
      <c r="G2410" s="36" t="str">
        <f>IFERROR(__xludf.DUMMYFUNCTION("""COMPUTED_VALUE"""),"RN40 y 13 de Junio")</f>
        <v>RN40 y 13 de Junio</v>
      </c>
      <c r="H2410" s="36" t="str">
        <f>IFERROR(__xludf.DUMMYFUNCTION("""COMPUTED_VALUE"""),"")</f>
        <v/>
      </c>
    </row>
    <row r="2411">
      <c r="A2411" s="36" t="str">
        <f>IFERROR(__xludf.DUMMYFUNCTION("""COMPUTED_VALUE"""),"04-45-12-70")</f>
        <v>04-45-12-70</v>
      </c>
      <c r="B2411" s="36" t="str">
        <f>IFERROR(__xludf.DUMMYFUNCTION("""COMPUTED_VALUE"""),"")</f>
        <v/>
      </c>
      <c r="C2411" s="36" t="str">
        <f>IFERROR(__xludf.DUMMYFUNCTION("""COMPUTED_VALUE"""),"")</f>
        <v/>
      </c>
      <c r="D2411" s="36" t="str">
        <f>IFERROR(__xludf.DUMMYFUNCTION("""COMPUTED_VALUE"""),"")</f>
        <v/>
      </c>
      <c r="E2411" s="36" t="str">
        <f>IFERROR(__xludf.DUMMYFUNCTION("""COMPUTED_VALUE"""),"01-25-03-27")</f>
        <v>01-25-03-27</v>
      </c>
      <c r="F2411" s="36"/>
      <c r="G2411" s="36" t="str">
        <f>IFERROR(__xludf.DUMMYFUNCTION("""COMPUTED_VALUE"""),"RN40 y Av. N. Benavídez")</f>
        <v>RN40 y Av. N. Benavídez</v>
      </c>
      <c r="H2411" s="36" t="str">
        <f>IFERROR(__xludf.DUMMYFUNCTION("""COMPUTED_VALUE"""),"")</f>
        <v/>
      </c>
    </row>
    <row r="2412">
      <c r="A2412" s="36" t="str">
        <f>IFERROR(__xludf.DUMMYFUNCTION("""COMPUTED_VALUE"""),"04-45-12-73")</f>
        <v>04-45-12-73</v>
      </c>
      <c r="B2412" s="36" t="str">
        <f>IFERROR(__xludf.DUMMYFUNCTION("""COMPUTED_VALUE"""),"")</f>
        <v/>
      </c>
      <c r="C2412" s="36" t="str">
        <f>IFERROR(__xludf.DUMMYFUNCTION("""COMPUTED_VALUE"""),"")</f>
        <v/>
      </c>
      <c r="D2412" s="36" t="str">
        <f>IFERROR(__xludf.DUMMYFUNCTION("""COMPUTED_VALUE"""),"")</f>
        <v/>
      </c>
      <c r="E2412" s="36" t="str">
        <f>IFERROR(__xludf.DUMMYFUNCTION("""COMPUTED_VALUE"""),"08-22-04-33")</f>
        <v>08-22-04-33</v>
      </c>
      <c r="F2412" s="36"/>
      <c r="G2412" s="36" t="str">
        <f>IFERROR(__xludf.DUMMYFUNCTION("""COMPUTED_VALUE"""),"RN40 y Callejón Blanco E")</f>
        <v>RN40 y Callejón Blanco E</v>
      </c>
      <c r="H2412" s="36" t="str">
        <f>IFERROR(__xludf.DUMMYFUNCTION("""COMPUTED_VALUE"""),"")</f>
        <v/>
      </c>
    </row>
    <row r="2413">
      <c r="A2413" s="36" t="str">
        <f>IFERROR(__xludf.DUMMYFUNCTION("""COMPUTED_VALUE"""),"04-45-12-73A")</f>
        <v>04-45-12-73A</v>
      </c>
      <c r="B2413" s="36" t="str">
        <f>IFERROR(__xludf.DUMMYFUNCTION("""COMPUTED_VALUE"""),"")</f>
        <v/>
      </c>
      <c r="C2413" s="36" t="str">
        <f>IFERROR(__xludf.DUMMYFUNCTION("""COMPUTED_VALUE"""),"")</f>
        <v/>
      </c>
      <c r="D2413" s="36" t="str">
        <f>IFERROR(__xludf.DUMMYFUNCTION("""COMPUTED_VALUE"""),"")</f>
        <v/>
      </c>
      <c r="E2413" s="36" t="str">
        <f>IFERROR(__xludf.DUMMYFUNCTION("""COMPUTED_VALUE"""),"08-22-04-33A")</f>
        <v>08-22-04-33A</v>
      </c>
      <c r="F2413" s="36"/>
      <c r="G2413" s="36" t="str">
        <f>IFERROR(__xludf.DUMMYFUNCTION("""COMPUTED_VALUE"""),"RN40 y Callejón Blanco O")</f>
        <v>RN40 y Callejón Blanco O</v>
      </c>
      <c r="H2413" s="36" t="str">
        <f>IFERROR(__xludf.DUMMYFUNCTION("""COMPUTED_VALUE"""),"")</f>
        <v/>
      </c>
    </row>
    <row r="2414">
      <c r="A2414" s="36" t="str">
        <f>IFERROR(__xludf.DUMMYFUNCTION("""COMPUTED_VALUE"""),"04-45-12-74")</f>
        <v>04-45-12-74</v>
      </c>
      <c r="B2414" s="36" t="str">
        <f>IFERROR(__xludf.DUMMYFUNCTION("""COMPUTED_VALUE"""),"")</f>
        <v/>
      </c>
      <c r="C2414" s="36" t="str">
        <f>IFERROR(__xludf.DUMMYFUNCTION("""COMPUTED_VALUE"""),"")</f>
        <v/>
      </c>
      <c r="D2414" s="36" t="str">
        <f>IFERROR(__xludf.DUMMYFUNCTION("""COMPUTED_VALUE"""),"")</f>
        <v/>
      </c>
      <c r="E2414" s="36" t="str">
        <f>IFERROR(__xludf.DUMMYFUNCTION("""COMPUTED_VALUE"""),"08-22-04-34")</f>
        <v>08-22-04-34</v>
      </c>
      <c r="F2414" s="36"/>
      <c r="G2414" s="36" t="str">
        <f>IFERROR(__xludf.DUMMYFUNCTION("""COMPUTED_VALUE"""),"RN40 y Progreso")</f>
        <v>RN40 y Progreso</v>
      </c>
      <c r="H2414" s="36" t="str">
        <f>IFERROR(__xludf.DUMMYFUNCTION("""COMPUTED_VALUE"""),"")</f>
        <v/>
      </c>
    </row>
    <row r="2415">
      <c r="A2415" s="36" t="str">
        <f>IFERROR(__xludf.DUMMYFUNCTION("""COMPUTED_VALUE"""),"04-45-12-75")</f>
        <v>04-45-12-75</v>
      </c>
      <c r="B2415" s="36" t="str">
        <f>IFERROR(__xludf.DUMMYFUNCTION("""COMPUTED_VALUE"""),"")</f>
        <v/>
      </c>
      <c r="C2415" s="36" t="str">
        <f>IFERROR(__xludf.DUMMYFUNCTION("""COMPUTED_VALUE"""),"")</f>
        <v/>
      </c>
      <c r="D2415" s="36" t="str">
        <f>IFERROR(__xludf.DUMMYFUNCTION("""COMPUTED_VALUE"""),"")</f>
        <v/>
      </c>
      <c r="E2415" s="36" t="str">
        <f>IFERROR(__xludf.DUMMYFUNCTION("""COMPUTED_VALUE"""),"04-22-14-63")</f>
        <v>04-22-14-63</v>
      </c>
      <c r="F2415" s="36"/>
      <c r="G2415" s="36" t="str">
        <f>IFERROR(__xludf.DUMMYFUNCTION("""COMPUTED_VALUE"""),"Rodas - B° -Seño -N")</f>
        <v>Rodas - B° -Seño -N</v>
      </c>
      <c r="H2415" s="36" t="str">
        <f>IFERROR(__xludf.DUMMYFUNCTION("""COMPUTED_VALUE"""),"")</f>
        <v/>
      </c>
    </row>
    <row r="2416">
      <c r="A2416" s="36" t="str">
        <f>IFERROR(__xludf.DUMMYFUNCTION("""COMPUTED_VALUE"""),"04-45-12-76")</f>
        <v>04-45-12-76</v>
      </c>
      <c r="B2416" s="36" t="str">
        <f>IFERROR(__xludf.DUMMYFUNCTION("""COMPUTED_VALUE"""),"")</f>
        <v/>
      </c>
      <c r="C2416" s="36" t="str">
        <f>IFERROR(__xludf.DUMMYFUNCTION("""COMPUTED_VALUE"""),"")</f>
        <v/>
      </c>
      <c r="D2416" s="36" t="str">
        <f>IFERROR(__xludf.DUMMYFUNCTION("""COMPUTED_VALUE"""),"")</f>
        <v/>
      </c>
      <c r="E2416" s="36" t="str">
        <f>IFERROR(__xludf.DUMMYFUNCTION("""COMPUTED_VALUE"""),"04-22-14-64")</f>
        <v>04-22-14-64</v>
      </c>
      <c r="F2416" s="36"/>
      <c r="G2416" s="36" t="str">
        <f>IFERROR(__xludf.DUMMYFUNCTION("""COMPUTED_VALUE"""),"Rodas - B° -Seño -S")</f>
        <v>Rodas - B° -Seño -S</v>
      </c>
      <c r="H2416" s="36" t="str">
        <f>IFERROR(__xludf.DUMMYFUNCTION("""COMPUTED_VALUE"""),"")</f>
        <v/>
      </c>
    </row>
    <row r="2417">
      <c r="A2417" s="36" t="str">
        <f>IFERROR(__xludf.DUMMYFUNCTION("""COMPUTED_VALUE"""),"04-45-12-77")</f>
        <v>04-45-12-77</v>
      </c>
      <c r="B2417" s="36" t="str">
        <f>IFERROR(__xludf.DUMMYFUNCTION("""COMPUTED_VALUE"""),"")</f>
        <v/>
      </c>
      <c r="C2417" s="36" t="str">
        <f>IFERROR(__xludf.DUMMYFUNCTION("""COMPUTED_VALUE"""),"")</f>
        <v/>
      </c>
      <c r="D2417" s="36" t="str">
        <f>IFERROR(__xludf.DUMMYFUNCTION("""COMPUTED_VALUE"""),"")</f>
        <v/>
      </c>
      <c r="E2417" s="36" t="str">
        <f>IFERROR(__xludf.DUMMYFUNCTION("""COMPUTED_VALUE"""),"04-22-14-61")</f>
        <v>04-22-14-61</v>
      </c>
      <c r="F2417" s="36"/>
      <c r="G2417" s="36" t="str">
        <f>IFERROR(__xludf.DUMMYFUNCTION("""COMPUTED_VALUE"""),"Rodas - B° Reina Mora -N")</f>
        <v>Rodas - B° Reina Mora -N</v>
      </c>
      <c r="H2417" s="36" t="str">
        <f>IFERROR(__xludf.DUMMYFUNCTION("""COMPUTED_VALUE"""),"")</f>
        <v/>
      </c>
    </row>
    <row r="2418">
      <c r="A2418" s="36" t="str">
        <f>IFERROR(__xludf.DUMMYFUNCTION("""COMPUTED_VALUE"""),"04-45-12-78")</f>
        <v>04-45-12-78</v>
      </c>
      <c r="B2418" s="36" t="str">
        <f>IFERROR(__xludf.DUMMYFUNCTION("""COMPUTED_VALUE"""),"")</f>
        <v/>
      </c>
      <c r="C2418" s="36" t="str">
        <f>IFERROR(__xludf.DUMMYFUNCTION("""COMPUTED_VALUE"""),"")</f>
        <v/>
      </c>
      <c r="D2418" s="36" t="str">
        <f>IFERROR(__xludf.DUMMYFUNCTION("""COMPUTED_VALUE"""),"")</f>
        <v/>
      </c>
      <c r="E2418" s="36" t="str">
        <f>IFERROR(__xludf.DUMMYFUNCTION("""COMPUTED_VALUE"""),"04-22-14-62")</f>
        <v>04-22-14-62</v>
      </c>
      <c r="F2418" s="36"/>
      <c r="G2418" s="36" t="str">
        <f>IFERROR(__xludf.DUMMYFUNCTION("""COMPUTED_VALUE"""),"Rodas - B° Reina Mora -S")</f>
        <v>Rodas - B° Reina Mora -S</v>
      </c>
      <c r="H2418" s="36" t="str">
        <f>IFERROR(__xludf.DUMMYFUNCTION("""COMPUTED_VALUE"""),"")</f>
        <v/>
      </c>
    </row>
    <row r="2419">
      <c r="A2419" s="36" t="str">
        <f>IFERROR(__xludf.DUMMYFUNCTION("""COMPUTED_VALUE"""),"04-45-12-79")</f>
        <v>04-45-12-79</v>
      </c>
      <c r="B2419" s="36" t="str">
        <f>IFERROR(__xludf.DUMMYFUNCTION("""COMPUTED_VALUE"""),"")</f>
        <v/>
      </c>
      <c r="C2419" s="36" t="str">
        <f>IFERROR(__xludf.DUMMYFUNCTION("""COMPUTED_VALUE"""),"")</f>
        <v/>
      </c>
      <c r="D2419" s="36" t="str">
        <f>IFERROR(__xludf.DUMMYFUNCTION("""COMPUTED_VALUE"""),"")</f>
        <v/>
      </c>
      <c r="E2419" s="36" t="str">
        <f>IFERROR(__xludf.DUMMYFUNCTION("""COMPUTED_VALUE"""),"04-22-14-46")</f>
        <v>04-22-14-46</v>
      </c>
      <c r="F2419" s="36"/>
      <c r="G2419" s="36" t="str">
        <f>IFERROR(__xludf.DUMMYFUNCTION("""COMPUTED_VALUE"""),"Rodas y Estados Unidos")</f>
        <v>Rodas y Estados Unidos</v>
      </c>
      <c r="H2419" s="36" t="str">
        <f>IFERROR(__xludf.DUMMYFUNCTION("""COMPUTED_VALUE"""),"")</f>
        <v/>
      </c>
    </row>
    <row r="2420">
      <c r="A2420" s="36" t="str">
        <f>IFERROR(__xludf.DUMMYFUNCTION("""COMPUTED_VALUE"""),"04-45-12-79A")</f>
        <v>04-45-12-79A</v>
      </c>
      <c r="B2420" s="36" t="str">
        <f>IFERROR(__xludf.DUMMYFUNCTION("""COMPUTED_VALUE"""),"")</f>
        <v/>
      </c>
      <c r="C2420" s="36" t="str">
        <f>IFERROR(__xludf.DUMMYFUNCTION("""COMPUTED_VALUE"""),"")</f>
        <v/>
      </c>
      <c r="D2420" s="36" t="str">
        <f>IFERROR(__xludf.DUMMYFUNCTION("""COMPUTED_VALUE"""),"")</f>
        <v/>
      </c>
      <c r="E2420" s="36" t="str">
        <f>IFERROR(__xludf.DUMMYFUNCTION("""COMPUTED_VALUE"""),"04-22-14-48")</f>
        <v>04-22-14-48</v>
      </c>
      <c r="F2420" s="36"/>
      <c r="G2420" s="36" t="str">
        <f>IFERROR(__xludf.DUMMYFUNCTION("""COMPUTED_VALUE"""),"Rodas y Las Cañitas")</f>
        <v>Rodas y Las Cañitas</v>
      </c>
      <c r="H2420" s="36" t="str">
        <f>IFERROR(__xludf.DUMMYFUNCTION("""COMPUTED_VALUE"""),"")</f>
        <v/>
      </c>
    </row>
    <row r="2421">
      <c r="A2421" s="36" t="str">
        <f>IFERROR(__xludf.DUMMYFUNCTION("""COMPUTED_VALUE"""),"04-45-12-8A")</f>
        <v>04-45-12-8A</v>
      </c>
      <c r="B2421" s="36" t="str">
        <f>IFERROR(__xludf.DUMMYFUNCTION("""COMPUTED_VALUE"""),"")</f>
        <v/>
      </c>
      <c r="C2421" s="36" t="str">
        <f>IFERROR(__xludf.DUMMYFUNCTION("""COMPUTED_VALUE"""),"")</f>
        <v/>
      </c>
      <c r="D2421" s="36" t="str">
        <f>IFERROR(__xludf.DUMMYFUNCTION("""COMPUTED_VALUE"""),"")</f>
        <v/>
      </c>
      <c r="E2421" s="36" t="str">
        <f>IFERROR(__xludf.DUMMYFUNCTION("""COMPUTED_VALUE"""),"08-26-03-62")</f>
        <v>08-26-03-62</v>
      </c>
      <c r="F2421" s="36"/>
      <c r="G2421" s="36" t="str">
        <f>IFERROR(__xludf.DUMMYFUNCTION("""COMPUTED_VALUE"""),"Rodríguez  y San Juan")</f>
        <v>Rodríguez  y San Juan</v>
      </c>
      <c r="H2421" s="36" t="str">
        <f>IFERROR(__xludf.DUMMYFUNCTION("""COMPUTED_VALUE"""),"")</f>
        <v/>
      </c>
    </row>
    <row r="2422">
      <c r="A2422" s="36" t="str">
        <f>IFERROR(__xludf.DUMMYFUNCTION("""COMPUTED_VALUE"""),"04-45-12-9")</f>
        <v>04-45-12-9</v>
      </c>
      <c r="B2422" s="36" t="str">
        <f>IFERROR(__xludf.DUMMYFUNCTION("""COMPUTED_VALUE"""),"")</f>
        <v/>
      </c>
      <c r="C2422" s="36" t="str">
        <f>IFERROR(__xludf.DUMMYFUNCTION("""COMPUTED_VALUE"""),"")</f>
        <v/>
      </c>
      <c r="D2422" s="36" t="str">
        <f>IFERROR(__xludf.DUMMYFUNCTION("""COMPUTED_VALUE"""),"")</f>
        <v/>
      </c>
      <c r="E2422" s="36" t="str">
        <f>IFERROR(__xludf.DUMMYFUNCTION("""COMPUTED_VALUE"""),"08-28-03-104")</f>
        <v>08-28-03-104</v>
      </c>
      <c r="F2422" s="36"/>
      <c r="G2422" s="36" t="str">
        <f>IFERROR(__xludf.DUMMYFUNCTION("""COMPUTED_VALUE"""),"Rodríguez y 9 de Julio N")</f>
        <v>Rodríguez y 9 de Julio N</v>
      </c>
      <c r="H2422" s="36" t="str">
        <f>IFERROR(__xludf.DUMMYFUNCTION("""COMPUTED_VALUE"""),"")</f>
        <v/>
      </c>
    </row>
    <row r="2423">
      <c r="A2423" s="36" t="str">
        <f>IFERROR(__xludf.DUMMYFUNCTION("""COMPUTED_VALUE"""),"04-46-12-3A")</f>
        <v>04-46-12-3A</v>
      </c>
      <c r="B2423" s="36" t="str">
        <f>IFERROR(__xludf.DUMMYFUNCTION("""COMPUTED_VALUE"""),"")</f>
        <v/>
      </c>
      <c r="C2423" s="36" t="str">
        <f>IFERROR(__xludf.DUMMYFUNCTION("""COMPUTED_VALUE"""),"")</f>
        <v/>
      </c>
      <c r="D2423" s="36" t="str">
        <f>IFERROR(__xludf.DUMMYFUNCTION("""COMPUTED_VALUE"""),"")</f>
        <v/>
      </c>
      <c r="E2423" s="36" t="str">
        <f>IFERROR(__xludf.DUMMYFUNCTION("""COMPUTED_VALUE"""),"08-28-03-5")</f>
        <v>08-28-03-5</v>
      </c>
      <c r="F2423" s="36"/>
      <c r="G2423" s="36" t="str">
        <f>IFERROR(__xludf.DUMMYFUNCTION("""COMPUTED_VALUE"""),"Rodríguez y 9 de Julio S")</f>
        <v>Rodríguez y 9 de Julio S</v>
      </c>
      <c r="H2423" s="36" t="str">
        <f>IFERROR(__xludf.DUMMYFUNCTION("""COMPUTED_VALUE"""),"")</f>
        <v/>
      </c>
    </row>
    <row r="2424">
      <c r="A2424" s="36" t="str">
        <f>IFERROR(__xludf.DUMMYFUNCTION("""COMPUTED_VALUE"""),"04-46-12-4")</f>
        <v>04-46-12-4</v>
      </c>
      <c r="B2424" s="36" t="str">
        <f>IFERROR(__xludf.DUMMYFUNCTION("""COMPUTED_VALUE"""),"")</f>
        <v/>
      </c>
      <c r="C2424" s="36" t="str">
        <f>IFERROR(__xludf.DUMMYFUNCTION("""COMPUTED_VALUE"""),"")</f>
        <v/>
      </c>
      <c r="D2424" s="36" t="str">
        <f>IFERROR(__xludf.DUMMYFUNCTION("""COMPUTED_VALUE"""),"")</f>
        <v/>
      </c>
      <c r="E2424" s="36" t="str">
        <f>IFERROR(__xludf.DUMMYFUNCTION("""COMPUTED_VALUE"""),"08-28-03-8")</f>
        <v>08-28-03-8</v>
      </c>
      <c r="F2424" s="36"/>
      <c r="G2424" s="36" t="str">
        <f>IFERROR(__xludf.DUMMYFUNCTION("""COMPUTED_VALUE"""),"Rodríguez y Alem")</f>
        <v>Rodríguez y Alem</v>
      </c>
      <c r="H2424" s="36" t="str">
        <f>IFERROR(__xludf.DUMMYFUNCTION("""COMPUTED_VALUE"""),"")</f>
        <v/>
      </c>
    </row>
    <row r="2425">
      <c r="A2425" s="36" t="str">
        <f>IFERROR(__xludf.DUMMYFUNCTION("""COMPUTED_VALUE"""),"04-46-12-6")</f>
        <v>04-46-12-6</v>
      </c>
      <c r="B2425" s="36" t="str">
        <f>IFERROR(__xludf.DUMMYFUNCTION("""COMPUTED_VALUE"""),"")</f>
        <v/>
      </c>
      <c r="C2425" s="36" t="str">
        <f>IFERROR(__xludf.DUMMYFUNCTION("""COMPUTED_VALUE"""),"")</f>
        <v/>
      </c>
      <c r="D2425" s="36" t="str">
        <f>IFERROR(__xludf.DUMMYFUNCTION("""COMPUTED_VALUE"""),"")</f>
        <v/>
      </c>
      <c r="E2425" s="36" t="str">
        <f>IFERROR(__xludf.DUMMYFUNCTION("""COMPUTED_VALUE"""),"08-23-04-27")</f>
        <v>08-23-04-27</v>
      </c>
      <c r="F2425" s="36"/>
      <c r="G2425" s="36" t="str">
        <f>IFERROR(__xludf.DUMMYFUNCTION("""COMPUTED_VALUE"""),"Rodríguez y Buenaventura Luna")</f>
        <v>Rodríguez y Buenaventura Luna</v>
      </c>
      <c r="H2425" s="36" t="str">
        <f>IFERROR(__xludf.DUMMYFUNCTION("""COMPUTED_VALUE"""),"")</f>
        <v/>
      </c>
    </row>
    <row r="2426">
      <c r="A2426" s="36" t="str">
        <f>IFERROR(__xludf.DUMMYFUNCTION("""COMPUTED_VALUE"""),"04-46-12-8")</f>
        <v>04-46-12-8</v>
      </c>
      <c r="B2426" s="36" t="str">
        <f>IFERROR(__xludf.DUMMYFUNCTION("""COMPUTED_VALUE"""),"")</f>
        <v/>
      </c>
      <c r="C2426" s="36" t="str">
        <f>IFERROR(__xludf.DUMMYFUNCTION("""COMPUTED_VALUE"""),"")</f>
        <v/>
      </c>
      <c r="D2426" s="36" t="str">
        <f>IFERROR(__xludf.DUMMYFUNCTION("""COMPUTED_VALUE"""),"")</f>
        <v/>
      </c>
      <c r="E2426" s="36" t="str">
        <f>IFERROR(__xludf.DUMMYFUNCTION("""COMPUTED_VALUE"""),"08-28-03-7")</f>
        <v>08-28-03-7</v>
      </c>
      <c r="F2426" s="36"/>
      <c r="G2426" s="36" t="str">
        <f>IFERROR(__xludf.DUMMYFUNCTION("""COMPUTED_VALUE"""),"Rodríguez y Catamarca")</f>
        <v>Rodríguez y Catamarca</v>
      </c>
      <c r="H2426" s="36" t="str">
        <f>IFERROR(__xludf.DUMMYFUNCTION("""COMPUTED_VALUE"""),"")</f>
        <v/>
      </c>
    </row>
    <row r="2427">
      <c r="A2427" s="36" t="str">
        <f>IFERROR(__xludf.DUMMYFUNCTION("""COMPUTED_VALUE"""),"04-46-12-8B")</f>
        <v>04-46-12-8B</v>
      </c>
      <c r="B2427" s="36" t="str">
        <f>IFERROR(__xludf.DUMMYFUNCTION("""COMPUTED_VALUE"""),"")</f>
        <v/>
      </c>
      <c r="C2427" s="36" t="str">
        <f>IFERROR(__xludf.DUMMYFUNCTION("""COMPUTED_VALUE"""),"")</f>
        <v/>
      </c>
      <c r="D2427" s="36" t="str">
        <f>IFERROR(__xludf.DUMMYFUNCTION("""COMPUTED_VALUE"""),"")</f>
        <v/>
      </c>
      <c r="E2427" s="36" t="str">
        <f>IFERROR(__xludf.DUMMYFUNCTION("""COMPUTED_VALUE"""),"08-26-03-66")</f>
        <v>08-26-03-66</v>
      </c>
      <c r="F2427" s="36"/>
      <c r="G2427" s="36" t="str">
        <f>IFERROR(__xludf.DUMMYFUNCTION("""COMPUTED_VALUE"""),"Rodríguez y Catriel N")</f>
        <v>Rodríguez y Catriel N</v>
      </c>
      <c r="H2427" s="36" t="str">
        <f>IFERROR(__xludf.DUMMYFUNCTION("""COMPUTED_VALUE"""),"")</f>
        <v/>
      </c>
    </row>
    <row r="2428">
      <c r="A2428" s="36" t="str">
        <f>IFERROR(__xludf.DUMMYFUNCTION("""COMPUTED_VALUE"""),"04-46-12-8C")</f>
        <v>04-46-12-8C</v>
      </c>
      <c r="B2428" s="36" t="str">
        <f>IFERROR(__xludf.DUMMYFUNCTION("""COMPUTED_VALUE"""),"")</f>
        <v/>
      </c>
      <c r="C2428" s="36" t="str">
        <f>IFERROR(__xludf.DUMMYFUNCTION("""COMPUTED_VALUE"""),"")</f>
        <v/>
      </c>
      <c r="D2428" s="36" t="str">
        <f>IFERROR(__xludf.DUMMYFUNCTION("""COMPUTED_VALUE"""),"")</f>
        <v/>
      </c>
      <c r="E2428" s="36" t="str">
        <f>IFERROR(__xludf.DUMMYFUNCTION("""COMPUTED_VALUE"""),"08-26-03-67")</f>
        <v>08-26-03-67</v>
      </c>
      <c r="F2428" s="36"/>
      <c r="G2428" s="36" t="str">
        <f>IFERROR(__xludf.DUMMYFUNCTION("""COMPUTED_VALUE"""),"Rodríguez y Catriel S")</f>
        <v>Rodríguez y Catriel S</v>
      </c>
      <c r="H2428" s="36" t="str">
        <f>IFERROR(__xludf.DUMMYFUNCTION("""COMPUTED_VALUE"""),"")</f>
        <v/>
      </c>
    </row>
    <row r="2429">
      <c r="A2429" s="36" t="str">
        <f>IFERROR(__xludf.DUMMYFUNCTION("""COMPUTED_VALUE"""),"01-55-13-239")</f>
        <v>01-55-13-239</v>
      </c>
      <c r="B2429" s="36" t="str">
        <f>IFERROR(__xludf.DUMMYFUNCTION("""COMPUTED_VALUE"""),"")</f>
        <v/>
      </c>
      <c r="C2429" s="36" t="str">
        <f>IFERROR(__xludf.DUMMYFUNCTION("""COMPUTED_VALUE"""),"")</f>
        <v/>
      </c>
      <c r="D2429" s="36" t="str">
        <f>IFERROR(__xludf.DUMMYFUNCTION("""COMPUTED_VALUE"""),"")</f>
        <v/>
      </c>
      <c r="E2429" s="36" t="str">
        <f>IFERROR(__xludf.DUMMYFUNCTION("""COMPUTED_VALUE"""),"08-28-03-103")</f>
        <v>08-28-03-103</v>
      </c>
      <c r="F2429" s="36"/>
      <c r="G2429" s="36" t="str">
        <f>IFERROR(__xludf.DUMMYFUNCTION("""COMPUTED_VALUE"""),"Rodríguez y Chaco")</f>
        <v>Rodríguez y Chaco</v>
      </c>
      <c r="H2429" s="36" t="str">
        <f>IFERROR(__xludf.DUMMYFUNCTION("""COMPUTED_VALUE"""),"")</f>
        <v/>
      </c>
    </row>
    <row r="2430">
      <c r="A2430" s="36" t="str">
        <f>IFERROR(__xludf.DUMMYFUNCTION("""COMPUTED_VALUE"""),"01-55-13-240")</f>
        <v>01-55-13-240</v>
      </c>
      <c r="B2430" s="36" t="str">
        <f>IFERROR(__xludf.DUMMYFUNCTION("""COMPUTED_VALUE"""),"")</f>
        <v/>
      </c>
      <c r="C2430" s="36" t="str">
        <f>IFERROR(__xludf.DUMMYFUNCTION("""COMPUTED_VALUE"""),"")</f>
        <v/>
      </c>
      <c r="D2430" s="36" t="str">
        <f>IFERROR(__xludf.DUMMYFUNCTION("""COMPUTED_VALUE"""),"")</f>
        <v/>
      </c>
      <c r="E2430" s="36" t="str">
        <f>IFERROR(__xludf.DUMMYFUNCTION("""COMPUTED_VALUE"""),"08-23-04-69A")</f>
        <v>08-23-04-69A</v>
      </c>
      <c r="F2430" s="36"/>
      <c r="G2430" s="36" t="str">
        <f>IFERROR(__xludf.DUMMYFUNCTION("""COMPUTED_VALUE"""),"Rodríguez y Club Rivera N")</f>
        <v>Rodríguez y Club Rivera N</v>
      </c>
      <c r="H2430" s="36" t="str">
        <f>IFERROR(__xludf.DUMMYFUNCTION("""COMPUTED_VALUE"""),"")</f>
        <v/>
      </c>
    </row>
    <row r="2431">
      <c r="A2431" s="36" t="str">
        <f>IFERROR(__xludf.DUMMYFUNCTION("""COMPUTED_VALUE"""),"01-55-13-242")</f>
        <v>01-55-13-242</v>
      </c>
      <c r="B2431" s="36" t="str">
        <f>IFERROR(__xludf.DUMMYFUNCTION("""COMPUTED_VALUE"""),"")</f>
        <v/>
      </c>
      <c r="C2431" s="36" t="str">
        <f>IFERROR(__xludf.DUMMYFUNCTION("""COMPUTED_VALUE"""),"")</f>
        <v/>
      </c>
      <c r="D2431" s="36" t="str">
        <f>IFERROR(__xludf.DUMMYFUNCTION("""COMPUTED_VALUE"""),"")</f>
        <v/>
      </c>
      <c r="E2431" s="36" t="str">
        <f>IFERROR(__xludf.DUMMYFUNCTION("""COMPUTED_VALUE"""),"08-23-04-68A")</f>
        <v>08-23-04-68A</v>
      </c>
      <c r="F2431" s="36"/>
      <c r="G2431" s="36" t="str">
        <f>IFERROR(__xludf.DUMMYFUNCTION("""COMPUTED_VALUE"""),"Rodríguez y Club Rivera S")</f>
        <v>Rodríguez y Club Rivera S</v>
      </c>
      <c r="H2431" s="36" t="str">
        <f>IFERROR(__xludf.DUMMYFUNCTION("""COMPUTED_VALUE"""),"")</f>
        <v/>
      </c>
    </row>
    <row r="2432">
      <c r="A2432" s="36" t="str">
        <f>IFERROR(__xludf.DUMMYFUNCTION("""COMPUTED_VALUE"""),"01-55-13-246")</f>
        <v>01-55-13-246</v>
      </c>
      <c r="B2432" s="36" t="str">
        <f>IFERROR(__xludf.DUMMYFUNCTION("""COMPUTED_VALUE"""),"")</f>
        <v/>
      </c>
      <c r="C2432" s="36" t="str">
        <f>IFERROR(__xludf.DUMMYFUNCTION("""COMPUTED_VALUE"""),"")</f>
        <v/>
      </c>
      <c r="D2432" s="36" t="str">
        <f>IFERROR(__xludf.DUMMYFUNCTION("""COMPUTED_VALUE"""),"")</f>
        <v/>
      </c>
      <c r="E2432" s="36" t="str">
        <f>IFERROR(__xludf.DUMMYFUNCTION("""COMPUTED_VALUE"""),"08-26-03-68")</f>
        <v>08-26-03-68</v>
      </c>
      <c r="F2432" s="36"/>
      <c r="G2432" s="36" t="str">
        <f>IFERROR(__xludf.DUMMYFUNCTION("""COMPUTED_VALUE"""),"Rodríguez y Mendoza N")</f>
        <v>Rodríguez y Mendoza N</v>
      </c>
      <c r="H2432" s="36" t="str">
        <f>IFERROR(__xludf.DUMMYFUNCTION("""COMPUTED_VALUE"""),"")</f>
        <v/>
      </c>
    </row>
    <row r="2433">
      <c r="A2433" s="36" t="str">
        <f>IFERROR(__xludf.DUMMYFUNCTION("""COMPUTED_VALUE"""),"01-55-13-254")</f>
        <v>01-55-13-254</v>
      </c>
      <c r="B2433" s="36" t="str">
        <f>IFERROR(__xludf.DUMMYFUNCTION("""COMPUTED_VALUE"""),"")</f>
        <v/>
      </c>
      <c r="C2433" s="36" t="str">
        <f>IFERROR(__xludf.DUMMYFUNCTION("""COMPUTED_VALUE"""),"")</f>
        <v/>
      </c>
      <c r="D2433" s="36" t="str">
        <f>IFERROR(__xludf.DUMMYFUNCTION("""COMPUTED_VALUE"""),"ERROR DE ID")</f>
        <v>ERROR DE ID</v>
      </c>
      <c r="E2433" s="36" t="str">
        <f>IFERROR(__xludf.DUMMYFUNCTION("""COMPUTED_VALUE"""),"08-26-03-68A")</f>
        <v>08-26-03-68A</v>
      </c>
      <c r="F2433" s="36"/>
      <c r="G2433" s="36" t="str">
        <f>IFERROR(__xludf.DUMMYFUNCTION("""COMPUTED_VALUE"""),"Rodríguez y Mendoza S")</f>
        <v>Rodríguez y Mendoza S</v>
      </c>
      <c r="H2433" s="36" t="str">
        <f>IFERROR(__xludf.DUMMYFUNCTION("""COMPUTED_VALUE"""),"")</f>
        <v/>
      </c>
    </row>
    <row r="2434">
      <c r="A2434" s="36" t="str">
        <f>IFERROR(__xludf.DUMMYFUNCTION("""COMPUTED_VALUE"""),"01-55-13-254")</f>
        <v>01-55-13-254</v>
      </c>
      <c r="B2434" s="36" t="str">
        <f>IFERROR(__xludf.DUMMYFUNCTION("""COMPUTED_VALUE"""),"")</f>
        <v/>
      </c>
      <c r="C2434" s="36" t="str">
        <f>IFERROR(__xludf.DUMMYFUNCTION("""COMPUTED_VALUE"""),"")</f>
        <v/>
      </c>
      <c r="D2434" s="36" t="str">
        <f>IFERROR(__xludf.DUMMYFUNCTION("""COMPUTED_VALUE"""),"")</f>
        <v/>
      </c>
      <c r="E2434" s="36" t="str">
        <f>IFERROR(__xludf.DUMMYFUNCTION("""COMPUTED_VALUE"""),"08-28-03-102")</f>
        <v>08-28-03-102</v>
      </c>
      <c r="F2434" s="36"/>
      <c r="G2434" s="36" t="str">
        <f>IFERROR(__xludf.DUMMYFUNCTION("""COMPUTED_VALUE"""),"Rodríguez y Misiones")</f>
        <v>Rodríguez y Misiones</v>
      </c>
      <c r="H2434" s="36" t="str">
        <f>IFERROR(__xludf.DUMMYFUNCTION("""COMPUTED_VALUE"""),"")</f>
        <v/>
      </c>
    </row>
    <row r="2435">
      <c r="A2435" s="36" t="str">
        <f>IFERROR(__xludf.DUMMYFUNCTION("""COMPUTED_VALUE"""),"01-55-13-255")</f>
        <v>01-55-13-255</v>
      </c>
      <c r="B2435" s="36" t="str">
        <f>IFERROR(__xludf.DUMMYFUNCTION("""COMPUTED_VALUE"""),"")</f>
        <v/>
      </c>
      <c r="C2435" s="36" t="str">
        <f>IFERROR(__xludf.DUMMYFUNCTION("""COMPUTED_VALUE"""),"")</f>
        <v/>
      </c>
      <c r="D2435" s="36" t="str">
        <f>IFERROR(__xludf.DUMMYFUNCTION("""COMPUTED_VALUE"""),"ERROR DE ID")</f>
        <v>ERROR DE ID</v>
      </c>
      <c r="E2435" s="36" t="str">
        <f>IFERROR(__xludf.DUMMYFUNCTION("""COMPUTED_VALUE"""),"08-28-02-37A")</f>
        <v>08-28-02-37A</v>
      </c>
      <c r="F2435" s="36"/>
      <c r="G2435" s="36" t="str">
        <f>IFERROR(__xludf.DUMMYFUNCTION("""COMPUTED_VALUE"""),"Rodríguez y Salta")</f>
        <v>Rodríguez y Salta</v>
      </c>
      <c r="H2435" s="36" t="str">
        <f>IFERROR(__xludf.DUMMYFUNCTION("""COMPUTED_VALUE"""),"")</f>
        <v/>
      </c>
    </row>
    <row r="2436">
      <c r="A2436" s="36" t="str">
        <f>IFERROR(__xludf.DUMMYFUNCTION("""COMPUTED_VALUE"""),"01-55-13-255")</f>
        <v>01-55-13-255</v>
      </c>
      <c r="B2436" s="36" t="str">
        <f>IFERROR(__xludf.DUMMYFUNCTION("""COMPUTED_VALUE"""),"")</f>
        <v/>
      </c>
      <c r="C2436" s="36" t="str">
        <f>IFERROR(__xludf.DUMMYFUNCTION("""COMPUTED_VALUE"""),"")</f>
        <v/>
      </c>
      <c r="D2436" s="36" t="str">
        <f>IFERROR(__xludf.DUMMYFUNCTION("""COMPUTED_VALUE"""),"")</f>
        <v/>
      </c>
      <c r="E2436" s="36" t="str">
        <f>IFERROR(__xludf.DUMMYFUNCTION("""COMPUTED_VALUE"""),"08-28-03-6")</f>
        <v>08-28-03-6</v>
      </c>
      <c r="F2436" s="36"/>
      <c r="G2436" s="36" t="str">
        <f>IFERROR(__xludf.DUMMYFUNCTION("""COMPUTED_VALUE"""),"Rodríguez y Sarmiento")</f>
        <v>Rodríguez y Sarmiento</v>
      </c>
      <c r="H2436" s="36" t="str">
        <f>IFERROR(__xludf.DUMMYFUNCTION("""COMPUTED_VALUE"""),"")</f>
        <v/>
      </c>
    </row>
    <row r="2437">
      <c r="A2437" s="36" t="str">
        <f>IFERROR(__xludf.DUMMYFUNCTION("""COMPUTED_VALUE"""),"01-55-13-256")</f>
        <v>01-55-13-256</v>
      </c>
      <c r="B2437" s="36" t="str">
        <f>IFERROR(__xludf.DUMMYFUNCTION("""COMPUTED_VALUE"""),"")</f>
        <v/>
      </c>
      <c r="C2437" s="36" t="str">
        <f>IFERROR(__xludf.DUMMYFUNCTION("""COMPUTED_VALUE"""),"")</f>
        <v/>
      </c>
      <c r="D2437" s="36" t="str">
        <f>IFERROR(__xludf.DUMMYFUNCTION("""COMPUTED_VALUE"""),"ERROR DE ID")</f>
        <v>ERROR DE ID</v>
      </c>
      <c r="E2437" s="36" t="str">
        <f>IFERROR(__xludf.DUMMYFUNCTION("""COMPUTED_VALUE"""),"08-26-03-61")</f>
        <v>08-26-03-61</v>
      </c>
      <c r="F2437" s="36"/>
      <c r="G2437" s="36" t="str">
        <f>IFERROR(__xludf.DUMMYFUNCTION("""COMPUTED_VALUE"""),"Rodríguez y Tucumán N")</f>
        <v>Rodríguez y Tucumán N</v>
      </c>
      <c r="H2437" s="36" t="str">
        <f>IFERROR(__xludf.DUMMYFUNCTION("""COMPUTED_VALUE"""),"")</f>
        <v/>
      </c>
    </row>
    <row r="2438">
      <c r="A2438" s="36" t="str">
        <f>IFERROR(__xludf.DUMMYFUNCTION("""COMPUTED_VALUE"""),"01-55-13-256")</f>
        <v>01-55-13-256</v>
      </c>
      <c r="B2438" s="36" t="str">
        <f>IFERROR(__xludf.DUMMYFUNCTION("""COMPUTED_VALUE"""),"")</f>
        <v/>
      </c>
      <c r="C2438" s="36" t="str">
        <f>IFERROR(__xludf.DUMMYFUNCTION("""COMPUTED_VALUE"""),"")</f>
        <v/>
      </c>
      <c r="D2438" s="36" t="str">
        <f>IFERROR(__xludf.DUMMYFUNCTION("""COMPUTED_VALUE"""),"")</f>
        <v/>
      </c>
      <c r="E2438" s="36" t="str">
        <f>IFERROR(__xludf.DUMMYFUNCTION("""COMPUTED_VALUE"""),"08-26-03-59")</f>
        <v>08-26-03-59</v>
      </c>
      <c r="F2438" s="36"/>
      <c r="G2438" s="36" t="str">
        <f>IFERROR(__xludf.DUMMYFUNCTION("""COMPUTED_VALUE"""),"Rodríguez y Tucumán S")</f>
        <v>Rodríguez y Tucumán S</v>
      </c>
      <c r="H2438" s="36" t="str">
        <f>IFERROR(__xludf.DUMMYFUNCTION("""COMPUTED_VALUE"""),"")</f>
        <v/>
      </c>
    </row>
    <row r="2439">
      <c r="A2439" s="36" t="str">
        <f>IFERROR(__xludf.DUMMYFUNCTION("""COMPUTED_VALUE"""),"01-55-13-257")</f>
        <v>01-55-13-257</v>
      </c>
      <c r="B2439" s="36" t="str">
        <f>IFERROR(__xludf.DUMMYFUNCTION("""COMPUTED_VALUE"""),"")</f>
        <v/>
      </c>
      <c r="C2439" s="36" t="str">
        <f>IFERROR(__xludf.DUMMYFUNCTION("""COMPUTED_VALUE"""),"")</f>
        <v/>
      </c>
      <c r="D2439" s="36" t="str">
        <f>IFERROR(__xludf.DUMMYFUNCTION("""COMPUTED_VALUE"""),"")</f>
        <v/>
      </c>
      <c r="E2439" s="36" t="str">
        <f>IFERROR(__xludf.DUMMYFUNCTION("""COMPUTED_VALUE"""),"03-30-10-65A")</f>
        <v>03-30-10-65A</v>
      </c>
      <c r="F2439" s="36"/>
      <c r="G2439" s="36" t="str">
        <f>IFERROR(__xludf.DUMMYFUNCTION("""COMPUTED_VALUE"""),"Roger Balet y Estrada")</f>
        <v>Roger Balet y Estrada</v>
      </c>
      <c r="H2439" s="36" t="str">
        <f>IFERROR(__xludf.DUMMYFUNCTION("""COMPUTED_VALUE"""),"")</f>
        <v/>
      </c>
    </row>
    <row r="2440">
      <c r="A2440" s="36" t="str">
        <f>IFERROR(__xludf.DUMMYFUNCTION("""COMPUTED_VALUE"""),"01-55-13-258")</f>
        <v>01-55-13-258</v>
      </c>
      <c r="B2440" s="36" t="str">
        <f>IFERROR(__xludf.DUMMYFUNCTION("""COMPUTED_VALUE"""),"")</f>
        <v/>
      </c>
      <c r="C2440" s="36" t="str">
        <f>IFERROR(__xludf.DUMMYFUNCTION("""COMPUTED_VALUE"""),"")</f>
        <v/>
      </c>
      <c r="D2440" s="36" t="str">
        <f>IFERROR(__xludf.DUMMYFUNCTION("""COMPUTED_VALUE"""),"")</f>
        <v/>
      </c>
      <c r="E2440" s="36" t="str">
        <f>IFERROR(__xludf.DUMMYFUNCTION("""COMPUTED_VALUE"""),"01-31-07-177")</f>
        <v>01-31-07-177</v>
      </c>
      <c r="F2440" s="36"/>
      <c r="G2440" s="36" t="str">
        <f>IFERROR(__xludf.DUMMYFUNCTION("""COMPUTED_VALUE"""),"Roger Ballet y Echegaray E")</f>
        <v>Roger Ballet y Echegaray E</v>
      </c>
      <c r="H2440" s="36" t="str">
        <f>IFERROR(__xludf.DUMMYFUNCTION("""COMPUTED_VALUE"""),"")</f>
        <v/>
      </c>
    </row>
    <row r="2441">
      <c r="A2441" s="36" t="str">
        <f>IFERROR(__xludf.DUMMYFUNCTION("""COMPUTED_VALUE"""),"01-55-13-259")</f>
        <v>01-55-13-259</v>
      </c>
      <c r="B2441" s="36" t="str">
        <f>IFERROR(__xludf.DUMMYFUNCTION("""COMPUTED_VALUE"""),"")</f>
        <v/>
      </c>
      <c r="C2441" s="36" t="str">
        <f>IFERROR(__xludf.DUMMYFUNCTION("""COMPUTED_VALUE"""),"")</f>
        <v/>
      </c>
      <c r="D2441" s="36" t="str">
        <f>IFERROR(__xludf.DUMMYFUNCTION("""COMPUTED_VALUE"""),"")</f>
        <v/>
      </c>
      <c r="E2441" s="36" t="str">
        <f>IFERROR(__xludf.DUMMYFUNCTION("""COMPUTED_VALUE"""),"01-32-07-178")</f>
        <v>01-32-07-178</v>
      </c>
      <c r="F2441" s="36"/>
      <c r="G2441" s="36" t="str">
        <f>IFERROR(__xludf.DUMMYFUNCTION("""COMPUTED_VALUE"""),"Roger Ballet y Echegaray O")</f>
        <v>Roger Ballet y Echegaray O</v>
      </c>
      <c r="H2441" s="36" t="str">
        <f>IFERROR(__xludf.DUMMYFUNCTION("""COMPUTED_VALUE"""),"")</f>
        <v/>
      </c>
    </row>
    <row r="2442">
      <c r="A2442" s="36" t="str">
        <f>IFERROR(__xludf.DUMMYFUNCTION("""COMPUTED_VALUE"""),"01-56-13-125")</f>
        <v>01-56-13-125</v>
      </c>
      <c r="B2442" s="36" t="str">
        <f>IFERROR(__xludf.DUMMYFUNCTION("""COMPUTED_VALUE"""),"")</f>
        <v/>
      </c>
      <c r="C2442" s="36" t="str">
        <f>IFERROR(__xludf.DUMMYFUNCTION("""COMPUTED_VALUE"""),"")</f>
        <v/>
      </c>
      <c r="D2442" s="36" t="str">
        <f>IFERROR(__xludf.DUMMYFUNCTION("""COMPUTED_VALUE"""),"")</f>
        <v/>
      </c>
      <c r="E2442" s="36" t="str">
        <f>IFERROR(__xludf.DUMMYFUNCTION("""COMPUTED_VALUE"""),"01-31-07-179")</f>
        <v>01-31-07-179</v>
      </c>
      <c r="F2442" s="36"/>
      <c r="G2442" s="36" t="str">
        <f>IFERROR(__xludf.DUMMYFUNCTION("""COMPUTED_VALUE"""),"Roger Ballet y Juan de Flores")</f>
        <v>Roger Ballet y Juan de Flores</v>
      </c>
      <c r="H2442" s="36" t="str">
        <f>IFERROR(__xludf.DUMMYFUNCTION("""COMPUTED_VALUE"""),"")</f>
        <v/>
      </c>
    </row>
    <row r="2443">
      <c r="A2443" s="36" t="str">
        <f>IFERROR(__xludf.DUMMYFUNCTION("""COMPUTED_VALUE"""),"01-56-13-126")</f>
        <v>01-56-13-126</v>
      </c>
      <c r="B2443" s="36" t="str">
        <f>IFERROR(__xludf.DUMMYFUNCTION("""COMPUTED_VALUE"""),"")</f>
        <v/>
      </c>
      <c r="C2443" s="36" t="str">
        <f>IFERROR(__xludf.DUMMYFUNCTION("""COMPUTED_VALUE"""),"")</f>
        <v/>
      </c>
      <c r="D2443" s="36" t="str">
        <f>IFERROR(__xludf.DUMMYFUNCTION("""COMPUTED_VALUE"""),"")</f>
        <v/>
      </c>
      <c r="E2443" s="36" t="str">
        <f>IFERROR(__xludf.DUMMYFUNCTION("""COMPUTED_VALUE"""),"03-30-10-131A")</f>
        <v>03-30-10-131A</v>
      </c>
      <c r="F2443" s="36"/>
      <c r="G2443" s="36" t="str">
        <f>IFERROR(__xludf.DUMMYFUNCTION("""COMPUTED_VALUE"""),"Roque Sáenz Peña A Norte")</f>
        <v>Roque Sáenz Peña A Norte</v>
      </c>
      <c r="H2443" s="36" t="str">
        <f>IFERROR(__xludf.DUMMYFUNCTION("""COMPUTED_VALUE"""),"")</f>
        <v/>
      </c>
    </row>
    <row r="2444">
      <c r="A2444" s="36" t="str">
        <f>IFERROR(__xludf.DUMMYFUNCTION("""COMPUTED_VALUE"""),"01-56-13-126A")</f>
        <v>01-56-13-126A</v>
      </c>
      <c r="B2444" s="36" t="str">
        <f>IFERROR(__xludf.DUMMYFUNCTION("""COMPUTED_VALUE"""),"")</f>
        <v/>
      </c>
      <c r="C2444" s="36" t="str">
        <f>IFERROR(__xludf.DUMMYFUNCTION("""COMPUTED_VALUE"""),"")</f>
        <v/>
      </c>
      <c r="D2444" s="36" t="str">
        <f>IFERROR(__xludf.DUMMYFUNCTION("""COMPUTED_VALUE"""),"")</f>
        <v/>
      </c>
      <c r="E2444" s="36" t="str">
        <f>IFERROR(__xludf.DUMMYFUNCTION("""COMPUTED_VALUE"""),"03-33-10-131B")</f>
        <v>03-33-10-131B</v>
      </c>
      <c r="F2444" s="36"/>
      <c r="G2444" s="36" t="str">
        <f>IFERROR(__xludf.DUMMYFUNCTION("""COMPUTED_VALUE"""),"Roque Sáenz Peña A Sur")</f>
        <v>Roque Sáenz Peña A Sur</v>
      </c>
      <c r="H2444" s="36" t="str">
        <f>IFERROR(__xludf.DUMMYFUNCTION("""COMPUTED_VALUE"""),"")</f>
        <v/>
      </c>
    </row>
    <row r="2445">
      <c r="A2445" s="36" t="str">
        <f>IFERROR(__xludf.DUMMYFUNCTION("""COMPUTED_VALUE"""),"01-56-13-128")</f>
        <v>01-56-13-128</v>
      </c>
      <c r="B2445" s="36" t="str">
        <f>IFERROR(__xludf.DUMMYFUNCTION("""COMPUTED_VALUE"""),"")</f>
        <v/>
      </c>
      <c r="C2445" s="36" t="str">
        <f>IFERROR(__xludf.DUMMYFUNCTION("""COMPUTED_VALUE"""),"")</f>
        <v/>
      </c>
      <c r="D2445" s="36" t="str">
        <f>IFERROR(__xludf.DUMMYFUNCTION("""COMPUTED_VALUE"""),"")</f>
        <v/>
      </c>
      <c r="E2445" s="36" t="str">
        <f>IFERROR(__xludf.DUMMYFUNCTION("""COMPUTED_VALUE"""),"03-30-10-132A")</f>
        <v>03-30-10-132A</v>
      </c>
      <c r="F2445" s="36"/>
      <c r="G2445" s="36" t="str">
        <f>IFERROR(__xludf.DUMMYFUNCTION("""COMPUTED_VALUE"""),"Roque Sáenz Peña B Norte")</f>
        <v>Roque Sáenz Peña B Norte</v>
      </c>
      <c r="H2445" s="36" t="str">
        <f>IFERROR(__xludf.DUMMYFUNCTION("""COMPUTED_VALUE"""),"")</f>
        <v/>
      </c>
    </row>
    <row r="2446">
      <c r="A2446" s="36" t="str">
        <f>IFERROR(__xludf.DUMMYFUNCTION("""COMPUTED_VALUE"""),"01-56-13-146")</f>
        <v>01-56-13-146</v>
      </c>
      <c r="B2446" s="36" t="str">
        <f>IFERROR(__xludf.DUMMYFUNCTION("""COMPUTED_VALUE"""),"")</f>
        <v/>
      </c>
      <c r="C2446" s="36" t="str">
        <f>IFERROR(__xludf.DUMMYFUNCTION("""COMPUTED_VALUE"""),"")</f>
        <v/>
      </c>
      <c r="D2446" s="36" t="str">
        <f>IFERROR(__xludf.DUMMYFUNCTION("""COMPUTED_VALUE"""),"")</f>
        <v/>
      </c>
      <c r="E2446" s="36" t="str">
        <f>IFERROR(__xludf.DUMMYFUNCTION("""COMPUTED_VALUE"""),"03-33-10-132B")</f>
        <v>03-33-10-132B</v>
      </c>
      <c r="F2446" s="36"/>
      <c r="G2446" s="36" t="str">
        <f>IFERROR(__xludf.DUMMYFUNCTION("""COMPUTED_VALUE"""),"Roque Sáenz Peña B Sur")</f>
        <v>Roque Sáenz Peña B Sur</v>
      </c>
      <c r="H2446" s="36" t="str">
        <f>IFERROR(__xludf.DUMMYFUNCTION("""COMPUTED_VALUE"""),"")</f>
        <v/>
      </c>
    </row>
    <row r="2447">
      <c r="A2447" s="36" t="str">
        <f>IFERROR(__xludf.DUMMYFUNCTION("""COMPUTED_VALUE"""),"01-56-13-41")</f>
        <v>01-56-13-41</v>
      </c>
      <c r="B2447" s="36" t="str">
        <f>IFERROR(__xludf.DUMMYFUNCTION("""COMPUTED_VALUE"""),"")</f>
        <v/>
      </c>
      <c r="C2447" s="36" t="str">
        <f>IFERROR(__xludf.DUMMYFUNCTION("""COMPUTED_VALUE"""),"")</f>
        <v/>
      </c>
      <c r="D2447" s="36" t="str">
        <f>IFERROR(__xludf.DUMMYFUNCTION("""COMPUTED_VALUE"""),"")</f>
        <v/>
      </c>
      <c r="E2447" s="36" t="str">
        <f>IFERROR(__xludf.DUMMYFUNCTION("""COMPUTED_VALUE"""),"03-40-10-101")</f>
        <v>03-40-10-101</v>
      </c>
      <c r="F2447" s="36"/>
      <c r="G2447" s="36" t="str">
        <f>IFERROR(__xludf.DUMMYFUNCTION("""COMPUTED_VALUE"""),"Roque Sáenz Peña casi Amancay")</f>
        <v>Roque Sáenz Peña casi Amancay</v>
      </c>
      <c r="H2447" s="36" t="str">
        <f>IFERROR(__xludf.DUMMYFUNCTION("""COMPUTED_VALUE"""),"")</f>
        <v/>
      </c>
    </row>
    <row r="2448">
      <c r="A2448" s="36" t="str">
        <f>IFERROR(__xludf.DUMMYFUNCTION("""COMPUTED_VALUE"""),"01-56-13-41A")</f>
        <v>01-56-13-41A</v>
      </c>
      <c r="B2448" s="36" t="str">
        <f>IFERROR(__xludf.DUMMYFUNCTION("""COMPUTED_VALUE"""),"")</f>
        <v/>
      </c>
      <c r="C2448" s="36" t="str">
        <f>IFERROR(__xludf.DUMMYFUNCTION("""COMPUTED_VALUE"""),"")</f>
        <v/>
      </c>
      <c r="D2448" s="36" t="str">
        <f>IFERROR(__xludf.DUMMYFUNCTION("""COMPUTED_VALUE"""),"")</f>
        <v/>
      </c>
      <c r="E2448" s="36" t="str">
        <f>IFERROR(__xludf.DUMMYFUNCTION("""COMPUTED_VALUE"""),"03-40-10-103")</f>
        <v>03-40-10-103</v>
      </c>
      <c r="F2448" s="36"/>
      <c r="G2448" s="36" t="str">
        <f>IFERROR(__xludf.DUMMYFUNCTION("""COMPUTED_VALUE"""),"Roque Sáenz Peña casi Santa Fe")</f>
        <v>Roque Sáenz Peña casi Santa Fe</v>
      </c>
      <c r="H2448" s="36" t="str">
        <f>IFERROR(__xludf.DUMMYFUNCTION("""COMPUTED_VALUE"""),"")</f>
        <v/>
      </c>
    </row>
    <row r="2449">
      <c r="A2449" s="36" t="str">
        <f>IFERROR(__xludf.DUMMYFUNCTION("""COMPUTED_VALUE"""),"01-56-13-42")</f>
        <v>01-56-13-42</v>
      </c>
      <c r="B2449" s="36" t="str">
        <f>IFERROR(__xludf.DUMMYFUNCTION("""COMPUTED_VALUE"""),"")</f>
        <v/>
      </c>
      <c r="C2449" s="36" t="str">
        <f>IFERROR(__xludf.DUMMYFUNCTION("""COMPUTED_VALUE"""),"")</f>
        <v/>
      </c>
      <c r="D2449" s="36" t="str">
        <f>IFERROR(__xludf.DUMMYFUNCTION("""COMPUTED_VALUE"""),"")</f>
        <v/>
      </c>
      <c r="E2449" s="36" t="str">
        <f>IFERROR(__xludf.DUMMYFUNCTION("""COMPUTED_VALUE"""),"03-28-10-93A")</f>
        <v>03-28-10-93A</v>
      </c>
      <c r="F2449" s="36"/>
      <c r="G2449" s="36" t="str">
        <f>IFERROR(__xludf.DUMMYFUNCTION("""COMPUTED_VALUE"""),"Roque Sáenz Peña y 12 de Octubre Norte")</f>
        <v>Roque Sáenz Peña y 12 de Octubre Norte</v>
      </c>
      <c r="H2449" s="36" t="str">
        <f>IFERROR(__xludf.DUMMYFUNCTION("""COMPUTED_VALUE"""),"")</f>
        <v/>
      </c>
    </row>
    <row r="2450">
      <c r="A2450" s="36" t="str">
        <f>IFERROR(__xludf.DUMMYFUNCTION("""COMPUTED_VALUE"""),"01-56-13-43")</f>
        <v>01-56-13-43</v>
      </c>
      <c r="B2450" s="36" t="str">
        <f>IFERROR(__xludf.DUMMYFUNCTION("""COMPUTED_VALUE"""),"")</f>
        <v/>
      </c>
      <c r="C2450" s="36" t="str">
        <f>IFERROR(__xludf.DUMMYFUNCTION("""COMPUTED_VALUE"""),"")</f>
        <v/>
      </c>
      <c r="D2450" s="36" t="str">
        <f>IFERROR(__xludf.DUMMYFUNCTION("""COMPUTED_VALUE"""),"")</f>
        <v/>
      </c>
      <c r="E2450" s="36" t="str">
        <f>IFERROR(__xludf.DUMMYFUNCTION("""COMPUTED_VALUE"""),"03-36-10-93B")</f>
        <v>03-36-10-93B</v>
      </c>
      <c r="F2450" s="36"/>
      <c r="G2450" s="36" t="str">
        <f>IFERROR(__xludf.DUMMYFUNCTION("""COMPUTED_VALUE"""),"Roque Sáenz Peña y 12 de Octubre Sur")</f>
        <v>Roque Sáenz Peña y 12 de Octubre Sur</v>
      </c>
      <c r="H2450" s="36" t="str">
        <f>IFERROR(__xludf.DUMMYFUNCTION("""COMPUTED_VALUE"""),"")</f>
        <v/>
      </c>
    </row>
    <row r="2451">
      <c r="A2451" s="36" t="str">
        <f>IFERROR(__xludf.DUMMYFUNCTION("""COMPUTED_VALUE"""),"01-56-13-44")</f>
        <v>01-56-13-44</v>
      </c>
      <c r="B2451" s="36" t="str">
        <f>IFERROR(__xludf.DUMMYFUNCTION("""COMPUTED_VALUE"""),"")</f>
        <v/>
      </c>
      <c r="C2451" s="36" t="str">
        <f>IFERROR(__xludf.DUMMYFUNCTION("""COMPUTED_VALUE"""),"")</f>
        <v/>
      </c>
      <c r="D2451" s="36" t="str">
        <f>IFERROR(__xludf.DUMMYFUNCTION("""COMPUTED_VALUE"""),"")</f>
        <v/>
      </c>
      <c r="E2451" s="36" t="str">
        <f>IFERROR(__xludf.DUMMYFUNCTION("""COMPUTED_VALUE"""),"03-40-10-99B")</f>
        <v>03-40-10-99B</v>
      </c>
      <c r="F2451" s="36"/>
      <c r="G2451" s="36" t="str">
        <f>IFERROR(__xludf.DUMMYFUNCTION("""COMPUTED_VALUE"""),"Roque Sáenz Peña y 16 de Julio Este")</f>
        <v>Roque Sáenz Peña y 16 de Julio Este</v>
      </c>
      <c r="H2451" s="36" t="str">
        <f>IFERROR(__xludf.DUMMYFUNCTION("""COMPUTED_VALUE"""),"")</f>
        <v/>
      </c>
    </row>
    <row r="2452">
      <c r="A2452" s="36" t="str">
        <f>IFERROR(__xludf.DUMMYFUNCTION("""COMPUTED_VALUE"""),"01-56-13-45")</f>
        <v>01-56-13-45</v>
      </c>
      <c r="B2452" s="36" t="str">
        <f>IFERROR(__xludf.DUMMYFUNCTION("""COMPUTED_VALUE"""),"")</f>
        <v/>
      </c>
      <c r="C2452" s="36" t="str">
        <f>IFERROR(__xludf.DUMMYFUNCTION("""COMPUTED_VALUE"""),"")</f>
        <v/>
      </c>
      <c r="D2452" s="36" t="str">
        <f>IFERROR(__xludf.DUMMYFUNCTION("""COMPUTED_VALUE"""),"")</f>
        <v/>
      </c>
      <c r="E2452" s="36" t="str">
        <f>IFERROR(__xludf.DUMMYFUNCTION("""COMPUTED_VALUE"""),"03-40-10-99A")</f>
        <v>03-40-10-99A</v>
      </c>
      <c r="F2452" s="36"/>
      <c r="G2452" s="36" t="str">
        <f>IFERROR(__xludf.DUMMYFUNCTION("""COMPUTED_VALUE"""),"Roque Sáenz Peña y 16 de Julio Oeste")</f>
        <v>Roque Sáenz Peña y 16 de Julio Oeste</v>
      </c>
      <c r="H2452" s="36" t="str">
        <f>IFERROR(__xludf.DUMMYFUNCTION("""COMPUTED_VALUE"""),"")</f>
        <v/>
      </c>
    </row>
    <row r="2453">
      <c r="A2453" s="36" t="str">
        <f>IFERROR(__xludf.DUMMYFUNCTION("""COMPUTED_VALUE"""),"01-56-13-46")</f>
        <v>01-56-13-46</v>
      </c>
      <c r="B2453" s="36" t="str">
        <f>IFERROR(__xludf.DUMMYFUNCTION("""COMPUTED_VALUE"""),"")</f>
        <v/>
      </c>
      <c r="C2453" s="36" t="str">
        <f>IFERROR(__xludf.DUMMYFUNCTION("""COMPUTED_VALUE"""),"")</f>
        <v/>
      </c>
      <c r="D2453" s="36" t="str">
        <f>IFERROR(__xludf.DUMMYFUNCTION("""COMPUTED_VALUE"""),"")</f>
        <v/>
      </c>
      <c r="E2453" s="36" t="str">
        <f>IFERROR(__xludf.DUMMYFUNCTION("""COMPUTED_VALUE"""),"02-28-06-92A")</f>
        <v>02-28-06-92A</v>
      </c>
      <c r="F2453" s="36"/>
      <c r="G2453" s="36" t="str">
        <f>IFERROR(__xludf.DUMMYFUNCTION("""COMPUTED_VALUE"""),"Roque Sáenz Peña y Almirante Brown N")</f>
        <v>Roque Sáenz Peña y Almirante Brown N</v>
      </c>
      <c r="H2453" s="36" t="str">
        <f>IFERROR(__xludf.DUMMYFUNCTION("""COMPUTED_VALUE"""),"")</f>
        <v/>
      </c>
    </row>
    <row r="2454">
      <c r="A2454" s="36" t="str">
        <f>IFERROR(__xludf.DUMMYFUNCTION("""COMPUTED_VALUE"""),"01-56-13-47")</f>
        <v>01-56-13-47</v>
      </c>
      <c r="B2454" s="36" t="str">
        <f>IFERROR(__xludf.DUMMYFUNCTION("""COMPUTED_VALUE"""),"")</f>
        <v/>
      </c>
      <c r="C2454" s="36" t="str">
        <f>IFERROR(__xludf.DUMMYFUNCTION("""COMPUTED_VALUE"""),"")</f>
        <v/>
      </c>
      <c r="D2454" s="36" t="str">
        <f>IFERROR(__xludf.DUMMYFUNCTION("""COMPUTED_VALUE"""),"")</f>
        <v/>
      </c>
      <c r="E2454" s="36" t="str">
        <f>IFERROR(__xludf.DUMMYFUNCTION("""COMPUTED_VALUE"""),"02-28-06-92B")</f>
        <v>02-28-06-92B</v>
      </c>
      <c r="F2454" s="36"/>
      <c r="G2454" s="36" t="str">
        <f>IFERROR(__xludf.DUMMYFUNCTION("""COMPUTED_VALUE"""),"Roque Sáenz Peña y Almirante Brown S")</f>
        <v>Roque Sáenz Peña y Almirante Brown S</v>
      </c>
      <c r="H2454" s="36" t="str">
        <f>IFERROR(__xludf.DUMMYFUNCTION("""COMPUTED_VALUE"""),"")</f>
        <v/>
      </c>
    </row>
    <row r="2455">
      <c r="A2455" s="36" t="str">
        <f>IFERROR(__xludf.DUMMYFUNCTION("""COMPUTED_VALUE"""),"01-56-13-48")</f>
        <v>01-56-13-48</v>
      </c>
      <c r="B2455" s="36" t="str">
        <f>IFERROR(__xludf.DUMMYFUNCTION("""COMPUTED_VALUE"""),"")</f>
        <v/>
      </c>
      <c r="C2455" s="36" t="str">
        <f>IFERROR(__xludf.DUMMYFUNCTION("""COMPUTED_VALUE"""),"")</f>
        <v/>
      </c>
      <c r="D2455" s="36" t="str">
        <f>IFERROR(__xludf.DUMMYFUNCTION("""COMPUTED_VALUE"""),"")</f>
        <v/>
      </c>
      <c r="E2455" s="36" t="str">
        <f>IFERROR(__xludf.DUMMYFUNCTION("""COMPUTED_VALUE"""),"03-40-10-100B")</f>
        <v>03-40-10-100B</v>
      </c>
      <c r="F2455" s="36"/>
      <c r="G2455" s="36" t="str">
        <f>IFERROR(__xludf.DUMMYFUNCTION("""COMPUTED_VALUE"""),"Roque Sáenz Peña y Amancay Este")</f>
        <v>Roque Sáenz Peña y Amancay Este</v>
      </c>
      <c r="H2455" s="36" t="str">
        <f>IFERROR(__xludf.DUMMYFUNCTION("""COMPUTED_VALUE"""),"")</f>
        <v/>
      </c>
    </row>
    <row r="2456">
      <c r="A2456" s="36" t="str">
        <f>IFERROR(__xludf.DUMMYFUNCTION("""COMPUTED_VALUE"""),"01-56-13-49")</f>
        <v>01-56-13-49</v>
      </c>
      <c r="B2456" s="36" t="str">
        <f>IFERROR(__xludf.DUMMYFUNCTION("""COMPUTED_VALUE"""),"")</f>
        <v/>
      </c>
      <c r="C2456" s="36" t="str">
        <f>IFERROR(__xludf.DUMMYFUNCTION("""COMPUTED_VALUE"""),"")</f>
        <v/>
      </c>
      <c r="D2456" s="36" t="str">
        <f>IFERROR(__xludf.DUMMYFUNCTION("""COMPUTED_VALUE"""),"")</f>
        <v/>
      </c>
      <c r="E2456" s="36" t="str">
        <f>IFERROR(__xludf.DUMMYFUNCTION("""COMPUTED_VALUE"""),"03-40-10-100A")</f>
        <v>03-40-10-100A</v>
      </c>
      <c r="F2456" s="36"/>
      <c r="G2456" s="36" t="str">
        <f>IFERROR(__xludf.DUMMYFUNCTION("""COMPUTED_VALUE"""),"Roque Sáenz Peña y Amancay Oeste")</f>
        <v>Roque Sáenz Peña y Amancay Oeste</v>
      </c>
      <c r="H2456" s="36" t="str">
        <f>IFERROR(__xludf.DUMMYFUNCTION("""COMPUTED_VALUE"""),"")</f>
        <v/>
      </c>
    </row>
    <row r="2457">
      <c r="A2457" s="36" t="str">
        <f>IFERROR(__xludf.DUMMYFUNCTION("""COMPUTED_VALUE"""),"01-56-13-54")</f>
        <v>01-56-13-54</v>
      </c>
      <c r="B2457" s="36" t="str">
        <f>IFERROR(__xludf.DUMMYFUNCTION("""COMPUTED_VALUE"""),"")</f>
        <v/>
      </c>
      <c r="C2457" s="36" t="str">
        <f>IFERROR(__xludf.DUMMYFUNCTION("""COMPUTED_VALUE"""),"")</f>
        <v/>
      </c>
      <c r="D2457" s="36" t="str">
        <f>IFERROR(__xludf.DUMMYFUNCTION("""COMPUTED_VALUE"""),"")</f>
        <v/>
      </c>
      <c r="E2457" s="36" t="str">
        <f>IFERROR(__xludf.DUMMYFUNCTION("""COMPUTED_VALUE"""),"03-29-10-89A")</f>
        <v>03-29-10-89A</v>
      </c>
      <c r="F2457" s="36"/>
      <c r="G2457" s="36" t="str">
        <f>IFERROR(__xludf.DUMMYFUNCTION("""COMPUTED_VALUE"""),"Roque Sáenz Peña Y Avellaneda Norte")</f>
        <v>Roque Sáenz Peña Y Avellaneda Norte</v>
      </c>
      <c r="H2457" s="36" t="str">
        <f>IFERROR(__xludf.DUMMYFUNCTION("""COMPUTED_VALUE"""),"")</f>
        <v/>
      </c>
    </row>
    <row r="2458">
      <c r="A2458" s="36" t="str">
        <f>IFERROR(__xludf.DUMMYFUNCTION("""COMPUTED_VALUE"""),"01-56-13-55")</f>
        <v>01-56-13-55</v>
      </c>
      <c r="B2458" s="36" t="str">
        <f>IFERROR(__xludf.DUMMYFUNCTION("""COMPUTED_VALUE"""),"")</f>
        <v/>
      </c>
      <c r="C2458" s="36" t="str">
        <f>IFERROR(__xludf.DUMMYFUNCTION("""COMPUTED_VALUE"""),"")</f>
        <v/>
      </c>
      <c r="D2458" s="36" t="str">
        <f>IFERROR(__xludf.DUMMYFUNCTION("""COMPUTED_VALUE"""),"")</f>
        <v/>
      </c>
      <c r="E2458" s="36" t="str">
        <f>IFERROR(__xludf.DUMMYFUNCTION("""COMPUTED_VALUE"""),"03-36-10-89B")</f>
        <v>03-36-10-89B</v>
      </c>
      <c r="F2458" s="36"/>
      <c r="G2458" s="36" t="str">
        <f>IFERROR(__xludf.DUMMYFUNCTION("""COMPUTED_VALUE"""),"Roque Sáenz Peña Y Avellaneda Sur")</f>
        <v>Roque Sáenz Peña Y Avellaneda Sur</v>
      </c>
      <c r="H2458" s="36" t="str">
        <f>IFERROR(__xludf.DUMMYFUNCTION("""COMPUTED_VALUE"""),"")</f>
        <v/>
      </c>
    </row>
    <row r="2459">
      <c r="A2459" s="36" t="str">
        <f>IFERROR(__xludf.DUMMYFUNCTION("""COMPUTED_VALUE"""),"01-56-13-56")</f>
        <v>01-56-13-56</v>
      </c>
      <c r="B2459" s="36" t="str">
        <f>IFERROR(__xludf.DUMMYFUNCTION("""COMPUTED_VALUE"""),"")</f>
        <v/>
      </c>
      <c r="C2459" s="36" t="str">
        <f>IFERROR(__xludf.DUMMYFUNCTION("""COMPUTED_VALUE"""),"")</f>
        <v/>
      </c>
      <c r="D2459" s="36" t="str">
        <f>IFERROR(__xludf.DUMMYFUNCTION("""COMPUTED_VALUE"""),"")</f>
        <v/>
      </c>
      <c r="E2459" s="36" t="str">
        <f>IFERROR(__xludf.DUMMYFUNCTION("""COMPUTED_VALUE"""),"09-20-10-109B")</f>
        <v>09-20-10-109B</v>
      </c>
      <c r="F2459" s="36"/>
      <c r="G2459" s="36" t="str">
        <f>IFERROR(__xludf.DUMMYFUNCTION("""COMPUTED_VALUE"""),"Roque Sáenz Peña y Bahía Blanca")</f>
        <v>Roque Sáenz Peña y Bahía Blanca</v>
      </c>
      <c r="H2459" s="36" t="str">
        <f>IFERROR(__xludf.DUMMYFUNCTION("""COMPUTED_VALUE"""),"")</f>
        <v/>
      </c>
    </row>
    <row r="2460">
      <c r="A2460" s="36" t="str">
        <f>IFERROR(__xludf.DUMMYFUNCTION("""COMPUTED_VALUE"""),"01-56-13-57")</f>
        <v>01-56-13-57</v>
      </c>
      <c r="B2460" s="36" t="str">
        <f>IFERROR(__xludf.DUMMYFUNCTION("""COMPUTED_VALUE"""),"")</f>
        <v/>
      </c>
      <c r="C2460" s="36" t="str">
        <f>IFERROR(__xludf.DUMMYFUNCTION("""COMPUTED_VALUE"""),"")</f>
        <v/>
      </c>
      <c r="D2460" s="36" t="str">
        <f>IFERROR(__xludf.DUMMYFUNCTION("""COMPUTED_VALUE"""),"")</f>
        <v/>
      </c>
      <c r="E2460" s="36" t="str">
        <f>IFERROR(__xludf.DUMMYFUNCTION("""COMPUTED_VALUE"""),"03-40-10-96B")</f>
        <v>03-40-10-96B</v>
      </c>
      <c r="F2460" s="36"/>
      <c r="G2460" s="36" t="str">
        <f>IFERROR(__xludf.DUMMYFUNCTION("""COMPUTED_VALUE"""),"Roque Sáenz Peña y Buenaventura Luna")</f>
        <v>Roque Sáenz Peña y Buenaventura Luna</v>
      </c>
      <c r="H2460" s="36" t="str">
        <f>IFERROR(__xludf.DUMMYFUNCTION("""COMPUTED_VALUE"""),"")</f>
        <v/>
      </c>
    </row>
    <row r="2461">
      <c r="A2461" s="36" t="str">
        <f>IFERROR(__xludf.DUMMYFUNCTION("""COMPUTED_VALUE"""),"01-56-13-58")</f>
        <v>01-56-13-58</v>
      </c>
      <c r="B2461" s="36" t="str">
        <f>IFERROR(__xludf.DUMMYFUNCTION("""COMPUTED_VALUE"""),"")</f>
        <v/>
      </c>
      <c r="C2461" s="36" t="str">
        <f>IFERROR(__xludf.DUMMYFUNCTION("""COMPUTED_VALUE"""),"")</f>
        <v/>
      </c>
      <c r="D2461" s="36" t="str">
        <f>IFERROR(__xludf.DUMMYFUNCTION("""COMPUTED_VALUE"""),"")</f>
        <v/>
      </c>
      <c r="E2461" s="36" t="str">
        <f>IFERROR(__xludf.DUMMYFUNCTION("""COMPUTED_VALUE"""),"03-30-09-92")</f>
        <v>03-30-09-92</v>
      </c>
      <c r="F2461" s="36"/>
      <c r="G2461" s="36" t="str">
        <f>IFERROR(__xludf.DUMMYFUNCTION("""COMPUTED_VALUE"""),"Roque Sáenz Peña y Colón")</f>
        <v>Roque Sáenz Peña y Colón</v>
      </c>
      <c r="H2461" s="36" t="str">
        <f>IFERROR(__xludf.DUMMYFUNCTION("""COMPUTED_VALUE"""),"")</f>
        <v/>
      </c>
    </row>
    <row r="2462">
      <c r="A2462" s="36" t="str">
        <f>IFERROR(__xludf.DUMMYFUNCTION("""COMPUTED_VALUE"""),"01-56-13-59")</f>
        <v>01-56-13-59</v>
      </c>
      <c r="B2462" s="36" t="str">
        <f>IFERROR(__xludf.DUMMYFUNCTION("""COMPUTED_VALUE"""),"")</f>
        <v/>
      </c>
      <c r="C2462" s="36" t="str">
        <f>IFERROR(__xludf.DUMMYFUNCTION("""COMPUTED_VALUE"""),"")</f>
        <v/>
      </c>
      <c r="D2462" s="36" t="str">
        <f>IFERROR(__xludf.DUMMYFUNCTION("""COMPUTED_VALUE"""),"")</f>
        <v/>
      </c>
      <c r="E2462" s="36" t="str">
        <f>IFERROR(__xludf.DUMMYFUNCTION("""COMPUTED_VALUE"""),"03-29-10-137A")</f>
        <v>03-29-10-137A</v>
      </c>
      <c r="F2462" s="36"/>
      <c r="G2462" s="36" t="str">
        <f>IFERROR(__xludf.DUMMYFUNCTION("""COMPUTED_VALUE"""),"Roque Sáenz Peña y Comuneros Norte")</f>
        <v>Roque Sáenz Peña y Comuneros Norte</v>
      </c>
      <c r="H2462" s="36" t="str">
        <f>IFERROR(__xludf.DUMMYFUNCTION("""COMPUTED_VALUE"""),"")</f>
        <v/>
      </c>
    </row>
    <row r="2463">
      <c r="A2463" s="36" t="str">
        <f>IFERROR(__xludf.DUMMYFUNCTION("""COMPUTED_VALUE"""),"01-57-13-1")</f>
        <v>01-57-13-1</v>
      </c>
      <c r="B2463" s="36" t="str">
        <f>IFERROR(__xludf.DUMMYFUNCTION("""COMPUTED_VALUE"""),"")</f>
        <v/>
      </c>
      <c r="C2463" s="36" t="str">
        <f>IFERROR(__xludf.DUMMYFUNCTION("""COMPUTED_VALUE"""),"")</f>
        <v/>
      </c>
      <c r="D2463" s="36" t="str">
        <f>IFERROR(__xludf.DUMMYFUNCTION("""COMPUTED_VALUE"""),"")</f>
        <v/>
      </c>
      <c r="E2463" s="36" t="str">
        <f>IFERROR(__xludf.DUMMYFUNCTION("""COMPUTED_VALUE"""),"03-34-10-137B")</f>
        <v>03-34-10-137B</v>
      </c>
      <c r="F2463" s="36"/>
      <c r="G2463" s="36" t="str">
        <f>IFERROR(__xludf.DUMMYFUNCTION("""COMPUTED_VALUE"""),"Roque Sáenz Peña y Comuneros Sur")</f>
        <v>Roque Sáenz Peña y Comuneros Sur</v>
      </c>
      <c r="H2463" s="36" t="str">
        <f>IFERROR(__xludf.DUMMYFUNCTION("""COMPUTED_VALUE"""),"")</f>
        <v/>
      </c>
    </row>
    <row r="2464">
      <c r="A2464" s="36" t="str">
        <f>IFERROR(__xludf.DUMMYFUNCTION("""COMPUTED_VALUE"""),"01-57-13-2")</f>
        <v>01-57-13-2</v>
      </c>
      <c r="B2464" s="36" t="str">
        <f>IFERROR(__xludf.DUMMYFUNCTION("""COMPUTED_VALUE"""),"")</f>
        <v/>
      </c>
      <c r="C2464" s="36" t="str">
        <f>IFERROR(__xludf.DUMMYFUNCTION("""COMPUTED_VALUE"""),"")</f>
        <v/>
      </c>
      <c r="D2464" s="36" t="str">
        <f>IFERROR(__xludf.DUMMYFUNCTION("""COMPUTED_VALUE"""),"")</f>
        <v/>
      </c>
      <c r="E2464" s="36" t="str">
        <f>IFERROR(__xludf.DUMMYFUNCTION("""COMPUTED_VALUE"""),"03-32-09-143X")</f>
        <v>03-32-09-143X</v>
      </c>
      <c r="F2464" s="36"/>
      <c r="G2464" s="36" t="str">
        <f>IFERROR(__xludf.DUMMYFUNCTION("""COMPUTED_VALUE"""),"Roque Sáenz Peña y Dorrego")</f>
        <v>Roque Sáenz Peña y Dorrego</v>
      </c>
      <c r="H2464" s="36" t="str">
        <f>IFERROR(__xludf.DUMMYFUNCTION("""COMPUTED_VALUE"""),"")</f>
        <v/>
      </c>
    </row>
    <row r="2465">
      <c r="A2465" s="36" t="str">
        <f>IFERROR(__xludf.DUMMYFUNCTION("""COMPUTED_VALUE"""),"01-57-13-2A")</f>
        <v>01-57-13-2A</v>
      </c>
      <c r="B2465" s="36" t="str">
        <f>IFERROR(__xludf.DUMMYFUNCTION("""COMPUTED_VALUE"""),"")</f>
        <v/>
      </c>
      <c r="C2465" s="36" t="str">
        <f>IFERROR(__xludf.DUMMYFUNCTION("""COMPUTED_VALUE"""),"")</f>
        <v/>
      </c>
      <c r="D2465" s="36" t="str">
        <f>IFERROR(__xludf.DUMMYFUNCTION("""COMPUTED_VALUE"""),"")</f>
        <v/>
      </c>
      <c r="E2465" s="36" t="str">
        <f>IFERROR(__xludf.DUMMYFUNCTION("""COMPUTED_VALUE"""),"03-28-10-96A")</f>
        <v>03-28-10-96A</v>
      </c>
      <c r="F2465" s="36"/>
      <c r="G2465" s="36" t="str">
        <f>IFERROR(__xludf.DUMMYFUNCTION("""COMPUTED_VALUE"""),"Roque Sáenz Peña y Dr. Gutierrez")</f>
        <v>Roque Sáenz Peña y Dr. Gutierrez</v>
      </c>
      <c r="H2465" s="36" t="str">
        <f>IFERROR(__xludf.DUMMYFUNCTION("""COMPUTED_VALUE"""),"")</f>
        <v/>
      </c>
    </row>
    <row r="2466">
      <c r="A2466" s="36" t="str">
        <f>IFERROR(__xludf.DUMMYFUNCTION("""COMPUTED_VALUE"""),"01-57-13-3")</f>
        <v>01-57-13-3</v>
      </c>
      <c r="B2466" s="36" t="str">
        <f>IFERROR(__xludf.DUMMYFUNCTION("""COMPUTED_VALUE"""),"")</f>
        <v/>
      </c>
      <c r="C2466" s="36" t="str">
        <f>IFERROR(__xludf.DUMMYFUNCTION("""COMPUTED_VALUE"""),"")</f>
        <v/>
      </c>
      <c r="D2466" s="36" t="str">
        <f>IFERROR(__xludf.DUMMYFUNCTION("""COMPUTED_VALUE"""),"")</f>
        <v/>
      </c>
      <c r="E2466" s="36" t="str">
        <f>IFERROR(__xludf.DUMMYFUNCTION("""COMPUTED_VALUE"""),"03-40-10-102A")</f>
        <v>03-40-10-102A</v>
      </c>
      <c r="F2466" s="36"/>
      <c r="G2466" s="36" t="str">
        <f>IFERROR(__xludf.DUMMYFUNCTION("""COMPUTED_VALUE"""),"Roque Sáenz Peña y Garcías Este")</f>
        <v>Roque Sáenz Peña y Garcías Este</v>
      </c>
      <c r="H2466" s="36" t="str">
        <f>IFERROR(__xludf.DUMMYFUNCTION("""COMPUTED_VALUE"""),"")</f>
        <v/>
      </c>
    </row>
    <row r="2467">
      <c r="A2467" s="36" t="str">
        <f>IFERROR(__xludf.DUMMYFUNCTION("""COMPUTED_VALUE"""),"01-57-13-4")</f>
        <v>01-57-13-4</v>
      </c>
      <c r="B2467" s="36" t="str">
        <f>IFERROR(__xludf.DUMMYFUNCTION("""COMPUTED_VALUE"""),"")</f>
        <v/>
      </c>
      <c r="C2467" s="36" t="str">
        <f>IFERROR(__xludf.DUMMYFUNCTION("""COMPUTED_VALUE"""),"")</f>
        <v/>
      </c>
      <c r="D2467" s="36" t="str">
        <f>IFERROR(__xludf.DUMMYFUNCTION("""COMPUTED_VALUE"""),"")</f>
        <v/>
      </c>
      <c r="E2467" s="36" t="str">
        <f>IFERROR(__xludf.DUMMYFUNCTION("""COMPUTED_VALUE"""),"03-40-10-102")</f>
        <v>03-40-10-102</v>
      </c>
      <c r="F2467" s="36"/>
      <c r="G2467" s="36" t="str">
        <f>IFERROR(__xludf.DUMMYFUNCTION("""COMPUTED_VALUE"""),"Roque Sáenz Peña y Garcías Oeste")</f>
        <v>Roque Sáenz Peña y Garcías Oeste</v>
      </c>
      <c r="H2467" s="36" t="str">
        <f>IFERROR(__xludf.DUMMYFUNCTION("""COMPUTED_VALUE"""),"")</f>
        <v/>
      </c>
    </row>
    <row r="2468">
      <c r="A2468" s="36" t="str">
        <f>IFERROR(__xludf.DUMMYFUNCTION("""COMPUTED_VALUE"""),"01-57-13-5")</f>
        <v>01-57-13-5</v>
      </c>
      <c r="B2468" s="36" t="str">
        <f>IFERROR(__xludf.DUMMYFUNCTION("""COMPUTED_VALUE"""),"")</f>
        <v/>
      </c>
      <c r="C2468" s="36" t="str">
        <f>IFERROR(__xludf.DUMMYFUNCTION("""COMPUTED_VALUE"""),"")</f>
        <v/>
      </c>
      <c r="D2468" s="36" t="str">
        <f>IFERROR(__xludf.DUMMYFUNCTION("""COMPUTED_VALUE"""),"")</f>
        <v/>
      </c>
      <c r="E2468" s="36" t="str">
        <f>IFERROR(__xludf.DUMMYFUNCTION("""COMPUTED_VALUE"""),"03-28-10-92A")</f>
        <v>03-28-10-92A</v>
      </c>
      <c r="F2468" s="36"/>
      <c r="G2468" s="36" t="str">
        <f>IFERROR(__xludf.DUMMYFUNCTION("""COMPUTED_VALUE"""),"Roque Sáenz Peña y Huazimul Norte")</f>
        <v>Roque Sáenz Peña y Huazimul Norte</v>
      </c>
      <c r="H2468" s="36" t="str">
        <f>IFERROR(__xludf.DUMMYFUNCTION("""COMPUTED_VALUE"""),"")</f>
        <v/>
      </c>
    </row>
    <row r="2469">
      <c r="A2469" s="36" t="str">
        <f>IFERROR(__xludf.DUMMYFUNCTION("""COMPUTED_VALUE"""),"01-57-13-51")</f>
        <v>01-57-13-51</v>
      </c>
      <c r="B2469" s="36" t="str">
        <f>IFERROR(__xludf.DUMMYFUNCTION("""COMPUTED_VALUE"""),"")</f>
        <v/>
      </c>
      <c r="C2469" s="36" t="str">
        <f>IFERROR(__xludf.DUMMYFUNCTION("""COMPUTED_VALUE"""),"")</f>
        <v/>
      </c>
      <c r="D2469" s="36" t="str">
        <f>IFERROR(__xludf.DUMMYFUNCTION("""COMPUTED_VALUE"""),"")</f>
        <v/>
      </c>
      <c r="E2469" s="36" t="str">
        <f>IFERROR(__xludf.DUMMYFUNCTION("""COMPUTED_VALUE"""),"03-36-10-92B")</f>
        <v>03-36-10-92B</v>
      </c>
      <c r="F2469" s="36"/>
      <c r="G2469" s="36" t="str">
        <f>IFERROR(__xludf.DUMMYFUNCTION("""COMPUTED_VALUE"""),"Roque Sáenz Peña y Huazimul Sur")</f>
        <v>Roque Sáenz Peña y Huazimul Sur</v>
      </c>
      <c r="H2469" s="36" t="str">
        <f>IFERROR(__xludf.DUMMYFUNCTION("""COMPUTED_VALUE"""),"")</f>
        <v/>
      </c>
    </row>
    <row r="2470">
      <c r="A2470" s="36" t="str">
        <f>IFERROR(__xludf.DUMMYFUNCTION("""COMPUTED_VALUE"""),"01-57-13-53")</f>
        <v>01-57-13-53</v>
      </c>
      <c r="B2470" s="36" t="str">
        <f>IFERROR(__xludf.DUMMYFUNCTION("""COMPUTED_VALUE"""),"")</f>
        <v/>
      </c>
      <c r="C2470" s="36" t="str">
        <f>IFERROR(__xludf.DUMMYFUNCTION("""COMPUTED_VALUE"""),"")</f>
        <v/>
      </c>
      <c r="D2470" s="36" t="str">
        <f>IFERROR(__xludf.DUMMYFUNCTION("""COMPUTED_VALUE"""),"")</f>
        <v/>
      </c>
      <c r="E2470" s="36" t="str">
        <f>IFERROR(__xludf.DUMMYFUNCTION("""COMPUTED_VALUE"""),"02-28-06-94A")</f>
        <v>02-28-06-94A</v>
      </c>
      <c r="F2470" s="36"/>
      <c r="G2470" s="36" t="str">
        <f>IFERROR(__xludf.DUMMYFUNCTION("""COMPUTED_VALUE"""),"Roque Sáenz Peña y Juan José Paso")</f>
        <v>Roque Sáenz Peña y Juan José Paso</v>
      </c>
      <c r="H2470" s="36" t="str">
        <f>IFERROR(__xludf.DUMMYFUNCTION("""COMPUTED_VALUE"""),"")</f>
        <v/>
      </c>
    </row>
    <row r="2471">
      <c r="A2471" s="36" t="str">
        <f>IFERROR(__xludf.DUMMYFUNCTION("""COMPUTED_VALUE"""),"01-57-13-6")</f>
        <v>01-57-13-6</v>
      </c>
      <c r="B2471" s="36" t="str">
        <f>IFERROR(__xludf.DUMMYFUNCTION("""COMPUTED_VALUE"""),"")</f>
        <v/>
      </c>
      <c r="C2471" s="36" t="str">
        <f>IFERROR(__xludf.DUMMYFUNCTION("""COMPUTED_VALUE"""),"")</f>
        <v/>
      </c>
      <c r="D2471" s="36" t="str">
        <f>IFERROR(__xludf.DUMMYFUNCTION("""COMPUTED_VALUE"""),"")</f>
        <v/>
      </c>
      <c r="E2471" s="36" t="str">
        <f>IFERROR(__xludf.DUMMYFUNCTION("""COMPUTED_VALUE"""),"03-31-09-80")</f>
        <v>03-31-09-80</v>
      </c>
      <c r="F2471" s="36"/>
      <c r="G2471" s="36" t="str">
        <f>IFERROR(__xludf.DUMMYFUNCTION("""COMPUTED_VALUE"""),"Roque Sáenz Peña y Landa")</f>
        <v>Roque Sáenz Peña y Landa</v>
      </c>
      <c r="H2471" s="36" t="str">
        <f>IFERROR(__xludf.DUMMYFUNCTION("""COMPUTED_VALUE"""),"")</f>
        <v/>
      </c>
    </row>
    <row r="2472">
      <c r="A2472" s="36" t="str">
        <f>IFERROR(__xludf.DUMMYFUNCTION("""COMPUTED_VALUE"""),"01-60-13-14")</f>
        <v>01-60-13-14</v>
      </c>
      <c r="B2472" s="36" t="str">
        <f>IFERROR(__xludf.DUMMYFUNCTION("""COMPUTED_VALUE"""),"")</f>
        <v/>
      </c>
      <c r="C2472" s="36" t="str">
        <f>IFERROR(__xludf.DUMMYFUNCTION("""COMPUTED_VALUE"""),"")</f>
        <v/>
      </c>
      <c r="D2472" s="36" t="str">
        <f>IFERROR(__xludf.DUMMYFUNCTION("""COMPUTED_VALUE"""),"")</f>
        <v/>
      </c>
      <c r="E2472" s="36" t="str">
        <f>IFERROR(__xludf.DUMMYFUNCTION("""COMPUTED_VALUE"""),"02-28-06-93")</f>
        <v>02-28-06-93</v>
      </c>
      <c r="F2472" s="36"/>
      <c r="G2472" s="36" t="str">
        <f>IFERROR(__xludf.DUMMYFUNCTION("""COMPUTED_VALUE"""),"Roque Sáenz Peña y Liniers")</f>
        <v>Roque Sáenz Peña y Liniers</v>
      </c>
      <c r="H2472" s="36" t="str">
        <f>IFERROR(__xludf.DUMMYFUNCTION("""COMPUTED_VALUE"""),"")</f>
        <v/>
      </c>
    </row>
    <row r="2473">
      <c r="A2473" s="36" t="str">
        <f>IFERROR(__xludf.DUMMYFUNCTION("""COMPUTED_VALUE"""),"01-60-13-18")</f>
        <v>01-60-13-18</v>
      </c>
      <c r="B2473" s="36" t="str">
        <f>IFERROR(__xludf.DUMMYFUNCTION("""COMPUTED_VALUE"""),"")</f>
        <v/>
      </c>
      <c r="C2473" s="36" t="str">
        <f>IFERROR(__xludf.DUMMYFUNCTION("""COMPUTED_VALUE"""),"")</f>
        <v/>
      </c>
      <c r="D2473" s="36" t="str">
        <f>IFERROR(__xludf.DUMMYFUNCTION("""COMPUTED_VALUE"""),"")</f>
        <v/>
      </c>
      <c r="E2473" s="36" t="str">
        <f>IFERROR(__xludf.DUMMYFUNCTION("""COMPUTED_VALUE"""),"03-28-10-90")</f>
        <v>03-28-10-90</v>
      </c>
      <c r="F2473" s="36"/>
      <c r="G2473" s="36" t="str">
        <f>IFERROR(__xludf.DUMMYFUNCTION("""COMPUTED_VALUE"""),"Roque Sáenz Peña y Pasaje")</f>
        <v>Roque Sáenz Peña y Pasaje</v>
      </c>
      <c r="H2473" s="36" t="str">
        <f>IFERROR(__xludf.DUMMYFUNCTION("""COMPUTED_VALUE"""),"")</f>
        <v/>
      </c>
    </row>
    <row r="2474">
      <c r="A2474" s="36" t="str">
        <f>IFERROR(__xludf.DUMMYFUNCTION("""COMPUTED_VALUE"""),"01-60-13-21")</f>
        <v>01-60-13-21</v>
      </c>
      <c r="B2474" s="36" t="str">
        <f>IFERROR(__xludf.DUMMYFUNCTION("""COMPUTED_VALUE"""),"")</f>
        <v/>
      </c>
      <c r="C2474" s="36" t="str">
        <f>IFERROR(__xludf.DUMMYFUNCTION("""COMPUTED_VALUE"""),"")</f>
        <v/>
      </c>
      <c r="D2474" s="36" t="str">
        <f>IFERROR(__xludf.DUMMYFUNCTION("""COMPUTED_VALUE"""),"")</f>
        <v/>
      </c>
      <c r="E2474" s="36" t="str">
        <f>IFERROR(__xludf.DUMMYFUNCTION("""COMPUTED_VALUE"""),"03-32-09-142A")</f>
        <v>03-32-09-142A</v>
      </c>
      <c r="F2474" s="36"/>
      <c r="G2474" s="36" t="str">
        <f>IFERROR(__xludf.DUMMYFUNCTION("""COMPUTED_VALUE"""),"Roque Sáenz Peña y Pueyrredón")</f>
        <v>Roque Sáenz Peña y Pueyrredón</v>
      </c>
      <c r="H2474" s="36" t="str">
        <f>IFERROR(__xludf.DUMMYFUNCTION("""COMPUTED_VALUE"""),"")</f>
        <v/>
      </c>
    </row>
    <row r="2475">
      <c r="A2475" s="36" t="str">
        <f>IFERROR(__xludf.DUMMYFUNCTION("""COMPUTED_VALUE"""),"01-60-13-22")</f>
        <v>01-60-13-22</v>
      </c>
      <c r="B2475" s="36" t="str">
        <f>IFERROR(__xludf.DUMMYFUNCTION("""COMPUTED_VALUE"""),"")</f>
        <v/>
      </c>
      <c r="C2475" s="36" t="str">
        <f>IFERROR(__xludf.DUMMYFUNCTION("""COMPUTED_VALUE"""),"")</f>
        <v/>
      </c>
      <c r="D2475" s="36" t="str">
        <f>IFERROR(__xludf.DUMMYFUNCTION("""COMPUTED_VALUE"""),"")</f>
        <v/>
      </c>
      <c r="E2475" s="36" t="str">
        <f>IFERROR(__xludf.DUMMYFUNCTION("""COMPUTED_VALUE"""),"03-28-10-94A")</f>
        <v>03-28-10-94A</v>
      </c>
      <c r="F2475" s="36"/>
      <c r="G2475" s="36" t="str">
        <f>IFERROR(__xludf.DUMMYFUNCTION("""COMPUTED_VALUE"""),"Roque Sáenz Peña y Ramírez Norte")</f>
        <v>Roque Sáenz Peña y Ramírez Norte</v>
      </c>
      <c r="H2475" s="36" t="str">
        <f>IFERROR(__xludf.DUMMYFUNCTION("""COMPUTED_VALUE"""),"")</f>
        <v/>
      </c>
    </row>
    <row r="2476">
      <c r="A2476" s="36" t="str">
        <f>IFERROR(__xludf.DUMMYFUNCTION("""COMPUTED_VALUE"""),"01-60-13-22A")</f>
        <v>01-60-13-22A</v>
      </c>
      <c r="B2476" s="36" t="str">
        <f>IFERROR(__xludf.DUMMYFUNCTION("""COMPUTED_VALUE"""),"")</f>
        <v/>
      </c>
      <c r="C2476" s="36" t="str">
        <f>IFERROR(__xludf.DUMMYFUNCTION("""COMPUTED_VALUE"""),"")</f>
        <v/>
      </c>
      <c r="D2476" s="36" t="str">
        <f>IFERROR(__xludf.DUMMYFUNCTION("""COMPUTED_VALUE"""),"")</f>
        <v/>
      </c>
      <c r="E2476" s="36" t="str">
        <f>IFERROR(__xludf.DUMMYFUNCTION("""COMPUTED_VALUE"""),"03-38-10-94B")</f>
        <v>03-38-10-94B</v>
      </c>
      <c r="F2476" s="36"/>
      <c r="G2476" s="36" t="str">
        <f>IFERROR(__xludf.DUMMYFUNCTION("""COMPUTED_VALUE"""),"Roque Sáenz Peña y Ramírez Sur")</f>
        <v>Roque Sáenz Peña y Ramírez Sur</v>
      </c>
      <c r="H2476" s="36" t="str">
        <f>IFERROR(__xludf.DUMMYFUNCTION("""COMPUTED_VALUE"""),"")</f>
        <v/>
      </c>
    </row>
    <row r="2477">
      <c r="A2477" s="36" t="str">
        <f>IFERROR(__xludf.DUMMYFUNCTION("""COMPUTED_VALUE"""),"01-60-13-25")</f>
        <v>01-60-13-25</v>
      </c>
      <c r="B2477" s="36" t="str">
        <f>IFERROR(__xludf.DUMMYFUNCTION("""COMPUTED_VALUE"""),"")</f>
        <v/>
      </c>
      <c r="C2477" s="36" t="str">
        <f>IFERROR(__xludf.DUMMYFUNCTION("""COMPUTED_VALUE"""),"")</f>
        <v/>
      </c>
      <c r="D2477" s="36" t="str">
        <f>IFERROR(__xludf.DUMMYFUNCTION("""COMPUTED_VALUE"""),"")</f>
        <v/>
      </c>
      <c r="E2477" s="36" t="str">
        <f>IFERROR(__xludf.DUMMYFUNCTION("""COMPUTED_VALUE"""),"03-40-10-107A")</f>
        <v>03-40-10-107A</v>
      </c>
      <c r="F2477" s="36"/>
      <c r="G2477" s="36" t="str">
        <f>IFERROR(__xludf.DUMMYFUNCTION("""COMPUTED_VALUE"""),"Roque Sáenz Peña y Saavedra")</f>
        <v>Roque Sáenz Peña y Saavedra</v>
      </c>
      <c r="H2477" s="36" t="str">
        <f>IFERROR(__xludf.DUMMYFUNCTION("""COMPUTED_VALUE"""),"")</f>
        <v/>
      </c>
    </row>
    <row r="2478">
      <c r="A2478" s="36" t="str">
        <f>IFERROR(__xludf.DUMMYFUNCTION("""COMPUTED_VALUE"""),"01-60-13-52")</f>
        <v>01-60-13-52</v>
      </c>
      <c r="B2478" s="36" t="str">
        <f>IFERROR(__xludf.DUMMYFUNCTION("""COMPUTED_VALUE"""),"")</f>
        <v/>
      </c>
      <c r="C2478" s="36" t="str">
        <f>IFERROR(__xludf.DUMMYFUNCTION("""COMPUTED_VALUE"""),"")</f>
        <v/>
      </c>
      <c r="D2478" s="36" t="str">
        <f>IFERROR(__xludf.DUMMYFUNCTION("""COMPUTED_VALUE"""),"")</f>
        <v/>
      </c>
      <c r="E2478" s="36" t="str">
        <f>IFERROR(__xludf.DUMMYFUNCTION("""COMPUTED_VALUE"""),"03-40-10-104B")</f>
        <v>03-40-10-104B</v>
      </c>
      <c r="F2478" s="36"/>
      <c r="G2478" s="36" t="str">
        <f>IFERROR(__xludf.DUMMYFUNCTION("""COMPUTED_VALUE"""),"Roque Sáenz Peña y Santa Fe Norte")</f>
        <v>Roque Sáenz Peña y Santa Fe Norte</v>
      </c>
      <c r="H2478" s="36" t="str">
        <f>IFERROR(__xludf.DUMMYFUNCTION("""COMPUTED_VALUE"""),"")</f>
        <v/>
      </c>
    </row>
    <row r="2479">
      <c r="A2479" s="36" t="str">
        <f>IFERROR(__xludf.DUMMYFUNCTION("""COMPUTED_VALUE"""),"01-60-13-65")</f>
        <v>01-60-13-65</v>
      </c>
      <c r="B2479" s="36" t="str">
        <f>IFERROR(__xludf.DUMMYFUNCTION("""COMPUTED_VALUE"""),"")</f>
        <v/>
      </c>
      <c r="C2479" s="36" t="str">
        <f>IFERROR(__xludf.DUMMYFUNCTION("""COMPUTED_VALUE"""),"")</f>
        <v/>
      </c>
      <c r="D2479" s="36" t="str">
        <f>IFERROR(__xludf.DUMMYFUNCTION("""COMPUTED_VALUE"""),"")</f>
        <v/>
      </c>
      <c r="E2479" s="36" t="str">
        <f>IFERROR(__xludf.DUMMYFUNCTION("""COMPUTED_VALUE"""),"03-40-10-104A")</f>
        <v>03-40-10-104A</v>
      </c>
      <c r="F2479" s="36"/>
      <c r="G2479" s="36" t="str">
        <f>IFERROR(__xludf.DUMMYFUNCTION("""COMPUTED_VALUE"""),"Roque Sáenz Peña y Santa Fe Sur")</f>
        <v>Roque Sáenz Peña y Santa Fe Sur</v>
      </c>
      <c r="H2479" s="36" t="str">
        <f>IFERROR(__xludf.DUMMYFUNCTION("""COMPUTED_VALUE"""),"")</f>
        <v/>
      </c>
    </row>
    <row r="2480">
      <c r="A2480" s="36" t="str">
        <f>IFERROR(__xludf.DUMMYFUNCTION("""COMPUTED_VALUE"""),"01-60-13-66")</f>
        <v>01-60-13-66</v>
      </c>
      <c r="B2480" s="36" t="str">
        <f>IFERROR(__xludf.DUMMYFUNCTION("""COMPUTED_VALUE"""),"")</f>
        <v/>
      </c>
      <c r="C2480" s="36" t="str">
        <f>IFERROR(__xludf.DUMMYFUNCTION("""COMPUTED_VALUE"""),"")</f>
        <v/>
      </c>
      <c r="D2480" s="36" t="str">
        <f>IFERROR(__xludf.DUMMYFUNCTION("""COMPUTED_VALUE"""),"ERROR DE ID")</f>
        <v>ERROR DE ID</v>
      </c>
      <c r="E2480" s="36" t="str">
        <f>IFERROR(__xludf.DUMMYFUNCTION("""COMPUTED_VALUE"""),"03-40-10-97")</f>
        <v>03-40-10-97</v>
      </c>
      <c r="F2480" s="36"/>
      <c r="G2480" s="36" t="str">
        <f>IFERROR(__xludf.DUMMYFUNCTION("""COMPUTED_VALUE"""),"Roque Sáenz Peña y Sociedad Rural Este")</f>
        <v>Roque Sáenz Peña y Sociedad Rural Este</v>
      </c>
      <c r="H2480" s="36" t="str">
        <f>IFERROR(__xludf.DUMMYFUNCTION("""COMPUTED_VALUE"""),"")</f>
        <v/>
      </c>
    </row>
    <row r="2481">
      <c r="A2481" s="36" t="str">
        <f>IFERROR(__xludf.DUMMYFUNCTION("""COMPUTED_VALUE"""),"01-60-13-66")</f>
        <v>01-60-13-66</v>
      </c>
      <c r="B2481" s="36" t="str">
        <f>IFERROR(__xludf.DUMMYFUNCTION("""COMPUTED_VALUE"""),"")</f>
        <v/>
      </c>
      <c r="C2481" s="36" t="str">
        <f>IFERROR(__xludf.DUMMYFUNCTION("""COMPUTED_VALUE"""),"")</f>
        <v/>
      </c>
      <c r="D2481" s="36" t="str">
        <f>IFERROR(__xludf.DUMMYFUNCTION("""COMPUTED_VALUE"""),"")</f>
        <v/>
      </c>
      <c r="E2481" s="36" t="str">
        <f>IFERROR(__xludf.DUMMYFUNCTION("""COMPUTED_VALUE"""),"03-40-10-98")</f>
        <v>03-40-10-98</v>
      </c>
      <c r="F2481" s="36"/>
      <c r="G2481" s="36" t="str">
        <f>IFERROR(__xludf.DUMMYFUNCTION("""COMPUTED_VALUE"""),"Roque Sáenz Peña y Sociedad Rural Oeste")</f>
        <v>Roque Sáenz Peña y Sociedad Rural Oeste</v>
      </c>
      <c r="H2481" s="36" t="str">
        <f>IFERROR(__xludf.DUMMYFUNCTION("""COMPUTED_VALUE"""),"")</f>
        <v/>
      </c>
    </row>
    <row r="2482">
      <c r="A2482" s="36" t="str">
        <f>IFERROR(__xludf.DUMMYFUNCTION("""COMPUTED_VALUE"""),"01-61-13-132")</f>
        <v>01-61-13-132</v>
      </c>
      <c r="B2482" s="36" t="str">
        <f>IFERROR(__xludf.DUMMYFUNCTION("""COMPUTED_VALUE"""),"")</f>
        <v/>
      </c>
      <c r="C2482" s="36" t="str">
        <f>IFERROR(__xludf.DUMMYFUNCTION("""COMPUTED_VALUE"""),"")</f>
        <v/>
      </c>
      <c r="D2482" s="36" t="str">
        <f>IFERROR(__xludf.DUMMYFUNCTION("""COMPUTED_VALUE"""),"")</f>
        <v/>
      </c>
      <c r="E2482" s="36" t="str">
        <f>IFERROR(__xludf.DUMMYFUNCTION("""COMPUTED_VALUE"""),"03-28-10-95A")</f>
        <v>03-28-10-95A</v>
      </c>
      <c r="F2482" s="36"/>
      <c r="G2482" s="36" t="str">
        <f>IFERROR(__xludf.DUMMYFUNCTION("""COMPUTED_VALUE"""),"Roque Sáenz Peña y Urquiza Norte")</f>
        <v>Roque Sáenz Peña y Urquiza Norte</v>
      </c>
      <c r="H2482" s="36" t="str">
        <f>IFERROR(__xludf.DUMMYFUNCTION("""COMPUTED_VALUE"""),"")</f>
        <v/>
      </c>
    </row>
    <row r="2483">
      <c r="A2483" s="36" t="str">
        <f>IFERROR(__xludf.DUMMYFUNCTION("""COMPUTED_VALUE"""),"01-61-13-133")</f>
        <v>01-61-13-133</v>
      </c>
      <c r="B2483" s="36" t="str">
        <f>IFERROR(__xludf.DUMMYFUNCTION("""COMPUTED_VALUE"""),"")</f>
        <v/>
      </c>
      <c r="C2483" s="36" t="str">
        <f>IFERROR(__xludf.DUMMYFUNCTION("""COMPUTED_VALUE"""),"")</f>
        <v/>
      </c>
      <c r="D2483" s="36" t="str">
        <f>IFERROR(__xludf.DUMMYFUNCTION("""COMPUTED_VALUE"""),"")</f>
        <v/>
      </c>
      <c r="E2483" s="36" t="str">
        <f>IFERROR(__xludf.DUMMYFUNCTION("""COMPUTED_VALUE"""),"03-38-10-95B")</f>
        <v>03-38-10-95B</v>
      </c>
      <c r="F2483" s="36"/>
      <c r="G2483" s="36" t="str">
        <f>IFERROR(__xludf.DUMMYFUNCTION("""COMPUTED_VALUE"""),"Roque Sáenz Peña y Urquiza Sur")</f>
        <v>Roque Sáenz Peña y Urquiza Sur</v>
      </c>
      <c r="H2483" s="36" t="str">
        <f>IFERROR(__xludf.DUMMYFUNCTION("""COMPUTED_VALUE"""),"")</f>
        <v/>
      </c>
    </row>
    <row r="2484">
      <c r="A2484" s="36" t="str">
        <f>IFERROR(__xludf.DUMMYFUNCTION("""COMPUTED_VALUE"""),"01-61-13-134")</f>
        <v>01-61-13-134</v>
      </c>
      <c r="B2484" s="36" t="str">
        <f>IFERROR(__xludf.DUMMYFUNCTION("""COMPUTED_VALUE"""),"")</f>
        <v/>
      </c>
      <c r="C2484" s="36" t="str">
        <f>IFERROR(__xludf.DUMMYFUNCTION("""COMPUTED_VALUE"""),"")</f>
        <v/>
      </c>
      <c r="D2484" s="36" t="str">
        <f>IFERROR(__xludf.DUMMYFUNCTION("""COMPUTED_VALUE"""),"")</f>
        <v/>
      </c>
      <c r="E2484" s="36" t="str">
        <f>IFERROR(__xludf.DUMMYFUNCTION("""COMPUTED_VALUE"""),"01-36-07-30")</f>
        <v>01-36-07-30</v>
      </c>
      <c r="F2484" s="36"/>
      <c r="G2484" s="36" t="str">
        <f>IFERROR(__xludf.DUMMYFUNCTION("""COMPUTED_VALUE"""),"Rotary Libros")</f>
        <v>Rotary Libros</v>
      </c>
      <c r="H2484" s="36" t="str">
        <f>IFERROR(__xludf.DUMMYFUNCTION("""COMPUTED_VALUE"""),"")</f>
        <v/>
      </c>
    </row>
    <row r="2485">
      <c r="A2485" s="36" t="str">
        <f>IFERROR(__xludf.DUMMYFUNCTION("""COMPUTED_VALUE"""),"01-61-13-136")</f>
        <v>01-61-13-136</v>
      </c>
      <c r="B2485" s="36" t="str">
        <f>IFERROR(__xludf.DUMMYFUNCTION("""COMPUTED_VALUE"""),"")</f>
        <v/>
      </c>
      <c r="C2485" s="36" t="str">
        <f>IFERROR(__xludf.DUMMYFUNCTION("""COMPUTED_VALUE"""),"")</f>
        <v/>
      </c>
      <c r="D2485" s="36" t="str">
        <f>IFERROR(__xludf.DUMMYFUNCTION("""COMPUTED_VALUE"""),"")</f>
        <v/>
      </c>
      <c r="E2485" s="36" t="str">
        <f>IFERROR(__xludf.DUMMYFUNCTION("""COMPUTED_VALUE"""),"08-26-04-49")</f>
        <v>08-26-04-49</v>
      </c>
      <c r="F2485" s="36"/>
      <c r="G2485" s="36" t="str">
        <f>IFERROR(__xludf.DUMMYFUNCTION("""COMPUTED_VALUE"""),"Rotonda B° Santa María N")</f>
        <v>Rotonda B° Santa María N</v>
      </c>
      <c r="H2485" s="36" t="str">
        <f>IFERROR(__xludf.DUMMYFUNCTION("""COMPUTED_VALUE"""),"")</f>
        <v/>
      </c>
    </row>
    <row r="2486">
      <c r="A2486" s="36" t="str">
        <f>IFERROR(__xludf.DUMMYFUNCTION("""COMPUTED_VALUE"""),"01-61-13-15")</f>
        <v>01-61-13-15</v>
      </c>
      <c r="B2486" s="36" t="str">
        <f>IFERROR(__xludf.DUMMYFUNCTION("""COMPUTED_VALUE"""),"")</f>
        <v/>
      </c>
      <c r="C2486" s="36" t="str">
        <f>IFERROR(__xludf.DUMMYFUNCTION("""COMPUTED_VALUE"""),"")</f>
        <v/>
      </c>
      <c r="D2486" s="36" t="str">
        <f>IFERROR(__xludf.DUMMYFUNCTION("""COMPUTED_VALUE"""),"")</f>
        <v/>
      </c>
      <c r="E2486" s="36" t="str">
        <f>IFERROR(__xludf.DUMMYFUNCTION("""COMPUTED_VALUE"""),"08-26-04-50")</f>
        <v>08-26-04-50</v>
      </c>
      <c r="F2486" s="36"/>
      <c r="G2486" s="36" t="str">
        <f>IFERROR(__xludf.DUMMYFUNCTION("""COMPUTED_VALUE"""),"Rotonda B° Santa María S")</f>
        <v>Rotonda B° Santa María S</v>
      </c>
      <c r="H2486" s="36" t="str">
        <f>IFERROR(__xludf.DUMMYFUNCTION("""COMPUTED_VALUE"""),"")</f>
        <v/>
      </c>
    </row>
    <row r="2487">
      <c r="A2487" s="36" t="str">
        <f>IFERROR(__xludf.DUMMYFUNCTION("""COMPUTED_VALUE"""),"01-61-13-157")</f>
        <v>01-61-13-157</v>
      </c>
      <c r="B2487" s="36" t="str">
        <f>IFERROR(__xludf.DUMMYFUNCTION("""COMPUTED_VALUE"""),"")</f>
        <v/>
      </c>
      <c r="C2487" s="36" t="str">
        <f>IFERROR(__xludf.DUMMYFUNCTION("""COMPUTED_VALUE"""),"")</f>
        <v/>
      </c>
      <c r="D2487" s="36" t="str">
        <f>IFERROR(__xludf.DUMMYFUNCTION("""COMPUTED_VALUE"""),"")</f>
        <v/>
      </c>
      <c r="E2487" s="36" t="str">
        <f>IFERROR(__xludf.DUMMYFUNCTION("""COMPUTED_VALUE"""),"04-42-11-52B")</f>
        <v>04-42-11-52B</v>
      </c>
      <c r="F2487" s="36"/>
      <c r="G2487" s="36" t="str">
        <f>IFERROR(__xludf.DUMMYFUNCTION("""COMPUTED_VALUE"""),"Rotonda B° Valle Grande")</f>
        <v>Rotonda B° Valle Grande</v>
      </c>
      <c r="H2487" s="36" t="str">
        <f>IFERROR(__xludf.DUMMYFUNCTION("""COMPUTED_VALUE"""),"")</f>
        <v/>
      </c>
    </row>
    <row r="2488">
      <c r="A2488" s="36" t="str">
        <f>IFERROR(__xludf.DUMMYFUNCTION("""COMPUTED_VALUE"""),"01-61-13-158")</f>
        <v>01-61-13-158</v>
      </c>
      <c r="B2488" s="36" t="str">
        <f>IFERROR(__xludf.DUMMYFUNCTION("""COMPUTED_VALUE"""),"")</f>
        <v/>
      </c>
      <c r="C2488" s="36" t="str">
        <f>IFERROR(__xludf.DUMMYFUNCTION("""COMPUTED_VALUE"""),"")</f>
        <v/>
      </c>
      <c r="D2488" s="36" t="str">
        <f>IFERROR(__xludf.DUMMYFUNCTION("""COMPUTED_VALUE"""),"")</f>
        <v/>
      </c>
      <c r="E2488" s="36" t="str">
        <f>IFERROR(__xludf.DUMMYFUNCTION("""COMPUTED_VALUE"""),"04-42-11-52A")</f>
        <v>04-42-11-52A</v>
      </c>
      <c r="F2488" s="36"/>
      <c r="G2488" s="36" t="str">
        <f>IFERROR(__xludf.DUMMYFUNCTION("""COMPUTED_VALUE"""),"Rotonda B° Valle Grande Este")</f>
        <v>Rotonda B° Valle Grande Este</v>
      </c>
      <c r="H2488" s="36" t="str">
        <f>IFERROR(__xludf.DUMMYFUNCTION("""COMPUTED_VALUE"""),"")</f>
        <v/>
      </c>
    </row>
    <row r="2489">
      <c r="A2489" s="36" t="str">
        <f>IFERROR(__xludf.DUMMYFUNCTION("""COMPUTED_VALUE"""),"01-61-13-195")</f>
        <v>01-61-13-195</v>
      </c>
      <c r="B2489" s="36" t="str">
        <f>IFERROR(__xludf.DUMMYFUNCTION("""COMPUTED_VALUE"""),"")</f>
        <v/>
      </c>
      <c r="C2489" s="36" t="str">
        <f>IFERROR(__xludf.DUMMYFUNCTION("""COMPUTED_VALUE"""),"")</f>
        <v/>
      </c>
      <c r="D2489" s="36" t="str">
        <f>IFERROR(__xludf.DUMMYFUNCTION("""COMPUTED_VALUE"""),"")</f>
        <v/>
      </c>
      <c r="E2489" s="36" t="str">
        <f>IFERROR(__xludf.DUMMYFUNCTION("""COMPUTED_VALUE"""),"04-42-11-52")</f>
        <v>04-42-11-52</v>
      </c>
      <c r="F2489" s="36"/>
      <c r="G2489" s="36" t="str">
        <f>IFERROR(__xludf.DUMMYFUNCTION("""COMPUTED_VALUE"""),"Rotonda B° Valle Grande Norte")</f>
        <v>Rotonda B° Valle Grande Norte</v>
      </c>
      <c r="H2489" s="36" t="str">
        <f>IFERROR(__xludf.DUMMYFUNCTION("""COMPUTED_VALUE"""),"")</f>
        <v/>
      </c>
    </row>
    <row r="2490">
      <c r="A2490" s="36" t="str">
        <f>IFERROR(__xludf.DUMMYFUNCTION("""COMPUTED_VALUE"""),"01-61-13-35")</f>
        <v>01-61-13-35</v>
      </c>
      <c r="B2490" s="36" t="str">
        <f>IFERROR(__xludf.DUMMYFUNCTION("""COMPUTED_VALUE"""),"")</f>
        <v/>
      </c>
      <c r="C2490" s="36" t="str">
        <f>IFERROR(__xludf.DUMMYFUNCTION("""COMPUTED_VALUE"""),"")</f>
        <v/>
      </c>
      <c r="D2490" s="36" t="str">
        <f>IFERROR(__xludf.DUMMYFUNCTION("""COMPUTED_VALUE"""),"")</f>
        <v/>
      </c>
      <c r="E2490" s="36" t="str">
        <f>IFERROR(__xludf.DUMMYFUNCTION("""COMPUTED_VALUE"""),"04-42-11-52C")</f>
        <v>04-42-11-52C</v>
      </c>
      <c r="F2490" s="36"/>
      <c r="G2490" s="36" t="str">
        <f>IFERROR(__xludf.DUMMYFUNCTION("""COMPUTED_VALUE"""),"Rotonda B° Valle Grande Sur")</f>
        <v>Rotonda B° Valle Grande Sur</v>
      </c>
      <c r="H2490" s="36" t="str">
        <f>IFERROR(__xludf.DUMMYFUNCTION("""COMPUTED_VALUE"""),"")</f>
        <v/>
      </c>
    </row>
    <row r="2491">
      <c r="A2491" s="36" t="str">
        <f>IFERROR(__xludf.DUMMYFUNCTION("""COMPUTED_VALUE"""),"01-61-13-36")</f>
        <v>01-61-13-36</v>
      </c>
      <c r="B2491" s="36" t="str">
        <f>IFERROR(__xludf.DUMMYFUNCTION("""COMPUTED_VALUE"""),"")</f>
        <v/>
      </c>
      <c r="C2491" s="36" t="str">
        <f>IFERROR(__xludf.DUMMYFUNCTION("""COMPUTED_VALUE"""),"")</f>
        <v/>
      </c>
      <c r="D2491" s="36" t="str">
        <f>IFERROR(__xludf.DUMMYFUNCTION("""COMPUTED_VALUE"""),"")</f>
        <v/>
      </c>
      <c r="E2491" s="36" t="str">
        <f>IFERROR(__xludf.DUMMYFUNCTION("""COMPUTED_VALUE"""),"02-24-05-32")</f>
        <v>02-24-05-32</v>
      </c>
      <c r="F2491" s="36"/>
      <c r="G2491" s="36" t="str">
        <f>IFERROR(__xludf.DUMMYFUNCTION("""COMPUTED_VALUE"""),"Rotondas de Ingreso a Marquesado E")</f>
        <v>Rotondas de Ingreso a Marquesado E</v>
      </c>
      <c r="H2491" s="36" t="str">
        <f>IFERROR(__xludf.DUMMYFUNCTION("""COMPUTED_VALUE"""),"")</f>
        <v/>
      </c>
    </row>
    <row r="2492">
      <c r="A2492" s="36" t="str">
        <f>IFERROR(__xludf.DUMMYFUNCTION("""COMPUTED_VALUE"""),"01-61-13-37")</f>
        <v>01-61-13-37</v>
      </c>
      <c r="B2492" s="36" t="str">
        <f>IFERROR(__xludf.DUMMYFUNCTION("""COMPUTED_VALUE"""),"")</f>
        <v/>
      </c>
      <c r="C2492" s="36" t="str">
        <f>IFERROR(__xludf.DUMMYFUNCTION("""COMPUTED_VALUE"""),"")</f>
        <v/>
      </c>
      <c r="D2492" s="36" t="str">
        <f>IFERROR(__xludf.DUMMYFUNCTION("""COMPUTED_VALUE"""),"")</f>
        <v/>
      </c>
      <c r="E2492" s="36" t="str">
        <f>IFERROR(__xludf.DUMMYFUNCTION("""COMPUTED_VALUE"""),"02-34-05-31")</f>
        <v>02-34-05-31</v>
      </c>
      <c r="F2492" s="36"/>
      <c r="G2492" s="36" t="str">
        <f>IFERROR(__xludf.DUMMYFUNCTION("""COMPUTED_VALUE"""),"Rotondas de Ingreso a Marquesado O")</f>
        <v>Rotondas de Ingreso a Marquesado O</v>
      </c>
      <c r="H2492" s="36" t="str">
        <f>IFERROR(__xludf.DUMMYFUNCTION("""COMPUTED_VALUE"""),"")</f>
        <v/>
      </c>
    </row>
    <row r="2493">
      <c r="A2493" s="36" t="str">
        <f>IFERROR(__xludf.DUMMYFUNCTION("""COMPUTED_VALUE"""),"01-61-13-38")</f>
        <v>01-61-13-38</v>
      </c>
      <c r="B2493" s="36" t="str">
        <f>IFERROR(__xludf.DUMMYFUNCTION("""COMPUTED_VALUE"""),"")</f>
        <v/>
      </c>
      <c r="C2493" s="36" t="str">
        <f>IFERROR(__xludf.DUMMYFUNCTION("""COMPUTED_VALUE"""),"")</f>
        <v/>
      </c>
      <c r="D2493" s="36" t="str">
        <f>IFERROR(__xludf.DUMMYFUNCTION("""COMPUTED_VALUE"""),"")</f>
        <v/>
      </c>
      <c r="E2493" s="36" t="str">
        <f>IFERROR(__xludf.DUMMYFUNCTION("""COMPUTED_VALUE"""),"04-22-14-28")</f>
        <v>04-22-14-28</v>
      </c>
      <c r="F2493" s="36"/>
      <c r="G2493" s="36" t="str">
        <f>IFERROR(__xludf.DUMMYFUNCTION("""COMPUTED_VALUE"""),"Rufino Martínez y Villagra")</f>
        <v>Rufino Martínez y Villagra</v>
      </c>
      <c r="H2493" s="36" t="str">
        <f>IFERROR(__xludf.DUMMYFUNCTION("""COMPUTED_VALUE"""),"")</f>
        <v/>
      </c>
    </row>
    <row r="2494">
      <c r="A2494" s="36" t="str">
        <f>IFERROR(__xludf.DUMMYFUNCTION("""COMPUTED_VALUE"""),"01-61-13-39")</f>
        <v>01-61-13-39</v>
      </c>
      <c r="B2494" s="36" t="str">
        <f>IFERROR(__xludf.DUMMYFUNCTION("""COMPUTED_VALUE"""),"")</f>
        <v/>
      </c>
      <c r="C2494" s="36" t="str">
        <f>IFERROR(__xludf.DUMMYFUNCTION("""COMPUTED_VALUE"""),"")</f>
        <v/>
      </c>
      <c r="D2494" s="36" t="str">
        <f>IFERROR(__xludf.DUMMYFUNCTION("""COMPUTED_VALUE"""),"")</f>
        <v/>
      </c>
      <c r="E2494" s="36" t="str">
        <f>IFERROR(__xludf.DUMMYFUNCTION("""COMPUTED_VALUE"""),"03-50-10-23B")</f>
        <v>03-50-10-23B</v>
      </c>
      <c r="F2494" s="36"/>
      <c r="G2494" s="36" t="str">
        <f>IFERROR(__xludf.DUMMYFUNCTION("""COMPUTED_VALUE"""),"Ruta 20 e Hipólito Yrigoyen Norte")</f>
        <v>Ruta 20 e Hipólito Yrigoyen Norte</v>
      </c>
      <c r="H2494" s="36" t="str">
        <f>IFERROR(__xludf.DUMMYFUNCTION("""COMPUTED_VALUE"""),"")</f>
        <v/>
      </c>
    </row>
    <row r="2495">
      <c r="A2495" s="36" t="str">
        <f>IFERROR(__xludf.DUMMYFUNCTION("""COMPUTED_VALUE"""),"01-61-13-40")</f>
        <v>01-61-13-40</v>
      </c>
      <c r="B2495" s="36" t="str">
        <f>IFERROR(__xludf.DUMMYFUNCTION("""COMPUTED_VALUE"""),"")</f>
        <v/>
      </c>
      <c r="C2495" s="36" t="str">
        <f>IFERROR(__xludf.DUMMYFUNCTION("""COMPUTED_VALUE"""),"")</f>
        <v/>
      </c>
      <c r="D2495" s="36" t="str">
        <f>IFERROR(__xludf.DUMMYFUNCTION("""COMPUTED_VALUE"""),"")</f>
        <v/>
      </c>
      <c r="E2495" s="36" t="str">
        <f>IFERROR(__xludf.DUMMYFUNCTION("""COMPUTED_VALUE"""),"03-52-10-23A")</f>
        <v>03-52-10-23A</v>
      </c>
      <c r="F2495" s="36"/>
      <c r="G2495" s="36" t="str">
        <f>IFERROR(__xludf.DUMMYFUNCTION("""COMPUTED_VALUE"""),"Ruta 20 e Hipólito Yrigoyen Sur")</f>
        <v>Ruta 20 e Hipólito Yrigoyen Sur</v>
      </c>
      <c r="H2495" s="36" t="str">
        <f>IFERROR(__xludf.DUMMYFUNCTION("""COMPUTED_VALUE"""),"")</f>
        <v/>
      </c>
    </row>
    <row r="2496">
      <c r="A2496" s="36" t="str">
        <f>IFERROR(__xludf.DUMMYFUNCTION("""COMPUTED_VALUE"""),"01-61-13-55A")</f>
        <v>01-61-13-55A</v>
      </c>
      <c r="B2496" s="36" t="str">
        <f>IFERROR(__xludf.DUMMYFUNCTION("""COMPUTED_VALUE"""),"")</f>
        <v/>
      </c>
      <c r="C2496" s="36" t="str">
        <f>IFERROR(__xludf.DUMMYFUNCTION("""COMPUTED_VALUE"""),"")</f>
        <v/>
      </c>
      <c r="D2496" s="36" t="str">
        <f>IFERROR(__xludf.DUMMYFUNCTION("""COMPUTED_VALUE"""),"")</f>
        <v/>
      </c>
      <c r="E2496" s="36" t="str">
        <f>IFERROR(__xludf.DUMMYFUNCTION("""COMPUTED_VALUE"""),"03-46-10-21")</f>
        <v>03-46-10-21</v>
      </c>
      <c r="F2496" s="36"/>
      <c r="G2496" s="36" t="str">
        <f>IFERROR(__xludf.DUMMYFUNCTION("""COMPUTED_VALUE"""),"Ruta 20 y 21 de Febrero Norte")</f>
        <v>Ruta 20 y 21 de Febrero Norte</v>
      </c>
      <c r="H2496" s="36" t="str">
        <f>IFERROR(__xludf.DUMMYFUNCTION("""COMPUTED_VALUE"""),"")</f>
        <v/>
      </c>
    </row>
    <row r="2497">
      <c r="A2497" s="36" t="str">
        <f>IFERROR(__xludf.DUMMYFUNCTION("""COMPUTED_VALUE"""),"01-61-13-62")</f>
        <v>01-61-13-62</v>
      </c>
      <c r="B2497" s="36" t="str">
        <f>IFERROR(__xludf.DUMMYFUNCTION("""COMPUTED_VALUE"""),"")</f>
        <v/>
      </c>
      <c r="C2497" s="36" t="str">
        <f>IFERROR(__xludf.DUMMYFUNCTION("""COMPUTED_VALUE"""),"")</f>
        <v/>
      </c>
      <c r="D2497" s="36" t="str">
        <f>IFERROR(__xludf.DUMMYFUNCTION("""COMPUTED_VALUE"""),"")</f>
        <v/>
      </c>
      <c r="E2497" s="36" t="str">
        <f>IFERROR(__xludf.DUMMYFUNCTION("""COMPUTED_VALUE"""),"03-46-10-20")</f>
        <v>03-46-10-20</v>
      </c>
      <c r="F2497" s="36"/>
      <c r="G2497" s="36" t="str">
        <f>IFERROR(__xludf.DUMMYFUNCTION("""COMPUTED_VALUE"""),"Ruta 20 y 21 de Febrero Sur")</f>
        <v>Ruta 20 y 21 de Febrero Sur</v>
      </c>
      <c r="H2497" s="36" t="str">
        <f>IFERROR(__xludf.DUMMYFUNCTION("""COMPUTED_VALUE"""),"")</f>
        <v/>
      </c>
    </row>
    <row r="2498">
      <c r="A2498" s="36" t="str">
        <f>IFERROR(__xludf.DUMMYFUNCTION("""COMPUTED_VALUE"""),"01-61-13-64")</f>
        <v>01-61-13-64</v>
      </c>
      <c r="B2498" s="36" t="str">
        <f>IFERROR(__xludf.DUMMYFUNCTION("""COMPUTED_VALUE"""),"")</f>
        <v/>
      </c>
      <c r="C2498" s="36" t="str">
        <f>IFERROR(__xludf.DUMMYFUNCTION("""COMPUTED_VALUE"""),"")</f>
        <v/>
      </c>
      <c r="D2498" s="36" t="str">
        <f>IFERROR(__xludf.DUMMYFUNCTION("""COMPUTED_VALUE"""),"")</f>
        <v/>
      </c>
      <c r="E2498" s="36" t="str">
        <f>IFERROR(__xludf.DUMMYFUNCTION("""COMPUTED_VALUE"""),"03-47-10-12")</f>
        <v>03-47-10-12</v>
      </c>
      <c r="F2498" s="36"/>
      <c r="G2498" s="36" t="str">
        <f>IFERROR(__xludf.DUMMYFUNCTION("""COMPUTED_VALUE"""),"Ruta 20 y Acceso Este Norte")</f>
        <v>Ruta 20 y Acceso Este Norte</v>
      </c>
      <c r="H2498" s="36" t="str">
        <f>IFERROR(__xludf.DUMMYFUNCTION("""COMPUTED_VALUE"""),"")</f>
        <v/>
      </c>
    </row>
    <row r="2499">
      <c r="A2499" s="36" t="str">
        <f>IFERROR(__xludf.DUMMYFUNCTION("""COMPUTED_VALUE"""),"01-62-13-190")</f>
        <v>01-62-13-190</v>
      </c>
      <c r="B2499" s="36" t="str">
        <f>IFERROR(__xludf.DUMMYFUNCTION("""COMPUTED_VALUE"""),"")</f>
        <v/>
      </c>
      <c r="C2499" s="36" t="str">
        <f>IFERROR(__xludf.DUMMYFUNCTION("""COMPUTED_VALUE"""),"")</f>
        <v/>
      </c>
      <c r="D2499" s="36" t="str">
        <f>IFERROR(__xludf.DUMMYFUNCTION("""COMPUTED_VALUE"""),"")</f>
        <v/>
      </c>
      <c r="E2499" s="36" t="str">
        <f>IFERROR(__xludf.DUMMYFUNCTION("""COMPUTED_VALUE"""),"03-47-10-12A")</f>
        <v>03-47-10-12A</v>
      </c>
      <c r="F2499" s="36"/>
      <c r="G2499" s="36" t="str">
        <f>IFERROR(__xludf.DUMMYFUNCTION("""COMPUTED_VALUE"""),"Ruta 20 y Acceso Este Sur")</f>
        <v>Ruta 20 y Acceso Este Sur</v>
      </c>
      <c r="H2499" s="36" t="str">
        <f>IFERROR(__xludf.DUMMYFUNCTION("""COMPUTED_VALUE"""),"")</f>
        <v/>
      </c>
    </row>
    <row r="2500">
      <c r="A2500" s="36" t="str">
        <f>IFERROR(__xludf.DUMMYFUNCTION("""COMPUTED_VALUE"""),"01-62-13-191")</f>
        <v>01-62-13-191</v>
      </c>
      <c r="B2500" s="36" t="str">
        <f>IFERROR(__xludf.DUMMYFUNCTION("""COMPUTED_VALUE"""),"")</f>
        <v/>
      </c>
      <c r="C2500" s="36" t="str">
        <f>IFERROR(__xludf.DUMMYFUNCTION("""COMPUTED_VALUE"""),"")</f>
        <v/>
      </c>
      <c r="D2500" s="36" t="str">
        <f>IFERROR(__xludf.DUMMYFUNCTION("""COMPUTED_VALUE"""),"")</f>
        <v/>
      </c>
      <c r="E2500" s="36" t="str">
        <f>IFERROR(__xludf.DUMMYFUNCTION("""COMPUTED_VALUE"""),"03-50-10-18A")</f>
        <v>03-50-10-18A</v>
      </c>
      <c r="F2500" s="36"/>
      <c r="G2500" s="36" t="str">
        <f>IFERROR(__xludf.DUMMYFUNCTION("""COMPUTED_VALUE"""),"Ruta 20 y Callejón Herrera Norte")</f>
        <v>Ruta 20 y Callejón Herrera Norte</v>
      </c>
      <c r="H2500" s="36" t="str">
        <f>IFERROR(__xludf.DUMMYFUNCTION("""COMPUTED_VALUE"""),"")</f>
        <v/>
      </c>
    </row>
    <row r="2501">
      <c r="A2501" s="36" t="str">
        <f>IFERROR(__xludf.DUMMYFUNCTION("""COMPUTED_VALUE"""),"01-62-13-231")</f>
        <v>01-62-13-231</v>
      </c>
      <c r="B2501" s="36" t="str">
        <f>IFERROR(__xludf.DUMMYFUNCTION("""COMPUTED_VALUE"""),"")</f>
        <v/>
      </c>
      <c r="C2501" s="36" t="str">
        <f>IFERROR(__xludf.DUMMYFUNCTION("""COMPUTED_VALUE"""),"")</f>
        <v/>
      </c>
      <c r="D2501" s="36" t="str">
        <f>IFERROR(__xludf.DUMMYFUNCTION("""COMPUTED_VALUE"""),"")</f>
        <v/>
      </c>
      <c r="E2501" s="36" t="str">
        <f>IFERROR(__xludf.DUMMYFUNCTION("""COMPUTED_VALUE"""),"03-52-10-18")</f>
        <v>03-52-10-18</v>
      </c>
      <c r="F2501" s="36"/>
      <c r="G2501" s="36" t="str">
        <f>IFERROR(__xludf.DUMMYFUNCTION("""COMPUTED_VALUE"""),"Ruta 20 y Callejón Herrera Sur")</f>
        <v>Ruta 20 y Callejón Herrera Sur</v>
      </c>
      <c r="H2501" s="36" t="str">
        <f>IFERROR(__xludf.DUMMYFUNCTION("""COMPUTED_VALUE"""),"")</f>
        <v/>
      </c>
    </row>
    <row r="2502">
      <c r="A2502" s="36" t="str">
        <f>IFERROR(__xludf.DUMMYFUNCTION("""COMPUTED_VALUE"""),"01-62-13-232")</f>
        <v>01-62-13-232</v>
      </c>
      <c r="B2502" s="36" t="str">
        <f>IFERROR(__xludf.DUMMYFUNCTION("""COMPUTED_VALUE"""),"")</f>
        <v/>
      </c>
      <c r="C2502" s="36" t="str">
        <f>IFERROR(__xludf.DUMMYFUNCTION("""COMPUTED_VALUE"""),"")</f>
        <v/>
      </c>
      <c r="D2502" s="36" t="str">
        <f>IFERROR(__xludf.DUMMYFUNCTION("""COMPUTED_VALUE"""),"")</f>
        <v/>
      </c>
      <c r="E2502" s="36" t="str">
        <f>IFERROR(__xludf.DUMMYFUNCTION("""COMPUTED_VALUE"""),"02-34-11-10")</f>
        <v>02-34-11-10</v>
      </c>
      <c r="F2502" s="36"/>
      <c r="G2502" s="36" t="str">
        <f>IFERROR(__xludf.DUMMYFUNCTION("""COMPUTED_VALUE"""),"Ruta 20 y Comercio")</f>
        <v>Ruta 20 y Comercio</v>
      </c>
      <c r="H2502" s="36" t="str">
        <f>IFERROR(__xludf.DUMMYFUNCTION("""COMPUTED_VALUE"""),"")</f>
        <v/>
      </c>
    </row>
    <row r="2503">
      <c r="A2503" s="36" t="str">
        <f>IFERROR(__xludf.DUMMYFUNCTION("""COMPUTED_VALUE"""),"01-62-13-233")</f>
        <v>01-62-13-233</v>
      </c>
      <c r="B2503" s="36" t="str">
        <f>IFERROR(__xludf.DUMMYFUNCTION("""COMPUTED_VALUE"""),"")</f>
        <v/>
      </c>
      <c r="C2503" s="36" t="str">
        <f>IFERROR(__xludf.DUMMYFUNCTION("""COMPUTED_VALUE"""),"")</f>
        <v/>
      </c>
      <c r="D2503" s="36" t="str">
        <f>IFERROR(__xludf.DUMMYFUNCTION("""COMPUTED_VALUE"""),"")</f>
        <v/>
      </c>
      <c r="E2503" s="36" t="str">
        <f>IFERROR(__xludf.DUMMYFUNCTION("""COMPUTED_VALUE"""),"03-48-10-3")</f>
        <v>03-48-10-3</v>
      </c>
      <c r="F2503" s="36"/>
      <c r="G2503" s="36" t="str">
        <f>IFERROR(__xludf.DUMMYFUNCTION("""COMPUTED_VALUE"""),"Ruta 20 y Corvalán Este")</f>
        <v>Ruta 20 y Corvalán Este</v>
      </c>
      <c r="H2503" s="36" t="str">
        <f>IFERROR(__xludf.DUMMYFUNCTION("""COMPUTED_VALUE"""),"")</f>
        <v/>
      </c>
    </row>
    <row r="2504">
      <c r="A2504" s="36" t="str">
        <f>IFERROR(__xludf.DUMMYFUNCTION("""COMPUTED_VALUE"""),"01-62-13-234")</f>
        <v>01-62-13-234</v>
      </c>
      <c r="B2504" s="36" t="str">
        <f>IFERROR(__xludf.DUMMYFUNCTION("""COMPUTED_VALUE"""),"")</f>
        <v/>
      </c>
      <c r="C2504" s="36" t="str">
        <f>IFERROR(__xludf.DUMMYFUNCTION("""COMPUTED_VALUE"""),"")</f>
        <v/>
      </c>
      <c r="D2504" s="36" t="str">
        <f>IFERROR(__xludf.DUMMYFUNCTION("""COMPUTED_VALUE"""),"")</f>
        <v/>
      </c>
      <c r="E2504" s="36" t="str">
        <f>IFERROR(__xludf.DUMMYFUNCTION("""COMPUTED_VALUE"""),"03-48-10-3A")</f>
        <v>03-48-10-3A</v>
      </c>
      <c r="F2504" s="36"/>
      <c r="G2504" s="36" t="str">
        <f>IFERROR(__xludf.DUMMYFUNCTION("""COMPUTED_VALUE"""),"Ruta 20 y Corvalán Oeste")</f>
        <v>Ruta 20 y Corvalán Oeste</v>
      </c>
      <c r="H2504" s="36" t="str">
        <f>IFERROR(__xludf.DUMMYFUNCTION("""COMPUTED_VALUE"""),"")</f>
        <v/>
      </c>
    </row>
    <row r="2505">
      <c r="A2505" s="36" t="str">
        <f>IFERROR(__xludf.DUMMYFUNCTION("""COMPUTED_VALUE"""),"01-62-13-235")</f>
        <v>01-62-13-235</v>
      </c>
      <c r="B2505" s="36" t="str">
        <f>IFERROR(__xludf.DUMMYFUNCTION("""COMPUTED_VALUE"""),"")</f>
        <v/>
      </c>
      <c r="C2505" s="36" t="str">
        <f>IFERROR(__xludf.DUMMYFUNCTION("""COMPUTED_VALUE"""),"")</f>
        <v/>
      </c>
      <c r="D2505" s="36" t="str">
        <f>IFERROR(__xludf.DUMMYFUNCTION("""COMPUTED_VALUE"""),"")</f>
        <v/>
      </c>
      <c r="E2505" s="36" t="str">
        <f>IFERROR(__xludf.DUMMYFUNCTION("""COMPUTED_VALUE"""),"03-48-10-4")</f>
        <v>03-48-10-4</v>
      </c>
      <c r="F2505" s="36"/>
      <c r="G2505" s="36" t="str">
        <f>IFERROR(__xludf.DUMMYFUNCTION("""COMPUTED_VALUE"""),"Ruta 20 y el Jacarandá Este")</f>
        <v>Ruta 20 y el Jacarandá Este</v>
      </c>
      <c r="H2505" s="36" t="str">
        <f>IFERROR(__xludf.DUMMYFUNCTION("""COMPUTED_VALUE"""),"")</f>
        <v/>
      </c>
    </row>
    <row r="2506">
      <c r="A2506" s="36" t="str">
        <f>IFERROR(__xludf.DUMMYFUNCTION("""COMPUTED_VALUE"""),"01-62-13-236")</f>
        <v>01-62-13-236</v>
      </c>
      <c r="B2506" s="36" t="str">
        <f>IFERROR(__xludf.DUMMYFUNCTION("""COMPUTED_VALUE"""),"")</f>
        <v/>
      </c>
      <c r="C2506" s="36" t="str">
        <f>IFERROR(__xludf.DUMMYFUNCTION("""COMPUTED_VALUE"""),"")</f>
        <v/>
      </c>
      <c r="D2506" s="36" t="str">
        <f>IFERROR(__xludf.DUMMYFUNCTION("""COMPUTED_VALUE"""),"")</f>
        <v/>
      </c>
      <c r="E2506" s="36" t="str">
        <f>IFERROR(__xludf.DUMMYFUNCTION("""COMPUTED_VALUE"""),"03-48-10-4A")</f>
        <v>03-48-10-4A</v>
      </c>
      <c r="F2506" s="36"/>
      <c r="G2506" s="36" t="str">
        <f>IFERROR(__xludf.DUMMYFUNCTION("""COMPUTED_VALUE"""),"Ruta 20 y el Jacarandá Oeste")</f>
        <v>Ruta 20 y el Jacarandá Oeste</v>
      </c>
      <c r="H2506" s="36" t="str">
        <f>IFERROR(__xludf.DUMMYFUNCTION("""COMPUTED_VALUE"""),"")</f>
        <v/>
      </c>
    </row>
    <row r="2507">
      <c r="A2507" s="36" t="str">
        <f>IFERROR(__xludf.DUMMYFUNCTION("""COMPUTED_VALUE"""),"01-62-13-237")</f>
        <v>01-62-13-237</v>
      </c>
      <c r="B2507" s="36" t="str">
        <f>IFERROR(__xludf.DUMMYFUNCTION("""COMPUTED_VALUE"""),"")</f>
        <v/>
      </c>
      <c r="C2507" s="36" t="str">
        <f>IFERROR(__xludf.DUMMYFUNCTION("""COMPUTED_VALUE"""),"")</f>
        <v/>
      </c>
      <c r="D2507" s="36" t="str">
        <f>IFERROR(__xludf.DUMMYFUNCTION("""COMPUTED_VALUE"""),"")</f>
        <v/>
      </c>
      <c r="E2507" s="36" t="str">
        <f>IFERROR(__xludf.DUMMYFUNCTION("""COMPUTED_VALUE"""),"03-47-10-9A")</f>
        <v>03-47-10-9A</v>
      </c>
      <c r="F2507" s="36"/>
      <c r="G2507" s="36" t="str">
        <f>IFERROR(__xludf.DUMMYFUNCTION("""COMPUTED_VALUE"""),"Ruta 20 y Gral Roca Norte")</f>
        <v>Ruta 20 y Gral Roca Norte</v>
      </c>
      <c r="H2507" s="36" t="str">
        <f>IFERROR(__xludf.DUMMYFUNCTION("""COMPUTED_VALUE"""),"")</f>
        <v/>
      </c>
    </row>
    <row r="2508">
      <c r="A2508" s="36" t="str">
        <f>IFERROR(__xludf.DUMMYFUNCTION("""COMPUTED_VALUE"""),"01-62-13-238")</f>
        <v>01-62-13-238</v>
      </c>
      <c r="B2508" s="36" t="str">
        <f>IFERROR(__xludf.DUMMYFUNCTION("""COMPUTED_VALUE"""),"")</f>
        <v/>
      </c>
      <c r="C2508" s="36" t="str">
        <f>IFERROR(__xludf.DUMMYFUNCTION("""COMPUTED_VALUE"""),"")</f>
        <v/>
      </c>
      <c r="D2508" s="36" t="str">
        <f>IFERROR(__xludf.DUMMYFUNCTION("""COMPUTED_VALUE"""),"")</f>
        <v/>
      </c>
      <c r="E2508" s="36" t="str">
        <f>IFERROR(__xludf.DUMMYFUNCTION("""COMPUTED_VALUE"""),"03-48-10-9")</f>
        <v>03-48-10-9</v>
      </c>
      <c r="F2508" s="36"/>
      <c r="G2508" s="36" t="str">
        <f>IFERROR(__xludf.DUMMYFUNCTION("""COMPUTED_VALUE"""),"Ruta 20 y Gral Roca Sur")</f>
        <v>Ruta 20 y Gral Roca Sur</v>
      </c>
      <c r="H2508" s="36" t="str">
        <f>IFERROR(__xludf.DUMMYFUNCTION("""COMPUTED_VALUE"""),"")</f>
        <v/>
      </c>
    </row>
    <row r="2509">
      <c r="A2509" s="36" t="str">
        <f>IFERROR(__xludf.DUMMYFUNCTION("""COMPUTED_VALUE"""),"01-62-13-247")</f>
        <v>01-62-13-247</v>
      </c>
      <c r="B2509" s="36" t="str">
        <f>IFERROR(__xludf.DUMMYFUNCTION("""COMPUTED_VALUE"""),"")</f>
        <v/>
      </c>
      <c r="C2509" s="36" t="str">
        <f>IFERROR(__xludf.DUMMYFUNCTION("""COMPUTED_VALUE"""),"")</f>
        <v/>
      </c>
      <c r="D2509" s="36" t="str">
        <f>IFERROR(__xludf.DUMMYFUNCTION("""COMPUTED_VALUE"""),"")</f>
        <v/>
      </c>
      <c r="E2509" s="36" t="str">
        <f>IFERROR(__xludf.DUMMYFUNCTION("""COMPUTED_VALUE"""),"02-34-11-8")</f>
        <v>02-34-11-8</v>
      </c>
      <c r="F2509" s="36"/>
      <c r="G2509" s="36" t="str">
        <f>IFERROR(__xludf.DUMMYFUNCTION("""COMPUTED_VALUE"""),"Ruta 20 y Gral. Roca")</f>
        <v>Ruta 20 y Gral. Roca</v>
      </c>
      <c r="H2509" s="36" t="str">
        <f>IFERROR(__xludf.DUMMYFUNCTION("""COMPUTED_VALUE"""),"")</f>
        <v/>
      </c>
    </row>
    <row r="2510">
      <c r="A2510" s="36" t="str">
        <f>IFERROR(__xludf.DUMMYFUNCTION("""COMPUTED_VALUE"""),"01-62-13-249")</f>
        <v>01-62-13-249</v>
      </c>
      <c r="B2510" s="36" t="str">
        <f>IFERROR(__xludf.DUMMYFUNCTION("""COMPUTED_VALUE"""),"")</f>
        <v/>
      </c>
      <c r="C2510" s="36" t="str">
        <f>IFERROR(__xludf.DUMMYFUNCTION("""COMPUTED_VALUE"""),"")</f>
        <v/>
      </c>
      <c r="D2510" s="36" t="str">
        <f>IFERROR(__xludf.DUMMYFUNCTION("""COMPUTED_VALUE"""),"ERROR DE ID")</f>
        <v>ERROR DE ID</v>
      </c>
      <c r="E2510" s="36" t="str">
        <f>IFERROR(__xludf.DUMMYFUNCTION("""COMPUTED_VALUE"""),"09-24-10-24B")</f>
        <v>09-24-10-24B</v>
      </c>
      <c r="F2510" s="36"/>
      <c r="G2510" s="36" t="str">
        <f>IFERROR(__xludf.DUMMYFUNCTION("""COMPUTED_VALUE"""),"Ruta 20 y Juan Díaz de Solís ")</f>
        <v>Ruta 20 y Juan Díaz de Solís </v>
      </c>
      <c r="H2510" s="36" t="str">
        <f>IFERROR(__xludf.DUMMYFUNCTION("""COMPUTED_VALUE"""),"")</f>
        <v/>
      </c>
    </row>
    <row r="2511">
      <c r="A2511" s="36" t="str">
        <f>IFERROR(__xludf.DUMMYFUNCTION("""COMPUTED_VALUE"""),"01-62-13-249")</f>
        <v>01-62-13-249</v>
      </c>
      <c r="B2511" s="36" t="str">
        <f>IFERROR(__xludf.DUMMYFUNCTION("""COMPUTED_VALUE"""),"")</f>
        <v/>
      </c>
      <c r="C2511" s="36" t="str">
        <f>IFERROR(__xludf.DUMMYFUNCTION("""COMPUTED_VALUE"""),"")</f>
        <v/>
      </c>
      <c r="D2511" s="36" t="str">
        <f>IFERROR(__xludf.DUMMYFUNCTION("""COMPUTED_VALUE"""),"")</f>
        <v/>
      </c>
      <c r="E2511" s="36" t="str">
        <f>IFERROR(__xludf.DUMMYFUNCTION("""COMPUTED_VALUE"""),"03-50-10-22B")</f>
        <v>03-50-10-22B</v>
      </c>
      <c r="F2511" s="36"/>
      <c r="G2511" s="36" t="str">
        <f>IFERROR(__xludf.DUMMYFUNCTION("""COMPUTED_VALUE"""),"Ruta 20 y La Legua Norte")</f>
        <v>Ruta 20 y La Legua Norte</v>
      </c>
      <c r="H2511" s="36" t="str">
        <f>IFERROR(__xludf.DUMMYFUNCTION("""COMPUTED_VALUE"""),"")</f>
        <v/>
      </c>
    </row>
    <row r="2512">
      <c r="A2512" s="36" t="str">
        <f>IFERROR(__xludf.DUMMYFUNCTION("""COMPUTED_VALUE"""),"01-62-13-250")</f>
        <v>01-62-13-250</v>
      </c>
      <c r="B2512" s="36" t="str">
        <f>IFERROR(__xludf.DUMMYFUNCTION("""COMPUTED_VALUE"""),"")</f>
        <v/>
      </c>
      <c r="C2512" s="36" t="str">
        <f>IFERROR(__xludf.DUMMYFUNCTION("""COMPUTED_VALUE"""),"")</f>
        <v/>
      </c>
      <c r="D2512" s="36" t="str">
        <f>IFERROR(__xludf.DUMMYFUNCTION("""COMPUTED_VALUE"""),"ERROR DE ID")</f>
        <v>ERROR DE ID</v>
      </c>
      <c r="E2512" s="36" t="str">
        <f>IFERROR(__xludf.DUMMYFUNCTION("""COMPUTED_VALUE"""),"03-52-10-22A")</f>
        <v>03-52-10-22A</v>
      </c>
      <c r="F2512" s="36"/>
      <c r="G2512" s="36" t="str">
        <f>IFERROR(__xludf.DUMMYFUNCTION("""COMPUTED_VALUE"""),"Ruta 20 y La Legua Sur")</f>
        <v>Ruta 20 y La Legua Sur</v>
      </c>
      <c r="H2512" s="36" t="str">
        <f>IFERROR(__xludf.DUMMYFUNCTION("""COMPUTED_VALUE"""),"")</f>
        <v/>
      </c>
    </row>
    <row r="2513">
      <c r="A2513" s="36" t="str">
        <f>IFERROR(__xludf.DUMMYFUNCTION("""COMPUTED_VALUE"""),"01-62-13-250")</f>
        <v>01-62-13-250</v>
      </c>
      <c r="B2513" s="36" t="str">
        <f>IFERROR(__xludf.DUMMYFUNCTION("""COMPUTED_VALUE"""),"")</f>
        <v/>
      </c>
      <c r="C2513" s="36" t="str">
        <f>IFERROR(__xludf.DUMMYFUNCTION("""COMPUTED_VALUE"""),"")</f>
        <v/>
      </c>
      <c r="D2513" s="36" t="str">
        <f>IFERROR(__xludf.DUMMYFUNCTION("""COMPUTED_VALUE"""),"")</f>
        <v/>
      </c>
      <c r="E2513" s="36" t="str">
        <f>IFERROR(__xludf.DUMMYFUNCTION("""COMPUTED_VALUE"""),"03-47-10-11")</f>
        <v>03-47-10-11</v>
      </c>
      <c r="F2513" s="36"/>
      <c r="G2513" s="36" t="str">
        <f>IFERROR(__xludf.DUMMYFUNCTION("""COMPUTED_VALUE"""),"Ruta 20 y Lencinas Norte")</f>
        <v>Ruta 20 y Lencinas Norte</v>
      </c>
      <c r="H2513" s="36" t="str">
        <f>IFERROR(__xludf.DUMMYFUNCTION("""COMPUTED_VALUE"""),"")</f>
        <v/>
      </c>
    </row>
    <row r="2514">
      <c r="A2514" s="36" t="str">
        <f>IFERROR(__xludf.DUMMYFUNCTION("""COMPUTED_VALUE"""),"01-62-13-251")</f>
        <v>01-62-13-251</v>
      </c>
      <c r="B2514" s="36" t="str">
        <f>IFERROR(__xludf.DUMMYFUNCTION("""COMPUTED_VALUE"""),"")</f>
        <v/>
      </c>
      <c r="C2514" s="36" t="str">
        <f>IFERROR(__xludf.DUMMYFUNCTION("""COMPUTED_VALUE"""),"")</f>
        <v/>
      </c>
      <c r="D2514" s="36" t="str">
        <f>IFERROR(__xludf.DUMMYFUNCTION("""COMPUTED_VALUE"""),"ERROR DE ID")</f>
        <v>ERROR DE ID</v>
      </c>
      <c r="E2514" s="36" t="str">
        <f>IFERROR(__xludf.DUMMYFUNCTION("""COMPUTED_VALUE"""),"03-47-10-11A")</f>
        <v>03-47-10-11A</v>
      </c>
      <c r="F2514" s="36"/>
      <c r="G2514" s="36" t="str">
        <f>IFERROR(__xludf.DUMMYFUNCTION("""COMPUTED_VALUE"""),"Ruta 20 y Lencinas Sur")</f>
        <v>Ruta 20 y Lencinas Sur</v>
      </c>
      <c r="H2514" s="36" t="str">
        <f>IFERROR(__xludf.DUMMYFUNCTION("""COMPUTED_VALUE"""),"")</f>
        <v/>
      </c>
    </row>
    <row r="2515">
      <c r="A2515" s="36" t="str">
        <f>IFERROR(__xludf.DUMMYFUNCTION("""COMPUTED_VALUE"""),"01-62-13-251")</f>
        <v>01-62-13-251</v>
      </c>
      <c r="B2515" s="36" t="str">
        <f>IFERROR(__xludf.DUMMYFUNCTION("""COMPUTED_VALUE"""),"")</f>
        <v/>
      </c>
      <c r="C2515" s="36" t="str">
        <f>IFERROR(__xludf.DUMMYFUNCTION("""COMPUTED_VALUE"""),"")</f>
        <v/>
      </c>
      <c r="D2515" s="36" t="str">
        <f>IFERROR(__xludf.DUMMYFUNCTION("""COMPUTED_VALUE"""),"")</f>
        <v/>
      </c>
      <c r="E2515" s="36" t="str">
        <f>IFERROR(__xludf.DUMMYFUNCTION("""COMPUTED_VALUE"""),"03-47-10-10")</f>
        <v>03-47-10-10</v>
      </c>
      <c r="F2515" s="36"/>
      <c r="G2515" s="36" t="str">
        <f>IFERROR(__xludf.DUMMYFUNCTION("""COMPUTED_VALUE"""),"Ruta 20 y Marmolería Norte")</f>
        <v>Ruta 20 y Marmolería Norte</v>
      </c>
      <c r="H2515" s="36" t="str">
        <f>IFERROR(__xludf.DUMMYFUNCTION("""COMPUTED_VALUE"""),"")</f>
        <v/>
      </c>
    </row>
    <row r="2516">
      <c r="A2516" s="36" t="str">
        <f>IFERROR(__xludf.DUMMYFUNCTION("""COMPUTED_VALUE"""),"01-62-13-252")</f>
        <v>01-62-13-252</v>
      </c>
      <c r="B2516" s="36" t="str">
        <f>IFERROR(__xludf.DUMMYFUNCTION("""COMPUTED_VALUE"""),"")</f>
        <v/>
      </c>
      <c r="C2516" s="36" t="str">
        <f>IFERROR(__xludf.DUMMYFUNCTION("""COMPUTED_VALUE"""),"")</f>
        <v/>
      </c>
      <c r="D2516" s="36" t="str">
        <f>IFERROR(__xludf.DUMMYFUNCTION("""COMPUTED_VALUE"""),"ERROR DE ID")</f>
        <v>ERROR DE ID</v>
      </c>
      <c r="E2516" s="36" t="str">
        <f>IFERROR(__xludf.DUMMYFUNCTION("""COMPUTED_VALUE"""),"03-47-10-10A")</f>
        <v>03-47-10-10A</v>
      </c>
      <c r="F2516" s="36"/>
      <c r="G2516" s="36" t="str">
        <f>IFERROR(__xludf.DUMMYFUNCTION("""COMPUTED_VALUE"""),"Ruta 20 y Marmolería Sur")</f>
        <v>Ruta 20 y Marmolería Sur</v>
      </c>
      <c r="H2516" s="36" t="str">
        <f>IFERROR(__xludf.DUMMYFUNCTION("""COMPUTED_VALUE"""),"")</f>
        <v/>
      </c>
    </row>
    <row r="2517">
      <c r="A2517" s="36" t="str">
        <f>IFERROR(__xludf.DUMMYFUNCTION("""COMPUTED_VALUE"""),"01-62-13-252")</f>
        <v>01-62-13-252</v>
      </c>
      <c r="B2517" s="36" t="str">
        <f>IFERROR(__xludf.DUMMYFUNCTION("""COMPUTED_VALUE"""),"")</f>
        <v/>
      </c>
      <c r="C2517" s="36" t="str">
        <f>IFERROR(__xludf.DUMMYFUNCTION("""COMPUTED_VALUE"""),"")</f>
        <v/>
      </c>
      <c r="D2517" s="36" t="str">
        <f>IFERROR(__xludf.DUMMYFUNCTION("""COMPUTED_VALUE"""),"")</f>
        <v/>
      </c>
      <c r="E2517" s="36" t="str">
        <f>IFERROR(__xludf.DUMMYFUNCTION("""COMPUTED_VALUE"""),"02-34-11-7")</f>
        <v>02-34-11-7</v>
      </c>
      <c r="F2517" s="36"/>
      <c r="G2517" s="36" t="str">
        <f>IFERROR(__xludf.DUMMYFUNCTION("""COMPUTED_VALUE"""),"Ruta 20 y Morón")</f>
        <v>Ruta 20 y Morón</v>
      </c>
      <c r="H2517" s="36" t="str">
        <f>IFERROR(__xludf.DUMMYFUNCTION("""COMPUTED_VALUE"""),"")</f>
        <v/>
      </c>
    </row>
    <row r="2518">
      <c r="A2518" s="36" t="str">
        <f>IFERROR(__xludf.DUMMYFUNCTION("""COMPUTED_VALUE"""),"01-62-13-253")</f>
        <v>01-62-13-253</v>
      </c>
      <c r="B2518" s="36" t="str">
        <f>IFERROR(__xludf.DUMMYFUNCTION("""COMPUTED_VALUE"""),"")</f>
        <v/>
      </c>
      <c r="C2518" s="36" t="str">
        <f>IFERROR(__xludf.DUMMYFUNCTION("""COMPUTED_VALUE"""),"")</f>
        <v/>
      </c>
      <c r="D2518" s="36" t="str">
        <f>IFERROR(__xludf.DUMMYFUNCTION("""COMPUTED_VALUE"""),"ERROR DE ID")</f>
        <v>ERROR DE ID</v>
      </c>
      <c r="E2518" s="36" t="str">
        <f>IFERROR(__xludf.DUMMYFUNCTION("""COMPUTED_VALUE"""),"02-34-11-9")</f>
        <v>02-34-11-9</v>
      </c>
      <c r="F2518" s="36"/>
      <c r="G2518" s="36" t="str">
        <f>IFERROR(__xludf.DUMMYFUNCTION("""COMPUTED_VALUE"""),"Ruta 20 y Stgo. del Estero")</f>
        <v>Ruta 20 y Stgo. del Estero</v>
      </c>
      <c r="H2518" s="36" t="str">
        <f>IFERROR(__xludf.DUMMYFUNCTION("""COMPUTED_VALUE"""),"")</f>
        <v/>
      </c>
    </row>
    <row r="2519">
      <c r="A2519" s="36" t="str">
        <f>IFERROR(__xludf.DUMMYFUNCTION("""COMPUTED_VALUE"""),"01-62-13-253")</f>
        <v>01-62-13-253</v>
      </c>
      <c r="B2519" s="36" t="str">
        <f>IFERROR(__xludf.DUMMYFUNCTION("""COMPUTED_VALUE"""),"")</f>
        <v/>
      </c>
      <c r="C2519" s="36" t="str">
        <f>IFERROR(__xludf.DUMMYFUNCTION("""COMPUTED_VALUE"""),"")</f>
        <v/>
      </c>
      <c r="D2519" s="36" t="str">
        <f>IFERROR(__xludf.DUMMYFUNCTION("""COMPUTED_VALUE"""),"")</f>
        <v/>
      </c>
      <c r="E2519" s="36" t="str">
        <f>IFERROR(__xludf.DUMMYFUNCTION("""COMPUTED_VALUE"""),"01-24-08-143")</f>
        <v>01-24-08-143</v>
      </c>
      <c r="F2519" s="36"/>
      <c r="G2519" s="36" t="str">
        <f>IFERROR(__xludf.DUMMYFUNCTION("""COMPUTED_VALUE"""),"Ruta N.N°40 - Planta Energía San Juan")</f>
        <v>Ruta N.N°40 - Planta Energía San Juan</v>
      </c>
      <c r="H2519" s="36" t="str">
        <f>IFERROR(__xludf.DUMMYFUNCTION("""COMPUTED_VALUE"""),"")</f>
        <v/>
      </c>
    </row>
    <row r="2520">
      <c r="A2520" s="36" t="str">
        <f>IFERROR(__xludf.DUMMYFUNCTION("""COMPUTED_VALUE"""),"01-62-13-261")</f>
        <v>01-62-13-261</v>
      </c>
      <c r="B2520" s="36" t="str">
        <f>IFERROR(__xludf.DUMMYFUNCTION("""COMPUTED_VALUE"""),"")</f>
        <v/>
      </c>
      <c r="C2520" s="36" t="str">
        <f>IFERROR(__xludf.DUMMYFUNCTION("""COMPUTED_VALUE"""),"")</f>
        <v/>
      </c>
      <c r="D2520" s="36" t="str">
        <f>IFERROR(__xludf.DUMMYFUNCTION("""COMPUTED_VALUE"""),"")</f>
        <v/>
      </c>
      <c r="E2520" s="36" t="str">
        <f>IFERROR(__xludf.DUMMYFUNCTION("""COMPUTED_VALUE"""),"01-26-08-140")</f>
        <v>01-26-08-140</v>
      </c>
      <c r="F2520" s="36"/>
      <c r="G2520" s="36" t="str">
        <f>IFERROR(__xludf.DUMMYFUNCTION("""COMPUTED_VALUE"""),"Ruta N.N°40 y Corrientes")</f>
        <v>Ruta N.N°40 y Corrientes</v>
      </c>
      <c r="H2520" s="36" t="str">
        <f>IFERROR(__xludf.DUMMYFUNCTION("""COMPUTED_VALUE"""),"")</f>
        <v/>
      </c>
    </row>
    <row r="2521">
      <c r="A2521" s="36" t="str">
        <f>IFERROR(__xludf.DUMMYFUNCTION("""COMPUTED_VALUE"""),"01-62-13-50")</f>
        <v>01-62-13-50</v>
      </c>
      <c r="B2521" s="36" t="str">
        <f>IFERROR(__xludf.DUMMYFUNCTION("""COMPUTED_VALUE"""),"")</f>
        <v/>
      </c>
      <c r="C2521" s="36" t="str">
        <f>IFERROR(__xludf.DUMMYFUNCTION("""COMPUTED_VALUE"""),"")</f>
        <v/>
      </c>
      <c r="D2521" s="36" t="str">
        <f>IFERROR(__xludf.DUMMYFUNCTION("""COMPUTED_VALUE"""),"")</f>
        <v/>
      </c>
      <c r="E2521" s="36" t="str">
        <f>IFERROR(__xludf.DUMMYFUNCTION("""COMPUTED_VALUE"""),"01-25-08-141")</f>
        <v>01-25-08-141</v>
      </c>
      <c r="F2521" s="36"/>
      <c r="G2521" s="36" t="str">
        <f>IFERROR(__xludf.DUMMYFUNCTION("""COMPUTED_VALUE"""),"Ruta N.N°40 y Gertrudis Funes")</f>
        <v>Ruta N.N°40 y Gertrudis Funes</v>
      </c>
      <c r="H2521" s="36" t="str">
        <f>IFERROR(__xludf.DUMMYFUNCTION("""COMPUTED_VALUE"""),"")</f>
        <v/>
      </c>
    </row>
    <row r="2522">
      <c r="A2522" s="36" t="str">
        <f>IFERROR(__xludf.DUMMYFUNCTION("""COMPUTED_VALUE"""),"01-62-13-60")</f>
        <v>01-62-13-60</v>
      </c>
      <c r="B2522" s="36" t="str">
        <f>IFERROR(__xludf.DUMMYFUNCTION("""COMPUTED_VALUE"""),"")</f>
        <v/>
      </c>
      <c r="C2522" s="36" t="str">
        <f>IFERROR(__xludf.DUMMYFUNCTION("""COMPUTED_VALUE"""),"")</f>
        <v/>
      </c>
      <c r="D2522" s="36" t="str">
        <f>IFERROR(__xludf.DUMMYFUNCTION("""COMPUTED_VALUE"""),"")</f>
        <v/>
      </c>
      <c r="E2522" s="36" t="str">
        <f>IFERROR(__xludf.DUMMYFUNCTION("""COMPUTED_VALUE"""),"01-25-08-142")</f>
        <v>01-25-08-142</v>
      </c>
      <c r="F2522" s="36"/>
      <c r="G2522" s="36" t="str">
        <f>IFERROR(__xludf.DUMMYFUNCTION("""COMPUTED_VALUE"""),"Ruta N.N°40 y Telésfora BenavÍdez")</f>
        <v>Ruta N.N°40 y Telésfora BenavÍdez</v>
      </c>
      <c r="H2522" s="36" t="str">
        <f>IFERROR(__xludf.DUMMYFUNCTION("""COMPUTED_VALUE"""),"")</f>
        <v/>
      </c>
    </row>
    <row r="2523">
      <c r="A2523" s="36" t="str">
        <f>IFERROR(__xludf.DUMMYFUNCTION("""COMPUTED_VALUE"""),"01-62-13-61")</f>
        <v>01-62-13-61</v>
      </c>
      <c r="B2523" s="36" t="str">
        <f>IFERROR(__xludf.DUMMYFUNCTION("""COMPUTED_VALUE"""),"")</f>
        <v/>
      </c>
      <c r="C2523" s="36" t="str">
        <f>IFERROR(__xludf.DUMMYFUNCTION("""COMPUTED_VALUE"""),"")</f>
        <v/>
      </c>
      <c r="D2523" s="36" t="str">
        <f>IFERROR(__xludf.DUMMYFUNCTION("""COMPUTED_VALUE"""),"")</f>
        <v/>
      </c>
      <c r="E2523" s="36" t="str">
        <f>IFERROR(__xludf.DUMMYFUNCTION("""COMPUTED_VALUE"""),"01-26-08-140A")</f>
        <v>01-26-08-140A</v>
      </c>
      <c r="F2523" s="36"/>
      <c r="G2523" s="36" t="str">
        <f>IFERROR(__xludf.DUMMYFUNCTION("""COMPUTED_VALUE"""),"Ruta N.N°40 y Yapeyú")</f>
        <v>Ruta N.N°40 y Yapeyú</v>
      </c>
      <c r="H2523" s="36" t="str">
        <f>IFERROR(__xludf.DUMMYFUNCTION("""COMPUTED_VALUE"""),"")</f>
        <v/>
      </c>
    </row>
    <row r="2524">
      <c r="A2524" s="36" t="str">
        <f>IFERROR(__xludf.DUMMYFUNCTION("""COMPUTED_VALUE"""),"01-64-13-228")</f>
        <v>01-64-13-228</v>
      </c>
      <c r="B2524" s="36" t="str">
        <f>IFERROR(__xludf.DUMMYFUNCTION("""COMPUTED_VALUE"""),"")</f>
        <v/>
      </c>
      <c r="C2524" s="36" t="str">
        <f>IFERROR(__xludf.DUMMYFUNCTION("""COMPUTED_VALUE"""),"")</f>
        <v/>
      </c>
      <c r="D2524" s="36" t="str">
        <f>IFERROR(__xludf.DUMMYFUNCTION("""COMPUTED_VALUE"""),"")</f>
        <v/>
      </c>
      <c r="E2524" s="36" t="str">
        <f>IFERROR(__xludf.DUMMYFUNCTION("""COMPUTED_VALUE"""),"08-38-02-47A")</f>
        <v>08-38-02-47A</v>
      </c>
      <c r="F2524" s="36"/>
      <c r="G2524" s="36" t="str">
        <f>IFERROR(__xludf.DUMMYFUNCTION("""COMPUTED_VALUE"""),"S. M. del Carril y Díaz Vélez")</f>
        <v>S. M. del Carril y Díaz Vélez</v>
      </c>
      <c r="H2524" s="36" t="str">
        <f>IFERROR(__xludf.DUMMYFUNCTION("""COMPUTED_VALUE"""),"")</f>
        <v/>
      </c>
    </row>
    <row r="2525">
      <c r="A2525" s="36" t="str">
        <f>IFERROR(__xludf.DUMMYFUNCTION("""COMPUTED_VALUE"""),"01-64-13-230")</f>
        <v>01-64-13-230</v>
      </c>
      <c r="B2525" s="36" t="str">
        <f>IFERROR(__xludf.DUMMYFUNCTION("""COMPUTED_VALUE"""),"")</f>
        <v/>
      </c>
      <c r="C2525" s="36" t="str">
        <f>IFERROR(__xludf.DUMMYFUNCTION("""COMPUTED_VALUE"""),"")</f>
        <v/>
      </c>
      <c r="D2525" s="36" t="str">
        <f>IFERROR(__xludf.DUMMYFUNCTION("""COMPUTED_VALUE"""),"")</f>
        <v/>
      </c>
      <c r="E2525" s="36" t="str">
        <f>IFERROR(__xludf.DUMMYFUNCTION("""COMPUTED_VALUE"""),"08-38-02-46")</f>
        <v>08-38-02-46</v>
      </c>
      <c r="F2525" s="36"/>
      <c r="G2525" s="36" t="str">
        <f>IFERROR(__xludf.DUMMYFUNCTION("""COMPUTED_VALUE"""),"S. M. del Carril y Maradona")</f>
        <v>S. M. del Carril y Maradona</v>
      </c>
      <c r="H2525" s="36" t="str">
        <f>IFERROR(__xludf.DUMMYFUNCTION("""COMPUTED_VALUE"""),"")</f>
        <v/>
      </c>
    </row>
    <row r="2526">
      <c r="A2526" s="36" t="str">
        <f>IFERROR(__xludf.DUMMYFUNCTION("""COMPUTED_VALUE"""),"01-64-13-248")</f>
        <v>01-64-13-248</v>
      </c>
      <c r="B2526" s="36" t="str">
        <f>IFERROR(__xludf.DUMMYFUNCTION("""COMPUTED_VALUE"""),"")</f>
        <v/>
      </c>
      <c r="C2526" s="36" t="str">
        <f>IFERROR(__xludf.DUMMYFUNCTION("""COMPUTED_VALUE"""),"")</f>
        <v/>
      </c>
      <c r="D2526" s="36" t="str">
        <f>IFERROR(__xludf.DUMMYFUNCTION("""COMPUTED_VALUE"""),"ERROR DE ID")</f>
        <v>ERROR DE ID</v>
      </c>
      <c r="E2526" s="36" t="str">
        <f>IFERROR(__xludf.DUMMYFUNCTION("""COMPUTED_VALUE"""),"08-38-02-47")</f>
        <v>08-38-02-47</v>
      </c>
      <c r="F2526" s="36"/>
      <c r="G2526" s="36" t="str">
        <f>IFERROR(__xludf.DUMMYFUNCTION("""COMPUTED_VALUE"""),"S. M. del Carril y Olmos")</f>
        <v>S. M. del Carril y Olmos</v>
      </c>
      <c r="H2526" s="36" t="str">
        <f>IFERROR(__xludf.DUMMYFUNCTION("""COMPUTED_VALUE"""),"")</f>
        <v/>
      </c>
    </row>
    <row r="2527">
      <c r="A2527" s="36" t="str">
        <f>IFERROR(__xludf.DUMMYFUNCTION("""COMPUTED_VALUE"""),"01-64-13-248")</f>
        <v>01-64-13-248</v>
      </c>
      <c r="B2527" s="36" t="str">
        <f>IFERROR(__xludf.DUMMYFUNCTION("""COMPUTED_VALUE"""),"")</f>
        <v/>
      </c>
      <c r="C2527" s="36" t="str">
        <f>IFERROR(__xludf.DUMMYFUNCTION("""COMPUTED_VALUE"""),"")</f>
        <v/>
      </c>
      <c r="D2527" s="36" t="str">
        <f>IFERROR(__xludf.DUMMYFUNCTION("""COMPUTED_VALUE"""),"")</f>
        <v/>
      </c>
      <c r="E2527" s="36" t="str">
        <f>IFERROR(__xludf.DUMMYFUNCTION("""COMPUTED_VALUE"""),"01-62-13-247")</f>
        <v>01-62-13-247</v>
      </c>
      <c r="F2527" s="36"/>
      <c r="G2527" s="36" t="str">
        <f>IFERROR(__xludf.DUMMYFUNCTION("""COMPUTED_VALUE"""),"S. Sarasa y Lavalle")</f>
        <v>S. Sarasa y Lavalle</v>
      </c>
      <c r="H2527" s="36" t="str">
        <f>IFERROR(__xludf.DUMMYFUNCTION("""COMPUTED_VALUE"""),"")</f>
        <v/>
      </c>
    </row>
    <row r="2528">
      <c r="A2528" s="36" t="str">
        <f>IFERROR(__xludf.DUMMYFUNCTION("""COMPUTED_VALUE"""),"01-64-13-248A")</f>
        <v>01-64-13-248A</v>
      </c>
      <c r="B2528" s="36" t="str">
        <f>IFERROR(__xludf.DUMMYFUNCTION("""COMPUTED_VALUE"""),"")</f>
        <v/>
      </c>
      <c r="C2528" s="36" t="str">
        <f>IFERROR(__xludf.DUMMYFUNCTION("""COMPUTED_VALUE"""),"")</f>
        <v/>
      </c>
      <c r="D2528" s="36" t="str">
        <f>IFERROR(__xludf.DUMMYFUNCTION("""COMPUTED_VALUE"""),"")</f>
        <v/>
      </c>
      <c r="E2528" s="36" t="str">
        <f>IFERROR(__xludf.DUMMYFUNCTION("""COMPUTED_VALUE"""),"04-47-13-407")</f>
        <v>04-47-13-407</v>
      </c>
      <c r="F2528" s="36"/>
      <c r="G2528" s="36" t="str">
        <f>IFERROR(__xludf.DUMMYFUNCTION("""COMPUTED_VALUE"""),"S.M. del Carril y Blvd. Sarmiento")</f>
        <v>S.M. del Carril y Blvd. Sarmiento</v>
      </c>
      <c r="H2528" s="36" t="str">
        <f>IFERROR(__xludf.DUMMYFUNCTION("""COMPUTED_VALUE"""),"")</f>
        <v/>
      </c>
    </row>
    <row r="2529">
      <c r="A2529" s="36" t="str">
        <f>IFERROR(__xludf.DUMMYFUNCTION("""COMPUTED_VALUE"""),"01-65-13-160A")</f>
        <v>01-65-13-160A</v>
      </c>
      <c r="B2529" s="36" t="str">
        <f>IFERROR(__xludf.DUMMYFUNCTION("""COMPUTED_VALUE"""),"")</f>
        <v/>
      </c>
      <c r="C2529" s="36" t="str">
        <f>IFERROR(__xludf.DUMMYFUNCTION("""COMPUTED_VALUE"""),"")</f>
        <v/>
      </c>
      <c r="D2529" s="36" t="str">
        <f>IFERROR(__xludf.DUMMYFUNCTION("""COMPUTED_VALUE"""),"")</f>
        <v/>
      </c>
      <c r="E2529" s="36" t="str">
        <f>IFERROR(__xludf.DUMMYFUNCTION("""COMPUTED_VALUE"""),"04-47-13-409")</f>
        <v>04-47-13-409</v>
      </c>
      <c r="F2529" s="36"/>
      <c r="G2529" s="36" t="str">
        <f>IFERROR(__xludf.DUMMYFUNCTION("""COMPUTED_VALUE"""),"S.M. del Carril y Chacabuco -N")</f>
        <v>S.M. del Carril y Chacabuco -N</v>
      </c>
      <c r="H2529" s="36" t="str">
        <f>IFERROR(__xludf.DUMMYFUNCTION("""COMPUTED_VALUE"""),"")</f>
        <v/>
      </c>
    </row>
    <row r="2530">
      <c r="A2530" s="36" t="str">
        <f>IFERROR(__xludf.DUMMYFUNCTION("""COMPUTED_VALUE"""),"01-65-13-194")</f>
        <v>01-65-13-194</v>
      </c>
      <c r="B2530" s="36" t="str">
        <f>IFERROR(__xludf.DUMMYFUNCTION("""COMPUTED_VALUE"""),"")</f>
        <v/>
      </c>
      <c r="C2530" s="36" t="str">
        <f>IFERROR(__xludf.DUMMYFUNCTION("""COMPUTED_VALUE"""),"")</f>
        <v/>
      </c>
      <c r="D2530" s="36" t="str">
        <f>IFERROR(__xludf.DUMMYFUNCTION("""COMPUTED_VALUE"""),"")</f>
        <v/>
      </c>
      <c r="E2530" s="36" t="str">
        <f>IFERROR(__xludf.DUMMYFUNCTION("""COMPUTED_VALUE"""),"04-47-13-408")</f>
        <v>04-47-13-408</v>
      </c>
      <c r="F2530" s="36"/>
      <c r="G2530" s="36" t="str">
        <f>IFERROR(__xludf.DUMMYFUNCTION("""COMPUTED_VALUE"""),"S.M. del Carril y Chacabuco -S")</f>
        <v>S.M. del Carril y Chacabuco -S</v>
      </c>
      <c r="H2530" s="36" t="str">
        <f>IFERROR(__xludf.DUMMYFUNCTION("""COMPUTED_VALUE"""),"")</f>
        <v/>
      </c>
    </row>
    <row r="2531">
      <c r="A2531" s="36" t="str">
        <f>IFERROR(__xludf.DUMMYFUNCTION("""COMPUTED_VALUE"""),"01-65-13-196")</f>
        <v>01-65-13-196</v>
      </c>
      <c r="B2531" s="36" t="str">
        <f>IFERROR(__xludf.DUMMYFUNCTION("""COMPUTED_VALUE"""),"")</f>
        <v/>
      </c>
      <c r="C2531" s="36" t="str">
        <f>IFERROR(__xludf.DUMMYFUNCTION("""COMPUTED_VALUE"""),"")</f>
        <v/>
      </c>
      <c r="D2531" s="36" t="str">
        <f>IFERROR(__xludf.DUMMYFUNCTION("""COMPUTED_VALUE"""),"")</f>
        <v/>
      </c>
      <c r="E2531" s="36" t="str">
        <f>IFERROR(__xludf.DUMMYFUNCTION("""COMPUTED_VALUE"""),"04-47-13-410")</f>
        <v>04-47-13-410</v>
      </c>
      <c r="F2531" s="36"/>
      <c r="G2531" s="36" t="str">
        <f>IFERROR(__xludf.DUMMYFUNCTION("""COMPUTED_VALUE"""),"S.M. del Carril y Progreso")</f>
        <v>S.M. del Carril y Progreso</v>
      </c>
      <c r="H2531" s="36" t="str">
        <f>IFERROR(__xludf.DUMMYFUNCTION("""COMPUTED_VALUE"""),"")</f>
        <v/>
      </c>
    </row>
    <row r="2532">
      <c r="A2532" s="36" t="str">
        <f>IFERROR(__xludf.DUMMYFUNCTION("""COMPUTED_VALUE"""),"01-65-13-198")</f>
        <v>01-65-13-198</v>
      </c>
      <c r="B2532" s="36" t="str">
        <f>IFERROR(__xludf.DUMMYFUNCTION("""COMPUTED_VALUE"""),"")</f>
        <v/>
      </c>
      <c r="C2532" s="36" t="str">
        <f>IFERROR(__xludf.DUMMYFUNCTION("""COMPUTED_VALUE"""),"")</f>
        <v/>
      </c>
      <c r="D2532" s="36" t="str">
        <f>IFERROR(__xludf.DUMMYFUNCTION("""COMPUTED_VALUE"""),"")</f>
        <v/>
      </c>
      <c r="E2532" s="36" t="str">
        <f>IFERROR(__xludf.DUMMYFUNCTION("""COMPUTED_VALUE"""),"08-42-03-35")</f>
        <v>08-42-03-35</v>
      </c>
      <c r="F2532" s="36"/>
      <c r="G2532" s="36" t="str">
        <f>IFERROR(__xludf.DUMMYFUNCTION("""COMPUTED_VALUE"""),"Saavedra y Quiroga N")</f>
        <v>Saavedra y Quiroga N</v>
      </c>
      <c r="H2532" s="36" t="str">
        <f>IFERROR(__xludf.DUMMYFUNCTION("""COMPUTED_VALUE"""),"")</f>
        <v/>
      </c>
    </row>
    <row r="2533">
      <c r="A2533" s="36" t="str">
        <f>IFERROR(__xludf.DUMMYFUNCTION("""COMPUTED_VALUE"""),"01-65-13-213")</f>
        <v>01-65-13-213</v>
      </c>
      <c r="B2533" s="36" t="str">
        <f>IFERROR(__xludf.DUMMYFUNCTION("""COMPUTED_VALUE"""),"")</f>
        <v/>
      </c>
      <c r="C2533" s="36" t="str">
        <f>IFERROR(__xludf.DUMMYFUNCTION("""COMPUTED_VALUE"""),"")</f>
        <v/>
      </c>
      <c r="D2533" s="36" t="str">
        <f>IFERROR(__xludf.DUMMYFUNCTION("""COMPUTED_VALUE"""),"")</f>
        <v/>
      </c>
      <c r="E2533" s="36" t="str">
        <f>IFERROR(__xludf.DUMMYFUNCTION("""COMPUTED_VALUE"""),"08-42-03-34")</f>
        <v>08-42-03-34</v>
      </c>
      <c r="F2533" s="36"/>
      <c r="G2533" s="36" t="str">
        <f>IFERROR(__xludf.DUMMYFUNCTION("""COMPUTED_VALUE"""),"Saavedra y Quiroga S")</f>
        <v>Saavedra y Quiroga S</v>
      </c>
      <c r="H2533" s="36" t="str">
        <f>IFERROR(__xludf.DUMMYFUNCTION("""COMPUTED_VALUE"""),"")</f>
        <v/>
      </c>
    </row>
    <row r="2534">
      <c r="A2534" s="36" t="str">
        <f>IFERROR(__xludf.DUMMYFUNCTION("""COMPUTED_VALUE"""),"01-65-13-214")</f>
        <v>01-65-13-214</v>
      </c>
      <c r="B2534" s="36" t="str">
        <f>IFERROR(__xludf.DUMMYFUNCTION("""COMPUTED_VALUE"""),"")</f>
        <v/>
      </c>
      <c r="C2534" s="36" t="str">
        <f>IFERROR(__xludf.DUMMYFUNCTION("""COMPUTED_VALUE"""),"")</f>
        <v/>
      </c>
      <c r="D2534" s="36" t="str">
        <f>IFERROR(__xludf.DUMMYFUNCTION("""COMPUTED_VALUE"""),"")</f>
        <v/>
      </c>
      <c r="E2534" s="36" t="str">
        <f>IFERROR(__xludf.DUMMYFUNCTION("""COMPUTED_VALUE"""),"08-42-02-28")</f>
        <v>08-42-02-28</v>
      </c>
      <c r="F2534" s="36"/>
      <c r="G2534" s="36" t="str">
        <f>IFERROR(__xludf.DUMMYFUNCTION("""COMPUTED_VALUE"""),"Saavedra y Salta")</f>
        <v>Saavedra y Salta</v>
      </c>
      <c r="H2534" s="36" t="str">
        <f>IFERROR(__xludf.DUMMYFUNCTION("""COMPUTED_VALUE"""),"")</f>
        <v/>
      </c>
    </row>
    <row r="2535">
      <c r="A2535" s="36" t="str">
        <f>IFERROR(__xludf.DUMMYFUNCTION("""COMPUTED_VALUE"""),"01-65-13-215")</f>
        <v>01-65-13-215</v>
      </c>
      <c r="B2535" s="36" t="str">
        <f>IFERROR(__xludf.DUMMYFUNCTION("""COMPUTED_VALUE"""),"")</f>
        <v/>
      </c>
      <c r="C2535" s="36" t="str">
        <f>IFERROR(__xludf.DUMMYFUNCTION("""COMPUTED_VALUE"""),"")</f>
        <v/>
      </c>
      <c r="D2535" s="36" t="str">
        <f>IFERROR(__xludf.DUMMYFUNCTION("""COMPUTED_VALUE"""),"")</f>
        <v/>
      </c>
      <c r="E2535" s="36" t="str">
        <f>IFERROR(__xludf.DUMMYFUNCTION("""COMPUTED_VALUE"""),"08-42-03-40")</f>
        <v>08-42-03-40</v>
      </c>
      <c r="F2535" s="36"/>
      <c r="G2535" s="36" t="str">
        <f>IFERROR(__xludf.DUMMYFUNCTION("""COMPUTED_VALUE"""),"Saavedra y Sarmiento N")</f>
        <v>Saavedra y Sarmiento N</v>
      </c>
      <c r="H2535" s="36" t="str">
        <f>IFERROR(__xludf.DUMMYFUNCTION("""COMPUTED_VALUE"""),"")</f>
        <v/>
      </c>
    </row>
    <row r="2536">
      <c r="A2536" s="36" t="str">
        <f>IFERROR(__xludf.DUMMYFUNCTION("""COMPUTED_VALUE"""),"01-65-13-216")</f>
        <v>01-65-13-216</v>
      </c>
      <c r="B2536" s="36" t="str">
        <f>IFERROR(__xludf.DUMMYFUNCTION("""COMPUTED_VALUE"""),"")</f>
        <v/>
      </c>
      <c r="C2536" s="36" t="str">
        <f>IFERROR(__xludf.DUMMYFUNCTION("""COMPUTED_VALUE"""),"")</f>
        <v/>
      </c>
      <c r="D2536" s="36" t="str">
        <f>IFERROR(__xludf.DUMMYFUNCTION("""COMPUTED_VALUE"""),"")</f>
        <v/>
      </c>
      <c r="E2536" s="36" t="str">
        <f>IFERROR(__xludf.DUMMYFUNCTION("""COMPUTED_VALUE"""),"08-42-03-39")</f>
        <v>08-42-03-39</v>
      </c>
      <c r="F2536" s="36"/>
      <c r="G2536" s="36" t="str">
        <f>IFERROR(__xludf.DUMMYFUNCTION("""COMPUTED_VALUE"""),"Saavedra y Sarmiento S")</f>
        <v>Saavedra y Sarmiento S</v>
      </c>
      <c r="H2536" s="36" t="str">
        <f>IFERROR(__xludf.DUMMYFUNCTION("""COMPUTED_VALUE"""),"")</f>
        <v/>
      </c>
    </row>
    <row r="2537">
      <c r="A2537" s="36" t="str">
        <f>IFERROR(__xludf.DUMMYFUNCTION("""COMPUTED_VALUE"""),"01-65-13-217")</f>
        <v>01-65-13-217</v>
      </c>
      <c r="B2537" s="36" t="str">
        <f>IFERROR(__xludf.DUMMYFUNCTION("""COMPUTED_VALUE"""),"")</f>
        <v/>
      </c>
      <c r="C2537" s="36" t="str">
        <f>IFERROR(__xludf.DUMMYFUNCTION("""COMPUTED_VALUE"""),"")</f>
        <v/>
      </c>
      <c r="D2537" s="36" t="str">
        <f>IFERROR(__xludf.DUMMYFUNCTION("""COMPUTED_VALUE"""),"")</f>
        <v/>
      </c>
      <c r="E2537" s="36" t="str">
        <f>IFERROR(__xludf.DUMMYFUNCTION("""COMPUTED_VALUE"""),"03-40-10-107B")</f>
        <v>03-40-10-107B</v>
      </c>
      <c r="F2537" s="36"/>
      <c r="G2537" s="36" t="str">
        <f>IFERROR(__xludf.DUMMYFUNCTION("""COMPUTED_VALUE"""),"Sáenz Peña y Bahía Blanca")</f>
        <v>Sáenz Peña y Bahía Blanca</v>
      </c>
      <c r="H2537" s="36" t="str">
        <f>IFERROR(__xludf.DUMMYFUNCTION("""COMPUTED_VALUE"""),"")</f>
        <v/>
      </c>
    </row>
    <row r="2538">
      <c r="A2538" s="36" t="str">
        <f>IFERROR(__xludf.DUMMYFUNCTION("""COMPUTED_VALUE"""),"01-65-13-218")</f>
        <v>01-65-13-218</v>
      </c>
      <c r="B2538" s="36" t="str">
        <f>IFERROR(__xludf.DUMMYFUNCTION("""COMPUTED_VALUE"""),"")</f>
        <v/>
      </c>
      <c r="C2538" s="36" t="str">
        <f>IFERROR(__xludf.DUMMYFUNCTION("""COMPUTED_VALUE"""),"")</f>
        <v/>
      </c>
      <c r="D2538" s="36" t="str">
        <f>IFERROR(__xludf.DUMMYFUNCTION("""COMPUTED_VALUE"""),"")</f>
        <v/>
      </c>
      <c r="E2538" s="36" t="str">
        <f>IFERROR(__xludf.DUMMYFUNCTION("""COMPUTED_VALUE"""),"03-29-10-136A")</f>
        <v>03-29-10-136A</v>
      </c>
      <c r="F2538" s="36"/>
      <c r="G2538" s="36" t="str">
        <f>IFERROR(__xludf.DUMMYFUNCTION("""COMPUTED_VALUE"""),"Sáenz Peña y Santa María de Oro Norte")</f>
        <v>Sáenz Peña y Santa María de Oro Norte</v>
      </c>
      <c r="H2538" s="36" t="str">
        <f>IFERROR(__xludf.DUMMYFUNCTION("""COMPUTED_VALUE"""),"")</f>
        <v/>
      </c>
    </row>
    <row r="2539">
      <c r="A2539" s="36" t="str">
        <f>IFERROR(__xludf.DUMMYFUNCTION("""COMPUTED_VALUE"""),"01-65-13-218A")</f>
        <v>01-65-13-218A</v>
      </c>
      <c r="B2539" s="36" t="str">
        <f>IFERROR(__xludf.DUMMYFUNCTION("""COMPUTED_VALUE"""),"")</f>
        <v/>
      </c>
      <c r="C2539" s="36" t="str">
        <f>IFERROR(__xludf.DUMMYFUNCTION("""COMPUTED_VALUE"""),"")</f>
        <v/>
      </c>
      <c r="D2539" s="36" t="str">
        <f>IFERROR(__xludf.DUMMYFUNCTION("""COMPUTED_VALUE"""),"")</f>
        <v/>
      </c>
      <c r="E2539" s="36" t="str">
        <f>IFERROR(__xludf.DUMMYFUNCTION("""COMPUTED_VALUE"""),"03-33-10-136B")</f>
        <v>03-33-10-136B</v>
      </c>
      <c r="F2539" s="36"/>
      <c r="G2539" s="36" t="str">
        <f>IFERROR(__xludf.DUMMYFUNCTION("""COMPUTED_VALUE"""),"Sáenz Peña y Santa María de Oro Sur")</f>
        <v>Sáenz Peña y Santa María de Oro Sur</v>
      </c>
      <c r="H2539" s="36" t="str">
        <f>IFERROR(__xludf.DUMMYFUNCTION("""COMPUTED_VALUE"""),"")</f>
        <v/>
      </c>
    </row>
    <row r="2540">
      <c r="A2540" s="36" t="str">
        <f>IFERROR(__xludf.DUMMYFUNCTION("""COMPUTED_VALUE"""),"01-65-13-219")</f>
        <v>01-65-13-219</v>
      </c>
      <c r="B2540" s="36" t="str">
        <f>IFERROR(__xludf.DUMMYFUNCTION("""COMPUTED_VALUE"""),"")</f>
        <v/>
      </c>
      <c r="C2540" s="36" t="str">
        <f>IFERROR(__xludf.DUMMYFUNCTION("""COMPUTED_VALUE"""),"")</f>
        <v/>
      </c>
      <c r="D2540" s="36" t="str">
        <f>IFERROR(__xludf.DUMMYFUNCTION("""COMPUTED_VALUE"""),"")</f>
        <v/>
      </c>
      <c r="E2540" s="36" t="str">
        <f>IFERROR(__xludf.DUMMYFUNCTION("""COMPUTED_VALUE"""),"08-28-02-41")</f>
        <v>08-28-02-41</v>
      </c>
      <c r="F2540" s="36"/>
      <c r="G2540" s="36" t="str">
        <f>IFERROR(__xludf.DUMMYFUNCTION("""COMPUTED_VALUE"""),"Salta e Hipólito Yrigoyen E")</f>
        <v>Salta e Hipólito Yrigoyen E</v>
      </c>
      <c r="H2540" s="36" t="str">
        <f>IFERROR(__xludf.DUMMYFUNCTION("""COMPUTED_VALUE"""),"")</f>
        <v/>
      </c>
    </row>
    <row r="2541">
      <c r="A2541" s="36" t="str">
        <f>IFERROR(__xludf.DUMMYFUNCTION("""COMPUTED_VALUE"""),"01-65-13-226")</f>
        <v>01-65-13-226</v>
      </c>
      <c r="B2541" s="36" t="str">
        <f>IFERROR(__xludf.DUMMYFUNCTION("""COMPUTED_VALUE"""),"")</f>
        <v/>
      </c>
      <c r="C2541" s="36" t="str">
        <f>IFERROR(__xludf.DUMMYFUNCTION("""COMPUTED_VALUE"""),"")</f>
        <v/>
      </c>
      <c r="D2541" s="36" t="str">
        <f>IFERROR(__xludf.DUMMYFUNCTION("""COMPUTED_VALUE"""),"ERROR DE ID")</f>
        <v>ERROR DE ID</v>
      </c>
      <c r="E2541" s="36" t="str">
        <f>IFERROR(__xludf.DUMMYFUNCTION("""COMPUTED_VALUE"""),"08-21-02-40")</f>
        <v>08-21-02-40</v>
      </c>
      <c r="F2541" s="36"/>
      <c r="G2541" s="36" t="str">
        <f>IFERROR(__xludf.DUMMYFUNCTION("""COMPUTED_VALUE"""),"Salta e Hipólito Yrigoyen O")</f>
        <v>Salta e Hipólito Yrigoyen O</v>
      </c>
      <c r="H2541" s="36" t="str">
        <f>IFERROR(__xludf.DUMMYFUNCTION("""COMPUTED_VALUE"""),"")</f>
        <v/>
      </c>
    </row>
    <row r="2542">
      <c r="A2542" s="36" t="str">
        <f>IFERROR(__xludf.DUMMYFUNCTION("""COMPUTED_VALUE"""),"01-65-13-226")</f>
        <v>01-65-13-226</v>
      </c>
      <c r="B2542" s="36" t="str">
        <f>IFERROR(__xludf.DUMMYFUNCTION("""COMPUTED_VALUE"""),"")</f>
        <v/>
      </c>
      <c r="C2542" s="36" t="str">
        <f>IFERROR(__xludf.DUMMYFUNCTION("""COMPUTED_VALUE"""),"")</f>
        <v/>
      </c>
      <c r="D2542" s="36" t="str">
        <f>IFERROR(__xludf.DUMMYFUNCTION("""COMPUTED_VALUE"""),"")</f>
        <v/>
      </c>
      <c r="E2542" s="36" t="str">
        <f>IFERROR(__xludf.DUMMYFUNCTION("""COMPUTED_VALUE"""),"01-51-07-41A")</f>
        <v>01-51-07-41A</v>
      </c>
      <c r="F2542" s="36"/>
      <c r="G2542" s="36" t="str">
        <f>IFERROR(__xludf.DUMMYFUNCTION("""COMPUTED_VALUE"""),"Salta e Ignacio de la Roza")</f>
        <v>Salta e Ignacio de la Roza</v>
      </c>
      <c r="H2542" s="36" t="str">
        <f>IFERROR(__xludf.DUMMYFUNCTION("""COMPUTED_VALUE"""),"")</f>
        <v/>
      </c>
    </row>
    <row r="2543">
      <c r="A2543" s="36" t="str">
        <f>IFERROR(__xludf.DUMMYFUNCTION("""COMPUTED_VALUE"""),"01-65-13-227")</f>
        <v>01-65-13-227</v>
      </c>
      <c r="B2543" s="36" t="str">
        <f>IFERROR(__xludf.DUMMYFUNCTION("""COMPUTED_VALUE"""),"")</f>
        <v/>
      </c>
      <c r="C2543" s="36" t="str">
        <f>IFERROR(__xludf.DUMMYFUNCTION("""COMPUTED_VALUE"""),"")</f>
        <v/>
      </c>
      <c r="D2543" s="36" t="str">
        <f>IFERROR(__xludf.DUMMYFUNCTION("""COMPUTED_VALUE"""),"")</f>
        <v/>
      </c>
      <c r="E2543" s="36" t="str">
        <f>IFERROR(__xludf.DUMMYFUNCTION("""COMPUTED_VALUE"""),"01-29-07-18")</f>
        <v>01-29-07-18</v>
      </c>
      <c r="F2543" s="36"/>
      <c r="G2543" s="36" t="str">
        <f>IFERROR(__xludf.DUMMYFUNCTION("""COMPUTED_VALUE"""),"Salta Entre Circunvalación y Cabral")</f>
        <v>Salta Entre Circunvalación y Cabral</v>
      </c>
      <c r="H2543" s="36" t="str">
        <f>IFERROR(__xludf.DUMMYFUNCTION("""COMPUTED_VALUE"""),"")</f>
        <v/>
      </c>
    </row>
    <row r="2544">
      <c r="A2544" s="36" t="str">
        <f>IFERROR(__xludf.DUMMYFUNCTION("""COMPUTED_VALUE"""),"01-65-13-229")</f>
        <v>01-65-13-229</v>
      </c>
      <c r="B2544" s="36" t="str">
        <f>IFERROR(__xludf.DUMMYFUNCTION("""COMPUTED_VALUE"""),"")</f>
        <v/>
      </c>
      <c r="C2544" s="36" t="str">
        <f>IFERROR(__xludf.DUMMYFUNCTION("""COMPUTED_VALUE"""),"")</f>
        <v/>
      </c>
      <c r="D2544" s="36" t="str">
        <f>IFERROR(__xludf.DUMMYFUNCTION("""COMPUTED_VALUE"""),"")</f>
        <v/>
      </c>
      <c r="E2544" s="36" t="str">
        <f>IFERROR(__xludf.DUMMYFUNCTION("""COMPUTED_VALUE"""),"08-28-02-35")</f>
        <v>08-28-02-35</v>
      </c>
      <c r="F2544" s="36"/>
      <c r="G2544" s="36" t="str">
        <f>IFERROR(__xludf.DUMMYFUNCTION("""COMPUTED_VALUE"""),"Salta y 25 de Mayo")</f>
        <v>Salta y 25 de Mayo</v>
      </c>
      <c r="H2544" s="36" t="str">
        <f>IFERROR(__xludf.DUMMYFUNCTION("""COMPUTED_VALUE"""),"NOMBRE")</f>
        <v>NOMBRE</v>
      </c>
    </row>
    <row r="2545">
      <c r="A2545" s="36" t="str">
        <f>IFERROR(__xludf.DUMMYFUNCTION("""COMPUTED_VALUE"""),"01-66-13-149")</f>
        <v>01-66-13-149</v>
      </c>
      <c r="B2545" s="36" t="str">
        <f>IFERROR(__xludf.DUMMYFUNCTION("""COMPUTED_VALUE"""),"")</f>
        <v/>
      </c>
      <c r="C2545" s="36" t="str">
        <f>IFERROR(__xludf.DUMMYFUNCTION("""COMPUTED_VALUE"""),"")</f>
        <v/>
      </c>
      <c r="D2545" s="36" t="str">
        <f>IFERROR(__xludf.DUMMYFUNCTION("""COMPUTED_VALUE"""),"")</f>
        <v/>
      </c>
      <c r="E2545" s="36" t="str">
        <f>IFERROR(__xludf.DUMMYFUNCTION("""COMPUTED_VALUE"""),"01-42-07-1A")</f>
        <v>01-42-07-1A</v>
      </c>
      <c r="F2545" s="36"/>
      <c r="G2545" s="36" t="str">
        <f>IFERROR(__xludf.DUMMYFUNCTION("""COMPUTED_VALUE"""),"Salta y 25 de Mayo")</f>
        <v>Salta y 25 de Mayo</v>
      </c>
      <c r="H2545" s="36" t="str">
        <f>IFERROR(__xludf.DUMMYFUNCTION("""COMPUTED_VALUE"""),"")</f>
        <v/>
      </c>
    </row>
    <row r="2546">
      <c r="A2546" s="36" t="str">
        <f>IFERROR(__xludf.DUMMYFUNCTION("""COMPUTED_VALUE"""),"01-66-13-151")</f>
        <v>01-66-13-151</v>
      </c>
      <c r="B2546" s="36" t="str">
        <f>IFERROR(__xludf.DUMMYFUNCTION("""COMPUTED_VALUE"""),"")</f>
        <v/>
      </c>
      <c r="C2546" s="36" t="str">
        <f>IFERROR(__xludf.DUMMYFUNCTION("""COMPUTED_VALUE"""),"")</f>
        <v/>
      </c>
      <c r="D2546" s="36" t="str">
        <f>IFERROR(__xludf.DUMMYFUNCTION("""COMPUTED_VALUE"""),"")</f>
        <v/>
      </c>
      <c r="E2546" s="36" t="str">
        <f>IFERROR(__xludf.DUMMYFUNCTION("""COMPUTED_VALUE"""),"01-57-07-47")</f>
        <v>01-57-07-47</v>
      </c>
      <c r="F2546" s="36"/>
      <c r="G2546" s="36" t="str">
        <f>IFERROR(__xludf.DUMMYFUNCTION("""COMPUTED_VALUE"""),"Salta y 9 de Julio")</f>
        <v>Salta y 9 de Julio</v>
      </c>
      <c r="H2546" s="36" t="str">
        <f>IFERROR(__xludf.DUMMYFUNCTION("""COMPUTED_VALUE"""),"")</f>
        <v/>
      </c>
    </row>
    <row r="2547">
      <c r="A2547" s="36" t="str">
        <f>IFERROR(__xludf.DUMMYFUNCTION("""COMPUTED_VALUE"""),"01-66-13-153")</f>
        <v>01-66-13-153</v>
      </c>
      <c r="B2547" s="36" t="str">
        <f>IFERROR(__xludf.DUMMYFUNCTION("""COMPUTED_VALUE"""),"")</f>
        <v/>
      </c>
      <c r="C2547" s="36" t="str">
        <f>IFERROR(__xludf.DUMMYFUNCTION("""COMPUTED_VALUE"""),"")</f>
        <v/>
      </c>
      <c r="D2547" s="36" t="str">
        <f>IFERROR(__xludf.DUMMYFUNCTION("""COMPUTED_VALUE"""),"")</f>
        <v/>
      </c>
      <c r="E2547" s="36" t="str">
        <f>IFERROR(__xludf.DUMMYFUNCTION("""COMPUTED_VALUE"""),"01-42-07-39")</f>
        <v>01-42-07-39</v>
      </c>
      <c r="F2547" s="36"/>
      <c r="G2547" s="36" t="str">
        <f>IFERROR(__xludf.DUMMYFUNCTION("""COMPUTED_VALUE"""),"Salta y Av. Libertador ")</f>
        <v>Salta y Av. Libertador </v>
      </c>
      <c r="H2547" s="36" t="str">
        <f>IFERROR(__xludf.DUMMYFUNCTION("""COMPUTED_VALUE"""),"")</f>
        <v/>
      </c>
    </row>
    <row r="2548">
      <c r="A2548" s="36" t="str">
        <f>IFERROR(__xludf.DUMMYFUNCTION("""COMPUTED_VALUE"""),"01-66-13-154")</f>
        <v>01-66-13-154</v>
      </c>
      <c r="B2548" s="36" t="str">
        <f>IFERROR(__xludf.DUMMYFUNCTION("""COMPUTED_VALUE"""),"")</f>
        <v/>
      </c>
      <c r="C2548" s="36" t="str">
        <f>IFERROR(__xludf.DUMMYFUNCTION("""COMPUTED_VALUE"""),"")</f>
        <v/>
      </c>
      <c r="D2548" s="36" t="str">
        <f>IFERROR(__xludf.DUMMYFUNCTION("""COMPUTED_VALUE"""),"")</f>
        <v/>
      </c>
      <c r="E2548" s="36" t="str">
        <f>IFERROR(__xludf.DUMMYFUNCTION("""COMPUTED_VALUE"""),"08-40-02-1A")</f>
        <v>08-40-02-1A</v>
      </c>
      <c r="F2548" s="36"/>
      <c r="G2548" s="36" t="str">
        <f>IFERROR(__xludf.DUMMYFUNCTION("""COMPUTED_VALUE"""),"Salta y Av. N. Benavídez")</f>
        <v>Salta y Av. N. Benavídez</v>
      </c>
      <c r="H2548" s="36" t="str">
        <f>IFERROR(__xludf.DUMMYFUNCTION("""COMPUTED_VALUE"""),"")</f>
        <v/>
      </c>
    </row>
    <row r="2549">
      <c r="A2549" s="36" t="str">
        <f>IFERROR(__xludf.DUMMYFUNCTION("""COMPUTED_VALUE"""),"01-66-13-155")</f>
        <v>01-66-13-155</v>
      </c>
      <c r="B2549" s="36" t="str">
        <f>IFERROR(__xludf.DUMMYFUNCTION("""COMPUTED_VALUE"""),"")</f>
        <v/>
      </c>
      <c r="C2549" s="36" t="str">
        <f>IFERROR(__xludf.DUMMYFUNCTION("""COMPUTED_VALUE"""),"")</f>
        <v/>
      </c>
      <c r="D2549" s="36" t="str">
        <f>IFERROR(__xludf.DUMMYFUNCTION("""COMPUTED_VALUE"""),"")</f>
        <v/>
      </c>
      <c r="E2549" s="36" t="str">
        <f>IFERROR(__xludf.DUMMYFUNCTION("""COMPUTED_VALUE"""),"01-22-07-20A")</f>
        <v>01-22-07-20A</v>
      </c>
      <c r="F2549" s="36"/>
      <c r="G2549" s="36" t="str">
        <f>IFERROR(__xludf.DUMMYFUNCTION("""COMPUTED_VALUE"""),"Salta y Benavidez")</f>
        <v>Salta y Benavidez</v>
      </c>
      <c r="H2549" s="36" t="str">
        <f>IFERROR(__xludf.DUMMYFUNCTION("""COMPUTED_VALUE"""),"")</f>
        <v/>
      </c>
    </row>
    <row r="2550">
      <c r="A2550" s="36" t="str">
        <f>IFERROR(__xludf.DUMMYFUNCTION("""COMPUTED_VALUE"""),"01-66-13-156")</f>
        <v>01-66-13-156</v>
      </c>
      <c r="B2550" s="36" t="str">
        <f>IFERROR(__xludf.DUMMYFUNCTION("""COMPUTED_VALUE"""),"")</f>
        <v/>
      </c>
      <c r="C2550" s="36" t="str">
        <f>IFERROR(__xludf.DUMMYFUNCTION("""COMPUTED_VALUE"""),"")</f>
        <v/>
      </c>
      <c r="D2550" s="36" t="str">
        <f>IFERROR(__xludf.DUMMYFUNCTION("""COMPUTED_VALUE"""),"")</f>
        <v/>
      </c>
      <c r="E2550" s="36" t="str">
        <f>IFERROR(__xludf.DUMMYFUNCTION("""COMPUTED_VALUE"""),"08-28-02-43")</f>
        <v>08-28-02-43</v>
      </c>
      <c r="F2550" s="36"/>
      <c r="G2550" s="36" t="str">
        <f>IFERROR(__xludf.DUMMYFUNCTION("""COMPUTED_VALUE"""),"Salta y Centenario E")</f>
        <v>Salta y Centenario E</v>
      </c>
      <c r="H2550" s="36" t="str">
        <f>IFERROR(__xludf.DUMMYFUNCTION("""COMPUTED_VALUE"""),"")</f>
        <v/>
      </c>
    </row>
    <row r="2551">
      <c r="A2551" s="36" t="str">
        <f>IFERROR(__xludf.DUMMYFUNCTION("""COMPUTED_VALUE"""),"01-66-13-159")</f>
        <v>01-66-13-159</v>
      </c>
      <c r="B2551" s="36" t="str">
        <f>IFERROR(__xludf.DUMMYFUNCTION("""COMPUTED_VALUE"""),"")</f>
        <v/>
      </c>
      <c r="C2551" s="36" t="str">
        <f>IFERROR(__xludf.DUMMYFUNCTION("""COMPUTED_VALUE"""),"")</f>
        <v/>
      </c>
      <c r="D2551" s="36" t="str">
        <f>IFERROR(__xludf.DUMMYFUNCTION("""COMPUTED_VALUE"""),"")</f>
        <v/>
      </c>
      <c r="E2551" s="36" t="str">
        <f>IFERROR(__xludf.DUMMYFUNCTION("""COMPUTED_VALUE"""),"08-20-02-42")</f>
        <v>08-20-02-42</v>
      </c>
      <c r="F2551" s="36"/>
      <c r="G2551" s="36" t="str">
        <f>IFERROR(__xludf.DUMMYFUNCTION("""COMPUTED_VALUE"""),"Salta y Centenario O")</f>
        <v>Salta y Centenario O</v>
      </c>
      <c r="H2551" s="36" t="str">
        <f>IFERROR(__xludf.DUMMYFUNCTION("""COMPUTED_VALUE"""),"")</f>
        <v/>
      </c>
    </row>
    <row r="2552">
      <c r="A2552" s="36" t="str">
        <f>IFERROR(__xludf.DUMMYFUNCTION("""COMPUTED_VALUE"""),"01-66-13-160")</f>
        <v>01-66-13-160</v>
      </c>
      <c r="B2552" s="36" t="str">
        <f>IFERROR(__xludf.DUMMYFUNCTION("""COMPUTED_VALUE"""),"")</f>
        <v/>
      </c>
      <c r="C2552" s="36" t="str">
        <f>IFERROR(__xludf.DUMMYFUNCTION("""COMPUTED_VALUE"""),"")</f>
        <v/>
      </c>
      <c r="D2552" s="36" t="str">
        <f>IFERROR(__xludf.DUMMYFUNCTION("""COMPUTED_VALUE"""),"")</f>
        <v/>
      </c>
      <c r="E2552" s="36" t="str">
        <f>IFERROR(__xludf.DUMMYFUNCTION("""COMPUTED_VALUE"""),"08-42-02-1")</f>
        <v>08-42-02-1</v>
      </c>
      <c r="F2552" s="36"/>
      <c r="G2552" s="36" t="str">
        <f>IFERROR(__xludf.DUMMYFUNCTION("""COMPUTED_VALUE"""),"Salta y Chubut")</f>
        <v>Salta y Chubut</v>
      </c>
      <c r="H2552" s="36" t="str">
        <f>IFERROR(__xludf.DUMMYFUNCTION("""COMPUTED_VALUE"""),"")</f>
        <v/>
      </c>
    </row>
    <row r="2553">
      <c r="A2553" s="36" t="str">
        <f>IFERROR(__xludf.DUMMYFUNCTION("""COMPUTED_VALUE"""),"01-66-13-161")</f>
        <v>01-66-13-161</v>
      </c>
      <c r="B2553" s="36" t="str">
        <f>IFERROR(__xludf.DUMMYFUNCTION("""COMPUTED_VALUE"""),"")</f>
        <v/>
      </c>
      <c r="C2553" s="36" t="str">
        <f>IFERROR(__xludf.DUMMYFUNCTION("""COMPUTED_VALUE"""),"")</f>
        <v/>
      </c>
      <c r="D2553" s="36" t="str">
        <f>IFERROR(__xludf.DUMMYFUNCTION("""COMPUTED_VALUE"""),"")</f>
        <v/>
      </c>
      <c r="E2553" s="36" t="str">
        <f>IFERROR(__xludf.DUMMYFUNCTION("""COMPUTED_VALUE"""),"01-29-07-16")</f>
        <v>01-29-07-16</v>
      </c>
      <c r="F2553" s="36"/>
      <c r="G2553" s="36" t="str">
        <f>IFERROR(__xludf.DUMMYFUNCTION("""COMPUTED_VALUE"""),"Salta y Circunvalación Norte")</f>
        <v>Salta y Circunvalación Norte</v>
      </c>
      <c r="H2553" s="36" t="str">
        <f>IFERROR(__xludf.DUMMYFUNCTION("""COMPUTED_VALUE"""),"")</f>
        <v/>
      </c>
    </row>
    <row r="2554">
      <c r="A2554" s="36" t="str">
        <f>IFERROR(__xludf.DUMMYFUNCTION("""COMPUTED_VALUE"""),"01-66-13-20")</f>
        <v>01-66-13-20</v>
      </c>
      <c r="B2554" s="36" t="str">
        <f>IFERROR(__xludf.DUMMYFUNCTION("""COMPUTED_VALUE"""),"")</f>
        <v/>
      </c>
      <c r="C2554" s="36" t="str">
        <f>IFERROR(__xludf.DUMMYFUNCTION("""COMPUTED_VALUE"""),"")</f>
        <v/>
      </c>
      <c r="D2554" s="36" t="str">
        <f>IFERROR(__xludf.DUMMYFUNCTION("""COMPUTED_VALUE"""),"")</f>
        <v/>
      </c>
      <c r="E2554" s="36" t="str">
        <f>IFERROR(__xludf.DUMMYFUNCTION("""COMPUTED_VALUE"""),"01-28-07-13B")</f>
        <v>01-28-07-13B</v>
      </c>
      <c r="F2554" s="36"/>
      <c r="G2554" s="36" t="str">
        <f>IFERROR(__xludf.DUMMYFUNCTION("""COMPUTED_VALUE"""),"Salta y Circunvalación Sur")</f>
        <v>Salta y Circunvalación Sur</v>
      </c>
      <c r="H2554" s="36" t="str">
        <f>IFERROR(__xludf.DUMMYFUNCTION("""COMPUTED_VALUE"""),"")</f>
        <v/>
      </c>
    </row>
    <row r="2555">
      <c r="A2555" s="36" t="str">
        <f>IFERROR(__xludf.DUMMYFUNCTION("""COMPUTED_VALUE"""),"01-66-13-20A")</f>
        <v>01-66-13-20A</v>
      </c>
      <c r="B2555" s="36" t="str">
        <f>IFERROR(__xludf.DUMMYFUNCTION("""COMPUTED_VALUE"""),"")</f>
        <v/>
      </c>
      <c r="C2555" s="36" t="str">
        <f>IFERROR(__xludf.DUMMYFUNCTION("""COMPUTED_VALUE"""),"")</f>
        <v/>
      </c>
      <c r="D2555" s="36" t="str">
        <f>IFERROR(__xludf.DUMMYFUNCTION("""COMPUTED_VALUE"""),"")</f>
        <v/>
      </c>
      <c r="E2555" s="36" t="str">
        <f>IFERROR(__xludf.DUMMYFUNCTION("""COMPUTED_VALUE"""),"01-51-07-45")</f>
        <v>01-51-07-45</v>
      </c>
      <c r="F2555" s="36"/>
      <c r="G2555" s="36" t="str">
        <f>IFERROR(__xludf.DUMMYFUNCTION("""COMPUTED_VALUE"""),"Salta y Cordoba")</f>
        <v>Salta y Cordoba</v>
      </c>
      <c r="H2555" s="36" t="str">
        <f>IFERROR(__xludf.DUMMYFUNCTION("""COMPUTED_VALUE"""),"")</f>
        <v/>
      </c>
    </row>
    <row r="2556">
      <c r="A2556" s="36" t="str">
        <f>IFERROR(__xludf.DUMMYFUNCTION("""COMPUTED_VALUE"""),"01-66-13-22B")</f>
        <v>01-66-13-22B</v>
      </c>
      <c r="B2556" s="36" t="str">
        <f>IFERROR(__xludf.DUMMYFUNCTION("""COMPUTED_VALUE"""),"")</f>
        <v/>
      </c>
      <c r="C2556" s="36" t="str">
        <f>IFERROR(__xludf.DUMMYFUNCTION("""COMPUTED_VALUE"""),"")</f>
        <v/>
      </c>
      <c r="D2556" s="36" t="str">
        <f>IFERROR(__xludf.DUMMYFUNCTION("""COMPUTED_VALUE"""),"")</f>
        <v/>
      </c>
      <c r="E2556" s="36" t="str">
        <f>IFERROR(__xludf.DUMMYFUNCTION("""COMPUTED_VALUE"""),"01-28-07-20E")</f>
        <v>01-28-07-20E</v>
      </c>
      <c r="F2556" s="36"/>
      <c r="G2556" s="36" t="str">
        <f>IFERROR(__xludf.DUMMYFUNCTION("""COMPUTED_VALUE"""),"Salta y Correa")</f>
        <v>Salta y Correa</v>
      </c>
      <c r="H2556" s="36" t="str">
        <f>IFERROR(__xludf.DUMMYFUNCTION("""COMPUTED_VALUE"""),"")</f>
        <v/>
      </c>
    </row>
    <row r="2557">
      <c r="A2557" s="36" t="str">
        <f>IFERROR(__xludf.DUMMYFUNCTION("""COMPUTED_VALUE"""),"04-20-13-23")</f>
        <v>04-20-13-23</v>
      </c>
      <c r="B2557" s="36" t="str">
        <f>IFERROR(__xludf.DUMMYFUNCTION("""COMPUTED_VALUE"""),"")</f>
        <v/>
      </c>
      <c r="C2557" s="36" t="str">
        <f>IFERROR(__xludf.DUMMYFUNCTION("""COMPUTED_VALUE"""),"")</f>
        <v/>
      </c>
      <c r="D2557" s="36" t="str">
        <f>IFERROR(__xludf.DUMMYFUNCTION("""COMPUTED_VALUE"""),"")</f>
        <v/>
      </c>
      <c r="E2557" s="36" t="str">
        <f>IFERROR(__xludf.DUMMYFUNCTION("""COMPUTED_VALUE"""),"01-21-07-20C")</f>
        <v>01-21-07-20C</v>
      </c>
      <c r="F2557" s="36"/>
      <c r="G2557" s="36" t="str">
        <f>IFERROR(__xludf.DUMMYFUNCTION("""COMPUTED_VALUE"""),"Salta y Corrientes")</f>
        <v>Salta y Corrientes</v>
      </c>
      <c r="H2557" s="36" t="str">
        <f>IFERROR(__xludf.DUMMYFUNCTION("""COMPUTED_VALUE"""),"")</f>
        <v/>
      </c>
    </row>
    <row r="2558">
      <c r="A2558" s="36" t="str">
        <f>IFERROR(__xludf.DUMMYFUNCTION("""COMPUTED_VALUE"""),"04-20-13-24")</f>
        <v>04-20-13-24</v>
      </c>
      <c r="B2558" s="36" t="str">
        <f>IFERROR(__xludf.DUMMYFUNCTION("""COMPUTED_VALUE"""),"")</f>
        <v/>
      </c>
      <c r="C2558" s="36" t="str">
        <f>IFERROR(__xludf.DUMMYFUNCTION("""COMPUTED_VALUE"""),"")</f>
        <v/>
      </c>
      <c r="D2558" s="36" t="str">
        <f>IFERROR(__xludf.DUMMYFUNCTION("""COMPUTED_VALUE"""),"")</f>
        <v/>
      </c>
      <c r="E2558" s="36" t="str">
        <f>IFERROR(__xludf.DUMMYFUNCTION("""COMPUTED_VALUE"""),"01-36-07-9")</f>
        <v>01-36-07-9</v>
      </c>
      <c r="F2558" s="36"/>
      <c r="G2558" s="36" t="str">
        <f>IFERROR(__xludf.DUMMYFUNCTION("""COMPUTED_VALUE"""),"Salta y Cortínez N")</f>
        <v>Salta y Cortínez N</v>
      </c>
      <c r="H2558" s="36" t="str">
        <f>IFERROR(__xludf.DUMMYFUNCTION("""COMPUTED_VALUE"""),"")</f>
        <v/>
      </c>
    </row>
    <row r="2559">
      <c r="A2559" s="36" t="str">
        <f>IFERROR(__xludf.DUMMYFUNCTION("""COMPUTED_VALUE"""),"04-20-13-27")</f>
        <v>04-20-13-27</v>
      </c>
      <c r="B2559" s="36" t="str">
        <f>IFERROR(__xludf.DUMMYFUNCTION("""COMPUTED_VALUE"""),"")</f>
        <v/>
      </c>
      <c r="C2559" s="36" t="str">
        <f>IFERROR(__xludf.DUMMYFUNCTION("""COMPUTED_VALUE"""),"")</f>
        <v/>
      </c>
      <c r="D2559" s="36" t="str">
        <f>IFERROR(__xludf.DUMMYFUNCTION("""COMPUTED_VALUE"""),"")</f>
        <v/>
      </c>
      <c r="E2559" s="36" t="str">
        <f>IFERROR(__xludf.DUMMYFUNCTION("""COMPUTED_VALUE"""),"01-37-07-9A")</f>
        <v>01-37-07-9A</v>
      </c>
      <c r="F2559" s="36"/>
      <c r="G2559" s="36" t="str">
        <f>IFERROR(__xludf.DUMMYFUNCTION("""COMPUTED_VALUE"""),"Salta y Cortínez S")</f>
        <v>Salta y Cortínez S</v>
      </c>
      <c r="H2559" s="36" t="str">
        <f>IFERROR(__xludf.DUMMYFUNCTION("""COMPUTED_VALUE"""),"")</f>
        <v/>
      </c>
    </row>
    <row r="2560">
      <c r="A2560" s="36" t="str">
        <f>IFERROR(__xludf.DUMMYFUNCTION("""COMPUTED_VALUE"""),"04-20-13-29")</f>
        <v>04-20-13-29</v>
      </c>
      <c r="B2560" s="36" t="str">
        <f>IFERROR(__xludf.DUMMYFUNCTION("""COMPUTED_VALUE"""),"")</f>
        <v/>
      </c>
      <c r="C2560" s="36" t="str">
        <f>IFERROR(__xludf.DUMMYFUNCTION("""COMPUTED_VALUE"""),"")</f>
        <v/>
      </c>
      <c r="D2560" s="36" t="str">
        <f>IFERROR(__xludf.DUMMYFUNCTION("""COMPUTED_VALUE"""),"")</f>
        <v/>
      </c>
      <c r="E2560" s="36" t="str">
        <f>IFERROR(__xludf.DUMMYFUNCTION("""COMPUTED_VALUE"""),"01-29-07-13A")</f>
        <v>01-29-07-13A</v>
      </c>
      <c r="F2560" s="36"/>
      <c r="G2560" s="36" t="str">
        <f>IFERROR(__xludf.DUMMYFUNCTION("""COMPUTED_VALUE"""),"Salta y Falucho N")</f>
        <v>Salta y Falucho N</v>
      </c>
      <c r="H2560" s="36" t="str">
        <f>IFERROR(__xludf.DUMMYFUNCTION("""COMPUTED_VALUE"""),"")</f>
        <v/>
      </c>
    </row>
    <row r="2561">
      <c r="A2561" s="36" t="str">
        <f>IFERROR(__xludf.DUMMYFUNCTION("""COMPUTED_VALUE"""),"04-20-13-31")</f>
        <v>04-20-13-31</v>
      </c>
      <c r="B2561" s="36" t="str">
        <f>IFERROR(__xludf.DUMMYFUNCTION("""COMPUTED_VALUE"""),"")</f>
        <v/>
      </c>
      <c r="C2561" s="36" t="str">
        <f>IFERROR(__xludf.DUMMYFUNCTION("""COMPUTED_VALUE"""),"")</f>
        <v/>
      </c>
      <c r="D2561" s="36" t="str">
        <f>IFERROR(__xludf.DUMMYFUNCTION("""COMPUTED_VALUE"""),"")</f>
        <v/>
      </c>
      <c r="E2561" s="36" t="str">
        <f>IFERROR(__xludf.DUMMYFUNCTION("""COMPUTED_VALUE"""),"01-28-07-8A")</f>
        <v>01-28-07-8A</v>
      </c>
      <c r="F2561" s="36"/>
      <c r="G2561" s="36" t="str">
        <f>IFERROR(__xludf.DUMMYFUNCTION("""COMPUTED_VALUE"""),"Salta y Falucho S")</f>
        <v>Salta y Falucho S</v>
      </c>
      <c r="H2561" s="36" t="str">
        <f>IFERROR(__xludf.DUMMYFUNCTION("""COMPUTED_VALUE"""),"")</f>
        <v/>
      </c>
    </row>
    <row r="2562">
      <c r="A2562" s="36" t="str">
        <f>IFERROR(__xludf.DUMMYFUNCTION("""COMPUTED_VALUE"""),"04-20-13-32")</f>
        <v>04-20-13-32</v>
      </c>
      <c r="B2562" s="36" t="str">
        <f>IFERROR(__xludf.DUMMYFUNCTION("""COMPUTED_VALUE"""),"")</f>
        <v/>
      </c>
      <c r="C2562" s="36" t="str">
        <f>IFERROR(__xludf.DUMMYFUNCTION("""COMPUTED_VALUE"""),"")</f>
        <v/>
      </c>
      <c r="D2562" s="36" t="str">
        <f>IFERROR(__xludf.DUMMYFUNCTION("""COMPUTED_VALUE"""),"")</f>
        <v/>
      </c>
      <c r="E2562" s="36" t="str">
        <f>IFERROR(__xludf.DUMMYFUNCTION("""COMPUTED_VALUE"""),"01-51-07-46")</f>
        <v>01-51-07-46</v>
      </c>
      <c r="F2562" s="36"/>
      <c r="G2562" s="36" t="str">
        <f>IFERROR(__xludf.DUMMYFUNCTION("""COMPUTED_VALUE"""),"Salta y General Paz")</f>
        <v>Salta y General Paz</v>
      </c>
      <c r="H2562" s="36" t="str">
        <f>IFERROR(__xludf.DUMMYFUNCTION("""COMPUTED_VALUE"""),"")</f>
        <v/>
      </c>
    </row>
    <row r="2563">
      <c r="A2563" s="36" t="str">
        <f>IFERROR(__xludf.DUMMYFUNCTION("""COMPUTED_VALUE"""),"04-20-13-32A")</f>
        <v>04-20-13-32A</v>
      </c>
      <c r="B2563" s="36" t="str">
        <f>IFERROR(__xludf.DUMMYFUNCTION("""COMPUTED_VALUE"""),"")</f>
        <v/>
      </c>
      <c r="C2563" s="36" t="str">
        <f>IFERROR(__xludf.DUMMYFUNCTION("""COMPUTED_VALUE"""),"")</f>
        <v/>
      </c>
      <c r="D2563" s="36" t="str">
        <f>IFERROR(__xludf.DUMMYFUNCTION("""COMPUTED_VALUE"""),"")</f>
        <v/>
      </c>
      <c r="E2563" s="36" t="str">
        <f>IFERROR(__xludf.DUMMYFUNCTION("""COMPUTED_VALUE"""),"08-42-02-34")</f>
        <v>08-42-02-34</v>
      </c>
      <c r="F2563" s="36"/>
      <c r="G2563" s="36" t="str">
        <f>IFERROR(__xludf.DUMMYFUNCTION("""COMPUTED_VALUE"""),"Salta y Hernández E")</f>
        <v>Salta y Hernández E</v>
      </c>
      <c r="H2563" s="36" t="str">
        <f>IFERROR(__xludf.DUMMYFUNCTION("""COMPUTED_VALUE"""),"")</f>
        <v/>
      </c>
    </row>
    <row r="2564">
      <c r="A2564" s="36" t="str">
        <f>IFERROR(__xludf.DUMMYFUNCTION("""COMPUTED_VALUE"""),"04-20-13-32B")</f>
        <v>04-20-13-32B</v>
      </c>
      <c r="B2564" s="36" t="str">
        <f>IFERROR(__xludf.DUMMYFUNCTION("""COMPUTED_VALUE"""),"")</f>
        <v/>
      </c>
      <c r="C2564" s="36" t="str">
        <f>IFERROR(__xludf.DUMMYFUNCTION("""COMPUTED_VALUE"""),"")</f>
        <v/>
      </c>
      <c r="D2564" s="36" t="str">
        <f>IFERROR(__xludf.DUMMYFUNCTION("""COMPUTED_VALUE"""),"")</f>
        <v/>
      </c>
      <c r="E2564" s="36" t="str">
        <f>IFERROR(__xludf.DUMMYFUNCTION("""COMPUTED_VALUE"""),"08-38-02-33")</f>
        <v>08-38-02-33</v>
      </c>
      <c r="F2564" s="36"/>
      <c r="G2564" s="36" t="str">
        <f>IFERROR(__xludf.DUMMYFUNCTION("""COMPUTED_VALUE"""),"Salta y Hernández O")</f>
        <v>Salta y Hernández O</v>
      </c>
      <c r="H2564" s="36" t="str">
        <f>IFERROR(__xludf.DUMMYFUNCTION("""COMPUTED_VALUE"""),"")</f>
        <v/>
      </c>
    </row>
    <row r="2565">
      <c r="A2565" s="36" t="str">
        <f>IFERROR(__xludf.DUMMYFUNCTION("""COMPUTED_VALUE"""),"04-20-13-32C")</f>
        <v>04-20-13-32C</v>
      </c>
      <c r="B2565" s="36" t="str">
        <f>IFERROR(__xludf.DUMMYFUNCTION("""COMPUTED_VALUE"""),"")</f>
        <v/>
      </c>
      <c r="C2565" s="36" t="str">
        <f>IFERROR(__xludf.DUMMYFUNCTION("""COMPUTED_VALUE"""),"")</f>
        <v/>
      </c>
      <c r="D2565" s="36" t="str">
        <f>IFERROR(__xludf.DUMMYFUNCTION("""COMPUTED_VALUE"""),"")</f>
        <v/>
      </c>
      <c r="E2565" s="36" t="str">
        <f>IFERROR(__xludf.DUMMYFUNCTION("""COMPUTED_VALUE"""),"01-37-07-6")</f>
        <v>01-37-07-6</v>
      </c>
      <c r="F2565" s="36"/>
      <c r="G2565" s="36" t="str">
        <f>IFERROR(__xludf.DUMMYFUNCTION("""COMPUTED_VALUE"""),"Salta y Jorge Newbery")</f>
        <v>Salta y Jorge Newbery</v>
      </c>
      <c r="H2565" s="36" t="str">
        <f>IFERROR(__xludf.DUMMYFUNCTION("""COMPUTED_VALUE"""),"")</f>
        <v/>
      </c>
    </row>
    <row r="2566">
      <c r="A2566" s="36" t="str">
        <f>IFERROR(__xludf.DUMMYFUNCTION("""COMPUTED_VALUE"""),"04-20-13-33")</f>
        <v>04-20-13-33</v>
      </c>
      <c r="B2566" s="36" t="str">
        <f>IFERROR(__xludf.DUMMYFUNCTION("""COMPUTED_VALUE"""),"")</f>
        <v/>
      </c>
      <c r="C2566" s="36" t="str">
        <f>IFERROR(__xludf.DUMMYFUNCTION("""COMPUTED_VALUE"""),"")</f>
        <v/>
      </c>
      <c r="D2566" s="36" t="str">
        <f>IFERROR(__xludf.DUMMYFUNCTION("""COMPUTED_VALUE"""),"")</f>
        <v/>
      </c>
      <c r="E2566" s="36" t="str">
        <f>IFERROR(__xludf.DUMMYFUNCTION("""COMPUTED_VALUE"""),"01-36-07-12")</f>
        <v>01-36-07-12</v>
      </c>
      <c r="F2566" s="36"/>
      <c r="G2566" s="36" t="str">
        <f>IFERROR(__xludf.DUMMYFUNCTION("""COMPUTED_VALUE"""),"Salta y Juan Jufré E")</f>
        <v>Salta y Juan Jufré E</v>
      </c>
      <c r="H2566" s="36" t="str">
        <f>IFERROR(__xludf.DUMMYFUNCTION("""COMPUTED_VALUE"""),"")</f>
        <v/>
      </c>
    </row>
    <row r="2567">
      <c r="A2567" s="36" t="str">
        <f>IFERROR(__xludf.DUMMYFUNCTION("""COMPUTED_VALUE"""),"04-20-13-535")</f>
        <v>04-20-13-535</v>
      </c>
      <c r="B2567" s="36" t="str">
        <f>IFERROR(__xludf.DUMMYFUNCTION("""COMPUTED_VALUE"""),"")</f>
        <v/>
      </c>
      <c r="C2567" s="36" t="str">
        <f>IFERROR(__xludf.DUMMYFUNCTION("""COMPUTED_VALUE"""),"")</f>
        <v/>
      </c>
      <c r="D2567" s="36" t="str">
        <f>IFERROR(__xludf.DUMMYFUNCTION("""COMPUTED_VALUE"""),"")</f>
        <v/>
      </c>
      <c r="E2567" s="36" t="str">
        <f>IFERROR(__xludf.DUMMYFUNCTION("""COMPUTED_VALUE"""),"01-36-07-13")</f>
        <v>01-36-07-13</v>
      </c>
      <c r="F2567" s="36"/>
      <c r="G2567" s="36" t="str">
        <f>IFERROR(__xludf.DUMMYFUNCTION("""COMPUTED_VALUE"""),"Salta y Juan Jufré O")</f>
        <v>Salta y Juan Jufré O</v>
      </c>
      <c r="H2567" s="36" t="str">
        <f>IFERROR(__xludf.DUMMYFUNCTION("""COMPUTED_VALUE"""),"")</f>
        <v/>
      </c>
    </row>
    <row r="2568">
      <c r="A2568" s="36" t="str">
        <f>IFERROR(__xludf.DUMMYFUNCTION("""COMPUTED_VALUE"""),"04-20-13-535A")</f>
        <v>04-20-13-535A</v>
      </c>
      <c r="B2568" s="36" t="str">
        <f>IFERROR(__xludf.DUMMYFUNCTION("""COMPUTED_VALUE"""),"")</f>
        <v/>
      </c>
      <c r="C2568" s="36" t="str">
        <f>IFERROR(__xludf.DUMMYFUNCTION("""COMPUTED_VALUE"""),"")</f>
        <v/>
      </c>
      <c r="D2568" s="36" t="str">
        <f>IFERROR(__xludf.DUMMYFUNCTION("""COMPUTED_VALUE"""),"")</f>
        <v/>
      </c>
      <c r="E2568" s="36" t="str">
        <f>IFERROR(__xludf.DUMMYFUNCTION("""COMPUTED_VALUE"""),"01-42-07-40")</f>
        <v>01-42-07-40</v>
      </c>
      <c r="F2568" s="36"/>
      <c r="G2568" s="36" t="str">
        <f>IFERROR(__xludf.DUMMYFUNCTION("""COMPUTED_VALUE"""),"Salta y Laprida")</f>
        <v>Salta y Laprida</v>
      </c>
      <c r="H2568" s="36" t="str">
        <f>IFERROR(__xludf.DUMMYFUNCTION("""COMPUTED_VALUE"""),"")</f>
        <v/>
      </c>
    </row>
    <row r="2569">
      <c r="A2569" s="36" t="str">
        <f>IFERROR(__xludf.DUMMYFUNCTION("""COMPUTED_VALUE"""),"04-20-13-537")</f>
        <v>04-20-13-537</v>
      </c>
      <c r="B2569" s="36" t="str">
        <f>IFERROR(__xludf.DUMMYFUNCTION("""COMPUTED_VALUE"""),"")</f>
        <v/>
      </c>
      <c r="C2569" s="36" t="str">
        <f>IFERROR(__xludf.DUMMYFUNCTION("""COMPUTED_VALUE"""),"")</f>
        <v/>
      </c>
      <c r="D2569" s="36" t="str">
        <f>IFERROR(__xludf.DUMMYFUNCTION("""COMPUTED_VALUE"""),"")</f>
        <v/>
      </c>
      <c r="E2569" s="36" t="str">
        <f>IFERROR(__xludf.DUMMYFUNCTION("""COMPUTED_VALUE"""),"01-51-07-42")</f>
        <v>01-51-07-42</v>
      </c>
      <c r="F2569" s="36"/>
      <c r="G2569" s="36" t="str">
        <f>IFERROR(__xludf.DUMMYFUNCTION("""COMPUTED_VALUE"""),"Salta y Mitre")</f>
        <v>Salta y Mitre</v>
      </c>
      <c r="H2569" s="36" t="str">
        <f>IFERROR(__xludf.DUMMYFUNCTION("""COMPUTED_VALUE"""),"")</f>
        <v/>
      </c>
    </row>
    <row r="2570">
      <c r="A2570" s="36" t="str">
        <f>IFERROR(__xludf.DUMMYFUNCTION("""COMPUTED_VALUE"""),"04-20-13-539")</f>
        <v>04-20-13-539</v>
      </c>
      <c r="B2570" s="36" t="str">
        <f>IFERROR(__xludf.DUMMYFUNCTION("""COMPUTED_VALUE"""),"")</f>
        <v/>
      </c>
      <c r="C2570" s="36" t="str">
        <f>IFERROR(__xludf.DUMMYFUNCTION("""COMPUTED_VALUE"""),"")</f>
        <v/>
      </c>
      <c r="D2570" s="36" t="str">
        <f>IFERROR(__xludf.DUMMYFUNCTION("""COMPUTED_VALUE"""),"")</f>
        <v/>
      </c>
      <c r="E2570" s="36" t="str">
        <f>IFERROR(__xludf.DUMMYFUNCTION("""COMPUTED_VALUE"""),"08-40-02-4")</f>
        <v>08-40-02-4</v>
      </c>
      <c r="F2570" s="36"/>
      <c r="G2570" s="36" t="str">
        <f>IFERROR(__xludf.DUMMYFUNCTION("""COMPUTED_VALUE"""),"Salta y Patagonia")</f>
        <v>Salta y Patagonia</v>
      </c>
      <c r="H2570" s="36" t="str">
        <f>IFERROR(__xludf.DUMMYFUNCTION("""COMPUTED_VALUE"""),"")</f>
        <v/>
      </c>
    </row>
    <row r="2571">
      <c r="A2571" s="36" t="str">
        <f>IFERROR(__xludf.DUMMYFUNCTION("""COMPUTED_VALUE"""),"04-20-13-540")</f>
        <v>04-20-13-540</v>
      </c>
      <c r="B2571" s="36" t="str">
        <f>IFERROR(__xludf.DUMMYFUNCTION("""COMPUTED_VALUE"""),"")</f>
        <v/>
      </c>
      <c r="C2571" s="36" t="str">
        <f>IFERROR(__xludf.DUMMYFUNCTION("""COMPUTED_VALUE"""),"")</f>
        <v/>
      </c>
      <c r="D2571" s="36" t="str">
        <f>IFERROR(__xludf.DUMMYFUNCTION("""COMPUTED_VALUE"""),"")</f>
        <v/>
      </c>
      <c r="E2571" s="36" t="str">
        <f>IFERROR(__xludf.DUMMYFUNCTION("""COMPUTED_VALUE"""),"01-42-07-3")</f>
        <v>01-42-07-3</v>
      </c>
      <c r="F2571" s="36"/>
      <c r="G2571" s="36" t="str">
        <f>IFERROR(__xludf.DUMMYFUNCTION("""COMPUTED_VALUE"""),"Salta y Pedro Echagüe")</f>
        <v>Salta y Pedro Echagüe</v>
      </c>
      <c r="H2571" s="36" t="str">
        <f>IFERROR(__xludf.DUMMYFUNCTION("""COMPUTED_VALUE"""),"")</f>
        <v/>
      </c>
    </row>
    <row r="2572">
      <c r="A2572" s="36" t="str">
        <f>IFERROR(__xludf.DUMMYFUNCTION("""COMPUTED_VALUE"""),"04-20-13-542")</f>
        <v>04-20-13-542</v>
      </c>
      <c r="B2572" s="36" t="str">
        <f>IFERROR(__xludf.DUMMYFUNCTION("""COMPUTED_VALUE"""),"")</f>
        <v/>
      </c>
      <c r="C2572" s="36" t="str">
        <f>IFERROR(__xludf.DUMMYFUNCTION("""COMPUTED_VALUE"""),"")</f>
        <v/>
      </c>
      <c r="D2572" s="36" t="str">
        <f>IFERROR(__xludf.DUMMYFUNCTION("""COMPUTED_VALUE"""),"")</f>
        <v/>
      </c>
      <c r="E2572" s="36" t="str">
        <f>IFERROR(__xludf.DUMMYFUNCTION("""COMPUTED_VALUE"""),"08-42-02-30")</f>
        <v>08-42-02-30</v>
      </c>
      <c r="F2572" s="36"/>
      <c r="G2572" s="36" t="str">
        <f>IFERROR(__xludf.DUMMYFUNCTION("""COMPUTED_VALUE"""),"Salta y Reconquista E")</f>
        <v>Salta y Reconquista E</v>
      </c>
      <c r="H2572" s="36" t="str">
        <f>IFERROR(__xludf.DUMMYFUNCTION("""COMPUTED_VALUE"""),"")</f>
        <v/>
      </c>
    </row>
    <row r="2573">
      <c r="A2573" s="36" t="str">
        <f>IFERROR(__xludf.DUMMYFUNCTION("""COMPUTED_VALUE"""),"04-20-13-8")</f>
        <v>04-20-13-8</v>
      </c>
      <c r="B2573" s="36" t="str">
        <f>IFERROR(__xludf.DUMMYFUNCTION("""COMPUTED_VALUE"""),"")</f>
        <v/>
      </c>
      <c r="C2573" s="36" t="str">
        <f>IFERROR(__xludf.DUMMYFUNCTION("""COMPUTED_VALUE"""),"")</f>
        <v/>
      </c>
      <c r="D2573" s="36" t="str">
        <f>IFERROR(__xludf.DUMMYFUNCTION("""COMPUTED_VALUE"""),"ERROR DE ID")</f>
        <v>ERROR DE ID</v>
      </c>
      <c r="E2573" s="36" t="str">
        <f>IFERROR(__xludf.DUMMYFUNCTION("""COMPUTED_VALUE"""),"08-38-02-29")</f>
        <v>08-38-02-29</v>
      </c>
      <c r="F2573" s="36"/>
      <c r="G2573" s="36" t="str">
        <f>IFERROR(__xludf.DUMMYFUNCTION("""COMPUTED_VALUE"""),"Salta y Reconquista O")</f>
        <v>Salta y Reconquista O</v>
      </c>
      <c r="H2573" s="36" t="str">
        <f>IFERROR(__xludf.DUMMYFUNCTION("""COMPUTED_VALUE"""),"")</f>
        <v/>
      </c>
    </row>
    <row r="2574">
      <c r="A2574" s="36" t="str">
        <f>IFERROR(__xludf.DUMMYFUNCTION("""COMPUTED_VALUE"""),"04-20-13-8")</f>
        <v>04-20-13-8</v>
      </c>
      <c r="B2574" s="36" t="str">
        <f>IFERROR(__xludf.DUMMYFUNCTION("""COMPUTED_VALUE"""),"")</f>
        <v/>
      </c>
      <c r="C2574" s="36" t="str">
        <f>IFERROR(__xludf.DUMMYFUNCTION("""COMPUTED_VALUE"""),"")</f>
        <v/>
      </c>
      <c r="D2574" s="36" t="str">
        <f>IFERROR(__xludf.DUMMYFUNCTION("""COMPUTED_VALUE"""),"")</f>
        <v/>
      </c>
      <c r="E2574" s="36" t="str">
        <f>IFERROR(__xludf.DUMMYFUNCTION("""COMPUTED_VALUE"""),"08-42-02-2")</f>
        <v>08-42-02-2</v>
      </c>
      <c r="F2574" s="36"/>
      <c r="G2574" s="36" t="str">
        <f>IFERROR(__xludf.DUMMYFUNCTION("""COMPUTED_VALUE"""),"Salta y Río Negro E")</f>
        <v>Salta y Río Negro E</v>
      </c>
      <c r="H2574" s="36" t="str">
        <f>IFERROR(__xludf.DUMMYFUNCTION("""COMPUTED_VALUE"""),"")</f>
        <v/>
      </c>
    </row>
    <row r="2575">
      <c r="A2575" s="36" t="str">
        <f>IFERROR(__xludf.DUMMYFUNCTION("""COMPUTED_VALUE"""),"04-20-13-8B")</f>
        <v>04-20-13-8B</v>
      </c>
      <c r="B2575" s="36" t="str">
        <f>IFERROR(__xludf.DUMMYFUNCTION("""COMPUTED_VALUE"""),"")</f>
        <v/>
      </c>
      <c r="C2575" s="36" t="str">
        <f>IFERROR(__xludf.DUMMYFUNCTION("""COMPUTED_VALUE"""),"")</f>
        <v/>
      </c>
      <c r="D2575" s="36" t="str">
        <f>IFERROR(__xludf.DUMMYFUNCTION("""COMPUTED_VALUE"""),"")</f>
        <v/>
      </c>
      <c r="E2575" s="36" t="str">
        <f>IFERROR(__xludf.DUMMYFUNCTION("""COMPUTED_VALUE"""),"08-40-02-3")</f>
        <v>08-40-02-3</v>
      </c>
      <c r="F2575" s="36"/>
      <c r="G2575" s="36" t="str">
        <f>IFERROR(__xludf.DUMMYFUNCTION("""COMPUTED_VALUE"""),"Salta y Río Negro O")</f>
        <v>Salta y Río Negro O</v>
      </c>
      <c r="H2575" s="36" t="str">
        <f>IFERROR(__xludf.DUMMYFUNCTION("""COMPUTED_VALUE"""),"")</f>
        <v/>
      </c>
    </row>
    <row r="2576">
      <c r="A2576" s="36" t="str">
        <f>IFERROR(__xludf.DUMMYFUNCTION("""COMPUTED_VALUE"""),"04-21-13-148")</f>
        <v>04-21-13-148</v>
      </c>
      <c r="B2576" s="36" t="str">
        <f>IFERROR(__xludf.DUMMYFUNCTION("""COMPUTED_VALUE"""),"")</f>
        <v/>
      </c>
      <c r="C2576" s="36" t="str">
        <f>IFERROR(__xludf.DUMMYFUNCTION("""COMPUTED_VALUE"""),"")</f>
        <v/>
      </c>
      <c r="D2576" s="36" t="str">
        <f>IFERROR(__xludf.DUMMYFUNCTION("""COMPUTED_VALUE"""),"")</f>
        <v/>
      </c>
      <c r="E2576" s="36" t="str">
        <f>IFERROR(__xludf.DUMMYFUNCTION("""COMPUTED_VALUE"""),"08-21-02-38")</f>
        <v>08-21-02-38</v>
      </c>
      <c r="F2576" s="36"/>
      <c r="G2576" s="36" t="str">
        <f>IFERROR(__xludf.DUMMYFUNCTION("""COMPUTED_VALUE"""),"Salta y Rivadavia")</f>
        <v>Salta y Rivadavia</v>
      </c>
      <c r="H2576" s="36" t="str">
        <f>IFERROR(__xludf.DUMMYFUNCTION("""COMPUTED_VALUE"""),"NOMBRE")</f>
        <v>NOMBRE</v>
      </c>
    </row>
    <row r="2577">
      <c r="A2577" s="36" t="str">
        <f>IFERROR(__xludf.DUMMYFUNCTION("""COMPUTED_VALUE"""),"04-21-13-150")</f>
        <v>04-21-13-150</v>
      </c>
      <c r="B2577" s="36" t="str">
        <f>IFERROR(__xludf.DUMMYFUNCTION("""COMPUTED_VALUE"""),"")</f>
        <v/>
      </c>
      <c r="C2577" s="36" t="str">
        <f>IFERROR(__xludf.DUMMYFUNCTION("""COMPUTED_VALUE"""),"")</f>
        <v/>
      </c>
      <c r="D2577" s="36" t="str">
        <f>IFERROR(__xludf.DUMMYFUNCTION("""COMPUTED_VALUE"""),"")</f>
        <v/>
      </c>
      <c r="E2577" s="36" t="str">
        <f>IFERROR(__xludf.DUMMYFUNCTION("""COMPUTED_VALUE"""),"01-42-07-41")</f>
        <v>01-42-07-41</v>
      </c>
      <c r="F2577" s="36"/>
      <c r="G2577" s="36" t="str">
        <f>IFERROR(__xludf.DUMMYFUNCTION("""COMPUTED_VALUE"""),"Salta y Rivadavia")</f>
        <v>Salta y Rivadavia</v>
      </c>
      <c r="H2577" s="36" t="str">
        <f>IFERROR(__xludf.DUMMYFUNCTION("""COMPUTED_VALUE"""),"")</f>
        <v/>
      </c>
    </row>
    <row r="2578">
      <c r="A2578" s="36" t="str">
        <f>IFERROR(__xludf.DUMMYFUNCTION("""COMPUTED_VALUE"""),"04-21-13-152")</f>
        <v>04-21-13-152</v>
      </c>
      <c r="B2578" s="36" t="str">
        <f>IFERROR(__xludf.DUMMYFUNCTION("""COMPUTED_VALUE"""),"")</f>
        <v/>
      </c>
      <c r="C2578" s="36" t="str">
        <f>IFERROR(__xludf.DUMMYFUNCTION("""COMPUTED_VALUE"""),"")</f>
        <v/>
      </c>
      <c r="D2578" s="36" t="str">
        <f>IFERROR(__xludf.DUMMYFUNCTION("""COMPUTED_VALUE"""),"")</f>
        <v/>
      </c>
      <c r="E2578" s="36" t="str">
        <f>IFERROR(__xludf.DUMMYFUNCTION("""COMPUTED_VALUE"""),"08-28-02-37")</f>
        <v>08-28-02-37</v>
      </c>
      <c r="F2578" s="36"/>
      <c r="G2578" s="36" t="str">
        <f>IFERROR(__xludf.DUMMYFUNCTION("""COMPUTED_VALUE"""),"Salta y Rodríguez")</f>
        <v>Salta y Rodríguez</v>
      </c>
      <c r="H2578" s="36" t="str">
        <f>IFERROR(__xludf.DUMMYFUNCTION("""COMPUTED_VALUE"""),"")</f>
        <v/>
      </c>
    </row>
    <row r="2579">
      <c r="A2579" s="36" t="str">
        <f>IFERROR(__xludf.DUMMYFUNCTION("""COMPUTED_VALUE"""),"04-21-13-162")</f>
        <v>04-21-13-162</v>
      </c>
      <c r="B2579" s="36" t="str">
        <f>IFERROR(__xludf.DUMMYFUNCTION("""COMPUTED_VALUE"""),"")</f>
        <v/>
      </c>
      <c r="C2579" s="36" t="str">
        <f>IFERROR(__xludf.DUMMYFUNCTION("""COMPUTED_VALUE"""),"")</f>
        <v/>
      </c>
      <c r="D2579" s="36" t="str">
        <f>IFERROR(__xludf.DUMMYFUNCTION("""COMPUTED_VALUE"""),"")</f>
        <v/>
      </c>
      <c r="E2579" s="36" t="str">
        <f>IFERROR(__xludf.DUMMYFUNCTION("""COMPUTED_VALUE"""),"08-40-02-27")</f>
        <v>08-40-02-27</v>
      </c>
      <c r="F2579" s="36"/>
      <c r="G2579" s="36" t="str">
        <f>IFERROR(__xludf.DUMMYFUNCTION("""COMPUTED_VALUE"""),"Salta y Saavedra")</f>
        <v>Salta y Saavedra</v>
      </c>
      <c r="H2579" s="36" t="str">
        <f>IFERROR(__xludf.DUMMYFUNCTION("""COMPUTED_VALUE"""),"")</f>
        <v/>
      </c>
    </row>
    <row r="2580">
      <c r="A2580" s="36" t="str">
        <f>IFERROR(__xludf.DUMMYFUNCTION("""COMPUTED_VALUE"""),"04-21-13-162A")</f>
        <v>04-21-13-162A</v>
      </c>
      <c r="B2580" s="36" t="str">
        <f>IFERROR(__xludf.DUMMYFUNCTION("""COMPUTED_VALUE"""),"")</f>
        <v/>
      </c>
      <c r="C2580" s="36" t="str">
        <f>IFERROR(__xludf.DUMMYFUNCTION("""COMPUTED_VALUE"""),"")</f>
        <v/>
      </c>
      <c r="D2580" s="36" t="str">
        <f>IFERROR(__xludf.DUMMYFUNCTION("""COMPUTED_VALUE"""),"")</f>
        <v/>
      </c>
      <c r="E2580" s="36" t="str">
        <f>IFERROR(__xludf.DUMMYFUNCTION("""COMPUTED_VALUE"""),"01-28-07-19")</f>
        <v>01-28-07-19</v>
      </c>
      <c r="F2580" s="36"/>
      <c r="G2580" s="36" t="str">
        <f>IFERROR(__xludf.DUMMYFUNCTION("""COMPUTED_VALUE"""),"Salta y Sargento Cabral")</f>
        <v>Salta y Sargento Cabral</v>
      </c>
      <c r="H2580" s="36" t="str">
        <f>IFERROR(__xludf.DUMMYFUNCTION("""COMPUTED_VALUE"""),"")</f>
        <v/>
      </c>
    </row>
    <row r="2581">
      <c r="A2581" s="36" t="str">
        <f>IFERROR(__xludf.DUMMYFUNCTION("""COMPUTED_VALUE"""),"04-21-13-163")</f>
        <v>04-21-13-163</v>
      </c>
      <c r="B2581" s="36" t="str">
        <f>IFERROR(__xludf.DUMMYFUNCTION("""COMPUTED_VALUE"""),"")</f>
        <v/>
      </c>
      <c r="C2581" s="36" t="str">
        <f>IFERROR(__xludf.DUMMYFUNCTION("""COMPUTED_VALUE"""),"")</f>
        <v/>
      </c>
      <c r="D2581" s="36" t="str">
        <f>IFERROR(__xludf.DUMMYFUNCTION("""COMPUTED_VALUE"""),"")</f>
        <v/>
      </c>
      <c r="E2581" s="36" t="str">
        <f>IFERROR(__xludf.DUMMYFUNCTION("""COMPUTED_VALUE"""),"08-42-02-26")</f>
        <v>08-42-02-26</v>
      </c>
      <c r="F2581" s="36"/>
      <c r="G2581" s="36" t="str">
        <f>IFERROR(__xludf.DUMMYFUNCTION("""COMPUTED_VALUE"""),"Salta y Sgto. Cabral E")</f>
        <v>Salta y Sgto. Cabral E</v>
      </c>
      <c r="H2581" s="36" t="str">
        <f>IFERROR(__xludf.DUMMYFUNCTION("""COMPUTED_VALUE"""),"")</f>
        <v/>
      </c>
    </row>
    <row r="2582">
      <c r="A2582" s="36" t="str">
        <f>IFERROR(__xludf.DUMMYFUNCTION("""COMPUTED_VALUE"""),"04-21-13-164")</f>
        <v>04-21-13-164</v>
      </c>
      <c r="B2582" s="36" t="str">
        <f>IFERROR(__xludf.DUMMYFUNCTION("""COMPUTED_VALUE"""),"")</f>
        <v/>
      </c>
      <c r="C2582" s="36" t="str">
        <f>IFERROR(__xludf.DUMMYFUNCTION("""COMPUTED_VALUE"""),"")</f>
        <v/>
      </c>
      <c r="D2582" s="36" t="str">
        <f>IFERROR(__xludf.DUMMYFUNCTION("""COMPUTED_VALUE"""),"")</f>
        <v/>
      </c>
      <c r="E2582" s="36" t="str">
        <f>IFERROR(__xludf.DUMMYFUNCTION("""COMPUTED_VALUE"""),"08-38-02-25")</f>
        <v>08-38-02-25</v>
      </c>
      <c r="F2582" s="36"/>
      <c r="G2582" s="36" t="str">
        <f>IFERROR(__xludf.DUMMYFUNCTION("""COMPUTED_VALUE"""),"Salta y Sgto. Cabral O")</f>
        <v>Salta y Sgto. Cabral O</v>
      </c>
      <c r="H2582" s="36" t="str">
        <f>IFERROR(__xludf.DUMMYFUNCTION("""COMPUTED_VALUE"""),"")</f>
        <v/>
      </c>
    </row>
    <row r="2583">
      <c r="A2583" s="36" t="str">
        <f>IFERROR(__xludf.DUMMYFUNCTION("""COMPUTED_VALUE"""),"04-21-13-165")</f>
        <v>04-21-13-165</v>
      </c>
      <c r="B2583" s="36" t="str">
        <f>IFERROR(__xludf.DUMMYFUNCTION("""COMPUTED_VALUE"""),"")</f>
        <v/>
      </c>
      <c r="C2583" s="36" t="str">
        <f>IFERROR(__xludf.DUMMYFUNCTION("""COMPUTED_VALUE"""),"")</f>
        <v/>
      </c>
      <c r="D2583" s="36" t="str">
        <f>IFERROR(__xludf.DUMMYFUNCTION("""COMPUTED_VALUE"""),"")</f>
        <v/>
      </c>
      <c r="E2583" s="36" t="str">
        <f>IFERROR(__xludf.DUMMYFUNCTION("""COMPUTED_VALUE"""),"08-38-02-36")</f>
        <v>08-38-02-36</v>
      </c>
      <c r="F2583" s="36"/>
      <c r="G2583" s="36" t="str">
        <f>IFERROR(__xludf.DUMMYFUNCTION("""COMPUTED_VALUE"""),"Salta y Sta. M. de Oro")</f>
        <v>Salta y Sta. M. de Oro</v>
      </c>
      <c r="H2583" s="36" t="str">
        <f>IFERROR(__xludf.DUMMYFUNCTION("""COMPUTED_VALUE"""),"")</f>
        <v/>
      </c>
    </row>
    <row r="2584">
      <c r="A2584" s="36" t="str">
        <f>IFERROR(__xludf.DUMMYFUNCTION("""COMPUTED_VALUE"""),"04-21-13-167")</f>
        <v>04-21-13-167</v>
      </c>
      <c r="B2584" s="36" t="str">
        <f>IFERROR(__xludf.DUMMYFUNCTION("""COMPUTED_VALUE"""),"")</f>
        <v/>
      </c>
      <c r="C2584" s="36" t="str">
        <f>IFERROR(__xludf.DUMMYFUNCTION("""COMPUTED_VALUE"""),"")</f>
        <v/>
      </c>
      <c r="D2584" s="36" t="str">
        <f>IFERROR(__xludf.DUMMYFUNCTION("""COMPUTED_VALUE"""),"")</f>
        <v/>
      </c>
      <c r="E2584" s="36" t="str">
        <f>IFERROR(__xludf.DUMMYFUNCTION("""COMPUTED_VALUE"""),"01-34-07-130")</f>
        <v>01-34-07-130</v>
      </c>
      <c r="F2584" s="36"/>
      <c r="G2584" s="36" t="str">
        <f>IFERROR(__xludf.DUMMYFUNCTION("""COMPUTED_VALUE"""),"Salud Universitaria UNSJ")</f>
        <v>Salud Universitaria UNSJ</v>
      </c>
      <c r="H2584" s="36" t="str">
        <f>IFERROR(__xludf.DUMMYFUNCTION("""COMPUTED_VALUE"""),"")</f>
        <v/>
      </c>
    </row>
    <row r="2585">
      <c r="A2585" s="36" t="str">
        <f>IFERROR(__xludf.DUMMYFUNCTION("""COMPUTED_VALUE"""),"04-21-13-168")</f>
        <v>04-21-13-168</v>
      </c>
      <c r="B2585" s="36" t="str">
        <f>IFERROR(__xludf.DUMMYFUNCTION("""COMPUTED_VALUE"""),"")</f>
        <v/>
      </c>
      <c r="C2585" s="36" t="str">
        <f>IFERROR(__xludf.DUMMYFUNCTION("""COMPUTED_VALUE"""),"")</f>
        <v/>
      </c>
      <c r="D2585" s="36" t="str">
        <f>IFERROR(__xludf.DUMMYFUNCTION("""COMPUTED_VALUE"""),"")</f>
        <v/>
      </c>
      <c r="E2585" s="36" t="str">
        <f>IFERROR(__xludf.DUMMYFUNCTION("""COMPUTED_VALUE"""),"04-32-13-428")</f>
        <v>04-32-13-428</v>
      </c>
      <c r="F2585" s="36"/>
      <c r="G2585" s="36" t="str">
        <f>IFERROR(__xludf.DUMMYFUNCTION("""COMPUTED_VALUE"""),"Salvador del Carril y Gdor. Castro")</f>
        <v>Salvador del Carril y Gdor. Castro</v>
      </c>
      <c r="H2585" s="36" t="str">
        <f>IFERROR(__xludf.DUMMYFUNCTION("""COMPUTED_VALUE"""),"")</f>
        <v/>
      </c>
    </row>
    <row r="2586">
      <c r="A2586" s="36" t="str">
        <f>IFERROR(__xludf.DUMMYFUNCTION("""COMPUTED_VALUE"""),"04-21-13-169")</f>
        <v>04-21-13-169</v>
      </c>
      <c r="B2586" s="36" t="str">
        <f>IFERROR(__xludf.DUMMYFUNCTION("""COMPUTED_VALUE"""),"")</f>
        <v/>
      </c>
      <c r="C2586" s="36" t="str">
        <f>IFERROR(__xludf.DUMMYFUNCTION("""COMPUTED_VALUE"""),"")</f>
        <v/>
      </c>
      <c r="D2586" s="36" t="str">
        <f>IFERROR(__xludf.DUMMYFUNCTION("""COMPUTED_VALUE"""),"")</f>
        <v/>
      </c>
      <c r="E2586" s="36" t="str">
        <f>IFERROR(__xludf.DUMMYFUNCTION("""COMPUTED_VALUE"""),"04-32-13-436")</f>
        <v>04-32-13-436</v>
      </c>
      <c r="F2586" s="36"/>
      <c r="G2586" s="36" t="str">
        <f>IFERROR(__xludf.DUMMYFUNCTION("""COMPUTED_VALUE"""),"Salvador del Carril y José Dolores -E")</f>
        <v>Salvador del Carril y José Dolores -E</v>
      </c>
      <c r="H2586" s="36" t="str">
        <f>IFERROR(__xludf.DUMMYFUNCTION("""COMPUTED_VALUE"""),"")</f>
        <v/>
      </c>
    </row>
    <row r="2587">
      <c r="A2587" s="36" t="str">
        <f>IFERROR(__xludf.DUMMYFUNCTION("""COMPUTED_VALUE"""),"04-21-13-170")</f>
        <v>04-21-13-170</v>
      </c>
      <c r="B2587" s="36" t="str">
        <f>IFERROR(__xludf.DUMMYFUNCTION("""COMPUTED_VALUE"""),"")</f>
        <v/>
      </c>
      <c r="C2587" s="36" t="str">
        <f>IFERROR(__xludf.DUMMYFUNCTION("""COMPUTED_VALUE"""),"")</f>
        <v/>
      </c>
      <c r="D2587" s="36" t="str">
        <f>IFERROR(__xludf.DUMMYFUNCTION("""COMPUTED_VALUE"""),"")</f>
        <v/>
      </c>
      <c r="E2587" s="36" t="str">
        <f>IFERROR(__xludf.DUMMYFUNCTION("""COMPUTED_VALUE"""),"04-32-13-437")</f>
        <v>04-32-13-437</v>
      </c>
      <c r="F2587" s="36"/>
      <c r="G2587" s="36" t="str">
        <f>IFERROR(__xludf.DUMMYFUNCTION("""COMPUTED_VALUE"""),"Salvador del Carril y José Dolores -O")</f>
        <v>Salvador del Carril y José Dolores -O</v>
      </c>
      <c r="H2587" s="36" t="str">
        <f>IFERROR(__xludf.DUMMYFUNCTION("""COMPUTED_VALUE"""),"")</f>
        <v/>
      </c>
    </row>
    <row r="2588">
      <c r="A2588" s="36" t="str">
        <f>IFERROR(__xludf.DUMMYFUNCTION("""COMPUTED_VALUE"""),"04-21-13-201")</f>
        <v>04-21-13-201</v>
      </c>
      <c r="B2588" s="36" t="str">
        <f>IFERROR(__xludf.DUMMYFUNCTION("""COMPUTED_VALUE"""),"")</f>
        <v/>
      </c>
      <c r="C2588" s="36" t="str">
        <f>IFERROR(__xludf.DUMMYFUNCTION("""COMPUTED_VALUE"""),"")</f>
        <v/>
      </c>
      <c r="D2588" s="36" t="str">
        <f>IFERROR(__xludf.DUMMYFUNCTION("""COMPUTED_VALUE"""),"")</f>
        <v/>
      </c>
      <c r="E2588" s="36" t="str">
        <f>IFERROR(__xludf.DUMMYFUNCTION("""COMPUTED_VALUE"""),"04-32-13-433")</f>
        <v>04-32-13-433</v>
      </c>
      <c r="F2588" s="36"/>
      <c r="G2588" s="36" t="str">
        <f>IFERROR(__xludf.DUMMYFUNCTION("""COMPUTED_VALUE"""),"Salvador del Carril y Jujuy -N")</f>
        <v>Salvador del Carril y Jujuy -N</v>
      </c>
      <c r="H2588" s="36" t="str">
        <f>IFERROR(__xludf.DUMMYFUNCTION("""COMPUTED_VALUE"""),"")</f>
        <v/>
      </c>
    </row>
    <row r="2589">
      <c r="A2589" s="36" t="str">
        <f>IFERROR(__xludf.DUMMYFUNCTION("""COMPUTED_VALUE"""),"04-21-13-26")</f>
        <v>04-21-13-26</v>
      </c>
      <c r="B2589" s="36" t="str">
        <f>IFERROR(__xludf.DUMMYFUNCTION("""COMPUTED_VALUE"""),"")</f>
        <v/>
      </c>
      <c r="C2589" s="36" t="str">
        <f>IFERROR(__xludf.DUMMYFUNCTION("""COMPUTED_VALUE"""),"")</f>
        <v/>
      </c>
      <c r="D2589" s="36" t="str">
        <f>IFERROR(__xludf.DUMMYFUNCTION("""COMPUTED_VALUE"""),"")</f>
        <v/>
      </c>
      <c r="E2589" s="36" t="str">
        <f>IFERROR(__xludf.DUMMYFUNCTION("""COMPUTED_VALUE"""),"04-32-13-432")</f>
        <v>04-32-13-432</v>
      </c>
      <c r="F2589" s="36"/>
      <c r="G2589" s="36" t="str">
        <f>IFERROR(__xludf.DUMMYFUNCTION("""COMPUTED_VALUE"""),"Salvador del Carril y Jujuy -S")</f>
        <v>Salvador del Carril y Jujuy -S</v>
      </c>
      <c r="H2589" s="36" t="str">
        <f>IFERROR(__xludf.DUMMYFUNCTION("""COMPUTED_VALUE"""),"")</f>
        <v/>
      </c>
    </row>
    <row r="2590">
      <c r="A2590" s="36" t="str">
        <f>IFERROR(__xludf.DUMMYFUNCTION("""COMPUTED_VALUE"""),"04-21-13-28")</f>
        <v>04-21-13-28</v>
      </c>
      <c r="B2590" s="36" t="str">
        <f>IFERROR(__xludf.DUMMYFUNCTION("""COMPUTED_VALUE"""),"")</f>
        <v/>
      </c>
      <c r="C2590" s="36" t="str">
        <f>IFERROR(__xludf.DUMMYFUNCTION("""COMPUTED_VALUE"""),"")</f>
        <v/>
      </c>
      <c r="D2590" s="36" t="str">
        <f>IFERROR(__xludf.DUMMYFUNCTION("""COMPUTED_VALUE"""),"")</f>
        <v/>
      </c>
      <c r="E2590" s="36" t="str">
        <f>IFERROR(__xludf.DUMMYFUNCTION("""COMPUTED_VALUE"""),"04-32-13-431")</f>
        <v>04-32-13-431</v>
      </c>
      <c r="F2590" s="36"/>
      <c r="G2590" s="36" t="str">
        <f>IFERROR(__xludf.DUMMYFUNCTION("""COMPUTED_VALUE"""),"Salvador del Carril y Laprida -N")</f>
        <v>Salvador del Carril y Laprida -N</v>
      </c>
      <c r="H2590" s="36" t="str">
        <f>IFERROR(__xludf.DUMMYFUNCTION("""COMPUTED_VALUE"""),"")</f>
        <v/>
      </c>
    </row>
    <row r="2591">
      <c r="A2591" s="36" t="str">
        <f>IFERROR(__xludf.DUMMYFUNCTION("""COMPUTED_VALUE"""),"04-21-13-30")</f>
        <v>04-21-13-30</v>
      </c>
      <c r="B2591" s="36" t="str">
        <f>IFERROR(__xludf.DUMMYFUNCTION("""COMPUTED_VALUE"""),"")</f>
        <v/>
      </c>
      <c r="C2591" s="36" t="str">
        <f>IFERROR(__xludf.DUMMYFUNCTION("""COMPUTED_VALUE"""),"")</f>
        <v/>
      </c>
      <c r="D2591" s="36" t="str">
        <f>IFERROR(__xludf.DUMMYFUNCTION("""COMPUTED_VALUE"""),"")</f>
        <v/>
      </c>
      <c r="E2591" s="36" t="str">
        <f>IFERROR(__xludf.DUMMYFUNCTION("""COMPUTED_VALUE"""),"04-32-13-430")</f>
        <v>04-32-13-430</v>
      </c>
      <c r="F2591" s="36"/>
      <c r="G2591" s="36" t="str">
        <f>IFERROR(__xludf.DUMMYFUNCTION("""COMPUTED_VALUE"""),"Salvador del Carril y Laprida -S")</f>
        <v>Salvador del Carril y Laprida -S</v>
      </c>
      <c r="H2591" s="36" t="str">
        <f>IFERROR(__xludf.DUMMYFUNCTION("""COMPUTED_VALUE"""),"")</f>
        <v/>
      </c>
    </row>
    <row r="2592">
      <c r="A2592" s="36" t="str">
        <f>IFERROR(__xludf.DUMMYFUNCTION("""COMPUTED_VALUE"""),"04-21-13-34")</f>
        <v>04-21-13-34</v>
      </c>
      <c r="B2592" s="36" t="str">
        <f>IFERROR(__xludf.DUMMYFUNCTION("""COMPUTED_VALUE"""),"")</f>
        <v/>
      </c>
      <c r="C2592" s="36" t="str">
        <f>IFERROR(__xludf.DUMMYFUNCTION("""COMPUTED_VALUE"""),"")</f>
        <v/>
      </c>
      <c r="D2592" s="36" t="str">
        <f>IFERROR(__xludf.DUMMYFUNCTION("""COMPUTED_VALUE"""),"")</f>
        <v/>
      </c>
      <c r="E2592" s="36" t="str">
        <f>IFERROR(__xludf.DUMMYFUNCTION("""COMPUTED_VALUE"""),"04-32-13-429")</f>
        <v>04-32-13-429</v>
      </c>
      <c r="F2592" s="36"/>
      <c r="G2592" s="36" t="str">
        <f>IFERROR(__xludf.DUMMYFUNCTION("""COMPUTED_VALUE"""),"Salvador del Carril y Perona")</f>
        <v>Salvador del Carril y Perona</v>
      </c>
      <c r="H2592" s="36" t="str">
        <f>IFERROR(__xludf.DUMMYFUNCTION("""COMPUTED_VALUE"""),"")</f>
        <v/>
      </c>
    </row>
    <row r="2593">
      <c r="A2593" s="36" t="str">
        <f>IFERROR(__xludf.DUMMYFUNCTION("""COMPUTED_VALUE"""),"04-21-13-446")</f>
        <v>04-21-13-446</v>
      </c>
      <c r="B2593" s="36" t="str">
        <f>IFERROR(__xludf.DUMMYFUNCTION("""COMPUTED_VALUE"""),"")</f>
        <v/>
      </c>
      <c r="C2593" s="36" t="str">
        <f>IFERROR(__xludf.DUMMYFUNCTION("""COMPUTED_VALUE"""),"")</f>
        <v/>
      </c>
      <c r="D2593" s="36" t="str">
        <f>IFERROR(__xludf.DUMMYFUNCTION("""COMPUTED_VALUE"""),"")</f>
        <v/>
      </c>
      <c r="E2593" s="36" t="str">
        <f>IFERROR(__xludf.DUMMYFUNCTION("""COMPUTED_VALUE"""),"04-32-13-435")</f>
        <v>04-32-13-435</v>
      </c>
      <c r="F2593" s="36"/>
      <c r="G2593" s="36" t="str">
        <f>IFERROR(__xludf.DUMMYFUNCTION("""COMPUTED_VALUE"""),"Salvador del Carril y Río Negro -N")</f>
        <v>Salvador del Carril y Río Negro -N</v>
      </c>
      <c r="H2593" s="36" t="str">
        <f>IFERROR(__xludf.DUMMYFUNCTION("""COMPUTED_VALUE"""),"")</f>
        <v/>
      </c>
    </row>
    <row r="2594">
      <c r="A2594" s="36" t="str">
        <f>IFERROR(__xludf.DUMMYFUNCTION("""COMPUTED_VALUE"""),"04-21-13-447")</f>
        <v>04-21-13-447</v>
      </c>
      <c r="B2594" s="36" t="str">
        <f>IFERROR(__xludf.DUMMYFUNCTION("""COMPUTED_VALUE"""),"")</f>
        <v/>
      </c>
      <c r="C2594" s="36" t="str">
        <f>IFERROR(__xludf.DUMMYFUNCTION("""COMPUTED_VALUE"""),"")</f>
        <v/>
      </c>
      <c r="D2594" s="36" t="str">
        <f>IFERROR(__xludf.DUMMYFUNCTION("""COMPUTED_VALUE"""),"")</f>
        <v/>
      </c>
      <c r="E2594" s="36" t="str">
        <f>IFERROR(__xludf.DUMMYFUNCTION("""COMPUTED_VALUE"""),"04-32-13-434")</f>
        <v>04-32-13-434</v>
      </c>
      <c r="F2594" s="36"/>
      <c r="G2594" s="36" t="str">
        <f>IFERROR(__xludf.DUMMYFUNCTION("""COMPUTED_VALUE"""),"Salvador del Carril y Río Negro -S")</f>
        <v>Salvador del Carril y Río Negro -S</v>
      </c>
      <c r="H2594" s="36" t="str">
        <f>IFERROR(__xludf.DUMMYFUNCTION("""COMPUTED_VALUE"""),"")</f>
        <v/>
      </c>
    </row>
    <row r="2595">
      <c r="A2595" s="36" t="str">
        <f>IFERROR(__xludf.DUMMYFUNCTION("""COMPUTED_VALUE"""),"04-21-13-448")</f>
        <v>04-21-13-448</v>
      </c>
      <c r="B2595" s="36" t="str">
        <f>IFERROR(__xludf.DUMMYFUNCTION("""COMPUTED_VALUE"""),"")</f>
        <v/>
      </c>
      <c r="C2595" s="36" t="str">
        <f>IFERROR(__xludf.DUMMYFUNCTION("""COMPUTED_VALUE"""),"")</f>
        <v/>
      </c>
      <c r="D2595" s="36" t="str">
        <f>IFERROR(__xludf.DUMMYFUNCTION("""COMPUTED_VALUE"""),"")</f>
        <v/>
      </c>
      <c r="E2595" s="36" t="str">
        <f>IFERROR(__xludf.DUMMYFUNCTION("""COMPUTED_VALUE"""),"01-66-13-159")</f>
        <v>01-66-13-159</v>
      </c>
      <c r="F2595" s="36"/>
      <c r="G2595" s="36" t="str">
        <f>IFERROR(__xludf.DUMMYFUNCTION("""COMPUTED_VALUE"""),"San Francisco del Monte y Mendoza")</f>
        <v>San Francisco del Monte y Mendoza</v>
      </c>
      <c r="H2595" s="36" t="str">
        <f>IFERROR(__xludf.DUMMYFUNCTION("""COMPUTED_VALUE"""),"")</f>
        <v/>
      </c>
    </row>
    <row r="2596">
      <c r="A2596" s="36" t="str">
        <f>IFERROR(__xludf.DUMMYFUNCTION("""COMPUTED_VALUE"""),"04-21-13-449")</f>
        <v>04-21-13-449</v>
      </c>
      <c r="B2596" s="36" t="str">
        <f>IFERROR(__xludf.DUMMYFUNCTION("""COMPUTED_VALUE"""),"")</f>
        <v/>
      </c>
      <c r="C2596" s="36" t="str">
        <f>IFERROR(__xludf.DUMMYFUNCTION("""COMPUTED_VALUE"""),"")</f>
        <v/>
      </c>
      <c r="D2596" s="36" t="str">
        <f>IFERROR(__xludf.DUMMYFUNCTION("""COMPUTED_VALUE"""),"")</f>
        <v/>
      </c>
      <c r="E2596" s="36" t="str">
        <f>IFERROR(__xludf.DUMMYFUNCTION("""COMPUTED_VALUE"""),"01-61-13-157")</f>
        <v>01-61-13-157</v>
      </c>
      <c r="F2596" s="36"/>
      <c r="G2596" s="36" t="str">
        <f>IFERROR(__xludf.DUMMYFUNCTION("""COMPUTED_VALUE"""),"San Francisco del Monte y Sarmiento")</f>
        <v>San Francisco del Monte y Sarmiento</v>
      </c>
      <c r="H2596" s="36" t="str">
        <f>IFERROR(__xludf.DUMMYFUNCTION("""COMPUTED_VALUE"""),"")</f>
        <v/>
      </c>
    </row>
    <row r="2597">
      <c r="A2597" s="36" t="str">
        <f>IFERROR(__xludf.DUMMYFUNCTION("""COMPUTED_VALUE"""),"04-21-13-450")</f>
        <v>04-21-13-450</v>
      </c>
      <c r="B2597" s="36" t="str">
        <f>IFERROR(__xludf.DUMMYFUNCTION("""COMPUTED_VALUE"""),"")</f>
        <v/>
      </c>
      <c r="C2597" s="36" t="str">
        <f>IFERROR(__xludf.DUMMYFUNCTION("""COMPUTED_VALUE"""),"")</f>
        <v/>
      </c>
      <c r="D2597" s="36" t="str">
        <f>IFERROR(__xludf.DUMMYFUNCTION("""COMPUTED_VALUE"""),"")</f>
        <v/>
      </c>
      <c r="E2597" s="36" t="str">
        <f>IFERROR(__xludf.DUMMYFUNCTION("""COMPUTED_VALUE"""),"03-33-10-56B")</f>
        <v>03-33-10-56B</v>
      </c>
      <c r="F2597" s="36"/>
      <c r="G2597" s="36" t="str">
        <f>IFERROR(__xludf.DUMMYFUNCTION("""COMPUTED_VALUE"""),"San Francisco y Aburnio Verd Este")</f>
        <v>San Francisco y Aburnio Verd Este</v>
      </c>
      <c r="H2597" s="36" t="str">
        <f>IFERROR(__xludf.DUMMYFUNCTION("""COMPUTED_VALUE"""),"")</f>
        <v/>
      </c>
    </row>
    <row r="2598">
      <c r="A2598" s="36" t="str">
        <f>IFERROR(__xludf.DUMMYFUNCTION("""COMPUTED_VALUE"""),"04-21-13-451")</f>
        <v>04-21-13-451</v>
      </c>
      <c r="B2598" s="36" t="str">
        <f>IFERROR(__xludf.DUMMYFUNCTION("""COMPUTED_VALUE"""),"")</f>
        <v/>
      </c>
      <c r="C2598" s="36" t="str">
        <f>IFERROR(__xludf.DUMMYFUNCTION("""COMPUTED_VALUE"""),"")</f>
        <v/>
      </c>
      <c r="D2598" s="36" t="str">
        <f>IFERROR(__xludf.DUMMYFUNCTION("""COMPUTED_VALUE"""),"")</f>
        <v/>
      </c>
      <c r="E2598" s="36" t="str">
        <f>IFERROR(__xludf.DUMMYFUNCTION("""COMPUTED_VALUE"""),"03-33-10-56A")</f>
        <v>03-33-10-56A</v>
      </c>
      <c r="F2598" s="36"/>
      <c r="G2598" s="36" t="str">
        <f>IFERROR(__xludf.DUMMYFUNCTION("""COMPUTED_VALUE"""),"San Francisco y Aburnio Verd Oeste")</f>
        <v>San Francisco y Aburnio Verd Oeste</v>
      </c>
      <c r="H2598" s="36" t="str">
        <f>IFERROR(__xludf.DUMMYFUNCTION("""COMPUTED_VALUE"""),"")</f>
        <v/>
      </c>
    </row>
    <row r="2599">
      <c r="A2599" s="36" t="str">
        <f>IFERROR(__xludf.DUMMYFUNCTION("""COMPUTED_VALUE"""),"04-21-13-452")</f>
        <v>04-21-13-452</v>
      </c>
      <c r="B2599" s="36" t="str">
        <f>IFERROR(__xludf.DUMMYFUNCTION("""COMPUTED_VALUE"""),"")</f>
        <v/>
      </c>
      <c r="C2599" s="36" t="str">
        <f>IFERROR(__xludf.DUMMYFUNCTION("""COMPUTED_VALUE"""),"")</f>
        <v/>
      </c>
      <c r="D2599" s="36" t="str">
        <f>IFERROR(__xludf.DUMMYFUNCTION("""COMPUTED_VALUE"""),"")</f>
        <v/>
      </c>
      <c r="E2599" s="36" t="str">
        <f>IFERROR(__xludf.DUMMYFUNCTION("""COMPUTED_VALUE"""),"03-33-10-54B")</f>
        <v>03-33-10-54B</v>
      </c>
      <c r="F2599" s="36"/>
      <c r="G2599" s="36" t="str">
        <f>IFERROR(__xludf.DUMMYFUNCTION("""COMPUTED_VALUE"""),"San Francisco y Av Gral San Martín")</f>
        <v>San Francisco y Av Gral San Martín</v>
      </c>
      <c r="H2599" s="36" t="str">
        <f>IFERROR(__xludf.DUMMYFUNCTION("""COMPUTED_VALUE"""),"")</f>
        <v/>
      </c>
    </row>
    <row r="2600">
      <c r="A2600" s="36" t="str">
        <f>IFERROR(__xludf.DUMMYFUNCTION("""COMPUTED_VALUE"""),"04-21-13-453")</f>
        <v>04-21-13-453</v>
      </c>
      <c r="B2600" s="36" t="str">
        <f>IFERROR(__xludf.DUMMYFUNCTION("""COMPUTED_VALUE"""),"")</f>
        <v/>
      </c>
      <c r="C2600" s="36" t="str">
        <f>IFERROR(__xludf.DUMMYFUNCTION("""COMPUTED_VALUE"""),"")</f>
        <v/>
      </c>
      <c r="D2600" s="36" t="str">
        <f>IFERROR(__xludf.DUMMYFUNCTION("""COMPUTED_VALUE"""),"")</f>
        <v/>
      </c>
      <c r="E2600" s="36" t="str">
        <f>IFERROR(__xludf.DUMMYFUNCTION("""COMPUTED_VALUE"""),"03-33-10-55B")</f>
        <v>03-33-10-55B</v>
      </c>
      <c r="F2600" s="36"/>
      <c r="G2600" s="36" t="str">
        <f>IFERROR(__xludf.DUMMYFUNCTION("""COMPUTED_VALUE"""),"San Francisco y José Hernández Este")</f>
        <v>San Francisco y José Hernández Este</v>
      </c>
      <c r="H2600" s="36" t="str">
        <f>IFERROR(__xludf.DUMMYFUNCTION("""COMPUTED_VALUE"""),"")</f>
        <v/>
      </c>
    </row>
    <row r="2601">
      <c r="A2601" s="36" t="str">
        <f>IFERROR(__xludf.DUMMYFUNCTION("""COMPUTED_VALUE"""),"04-21-13-454")</f>
        <v>04-21-13-454</v>
      </c>
      <c r="B2601" s="36" t="str">
        <f>IFERROR(__xludf.DUMMYFUNCTION("""COMPUTED_VALUE"""),"")</f>
        <v/>
      </c>
      <c r="C2601" s="36" t="str">
        <f>IFERROR(__xludf.DUMMYFUNCTION("""COMPUTED_VALUE"""),"")</f>
        <v/>
      </c>
      <c r="D2601" s="36" t="str">
        <f>IFERROR(__xludf.DUMMYFUNCTION("""COMPUTED_VALUE"""),"")</f>
        <v/>
      </c>
      <c r="E2601" s="36" t="str">
        <f>IFERROR(__xludf.DUMMYFUNCTION("""COMPUTED_VALUE"""),"03-33-10-55A")</f>
        <v>03-33-10-55A</v>
      </c>
      <c r="F2601" s="36"/>
      <c r="G2601" s="36" t="str">
        <f>IFERROR(__xludf.DUMMYFUNCTION("""COMPUTED_VALUE"""),"San Francisco y José Hernández Oeste")</f>
        <v>San Francisco y José Hernández Oeste</v>
      </c>
      <c r="H2601" s="36" t="str">
        <f>IFERROR(__xludf.DUMMYFUNCTION("""COMPUTED_VALUE"""),"")</f>
        <v/>
      </c>
    </row>
    <row r="2602">
      <c r="A2602" s="36" t="str">
        <f>IFERROR(__xludf.DUMMYFUNCTION("""COMPUTED_VALUE"""),"04-21-13-458B")</f>
        <v>04-21-13-458B</v>
      </c>
      <c r="B2602" s="36" t="str">
        <f>IFERROR(__xludf.DUMMYFUNCTION("""COMPUTED_VALUE"""),"")</f>
        <v/>
      </c>
      <c r="C2602" s="36" t="str">
        <f>IFERROR(__xludf.DUMMYFUNCTION("""COMPUTED_VALUE"""),"")</f>
        <v/>
      </c>
      <c r="D2602" s="36" t="str">
        <f>IFERROR(__xludf.DUMMYFUNCTION("""COMPUTED_VALUE"""),"")</f>
        <v/>
      </c>
      <c r="E2602" s="36" t="str">
        <f>IFERROR(__xludf.DUMMYFUNCTION("""COMPUTED_VALUE"""),"03-33-10-57")</f>
        <v>03-33-10-57</v>
      </c>
      <c r="F2602" s="36"/>
      <c r="G2602" s="36" t="str">
        <f>IFERROR(__xludf.DUMMYFUNCTION("""COMPUTED_VALUE"""),"San Francisco y Lago Puelo Este")</f>
        <v>San Francisco y Lago Puelo Este</v>
      </c>
      <c r="H2602" s="36" t="str">
        <f>IFERROR(__xludf.DUMMYFUNCTION("""COMPUTED_VALUE"""),"")</f>
        <v/>
      </c>
    </row>
    <row r="2603">
      <c r="A2603" s="36" t="str">
        <f>IFERROR(__xludf.DUMMYFUNCTION("""COMPUTED_VALUE"""),"04-21-13-536")</f>
        <v>04-21-13-536</v>
      </c>
      <c r="B2603" s="36" t="str">
        <f>IFERROR(__xludf.DUMMYFUNCTION("""COMPUTED_VALUE"""),"")</f>
        <v/>
      </c>
      <c r="C2603" s="36" t="str">
        <f>IFERROR(__xludf.DUMMYFUNCTION("""COMPUTED_VALUE"""),"")</f>
        <v/>
      </c>
      <c r="D2603" s="36" t="str">
        <f>IFERROR(__xludf.DUMMYFUNCTION("""COMPUTED_VALUE"""),"")</f>
        <v/>
      </c>
      <c r="E2603" s="36" t="str">
        <f>IFERROR(__xludf.DUMMYFUNCTION("""COMPUTED_VALUE"""),"03-33-10-58A")</f>
        <v>03-33-10-58A</v>
      </c>
      <c r="F2603" s="36"/>
      <c r="G2603" s="36" t="str">
        <f>IFERROR(__xludf.DUMMYFUNCTION("""COMPUTED_VALUE"""),"San Francisco y Lago Puelo Oeste")</f>
        <v>San Francisco y Lago Puelo Oeste</v>
      </c>
      <c r="H2603" s="36" t="str">
        <f>IFERROR(__xludf.DUMMYFUNCTION("""COMPUTED_VALUE"""),"")</f>
        <v/>
      </c>
    </row>
    <row r="2604">
      <c r="A2604" s="36" t="str">
        <f>IFERROR(__xludf.DUMMYFUNCTION("""COMPUTED_VALUE"""),"04-21-13-538")</f>
        <v>04-21-13-538</v>
      </c>
      <c r="B2604" s="36" t="str">
        <f>IFERROR(__xludf.DUMMYFUNCTION("""COMPUTED_VALUE"""),"")</f>
        <v/>
      </c>
      <c r="C2604" s="36" t="str">
        <f>IFERROR(__xludf.DUMMYFUNCTION("""COMPUTED_VALUE"""),"")</f>
        <v/>
      </c>
      <c r="D2604" s="36" t="str">
        <f>IFERROR(__xludf.DUMMYFUNCTION("""COMPUTED_VALUE"""),"")</f>
        <v/>
      </c>
      <c r="E2604" s="36" t="str">
        <f>IFERROR(__xludf.DUMMYFUNCTION("""COMPUTED_VALUE"""),"03-33-10-61B")</f>
        <v>03-33-10-61B</v>
      </c>
      <c r="F2604" s="36"/>
      <c r="G2604" s="36" t="str">
        <f>IFERROR(__xludf.DUMMYFUNCTION("""COMPUTED_VALUE"""),"San Guillermo e Iguazú Este")</f>
        <v>San Guillermo e Iguazú Este</v>
      </c>
      <c r="H2604" s="36" t="str">
        <f>IFERROR(__xludf.DUMMYFUNCTION("""COMPUTED_VALUE"""),"")</f>
        <v/>
      </c>
    </row>
    <row r="2605">
      <c r="A2605" s="36" t="str">
        <f>IFERROR(__xludf.DUMMYFUNCTION("""COMPUTED_VALUE"""),"04-22-13-199")</f>
        <v>04-22-13-199</v>
      </c>
      <c r="B2605" s="36" t="str">
        <f>IFERROR(__xludf.DUMMYFUNCTION("""COMPUTED_VALUE"""),"")</f>
        <v/>
      </c>
      <c r="C2605" s="36" t="str">
        <f>IFERROR(__xludf.DUMMYFUNCTION("""COMPUTED_VALUE"""),"")</f>
        <v/>
      </c>
      <c r="D2605" s="36" t="str">
        <f>IFERROR(__xludf.DUMMYFUNCTION("""COMPUTED_VALUE"""),"")</f>
        <v/>
      </c>
      <c r="E2605" s="36" t="str">
        <f>IFERROR(__xludf.DUMMYFUNCTION("""COMPUTED_VALUE"""),"03-33-10-61A")</f>
        <v>03-33-10-61A</v>
      </c>
      <c r="F2605" s="36"/>
      <c r="G2605" s="36" t="str">
        <f>IFERROR(__xludf.DUMMYFUNCTION("""COMPUTED_VALUE"""),"San Guillermo e Iguazú Oeste")</f>
        <v>San Guillermo e Iguazú Oeste</v>
      </c>
      <c r="H2605" s="36" t="str">
        <f>IFERROR(__xludf.DUMMYFUNCTION("""COMPUTED_VALUE"""),"")</f>
        <v/>
      </c>
    </row>
    <row r="2606">
      <c r="A2606" s="36" t="str">
        <f>IFERROR(__xludf.DUMMYFUNCTION("""COMPUTED_VALUE"""),"04-22-13-200")</f>
        <v>04-22-13-200</v>
      </c>
      <c r="B2606" s="36" t="str">
        <f>IFERROR(__xludf.DUMMYFUNCTION("""COMPUTED_VALUE"""),"")</f>
        <v/>
      </c>
      <c r="C2606" s="36" t="str">
        <f>IFERROR(__xludf.DUMMYFUNCTION("""COMPUTED_VALUE"""),"")</f>
        <v/>
      </c>
      <c r="D2606" s="36" t="str">
        <f>IFERROR(__xludf.DUMMYFUNCTION("""COMPUTED_VALUE"""),"")</f>
        <v/>
      </c>
      <c r="E2606" s="36" t="str">
        <f>IFERROR(__xludf.DUMMYFUNCTION("""COMPUTED_VALUE"""),"03-33-10-62A")</f>
        <v>03-33-10-62A</v>
      </c>
      <c r="F2606" s="36"/>
      <c r="G2606" s="36" t="str">
        <f>IFERROR(__xludf.DUMMYFUNCTION("""COMPUTED_VALUE"""),"San Guillermo y Avenida Sarmiento Este")</f>
        <v>San Guillermo y Avenida Sarmiento Este</v>
      </c>
      <c r="H2606" s="36" t="str">
        <f>IFERROR(__xludf.DUMMYFUNCTION("""COMPUTED_VALUE"""),"")</f>
        <v/>
      </c>
    </row>
    <row r="2607">
      <c r="A2607" s="36" t="str">
        <f>IFERROR(__xludf.DUMMYFUNCTION("""COMPUTED_VALUE"""),"04-22-13-202")</f>
        <v>04-22-13-202</v>
      </c>
      <c r="B2607" s="36" t="str">
        <f>IFERROR(__xludf.DUMMYFUNCTION("""COMPUTED_VALUE"""),"")</f>
        <v/>
      </c>
      <c r="C2607" s="36" t="str">
        <f>IFERROR(__xludf.DUMMYFUNCTION("""COMPUTED_VALUE"""),"")</f>
        <v/>
      </c>
      <c r="D2607" s="36" t="str">
        <f>IFERROR(__xludf.DUMMYFUNCTION("""COMPUTED_VALUE"""),"")</f>
        <v/>
      </c>
      <c r="E2607" s="36" t="str">
        <f>IFERROR(__xludf.DUMMYFUNCTION("""COMPUTED_VALUE"""),"03-33-10-62B")</f>
        <v>03-33-10-62B</v>
      </c>
      <c r="F2607" s="36"/>
      <c r="G2607" s="36" t="str">
        <f>IFERROR(__xludf.DUMMYFUNCTION("""COMPUTED_VALUE"""),"San Guillermo y Avenida Sarmiento Oeste")</f>
        <v>San Guillermo y Avenida Sarmiento Oeste</v>
      </c>
      <c r="H2607" s="36" t="str">
        <f>IFERROR(__xludf.DUMMYFUNCTION("""COMPUTED_VALUE"""),"")</f>
        <v/>
      </c>
    </row>
    <row r="2608">
      <c r="A2608" s="36" t="str">
        <f>IFERROR(__xludf.DUMMYFUNCTION("""COMPUTED_VALUE"""),"04-22-13-203")</f>
        <v>04-22-13-203</v>
      </c>
      <c r="B2608" s="36" t="str">
        <f>IFERROR(__xludf.DUMMYFUNCTION("""COMPUTED_VALUE"""),"")</f>
        <v/>
      </c>
      <c r="C2608" s="36" t="str">
        <f>IFERROR(__xludf.DUMMYFUNCTION("""COMPUTED_VALUE"""),"")</f>
        <v/>
      </c>
      <c r="D2608" s="36" t="str">
        <f>IFERROR(__xludf.DUMMYFUNCTION("""COMPUTED_VALUE"""),"")</f>
        <v/>
      </c>
      <c r="E2608" s="36" t="str">
        <f>IFERROR(__xludf.DUMMYFUNCTION("""COMPUTED_VALUE"""),"03-33-10-60B")</f>
        <v>03-33-10-60B</v>
      </c>
      <c r="F2608" s="36"/>
      <c r="G2608" s="36" t="str">
        <f>IFERROR(__xludf.DUMMYFUNCTION("""COMPUTED_VALUE"""),"San Guillermo y Sierra de las Quijadas E")</f>
        <v>San Guillermo y Sierra de las Quijadas E</v>
      </c>
      <c r="H2608" s="36" t="str">
        <f>IFERROR(__xludf.DUMMYFUNCTION("""COMPUTED_VALUE"""),"")</f>
        <v/>
      </c>
    </row>
    <row r="2609">
      <c r="A2609" s="36" t="str">
        <f>IFERROR(__xludf.DUMMYFUNCTION("""COMPUTED_VALUE"""),"04-22-13-204")</f>
        <v>04-22-13-204</v>
      </c>
      <c r="B2609" s="36" t="str">
        <f>IFERROR(__xludf.DUMMYFUNCTION("""COMPUTED_VALUE"""),"")</f>
        <v/>
      </c>
      <c r="C2609" s="36" t="str">
        <f>IFERROR(__xludf.DUMMYFUNCTION("""COMPUTED_VALUE"""),"")</f>
        <v/>
      </c>
      <c r="D2609" s="36" t="str">
        <f>IFERROR(__xludf.DUMMYFUNCTION("""COMPUTED_VALUE"""),"")</f>
        <v/>
      </c>
      <c r="E2609" s="36" t="str">
        <f>IFERROR(__xludf.DUMMYFUNCTION("""COMPUTED_VALUE"""),"03-33-10-60A")</f>
        <v>03-33-10-60A</v>
      </c>
      <c r="F2609" s="36"/>
      <c r="G2609" s="36" t="str">
        <f>IFERROR(__xludf.DUMMYFUNCTION("""COMPUTED_VALUE"""),"San Guillermo y Sierra de las Quijadas O")</f>
        <v>San Guillermo y Sierra de las Quijadas O</v>
      </c>
      <c r="H2609" s="36" t="str">
        <f>IFERROR(__xludf.DUMMYFUNCTION("""COMPUTED_VALUE"""),"")</f>
        <v/>
      </c>
    </row>
    <row r="2610">
      <c r="A2610" s="36" t="str">
        <f>IFERROR(__xludf.DUMMYFUNCTION("""COMPUTED_VALUE"""),"04-22-13-205")</f>
        <v>04-22-13-205</v>
      </c>
      <c r="B2610" s="36" t="str">
        <f>IFERROR(__xludf.DUMMYFUNCTION("""COMPUTED_VALUE"""),"")</f>
        <v/>
      </c>
      <c r="C2610" s="36" t="str">
        <f>IFERROR(__xludf.DUMMYFUNCTION("""COMPUTED_VALUE"""),"")</f>
        <v/>
      </c>
      <c r="D2610" s="36" t="str">
        <f>IFERROR(__xludf.DUMMYFUNCTION("""COMPUTED_VALUE"""),"")</f>
        <v/>
      </c>
      <c r="E2610" s="36" t="str">
        <f>IFERROR(__xludf.DUMMYFUNCTION("""COMPUTED_VALUE"""),"08-44-03-33")</f>
        <v>08-44-03-33</v>
      </c>
      <c r="F2610" s="36"/>
      <c r="G2610" s="36" t="str">
        <f>IFERROR(__xludf.DUMMYFUNCTION("""COMPUTED_VALUE"""),"San Juan y Av. N. Benavídez E")</f>
        <v>San Juan y Av. N. Benavídez E</v>
      </c>
      <c r="H2610" s="36" t="str">
        <f>IFERROR(__xludf.DUMMYFUNCTION("""COMPUTED_VALUE"""),"")</f>
        <v/>
      </c>
    </row>
    <row r="2611">
      <c r="A2611" s="36" t="str">
        <f>IFERROR(__xludf.DUMMYFUNCTION("""COMPUTED_VALUE"""),"04-22-13-206")</f>
        <v>04-22-13-206</v>
      </c>
      <c r="B2611" s="36" t="str">
        <f>IFERROR(__xludf.DUMMYFUNCTION("""COMPUTED_VALUE"""),"")</f>
        <v/>
      </c>
      <c r="C2611" s="36" t="str">
        <f>IFERROR(__xludf.DUMMYFUNCTION("""COMPUTED_VALUE"""),"")</f>
        <v/>
      </c>
      <c r="D2611" s="36" t="str">
        <f>IFERROR(__xludf.DUMMYFUNCTION("""COMPUTED_VALUE"""),"")</f>
        <v/>
      </c>
      <c r="E2611" s="36" t="str">
        <f>IFERROR(__xludf.DUMMYFUNCTION("""COMPUTED_VALUE"""),"08-44-03-32")</f>
        <v>08-44-03-32</v>
      </c>
      <c r="F2611" s="36"/>
      <c r="G2611" s="36" t="str">
        <f>IFERROR(__xludf.DUMMYFUNCTION("""COMPUTED_VALUE"""),"San Juan y Av. N. Benavídez O")</f>
        <v>San Juan y Av. N. Benavídez O</v>
      </c>
      <c r="H2611" s="36" t="str">
        <f>IFERROR(__xludf.DUMMYFUNCTION("""COMPUTED_VALUE"""),"")</f>
        <v/>
      </c>
    </row>
    <row r="2612">
      <c r="A2612" s="36" t="str">
        <f>IFERROR(__xludf.DUMMYFUNCTION("""COMPUTED_VALUE"""),"04-22-13-207")</f>
        <v>04-22-13-207</v>
      </c>
      <c r="B2612" s="36" t="str">
        <f>IFERROR(__xludf.DUMMYFUNCTION("""COMPUTED_VALUE"""),"")</f>
        <v/>
      </c>
      <c r="C2612" s="36" t="str">
        <f>IFERROR(__xludf.DUMMYFUNCTION("""COMPUTED_VALUE"""),"")</f>
        <v/>
      </c>
      <c r="D2612" s="36" t="str">
        <f>IFERROR(__xludf.DUMMYFUNCTION("""COMPUTED_VALUE"""),"")</f>
        <v/>
      </c>
      <c r="E2612" s="36" t="str">
        <f>IFERROR(__xludf.DUMMYFUNCTION("""COMPUTED_VALUE"""),"03-22-10-78A")</f>
        <v>03-22-10-78A</v>
      </c>
      <c r="F2612" s="36"/>
      <c r="G2612" s="36" t="str">
        <f>IFERROR(__xludf.DUMMYFUNCTION("""COMPUTED_VALUE"""),"San Juan y Chile Este")</f>
        <v>San Juan y Chile Este</v>
      </c>
      <c r="H2612" s="36" t="str">
        <f>IFERROR(__xludf.DUMMYFUNCTION("""COMPUTED_VALUE"""),"")</f>
        <v/>
      </c>
    </row>
    <row r="2613">
      <c r="A2613" s="36" t="str">
        <f>IFERROR(__xludf.DUMMYFUNCTION("""COMPUTED_VALUE"""),"04-22-13-208")</f>
        <v>04-22-13-208</v>
      </c>
      <c r="B2613" s="36" t="str">
        <f>IFERROR(__xludf.DUMMYFUNCTION("""COMPUTED_VALUE"""),"")</f>
        <v/>
      </c>
      <c r="C2613" s="36" t="str">
        <f>IFERROR(__xludf.DUMMYFUNCTION("""COMPUTED_VALUE"""),"")</f>
        <v/>
      </c>
      <c r="D2613" s="36" t="str">
        <f>IFERROR(__xludf.DUMMYFUNCTION("""COMPUTED_VALUE"""),"")</f>
        <v/>
      </c>
      <c r="E2613" s="36" t="str">
        <f>IFERROR(__xludf.DUMMYFUNCTION("""COMPUTED_VALUE"""),"03-22-10-78B")</f>
        <v>03-22-10-78B</v>
      </c>
      <c r="F2613" s="36"/>
      <c r="G2613" s="36" t="str">
        <f>IFERROR(__xludf.DUMMYFUNCTION("""COMPUTED_VALUE"""),"San Juan y Chile Oeste")</f>
        <v>San Juan y Chile Oeste</v>
      </c>
      <c r="H2613" s="36" t="str">
        <f>IFERROR(__xludf.DUMMYFUNCTION("""COMPUTED_VALUE"""),"")</f>
        <v/>
      </c>
    </row>
    <row r="2614">
      <c r="A2614" s="36" t="str">
        <f>IFERROR(__xludf.DUMMYFUNCTION("""COMPUTED_VALUE"""),"04-22-13-209")</f>
        <v>04-22-13-209</v>
      </c>
      <c r="B2614" s="36" t="str">
        <f>IFERROR(__xludf.DUMMYFUNCTION("""COMPUTED_VALUE"""),"")</f>
        <v/>
      </c>
      <c r="C2614" s="36" t="str">
        <f>IFERROR(__xludf.DUMMYFUNCTION("""COMPUTED_VALUE"""),"")</f>
        <v/>
      </c>
      <c r="D2614" s="36" t="str">
        <f>IFERROR(__xludf.DUMMYFUNCTION("""COMPUTED_VALUE"""),"")</f>
        <v/>
      </c>
      <c r="E2614" s="36" t="str">
        <f>IFERROR(__xludf.DUMMYFUNCTION("""COMPUTED_VALUE"""),"03-22-10-77A")</f>
        <v>03-22-10-77A</v>
      </c>
      <c r="F2614" s="36"/>
      <c r="G2614" s="36" t="str">
        <f>IFERROR(__xludf.DUMMYFUNCTION("""COMPUTED_VALUE"""),"San Juan y Cordillera de los Andes")</f>
        <v>San Juan y Cordillera de los Andes</v>
      </c>
      <c r="H2614" s="36" t="str">
        <f>IFERROR(__xludf.DUMMYFUNCTION("""COMPUTED_VALUE"""),"")</f>
        <v/>
      </c>
    </row>
    <row r="2615">
      <c r="A2615" s="36" t="str">
        <f>IFERROR(__xludf.DUMMYFUNCTION("""COMPUTED_VALUE"""),"04-22-13-210")</f>
        <v>04-22-13-210</v>
      </c>
      <c r="B2615" s="36" t="str">
        <f>IFERROR(__xludf.DUMMYFUNCTION("""COMPUTED_VALUE"""),"")</f>
        <v/>
      </c>
      <c r="C2615" s="36" t="str">
        <f>IFERROR(__xludf.DUMMYFUNCTION("""COMPUTED_VALUE"""),"")</f>
        <v/>
      </c>
      <c r="D2615" s="36" t="str">
        <f>IFERROR(__xludf.DUMMYFUNCTION("""COMPUTED_VALUE"""),"")</f>
        <v/>
      </c>
      <c r="E2615" s="36" t="str">
        <f>IFERROR(__xludf.DUMMYFUNCTION("""COMPUTED_VALUE"""),"08-44-03-49")</f>
        <v>08-44-03-49</v>
      </c>
      <c r="F2615" s="36"/>
      <c r="G2615" s="36" t="str">
        <f>IFERROR(__xludf.DUMMYFUNCTION("""COMPUTED_VALUE"""),"San Juan y Oro")</f>
        <v>San Juan y Oro</v>
      </c>
      <c r="H2615" s="36" t="str">
        <f>IFERROR(__xludf.DUMMYFUNCTION("""COMPUTED_VALUE"""),"")</f>
        <v/>
      </c>
    </row>
    <row r="2616">
      <c r="A2616" s="36" t="str">
        <f>IFERROR(__xludf.DUMMYFUNCTION("""COMPUTED_VALUE"""),"04-22-13-211")</f>
        <v>04-22-13-211</v>
      </c>
      <c r="B2616" s="36" t="str">
        <f>IFERROR(__xludf.DUMMYFUNCTION("""COMPUTED_VALUE"""),"")</f>
        <v/>
      </c>
      <c r="C2616" s="36" t="str">
        <f>IFERROR(__xludf.DUMMYFUNCTION("""COMPUTED_VALUE"""),"")</f>
        <v/>
      </c>
      <c r="D2616" s="36" t="str">
        <f>IFERROR(__xludf.DUMMYFUNCTION("""COMPUTED_VALUE"""),"")</f>
        <v/>
      </c>
      <c r="E2616" s="36" t="str">
        <f>IFERROR(__xludf.DUMMYFUNCTION("""COMPUTED_VALUE"""),"08-44-03-48")</f>
        <v>08-44-03-48</v>
      </c>
      <c r="F2616" s="36"/>
      <c r="G2616" s="36" t="str">
        <f>IFERROR(__xludf.DUMMYFUNCTION("""COMPUTED_VALUE"""),"San Juan y Reconquista")</f>
        <v>San Juan y Reconquista</v>
      </c>
      <c r="H2616" s="36" t="str">
        <f>IFERROR(__xludf.DUMMYFUNCTION("""COMPUTED_VALUE"""),"")</f>
        <v/>
      </c>
    </row>
    <row r="2617">
      <c r="A2617" s="36" t="str">
        <f>IFERROR(__xludf.DUMMYFUNCTION("""COMPUTED_VALUE"""),"04-22-13-212")</f>
        <v>04-22-13-212</v>
      </c>
      <c r="B2617" s="36" t="str">
        <f>IFERROR(__xludf.DUMMYFUNCTION("""COMPUTED_VALUE"""),"")</f>
        <v/>
      </c>
      <c r="C2617" s="36" t="str">
        <f>IFERROR(__xludf.DUMMYFUNCTION("""COMPUTED_VALUE"""),"")</f>
        <v/>
      </c>
      <c r="D2617" s="36" t="str">
        <f>IFERROR(__xludf.DUMMYFUNCTION("""COMPUTED_VALUE"""),"")</f>
        <v/>
      </c>
      <c r="E2617" s="36" t="str">
        <f>IFERROR(__xludf.DUMMYFUNCTION("""COMPUTED_VALUE"""),"08-26-03-63")</f>
        <v>08-26-03-63</v>
      </c>
      <c r="F2617" s="36"/>
      <c r="G2617" s="36" t="str">
        <f>IFERROR(__xludf.DUMMYFUNCTION("""COMPUTED_VALUE"""),"San Juan y Rodríguez")</f>
        <v>San Juan y Rodríguez</v>
      </c>
      <c r="H2617" s="36" t="str">
        <f>IFERROR(__xludf.DUMMYFUNCTION("""COMPUTED_VALUE"""),"")</f>
        <v/>
      </c>
    </row>
    <row r="2618">
      <c r="A2618" s="36" t="str">
        <f>IFERROR(__xludf.DUMMYFUNCTION("""COMPUTED_VALUE"""),"04-22-13-220")</f>
        <v>04-22-13-220</v>
      </c>
      <c r="B2618" s="36" t="str">
        <f>IFERROR(__xludf.DUMMYFUNCTION("""COMPUTED_VALUE"""),"")</f>
        <v/>
      </c>
      <c r="C2618" s="36" t="str">
        <f>IFERROR(__xludf.DUMMYFUNCTION("""COMPUTED_VALUE"""),"")</f>
        <v/>
      </c>
      <c r="D2618" s="36" t="str">
        <f>IFERROR(__xludf.DUMMYFUNCTION("""COMPUTED_VALUE"""),"ERROR DE ID")</f>
        <v>ERROR DE ID</v>
      </c>
      <c r="E2618" s="36" t="str">
        <f>IFERROR(__xludf.DUMMYFUNCTION("""COMPUTED_VALUE"""),"03-31-09-112")</f>
        <v>03-31-09-112</v>
      </c>
      <c r="F2618" s="36"/>
      <c r="G2618" s="36" t="str">
        <f>IFERROR(__xludf.DUMMYFUNCTION("""COMPUTED_VALUE"""),"San Lorenzo -N")</f>
        <v>San Lorenzo -N</v>
      </c>
      <c r="H2618" s="36" t="str">
        <f>IFERROR(__xludf.DUMMYFUNCTION("""COMPUTED_VALUE"""),"")</f>
        <v/>
      </c>
    </row>
    <row r="2619">
      <c r="A2619" s="36" t="str">
        <f>IFERROR(__xludf.DUMMYFUNCTION("""COMPUTED_VALUE"""),"04-22-13-220")</f>
        <v>04-22-13-220</v>
      </c>
      <c r="B2619" s="36" t="str">
        <f>IFERROR(__xludf.DUMMYFUNCTION("""COMPUTED_VALUE"""),"")</f>
        <v/>
      </c>
      <c r="C2619" s="36" t="str">
        <f>IFERROR(__xludf.DUMMYFUNCTION("""COMPUTED_VALUE"""),"")</f>
        <v/>
      </c>
      <c r="D2619" s="36" t="str">
        <f>IFERROR(__xludf.DUMMYFUNCTION("""COMPUTED_VALUE"""),"")</f>
        <v/>
      </c>
      <c r="E2619" s="36" t="str">
        <f>IFERROR(__xludf.DUMMYFUNCTION("""COMPUTED_VALUE"""),"03-31-09-106")</f>
        <v>03-31-09-106</v>
      </c>
      <c r="F2619" s="36"/>
      <c r="G2619" s="36" t="str">
        <f>IFERROR(__xludf.DUMMYFUNCTION("""COMPUTED_VALUE"""),"San Lorenzo -N y Derqui")</f>
        <v>San Lorenzo -N y Derqui</v>
      </c>
      <c r="H2619" s="36" t="str">
        <f>IFERROR(__xludf.DUMMYFUNCTION("""COMPUTED_VALUE"""),"")</f>
        <v/>
      </c>
    </row>
    <row r="2620">
      <c r="A2620" s="36" t="str">
        <f>IFERROR(__xludf.DUMMYFUNCTION("""COMPUTED_VALUE"""),"04-22-13-221")</f>
        <v>04-22-13-221</v>
      </c>
      <c r="B2620" s="36" t="str">
        <f>IFERROR(__xludf.DUMMYFUNCTION("""COMPUTED_VALUE"""),"")</f>
        <v/>
      </c>
      <c r="C2620" s="36" t="str">
        <f>IFERROR(__xludf.DUMMYFUNCTION("""COMPUTED_VALUE"""),"")</f>
        <v/>
      </c>
      <c r="D2620" s="36" t="str">
        <f>IFERROR(__xludf.DUMMYFUNCTION("""COMPUTED_VALUE"""),"ERROR DE ID")</f>
        <v>ERROR DE ID</v>
      </c>
      <c r="E2620" s="36" t="str">
        <f>IFERROR(__xludf.DUMMYFUNCTION("""COMPUTED_VALUE"""),"03-31-09-114")</f>
        <v>03-31-09-114</v>
      </c>
      <c r="F2620" s="36"/>
      <c r="G2620" s="36" t="str">
        <f>IFERROR(__xludf.DUMMYFUNCTION("""COMPUTED_VALUE"""),"San Lorenzo -N y Las Heras")</f>
        <v>San Lorenzo -N y Las Heras</v>
      </c>
      <c r="H2620" s="36" t="str">
        <f>IFERROR(__xludf.DUMMYFUNCTION("""COMPUTED_VALUE"""),"")</f>
        <v/>
      </c>
    </row>
    <row r="2621">
      <c r="A2621" s="36" t="str">
        <f>IFERROR(__xludf.DUMMYFUNCTION("""COMPUTED_VALUE"""),"04-22-13-221")</f>
        <v>04-22-13-221</v>
      </c>
      <c r="B2621" s="36" t="str">
        <f>IFERROR(__xludf.DUMMYFUNCTION("""COMPUTED_VALUE"""),"")</f>
        <v/>
      </c>
      <c r="C2621" s="36" t="str">
        <f>IFERROR(__xludf.DUMMYFUNCTION("""COMPUTED_VALUE"""),"")</f>
        <v/>
      </c>
      <c r="D2621" s="36" t="str">
        <f>IFERROR(__xludf.DUMMYFUNCTION("""COMPUTED_VALUE"""),"")</f>
        <v/>
      </c>
      <c r="E2621" s="36" t="str">
        <f>IFERROR(__xludf.DUMMYFUNCTION("""COMPUTED_VALUE"""),"03-31-09-113")</f>
        <v>03-31-09-113</v>
      </c>
      <c r="F2621" s="36"/>
      <c r="G2621" s="36" t="str">
        <f>IFERROR(__xludf.DUMMYFUNCTION("""COMPUTED_VALUE"""),"San Lorenzo -S")</f>
        <v>San Lorenzo -S</v>
      </c>
      <c r="H2621" s="36" t="str">
        <f>IFERROR(__xludf.DUMMYFUNCTION("""COMPUTED_VALUE"""),"")</f>
        <v/>
      </c>
    </row>
    <row r="2622">
      <c r="A2622" s="36" t="str">
        <f>IFERROR(__xludf.DUMMYFUNCTION("""COMPUTED_VALUE"""),"04-22-13-222")</f>
        <v>04-22-13-222</v>
      </c>
      <c r="B2622" s="36" t="str">
        <f>IFERROR(__xludf.DUMMYFUNCTION("""COMPUTED_VALUE"""),"")</f>
        <v/>
      </c>
      <c r="C2622" s="36" t="str">
        <f>IFERROR(__xludf.DUMMYFUNCTION("""COMPUTED_VALUE"""),"")</f>
        <v/>
      </c>
      <c r="D2622" s="36" t="str">
        <f>IFERROR(__xludf.DUMMYFUNCTION("""COMPUTED_VALUE"""),"ERROR DE ID")</f>
        <v>ERROR DE ID</v>
      </c>
      <c r="E2622" s="36" t="str">
        <f>IFERROR(__xludf.DUMMYFUNCTION("""COMPUTED_VALUE"""),"03-31-09-115")</f>
        <v>03-31-09-115</v>
      </c>
      <c r="F2622" s="36"/>
      <c r="G2622" s="36" t="str">
        <f>IFERROR(__xludf.DUMMYFUNCTION("""COMPUTED_VALUE"""),"San Lorenzo -S y Las Heras")</f>
        <v>San Lorenzo -S y Las Heras</v>
      </c>
      <c r="H2622" s="36" t="str">
        <f>IFERROR(__xludf.DUMMYFUNCTION("""COMPUTED_VALUE"""),"")</f>
        <v/>
      </c>
    </row>
    <row r="2623">
      <c r="A2623" s="36" t="str">
        <f>IFERROR(__xludf.DUMMYFUNCTION("""COMPUTED_VALUE"""),"04-22-13-222")</f>
        <v>04-22-13-222</v>
      </c>
      <c r="B2623" s="36" t="str">
        <f>IFERROR(__xludf.DUMMYFUNCTION("""COMPUTED_VALUE"""),"")</f>
        <v/>
      </c>
      <c r="C2623" s="36" t="str">
        <f>IFERROR(__xludf.DUMMYFUNCTION("""COMPUTED_VALUE"""),"")</f>
        <v/>
      </c>
      <c r="D2623" s="36" t="str">
        <f>IFERROR(__xludf.DUMMYFUNCTION("""COMPUTED_VALUE"""),"")</f>
        <v/>
      </c>
      <c r="E2623" s="36" t="str">
        <f>IFERROR(__xludf.DUMMYFUNCTION("""COMPUTED_VALUE"""),"01-30-07-225")</f>
        <v>01-30-07-225</v>
      </c>
      <c r="F2623" s="36"/>
      <c r="G2623" s="36" t="str">
        <f>IFERROR(__xludf.DUMMYFUNCTION("""COMPUTED_VALUE"""),"San Lorenzo y Alvear")</f>
        <v>San Lorenzo y Alvear</v>
      </c>
      <c r="H2623" s="36" t="str">
        <f>IFERROR(__xludf.DUMMYFUNCTION("""COMPUTED_VALUE"""),"")</f>
        <v/>
      </c>
    </row>
    <row r="2624">
      <c r="A2624" s="36" t="str">
        <f>IFERROR(__xludf.DUMMYFUNCTION("""COMPUTED_VALUE"""),"04-22-13-223")</f>
        <v>04-22-13-223</v>
      </c>
      <c r="B2624" s="36" t="str">
        <f>IFERROR(__xludf.DUMMYFUNCTION("""COMPUTED_VALUE"""),"")</f>
        <v/>
      </c>
      <c r="C2624" s="36" t="str">
        <f>IFERROR(__xludf.DUMMYFUNCTION("""COMPUTED_VALUE"""),"")</f>
        <v/>
      </c>
      <c r="D2624" s="36" t="str">
        <f>IFERROR(__xludf.DUMMYFUNCTION("""COMPUTED_VALUE"""),"ERROR DE ID")</f>
        <v>ERROR DE ID</v>
      </c>
      <c r="E2624" s="36" t="str">
        <f>IFERROR(__xludf.DUMMYFUNCTION("""COMPUTED_VALUE"""),"01-26-09-120")</f>
        <v>01-26-09-120</v>
      </c>
      <c r="F2624" s="36"/>
      <c r="G2624" s="36" t="str">
        <f>IFERROR(__xludf.DUMMYFUNCTION("""COMPUTED_VALUE"""),"San Lorenzo y América del Sur")</f>
        <v>San Lorenzo y América del Sur</v>
      </c>
      <c r="H2624" s="36" t="str">
        <f>IFERROR(__xludf.DUMMYFUNCTION("""COMPUTED_VALUE"""),"")</f>
        <v/>
      </c>
    </row>
    <row r="2625">
      <c r="A2625" s="36" t="str">
        <f>IFERROR(__xludf.DUMMYFUNCTION("""COMPUTED_VALUE"""),"04-22-13-223")</f>
        <v>04-22-13-223</v>
      </c>
      <c r="B2625" s="36" t="str">
        <f>IFERROR(__xludf.DUMMYFUNCTION("""COMPUTED_VALUE"""),"")</f>
        <v/>
      </c>
      <c r="C2625" s="36" t="str">
        <f>IFERROR(__xludf.DUMMYFUNCTION("""COMPUTED_VALUE"""),"")</f>
        <v/>
      </c>
      <c r="D2625" s="36" t="str">
        <f>IFERROR(__xludf.DUMMYFUNCTION("""COMPUTED_VALUE"""),"")</f>
        <v/>
      </c>
      <c r="E2625" s="36" t="str">
        <f>IFERROR(__xludf.DUMMYFUNCTION("""COMPUTED_VALUE"""),"01-32-07-86")</f>
        <v>01-32-07-86</v>
      </c>
      <c r="F2625" s="36"/>
      <c r="G2625" s="36" t="str">
        <f>IFERROR(__xludf.DUMMYFUNCTION("""COMPUTED_VALUE"""),"San Lorenzo y Andrade")</f>
        <v>San Lorenzo y Andrade</v>
      </c>
      <c r="H2625" s="36" t="str">
        <f>IFERROR(__xludf.DUMMYFUNCTION("""COMPUTED_VALUE"""),"")</f>
        <v/>
      </c>
    </row>
    <row r="2626">
      <c r="A2626" s="36" t="str">
        <f>IFERROR(__xludf.DUMMYFUNCTION("""COMPUTED_VALUE"""),"04-22-13-224")</f>
        <v>04-22-13-224</v>
      </c>
      <c r="B2626" s="36" t="str">
        <f>IFERROR(__xludf.DUMMYFUNCTION("""COMPUTED_VALUE"""),"")</f>
        <v/>
      </c>
      <c r="C2626" s="36" t="str">
        <f>IFERROR(__xludf.DUMMYFUNCTION("""COMPUTED_VALUE"""),"")</f>
        <v/>
      </c>
      <c r="D2626" s="36" t="str">
        <f>IFERROR(__xludf.DUMMYFUNCTION("""COMPUTED_VALUE"""),"ERROR DE ID")</f>
        <v>ERROR DE ID</v>
      </c>
      <c r="E2626" s="36" t="str">
        <f>IFERROR(__xludf.DUMMYFUNCTION("""COMPUTED_VALUE"""),"03-31-09-104")</f>
        <v>03-31-09-104</v>
      </c>
      <c r="F2626" s="36"/>
      <c r="G2626" s="36" t="str">
        <f>IFERROR(__xludf.DUMMYFUNCTION("""COMPUTED_VALUE"""),"San Lorenzo y Cabildo")</f>
        <v>San Lorenzo y Cabildo</v>
      </c>
      <c r="H2626" s="36" t="str">
        <f>IFERROR(__xludf.DUMMYFUNCTION("""COMPUTED_VALUE"""),"")</f>
        <v/>
      </c>
    </row>
    <row r="2627">
      <c r="A2627" s="36" t="str">
        <f>IFERROR(__xludf.DUMMYFUNCTION("""COMPUTED_VALUE"""),"04-22-13-224")</f>
        <v>04-22-13-224</v>
      </c>
      <c r="B2627" s="36" t="str">
        <f>IFERROR(__xludf.DUMMYFUNCTION("""COMPUTED_VALUE"""),"")</f>
        <v/>
      </c>
      <c r="C2627" s="36" t="str">
        <f>IFERROR(__xludf.DUMMYFUNCTION("""COMPUTED_VALUE"""),"")</f>
        <v/>
      </c>
      <c r="D2627" s="36" t="str">
        <f>IFERROR(__xludf.DUMMYFUNCTION("""COMPUTED_VALUE"""),"")</f>
        <v/>
      </c>
      <c r="E2627" s="36" t="str">
        <f>IFERROR(__xludf.DUMMYFUNCTION("""COMPUTED_VALUE"""),"03-31-09-111")</f>
        <v>03-31-09-111</v>
      </c>
      <c r="F2627" s="36"/>
      <c r="G2627" s="36" t="str">
        <f>IFERROR(__xludf.DUMMYFUNCTION("""COMPUTED_VALUE"""),"San Lorenzo y Chacabuco")</f>
        <v>San Lorenzo y Chacabuco</v>
      </c>
      <c r="H2627" s="36" t="str">
        <f>IFERROR(__xludf.DUMMYFUNCTION("""COMPUTED_VALUE"""),"")</f>
        <v/>
      </c>
    </row>
    <row r="2628">
      <c r="A2628" s="36" t="str">
        <f>IFERROR(__xludf.DUMMYFUNCTION("""COMPUTED_VALUE"""),"04-22-13-225")</f>
        <v>04-22-13-225</v>
      </c>
      <c r="B2628" s="36" t="str">
        <f>IFERROR(__xludf.DUMMYFUNCTION("""COMPUTED_VALUE"""),"")</f>
        <v/>
      </c>
      <c r="C2628" s="36" t="str">
        <f>IFERROR(__xludf.DUMMYFUNCTION("""COMPUTED_VALUE"""),"")</f>
        <v/>
      </c>
      <c r="D2628" s="36" t="str">
        <f>IFERROR(__xludf.DUMMYFUNCTION("""COMPUTED_VALUE"""),"ERROR DE ID")</f>
        <v>ERROR DE ID</v>
      </c>
      <c r="E2628" s="36" t="str">
        <f>IFERROR(__xludf.DUMMYFUNCTION("""COMPUTED_VALUE"""),"03-30-09-107")</f>
        <v>03-30-09-107</v>
      </c>
      <c r="F2628" s="36"/>
      <c r="G2628" s="36" t="str">
        <f>IFERROR(__xludf.DUMMYFUNCTION("""COMPUTED_VALUE"""),"San Lorenzo y Colón")</f>
        <v>San Lorenzo y Colón</v>
      </c>
      <c r="H2628" s="36" t="str">
        <f>IFERROR(__xludf.DUMMYFUNCTION("""COMPUTED_VALUE"""),"NOMBRE")</f>
        <v>NOMBRE</v>
      </c>
    </row>
    <row r="2629">
      <c r="A2629" s="36" t="str">
        <f>IFERROR(__xludf.DUMMYFUNCTION("""COMPUTED_VALUE"""),"04-22-13-225")</f>
        <v>04-22-13-225</v>
      </c>
      <c r="B2629" s="36" t="str">
        <f>IFERROR(__xludf.DUMMYFUNCTION("""COMPUTED_VALUE"""),"")</f>
        <v/>
      </c>
      <c r="C2629" s="36" t="str">
        <f>IFERROR(__xludf.DUMMYFUNCTION("""COMPUTED_VALUE"""),"")</f>
        <v/>
      </c>
      <c r="D2629" s="36" t="str">
        <f>IFERROR(__xludf.DUMMYFUNCTION("""COMPUTED_VALUE"""),"")</f>
        <v/>
      </c>
      <c r="E2629" s="36" t="str">
        <f>IFERROR(__xludf.DUMMYFUNCTION("""COMPUTED_VALUE"""),"03-31-09-108")</f>
        <v>03-31-09-108</v>
      </c>
      <c r="F2629" s="36"/>
      <c r="G2629" s="36" t="str">
        <f>IFERROR(__xludf.DUMMYFUNCTION("""COMPUTED_VALUE"""),"San Lorenzo y Colón")</f>
        <v>San Lorenzo y Colón</v>
      </c>
      <c r="H2629" s="36" t="str">
        <f>IFERROR(__xludf.DUMMYFUNCTION("""COMPUTED_VALUE"""),"")</f>
        <v/>
      </c>
    </row>
    <row r="2630">
      <c r="A2630" s="36" t="str">
        <f>IFERROR(__xludf.DUMMYFUNCTION("""COMPUTED_VALUE"""),"04-22-13-445")</f>
        <v>04-22-13-445</v>
      </c>
      <c r="B2630" s="36" t="str">
        <f>IFERROR(__xludf.DUMMYFUNCTION("""COMPUTED_VALUE"""),"")</f>
        <v/>
      </c>
      <c r="C2630" s="36" t="str">
        <f>IFERROR(__xludf.DUMMYFUNCTION("""COMPUTED_VALUE"""),"")</f>
        <v/>
      </c>
      <c r="D2630" s="36" t="str">
        <f>IFERROR(__xludf.DUMMYFUNCTION("""COMPUTED_VALUE"""),"")</f>
        <v/>
      </c>
      <c r="E2630" s="36" t="str">
        <f>IFERROR(__xludf.DUMMYFUNCTION("""COMPUTED_VALUE"""),"03-31-09-105")</f>
        <v>03-31-09-105</v>
      </c>
      <c r="F2630" s="36"/>
      <c r="G2630" s="36" t="str">
        <f>IFERROR(__xludf.DUMMYFUNCTION("""COMPUTED_VALUE"""),"San Lorenzo y Derqui")</f>
        <v>San Lorenzo y Derqui</v>
      </c>
      <c r="H2630" s="36" t="str">
        <f>IFERROR(__xludf.DUMMYFUNCTION("""COMPUTED_VALUE"""),"")</f>
        <v/>
      </c>
    </row>
    <row r="2631">
      <c r="A2631" s="36" t="str">
        <f>IFERROR(__xludf.DUMMYFUNCTION("""COMPUTED_VALUE"""),"04-22-13-455")</f>
        <v>04-22-13-455</v>
      </c>
      <c r="B2631" s="36" t="str">
        <f>IFERROR(__xludf.DUMMYFUNCTION("""COMPUTED_VALUE"""),"")</f>
        <v/>
      </c>
      <c r="C2631" s="36" t="str">
        <f>IFERROR(__xludf.DUMMYFUNCTION("""COMPUTED_VALUE"""),"")</f>
        <v/>
      </c>
      <c r="D2631" s="36" t="str">
        <f>IFERROR(__xludf.DUMMYFUNCTION("""COMPUTED_VALUE"""),"")</f>
        <v/>
      </c>
      <c r="E2631" s="36" t="str">
        <f>IFERROR(__xludf.DUMMYFUNCTION("""COMPUTED_VALUE"""),"01-32-07-85")</f>
        <v>01-32-07-85</v>
      </c>
      <c r="F2631" s="36"/>
      <c r="G2631" s="36" t="str">
        <f>IFERROR(__xludf.DUMMYFUNCTION("""COMPUTED_VALUE"""),"San Lorenzo y Driollet")</f>
        <v>San Lorenzo y Driollet</v>
      </c>
      <c r="H2631" s="36" t="str">
        <f>IFERROR(__xludf.DUMMYFUNCTION("""COMPUTED_VALUE"""),"")</f>
        <v/>
      </c>
    </row>
    <row r="2632">
      <c r="A2632" s="36" t="str">
        <f>IFERROR(__xludf.DUMMYFUNCTION("""COMPUTED_VALUE"""),"04-22-13-456")</f>
        <v>04-22-13-456</v>
      </c>
      <c r="B2632" s="36" t="str">
        <f>IFERROR(__xludf.DUMMYFUNCTION("""COMPUTED_VALUE"""),"")</f>
        <v/>
      </c>
      <c r="C2632" s="36" t="str">
        <f>IFERROR(__xludf.DUMMYFUNCTION("""COMPUTED_VALUE"""),"")</f>
        <v/>
      </c>
      <c r="D2632" s="36" t="str">
        <f>IFERROR(__xludf.DUMMYFUNCTION("""COMPUTED_VALUE"""),"")</f>
        <v/>
      </c>
      <c r="E2632" s="36" t="str">
        <f>IFERROR(__xludf.DUMMYFUNCTION("""COMPUTED_VALUE"""),"01-26-09-122")</f>
        <v>01-26-09-122</v>
      </c>
      <c r="F2632" s="36"/>
      <c r="G2632" s="36" t="str">
        <f>IFERROR(__xludf.DUMMYFUNCTION("""COMPUTED_VALUE"""),"San Lorenzo y Estados Unidos")</f>
        <v>San Lorenzo y Estados Unidos</v>
      </c>
      <c r="H2632" s="36" t="str">
        <f>IFERROR(__xludf.DUMMYFUNCTION("""COMPUTED_VALUE"""),"NOMBRE")</f>
        <v>NOMBRE</v>
      </c>
    </row>
    <row r="2633">
      <c r="A2633" s="36" t="str">
        <f>IFERROR(__xludf.DUMMYFUNCTION("""COMPUTED_VALUE"""),"04-22-13-457")</f>
        <v>04-22-13-457</v>
      </c>
      <c r="B2633" s="36" t="str">
        <f>IFERROR(__xludf.DUMMYFUNCTION("""COMPUTED_VALUE"""),"")</f>
        <v/>
      </c>
      <c r="C2633" s="36" t="str">
        <f>IFERROR(__xludf.DUMMYFUNCTION("""COMPUTED_VALUE"""),"")</f>
        <v/>
      </c>
      <c r="D2633" s="36" t="str">
        <f>IFERROR(__xludf.DUMMYFUNCTION("""COMPUTED_VALUE"""),"")</f>
        <v/>
      </c>
      <c r="E2633" s="36" t="str">
        <f>IFERROR(__xludf.DUMMYFUNCTION("""COMPUTED_VALUE"""),"01-26-09-205")</f>
        <v>01-26-09-205</v>
      </c>
      <c r="F2633" s="36"/>
      <c r="G2633" s="36" t="str">
        <f>IFERROR(__xludf.DUMMYFUNCTION("""COMPUTED_VALUE"""),"San Lorenzo y Estados Unidos")</f>
        <v>San Lorenzo y Estados Unidos</v>
      </c>
      <c r="H2633" s="36" t="str">
        <f>IFERROR(__xludf.DUMMYFUNCTION("""COMPUTED_VALUE"""),"")</f>
        <v/>
      </c>
    </row>
    <row r="2634">
      <c r="A2634" s="36" t="str">
        <f>IFERROR(__xludf.DUMMYFUNCTION("""COMPUTED_VALUE"""),"04-22-13-458")</f>
        <v>04-22-13-458</v>
      </c>
      <c r="B2634" s="36" t="str">
        <f>IFERROR(__xludf.DUMMYFUNCTION("""COMPUTED_VALUE"""),"")</f>
        <v/>
      </c>
      <c r="C2634" s="36" t="str">
        <f>IFERROR(__xludf.DUMMYFUNCTION("""COMPUTED_VALUE"""),"")</f>
        <v/>
      </c>
      <c r="D2634" s="36" t="str">
        <f>IFERROR(__xludf.DUMMYFUNCTION("""COMPUTED_VALUE"""),"")</f>
        <v/>
      </c>
      <c r="E2634" s="36" t="str">
        <f>IFERROR(__xludf.DUMMYFUNCTION("""COMPUTED_VALUE"""),"01-32-07-87")</f>
        <v>01-32-07-87</v>
      </c>
      <c r="F2634" s="36"/>
      <c r="G2634" s="36" t="str">
        <f>IFERROR(__xludf.DUMMYFUNCTION("""COMPUTED_VALUE"""),"San Lorenzo y Esteban Echeverría")</f>
        <v>San Lorenzo y Esteban Echeverría</v>
      </c>
      <c r="H2634" s="36" t="str">
        <f>IFERROR(__xludf.DUMMYFUNCTION("""COMPUTED_VALUE"""),"")</f>
        <v/>
      </c>
    </row>
    <row r="2635">
      <c r="A2635" s="36" t="str">
        <f>IFERROR(__xludf.DUMMYFUNCTION("""COMPUTED_VALUE"""),"04-22-13-459")</f>
        <v>04-22-13-459</v>
      </c>
      <c r="B2635" s="36" t="str">
        <f>IFERROR(__xludf.DUMMYFUNCTION("""COMPUTED_VALUE"""),"")</f>
        <v/>
      </c>
      <c r="C2635" s="36" t="str">
        <f>IFERROR(__xludf.DUMMYFUNCTION("""COMPUTED_VALUE"""),"")</f>
        <v/>
      </c>
      <c r="D2635" s="36" t="str">
        <f>IFERROR(__xludf.DUMMYFUNCTION("""COMPUTED_VALUE"""),"ERROR DE ID")</f>
        <v>ERROR DE ID</v>
      </c>
      <c r="E2635" s="36" t="str">
        <f>IFERROR(__xludf.DUMMYFUNCTION("""COMPUTED_VALUE"""),"01-30-07-227")</f>
        <v>01-30-07-227</v>
      </c>
      <c r="F2635" s="36"/>
      <c r="G2635" s="36" t="str">
        <f>IFERROR(__xludf.DUMMYFUNCTION("""COMPUTED_VALUE"""),"San Lorenzo y French N")</f>
        <v>San Lorenzo y French N</v>
      </c>
      <c r="H2635" s="36" t="str">
        <f>IFERROR(__xludf.DUMMYFUNCTION("""COMPUTED_VALUE"""),"")</f>
        <v/>
      </c>
    </row>
    <row r="2636">
      <c r="A2636" s="36" t="str">
        <f>IFERROR(__xludf.DUMMYFUNCTION("""COMPUTED_VALUE"""),"04-22-13-459")</f>
        <v>04-22-13-459</v>
      </c>
      <c r="B2636" s="36" t="str">
        <f>IFERROR(__xludf.DUMMYFUNCTION("""COMPUTED_VALUE"""),"")</f>
        <v/>
      </c>
      <c r="C2636" s="36" t="str">
        <f>IFERROR(__xludf.DUMMYFUNCTION("""COMPUTED_VALUE"""),"")</f>
        <v/>
      </c>
      <c r="D2636" s="36" t="str">
        <f>IFERROR(__xludf.DUMMYFUNCTION("""COMPUTED_VALUE"""),"")</f>
        <v/>
      </c>
      <c r="E2636" s="36" t="str">
        <f>IFERROR(__xludf.DUMMYFUNCTION("""COMPUTED_VALUE"""),"01-30-07-226")</f>
        <v>01-30-07-226</v>
      </c>
      <c r="F2636" s="36"/>
      <c r="G2636" s="36" t="str">
        <f>IFERROR(__xludf.DUMMYFUNCTION("""COMPUTED_VALUE"""),"San Lorenzo y French S")</f>
        <v>San Lorenzo y French S</v>
      </c>
      <c r="H2636" s="36" t="str">
        <f>IFERROR(__xludf.DUMMYFUNCTION("""COMPUTED_VALUE"""),"")</f>
        <v/>
      </c>
    </row>
    <row r="2637">
      <c r="A2637" s="36" t="str">
        <f>IFERROR(__xludf.DUMMYFUNCTION("""COMPUTED_VALUE"""),"04-22-13-460")</f>
        <v>04-22-13-460</v>
      </c>
      <c r="B2637" s="36" t="str">
        <f>IFERROR(__xludf.DUMMYFUNCTION("""COMPUTED_VALUE"""),"")</f>
        <v/>
      </c>
      <c r="C2637" s="36" t="str">
        <f>IFERROR(__xludf.DUMMYFUNCTION("""COMPUTED_VALUE"""),"")</f>
        <v/>
      </c>
      <c r="D2637" s="36" t="str">
        <f>IFERROR(__xludf.DUMMYFUNCTION("""COMPUTED_VALUE"""),"ERROR DE ID")</f>
        <v>ERROR DE ID</v>
      </c>
      <c r="E2637" s="36" t="str">
        <f>IFERROR(__xludf.DUMMYFUNCTION("""COMPUTED_VALUE"""),"01-30-07-224")</f>
        <v>01-30-07-224</v>
      </c>
      <c r="F2637" s="36"/>
      <c r="G2637" s="36" t="str">
        <f>IFERROR(__xludf.DUMMYFUNCTION("""COMPUTED_VALUE"""),"San Lorenzo y Garbini")</f>
        <v>San Lorenzo y Garbini</v>
      </c>
      <c r="H2637" s="36" t="str">
        <f>IFERROR(__xludf.DUMMYFUNCTION("""COMPUTED_VALUE"""),"")</f>
        <v/>
      </c>
    </row>
    <row r="2638">
      <c r="A2638" s="36" t="str">
        <f>IFERROR(__xludf.DUMMYFUNCTION("""COMPUTED_VALUE"""),"04-22-13-460")</f>
        <v>04-22-13-460</v>
      </c>
      <c r="B2638" s="36" t="str">
        <f>IFERROR(__xludf.DUMMYFUNCTION("""COMPUTED_VALUE"""),"")</f>
        <v/>
      </c>
      <c r="C2638" s="36" t="str">
        <f>IFERROR(__xludf.DUMMYFUNCTION("""COMPUTED_VALUE"""),"")</f>
        <v/>
      </c>
      <c r="D2638" s="36" t="str">
        <f>IFERROR(__xludf.DUMMYFUNCTION("""COMPUTED_VALUE"""),"")</f>
        <v/>
      </c>
      <c r="E2638" s="36" t="str">
        <f>IFERROR(__xludf.DUMMYFUNCTION("""COMPUTED_VALUE"""),"01-27-08-52L")</f>
        <v>01-27-08-52L</v>
      </c>
      <c r="F2638" s="36"/>
      <c r="G2638" s="36" t="str">
        <f>IFERROR(__xludf.DUMMYFUNCTION("""COMPUTED_VALUE"""),"San Lorenzo y Jujuy")</f>
        <v>San Lorenzo y Jujuy</v>
      </c>
      <c r="H2638" s="36" t="str">
        <f>IFERROR(__xludf.DUMMYFUNCTION("""COMPUTED_VALUE"""),"")</f>
        <v/>
      </c>
    </row>
    <row r="2639">
      <c r="A2639" s="36" t="str">
        <f>IFERROR(__xludf.DUMMYFUNCTION("""COMPUTED_VALUE"""),"04-22-13-461")</f>
        <v>04-22-13-461</v>
      </c>
      <c r="B2639" s="36" t="str">
        <f>IFERROR(__xludf.DUMMYFUNCTION("""COMPUTED_VALUE"""),"")</f>
        <v/>
      </c>
      <c r="C2639" s="36" t="str">
        <f>IFERROR(__xludf.DUMMYFUNCTION("""COMPUTED_VALUE"""),"")</f>
        <v/>
      </c>
      <c r="D2639" s="36" t="str">
        <f>IFERROR(__xludf.DUMMYFUNCTION("""COMPUTED_VALUE"""),"")</f>
        <v/>
      </c>
      <c r="E2639" s="36" t="str">
        <f>IFERROR(__xludf.DUMMYFUNCTION("""COMPUTED_VALUE"""),"03-31-09-110")</f>
        <v>03-31-09-110</v>
      </c>
      <c r="F2639" s="36"/>
      <c r="G2639" s="36" t="str">
        <f>IFERROR(__xludf.DUMMYFUNCTION("""COMPUTED_VALUE"""),"San Lorenzo y Lat. de Circunvalación")</f>
        <v>San Lorenzo y Lat. de Circunvalación</v>
      </c>
      <c r="H2639" s="36" t="str">
        <f>IFERROR(__xludf.DUMMYFUNCTION("""COMPUTED_VALUE"""),"")</f>
        <v/>
      </c>
    </row>
    <row r="2640">
      <c r="A2640" s="36" t="str">
        <f>IFERROR(__xludf.DUMMYFUNCTION("""COMPUTED_VALUE"""),"04-22-13-462")</f>
        <v>04-22-13-462</v>
      </c>
      <c r="B2640" s="36" t="str">
        <f>IFERROR(__xludf.DUMMYFUNCTION("""COMPUTED_VALUE"""),"")</f>
        <v/>
      </c>
      <c r="C2640" s="36" t="str">
        <f>IFERROR(__xludf.DUMMYFUNCTION("""COMPUTED_VALUE"""),"")</f>
        <v/>
      </c>
      <c r="D2640" s="36" t="str">
        <f>IFERROR(__xludf.DUMMYFUNCTION("""COMPUTED_VALUE"""),"")</f>
        <v/>
      </c>
      <c r="E2640" s="36" t="str">
        <f>IFERROR(__xludf.DUMMYFUNCTION("""COMPUTED_VALUE"""),"03-31-09-109")</f>
        <v>03-31-09-109</v>
      </c>
      <c r="F2640" s="36"/>
      <c r="G2640" s="36" t="str">
        <f>IFERROR(__xludf.DUMMYFUNCTION("""COMPUTED_VALUE"""),"San Lorenzo y Libertad")</f>
        <v>San Lorenzo y Libertad</v>
      </c>
      <c r="H2640" s="36" t="str">
        <f>IFERROR(__xludf.DUMMYFUNCTION("""COMPUTED_VALUE"""),"")</f>
        <v/>
      </c>
    </row>
    <row r="2641">
      <c r="A2641" s="36" t="str">
        <f>IFERROR(__xludf.DUMMYFUNCTION("""COMPUTED_VALUE"""),"04-32-13-171")</f>
        <v>04-32-13-171</v>
      </c>
      <c r="B2641" s="36" t="str">
        <f>IFERROR(__xludf.DUMMYFUNCTION("""COMPUTED_VALUE"""),"")</f>
        <v/>
      </c>
      <c r="C2641" s="36" t="str">
        <f>IFERROR(__xludf.DUMMYFUNCTION("""COMPUTED_VALUE"""),"")</f>
        <v/>
      </c>
      <c r="D2641" s="36" t="str">
        <f>IFERROR(__xludf.DUMMYFUNCTION("""COMPUTED_VALUE"""),"")</f>
        <v/>
      </c>
      <c r="E2641" s="36" t="str">
        <f>IFERROR(__xludf.DUMMYFUNCTION("""COMPUTED_VALUE"""),"01-30-07-122")</f>
        <v>01-30-07-122</v>
      </c>
      <c r="F2641" s="36"/>
      <c r="G2641" s="36" t="str">
        <f>IFERROR(__xludf.DUMMYFUNCTION("""COMPUTED_VALUE"""),"San Lorenzo y Paula A. de Sarmiento")</f>
        <v>San Lorenzo y Paula A. de Sarmiento</v>
      </c>
      <c r="H2641" s="36" t="str">
        <f>IFERROR(__xludf.DUMMYFUNCTION("""COMPUTED_VALUE"""),"")</f>
        <v/>
      </c>
    </row>
    <row r="2642">
      <c r="A2642" s="36" t="str">
        <f>IFERROR(__xludf.DUMMYFUNCTION("""COMPUTED_VALUE"""),"04-32-13-173")</f>
        <v>04-32-13-173</v>
      </c>
      <c r="B2642" s="36" t="str">
        <f>IFERROR(__xludf.DUMMYFUNCTION("""COMPUTED_VALUE"""),"")</f>
        <v/>
      </c>
      <c r="C2642" s="36" t="str">
        <f>IFERROR(__xludf.DUMMYFUNCTION("""COMPUTED_VALUE"""),"")</f>
        <v/>
      </c>
      <c r="D2642" s="36" t="str">
        <f>IFERROR(__xludf.DUMMYFUNCTION("""COMPUTED_VALUE"""),"")</f>
        <v/>
      </c>
      <c r="E2642" s="36" t="str">
        <f>IFERROR(__xludf.DUMMYFUNCTION("""COMPUTED_VALUE"""),"01-30-07-223")</f>
        <v>01-30-07-223</v>
      </c>
      <c r="F2642" s="36"/>
      <c r="G2642" s="36" t="str">
        <f>IFERROR(__xludf.DUMMYFUNCTION("""COMPUTED_VALUE"""),"San Lorenzo y Perito Moreno")</f>
        <v>San Lorenzo y Perito Moreno</v>
      </c>
      <c r="H2642" s="36" t="str">
        <f>IFERROR(__xludf.DUMMYFUNCTION("""COMPUTED_VALUE"""),"")</f>
        <v/>
      </c>
    </row>
    <row r="2643">
      <c r="A2643" s="36" t="str">
        <f>IFERROR(__xludf.DUMMYFUNCTION("""COMPUTED_VALUE"""),"04-32-13-175")</f>
        <v>04-32-13-175</v>
      </c>
      <c r="B2643" s="36" t="str">
        <f>IFERROR(__xludf.DUMMYFUNCTION("""COMPUTED_VALUE"""),"")</f>
        <v/>
      </c>
      <c r="C2643" s="36" t="str">
        <f>IFERROR(__xludf.DUMMYFUNCTION("""COMPUTED_VALUE"""),"")</f>
        <v/>
      </c>
      <c r="D2643" s="36" t="str">
        <f>IFERROR(__xludf.DUMMYFUNCTION("""COMPUTED_VALUE"""),"")</f>
        <v/>
      </c>
      <c r="E2643" s="36" t="str">
        <f>IFERROR(__xludf.DUMMYFUNCTION("""COMPUTED_VALUE"""),"03-31-09-116")</f>
        <v>03-31-09-116</v>
      </c>
      <c r="F2643" s="36"/>
      <c r="G2643" s="36" t="str">
        <f>IFERROR(__xludf.DUMMYFUNCTION("""COMPUTED_VALUE"""),"San Lorenzo y Pueyrredón")</f>
        <v>San Lorenzo y Pueyrredón</v>
      </c>
      <c r="H2643" s="36" t="str">
        <f>IFERROR(__xludf.DUMMYFUNCTION("""COMPUTED_VALUE"""),"")</f>
        <v/>
      </c>
    </row>
    <row r="2644">
      <c r="A2644" s="36" t="str">
        <f>IFERROR(__xludf.DUMMYFUNCTION("""COMPUTED_VALUE"""),"04-32-13-177")</f>
        <v>04-32-13-177</v>
      </c>
      <c r="B2644" s="36" t="str">
        <f>IFERROR(__xludf.DUMMYFUNCTION("""COMPUTED_VALUE"""),"")</f>
        <v/>
      </c>
      <c r="C2644" s="36" t="str">
        <f>IFERROR(__xludf.DUMMYFUNCTION("""COMPUTED_VALUE"""),"")</f>
        <v/>
      </c>
      <c r="D2644" s="36" t="str">
        <f>IFERROR(__xludf.DUMMYFUNCTION("""COMPUTED_VALUE"""),"")</f>
        <v/>
      </c>
      <c r="E2644" s="36" t="str">
        <f>IFERROR(__xludf.DUMMYFUNCTION("""COMPUTED_VALUE"""),"01-29-07-15")</f>
        <v>01-29-07-15</v>
      </c>
      <c r="F2644" s="36"/>
      <c r="G2644" s="36" t="str">
        <f>IFERROR(__xludf.DUMMYFUNCTION("""COMPUTED_VALUE"""),"San Lorenzo y Salta")</f>
        <v>San Lorenzo y Salta</v>
      </c>
      <c r="H2644" s="36" t="str">
        <f>IFERROR(__xludf.DUMMYFUNCTION("""COMPUTED_VALUE"""),"")</f>
        <v/>
      </c>
    </row>
    <row r="2645">
      <c r="A2645" s="36" t="str">
        <f>IFERROR(__xludf.DUMMYFUNCTION("""COMPUTED_VALUE"""),"04-32-13-178")</f>
        <v>04-32-13-178</v>
      </c>
      <c r="B2645" s="36" t="str">
        <f>IFERROR(__xludf.DUMMYFUNCTION("""COMPUTED_VALUE"""),"")</f>
        <v/>
      </c>
      <c r="C2645" s="36" t="str">
        <f>IFERROR(__xludf.DUMMYFUNCTION("""COMPUTED_VALUE"""),"")</f>
        <v/>
      </c>
      <c r="D2645" s="36" t="str">
        <f>IFERROR(__xludf.DUMMYFUNCTION("""COMPUTED_VALUE"""),"")</f>
        <v/>
      </c>
      <c r="E2645" s="36" t="str">
        <f>IFERROR(__xludf.DUMMYFUNCTION("""COMPUTED_VALUE"""),"09-24-10-29A")</f>
        <v>09-24-10-29A</v>
      </c>
      <c r="F2645" s="36"/>
      <c r="G2645" s="36" t="str">
        <f>IFERROR(__xludf.DUMMYFUNCTION("""COMPUTED_VALUE"""),"San Luis e Islas Malvinas")</f>
        <v>San Luis e Islas Malvinas</v>
      </c>
      <c r="H2645" s="36" t="str">
        <f>IFERROR(__xludf.DUMMYFUNCTION("""COMPUTED_VALUE"""),"")</f>
        <v/>
      </c>
    </row>
    <row r="2646">
      <c r="A2646" s="36" t="str">
        <f>IFERROR(__xludf.DUMMYFUNCTION("""COMPUTED_VALUE"""),"04-32-13-180")</f>
        <v>04-32-13-180</v>
      </c>
      <c r="B2646" s="36" t="str">
        <f>IFERROR(__xludf.DUMMYFUNCTION("""COMPUTED_VALUE"""),"")</f>
        <v/>
      </c>
      <c r="C2646" s="36" t="str">
        <f>IFERROR(__xludf.DUMMYFUNCTION("""COMPUTED_VALUE"""),"")</f>
        <v/>
      </c>
      <c r="D2646" s="36" t="str">
        <f>IFERROR(__xludf.DUMMYFUNCTION("""COMPUTED_VALUE"""),"")</f>
        <v/>
      </c>
      <c r="E2646" s="36" t="str">
        <f>IFERROR(__xludf.DUMMYFUNCTION("""COMPUTED_VALUE"""),"01-41-08-42")</f>
        <v>01-41-08-42</v>
      </c>
      <c r="F2646" s="36"/>
      <c r="G2646" s="36" t="str">
        <f>IFERROR(__xludf.DUMMYFUNCTION("""COMPUTED_VALUE"""),"San Luis y Av. Rioja")</f>
        <v>San Luis y Av. Rioja</v>
      </c>
      <c r="H2646" s="36" t="str">
        <f>IFERROR(__xludf.DUMMYFUNCTION("""COMPUTED_VALUE"""),"")</f>
        <v/>
      </c>
    </row>
    <row r="2647">
      <c r="A2647" s="36" t="str">
        <f>IFERROR(__xludf.DUMMYFUNCTION("""COMPUTED_VALUE"""),"04-32-13-182")</f>
        <v>04-32-13-182</v>
      </c>
      <c r="B2647" s="36" t="str">
        <f>IFERROR(__xludf.DUMMYFUNCTION("""COMPUTED_VALUE"""),"")</f>
        <v/>
      </c>
      <c r="C2647" s="36" t="str">
        <f>IFERROR(__xludf.DUMMYFUNCTION("""COMPUTED_VALUE"""),"")</f>
        <v/>
      </c>
      <c r="D2647" s="36" t="str">
        <f>IFERROR(__xludf.DUMMYFUNCTION("""COMPUTED_VALUE"""),"")</f>
        <v/>
      </c>
      <c r="E2647" s="36" t="str">
        <f>IFERROR(__xludf.DUMMYFUNCTION("""COMPUTED_VALUE"""),"01-42-08-14")</f>
        <v>01-42-08-14</v>
      </c>
      <c r="F2647" s="36"/>
      <c r="G2647" s="36" t="str">
        <f>IFERROR(__xludf.DUMMYFUNCTION("""COMPUTED_VALUE"""),"San Luis y Catamarca")</f>
        <v>San Luis y Catamarca</v>
      </c>
      <c r="H2647" s="36" t="str">
        <f>IFERROR(__xludf.DUMMYFUNCTION("""COMPUTED_VALUE"""),"")</f>
        <v/>
      </c>
    </row>
    <row r="2648">
      <c r="A2648" s="36" t="str">
        <f>IFERROR(__xludf.DUMMYFUNCTION("""COMPUTED_VALUE"""),"04-32-13-184")</f>
        <v>04-32-13-184</v>
      </c>
      <c r="B2648" s="36" t="str">
        <f>IFERROR(__xludf.DUMMYFUNCTION("""COMPUTED_VALUE"""),"")</f>
        <v/>
      </c>
      <c r="C2648" s="36" t="str">
        <f>IFERROR(__xludf.DUMMYFUNCTION("""COMPUTED_VALUE"""),"")</f>
        <v/>
      </c>
      <c r="D2648" s="36" t="str">
        <f>IFERROR(__xludf.DUMMYFUNCTION("""COMPUTED_VALUE"""),"")</f>
        <v/>
      </c>
      <c r="E2648" s="36" t="str">
        <f>IFERROR(__xludf.DUMMYFUNCTION("""COMPUTED_VALUE"""),"01-41-08-42B")</f>
        <v>01-41-08-42B</v>
      </c>
      <c r="F2648" s="36"/>
      <c r="G2648" s="36" t="str">
        <f>IFERROR(__xludf.DUMMYFUNCTION("""COMPUTED_VALUE"""),"San Luis y Mendoza")</f>
        <v>San Luis y Mendoza</v>
      </c>
      <c r="H2648" s="36" t="str">
        <f>IFERROR(__xludf.DUMMYFUNCTION("""COMPUTED_VALUE"""),"")</f>
        <v/>
      </c>
    </row>
    <row r="2649">
      <c r="A2649" s="36" t="str">
        <f>IFERROR(__xludf.DUMMYFUNCTION("""COMPUTED_VALUE"""),"04-32-13-185")</f>
        <v>04-32-13-185</v>
      </c>
      <c r="B2649" s="36" t="str">
        <f>IFERROR(__xludf.DUMMYFUNCTION("""COMPUTED_VALUE"""),"")</f>
        <v/>
      </c>
      <c r="C2649" s="36" t="str">
        <f>IFERROR(__xludf.DUMMYFUNCTION("""COMPUTED_VALUE"""),"")</f>
        <v/>
      </c>
      <c r="D2649" s="36" t="str">
        <f>IFERROR(__xludf.DUMMYFUNCTION("""COMPUTED_VALUE"""),"")</f>
        <v/>
      </c>
      <c r="E2649" s="36" t="str">
        <f>IFERROR(__xludf.DUMMYFUNCTION("""COMPUTED_VALUE"""),"08-44-03-45")</f>
        <v>08-44-03-45</v>
      </c>
      <c r="F2649" s="36"/>
      <c r="G2649" s="36" t="str">
        <f>IFERROR(__xludf.DUMMYFUNCTION("""COMPUTED_VALUE"""),"San Luis y R. Godoy")</f>
        <v>San Luis y R. Godoy</v>
      </c>
      <c r="H2649" s="36" t="str">
        <f>IFERROR(__xludf.DUMMYFUNCTION("""COMPUTED_VALUE"""),"")</f>
        <v/>
      </c>
    </row>
    <row r="2650">
      <c r="A2650" s="36" t="str">
        <f>IFERROR(__xludf.DUMMYFUNCTION("""COMPUTED_VALUE"""),"04-32-13-185A")</f>
        <v>04-32-13-185A</v>
      </c>
      <c r="B2650" s="36" t="str">
        <f>IFERROR(__xludf.DUMMYFUNCTION("""COMPUTED_VALUE"""),"")</f>
        <v/>
      </c>
      <c r="C2650" s="36" t="str">
        <f>IFERROR(__xludf.DUMMYFUNCTION("""COMPUTED_VALUE"""),"")</f>
        <v/>
      </c>
      <c r="D2650" s="36" t="str">
        <f>IFERROR(__xludf.DUMMYFUNCTION("""COMPUTED_VALUE"""),"")</f>
        <v/>
      </c>
      <c r="E2650" s="36" t="str">
        <f>IFERROR(__xludf.DUMMYFUNCTION("""COMPUTED_VALUE"""),"01-42-07-1")</f>
        <v>01-42-07-1</v>
      </c>
      <c r="F2650" s="36"/>
      <c r="G2650" s="36" t="str">
        <f>IFERROR(__xludf.DUMMYFUNCTION("""COMPUTED_VALUE"""),"San Luis y Salta")</f>
        <v>San Luis y Salta</v>
      </c>
      <c r="H2650" s="36" t="str">
        <f>IFERROR(__xludf.DUMMYFUNCTION("""COMPUTED_VALUE"""),"")</f>
        <v/>
      </c>
    </row>
    <row r="2651">
      <c r="A2651" s="36" t="str">
        <f>IFERROR(__xludf.DUMMYFUNCTION("""COMPUTED_VALUE"""),"04-32-13-411")</f>
        <v>04-32-13-411</v>
      </c>
      <c r="B2651" s="36" t="str">
        <f>IFERROR(__xludf.DUMMYFUNCTION("""COMPUTED_VALUE"""),"")</f>
        <v/>
      </c>
      <c r="C2651" s="36" t="str">
        <f>IFERROR(__xludf.DUMMYFUNCTION("""COMPUTED_VALUE"""),"")</f>
        <v/>
      </c>
      <c r="D2651" s="36" t="str">
        <f>IFERROR(__xludf.DUMMYFUNCTION("""COMPUTED_VALUE"""),"")</f>
        <v/>
      </c>
      <c r="E2651" s="36" t="str">
        <f>IFERROR(__xludf.DUMMYFUNCTION("""COMPUTED_VALUE"""),"01-41-08-42A")</f>
        <v>01-41-08-42A</v>
      </c>
      <c r="F2651" s="36"/>
      <c r="G2651" s="36" t="str">
        <f>IFERROR(__xludf.DUMMYFUNCTION("""COMPUTED_VALUE"""),"San Luis y Tucumán")</f>
        <v>San Luis y Tucumán</v>
      </c>
      <c r="H2651" s="36" t="str">
        <f>IFERROR(__xludf.DUMMYFUNCTION("""COMPUTED_VALUE"""),"")</f>
        <v/>
      </c>
    </row>
    <row r="2652">
      <c r="A2652" s="36" t="str">
        <f>IFERROR(__xludf.DUMMYFUNCTION("""COMPUTED_VALUE"""),"04-32-13-413")</f>
        <v>04-32-13-413</v>
      </c>
      <c r="B2652" s="36" t="str">
        <f>IFERROR(__xludf.DUMMYFUNCTION("""COMPUTED_VALUE"""),"")</f>
        <v/>
      </c>
      <c r="C2652" s="36" t="str">
        <f>IFERROR(__xludf.DUMMYFUNCTION("""COMPUTED_VALUE"""),"")</f>
        <v/>
      </c>
      <c r="D2652" s="36" t="str">
        <f>IFERROR(__xludf.DUMMYFUNCTION("""COMPUTED_VALUE"""),"")</f>
        <v/>
      </c>
      <c r="E2652" s="36" t="str">
        <f>IFERROR(__xludf.DUMMYFUNCTION("""COMPUTED_VALUE"""),"08-23-04-80")</f>
        <v>08-23-04-80</v>
      </c>
      <c r="F2652" s="36"/>
      <c r="G2652" s="36" t="str">
        <f>IFERROR(__xludf.DUMMYFUNCTION("""COMPUTED_VALUE"""),"San Martín y Alberdi E")</f>
        <v>San Martín y Alberdi E</v>
      </c>
      <c r="H2652" s="36" t="str">
        <f>IFERROR(__xludf.DUMMYFUNCTION("""COMPUTED_VALUE"""),"")</f>
        <v/>
      </c>
    </row>
    <row r="2653">
      <c r="A2653" s="36" t="str">
        <f>IFERROR(__xludf.DUMMYFUNCTION("""COMPUTED_VALUE"""),"04-32-13-414")</f>
        <v>04-32-13-414</v>
      </c>
      <c r="B2653" s="36" t="str">
        <f>IFERROR(__xludf.DUMMYFUNCTION("""COMPUTED_VALUE"""),"")</f>
        <v/>
      </c>
      <c r="C2653" s="36" t="str">
        <f>IFERROR(__xludf.DUMMYFUNCTION("""COMPUTED_VALUE"""),"")</f>
        <v/>
      </c>
      <c r="D2653" s="36" t="str">
        <f>IFERROR(__xludf.DUMMYFUNCTION("""COMPUTED_VALUE"""),"")</f>
        <v/>
      </c>
      <c r="E2653" s="36" t="str">
        <f>IFERROR(__xludf.DUMMYFUNCTION("""COMPUTED_VALUE"""),"08-44-04-81")</f>
        <v>08-44-04-81</v>
      </c>
      <c r="F2653" s="36"/>
      <c r="G2653" s="36" t="str">
        <f>IFERROR(__xludf.DUMMYFUNCTION("""COMPUTED_VALUE"""),"San Martín y Alberdi O")</f>
        <v>San Martín y Alberdi O</v>
      </c>
      <c r="H2653" s="36" t="str">
        <f>IFERROR(__xludf.DUMMYFUNCTION("""COMPUTED_VALUE"""),"")</f>
        <v/>
      </c>
    </row>
    <row r="2654">
      <c r="A2654" s="36" t="str">
        <f>IFERROR(__xludf.DUMMYFUNCTION("""COMPUTED_VALUE"""),"04-32-13-416")</f>
        <v>04-32-13-416</v>
      </c>
      <c r="B2654" s="36" t="str">
        <f>IFERROR(__xludf.DUMMYFUNCTION("""COMPUTED_VALUE"""),"")</f>
        <v/>
      </c>
      <c r="C2654" s="36" t="str">
        <f>IFERROR(__xludf.DUMMYFUNCTION("""COMPUTED_VALUE"""),"")</f>
        <v/>
      </c>
      <c r="D2654" s="36" t="str">
        <f>IFERROR(__xludf.DUMMYFUNCTION("""COMPUTED_VALUE"""),"")</f>
        <v/>
      </c>
      <c r="E2654" s="36" t="str">
        <f>IFERROR(__xludf.DUMMYFUNCTION("""COMPUTED_VALUE"""),"02-36-06-26")</f>
        <v>02-36-06-26</v>
      </c>
      <c r="F2654" s="36"/>
      <c r="G2654" s="36" t="str">
        <f>IFERROR(__xludf.DUMMYFUNCTION("""COMPUTED_VALUE"""),"Sancassani y Gómez")</f>
        <v>Sancassani y Gómez</v>
      </c>
      <c r="H2654" s="36" t="str">
        <f>IFERROR(__xludf.DUMMYFUNCTION("""COMPUTED_VALUE"""),"")</f>
        <v/>
      </c>
    </row>
    <row r="2655">
      <c r="A2655" s="36" t="str">
        <f>IFERROR(__xludf.DUMMYFUNCTION("""COMPUTED_VALUE"""),"04-32-13-418")</f>
        <v>04-32-13-418</v>
      </c>
      <c r="B2655" s="36" t="str">
        <f>IFERROR(__xludf.DUMMYFUNCTION("""COMPUTED_VALUE"""),"")</f>
        <v/>
      </c>
      <c r="C2655" s="36" t="str">
        <f>IFERROR(__xludf.DUMMYFUNCTION("""COMPUTED_VALUE"""),"")</f>
        <v/>
      </c>
      <c r="D2655" s="36" t="str">
        <f>IFERROR(__xludf.DUMMYFUNCTION("""COMPUTED_VALUE"""),"")</f>
        <v/>
      </c>
      <c r="E2655" s="36" t="str">
        <f>IFERROR(__xludf.DUMMYFUNCTION("""COMPUTED_VALUE"""),"02-36-06-25A")</f>
        <v>02-36-06-25A</v>
      </c>
      <c r="F2655" s="36"/>
      <c r="G2655" s="36" t="str">
        <f>IFERROR(__xludf.DUMMYFUNCTION("""COMPUTED_VALUE"""),"Sancassani y Meglioli")</f>
        <v>Sancassani y Meglioli</v>
      </c>
      <c r="H2655" s="36" t="str">
        <f>IFERROR(__xludf.DUMMYFUNCTION("""COMPUTED_VALUE"""),"")</f>
        <v/>
      </c>
    </row>
    <row r="2656">
      <c r="A2656" s="36" t="str">
        <f>IFERROR(__xludf.DUMMYFUNCTION("""COMPUTED_VALUE"""),"04-32-13-419")</f>
        <v>04-32-13-419</v>
      </c>
      <c r="B2656" s="36" t="str">
        <f>IFERROR(__xludf.DUMMYFUNCTION("""COMPUTED_VALUE"""),"")</f>
        <v/>
      </c>
      <c r="C2656" s="36" t="str">
        <f>IFERROR(__xludf.DUMMYFUNCTION("""COMPUTED_VALUE"""),"")</f>
        <v/>
      </c>
      <c r="D2656" s="36" t="str">
        <f>IFERROR(__xludf.DUMMYFUNCTION("""COMPUTED_VALUE"""),"")</f>
        <v/>
      </c>
      <c r="E2656" s="36" t="str">
        <f>IFERROR(__xludf.DUMMYFUNCTION("""COMPUTED_VALUE"""),"02-31-06-65A")</f>
        <v>02-31-06-65A</v>
      </c>
      <c r="F2656" s="36"/>
      <c r="G2656" s="36" t="str">
        <f>IFERROR(__xludf.DUMMYFUNCTION("""COMPUTED_VALUE"""),"Sanidad Argentina y 21 de Setiembre")</f>
        <v>Sanidad Argentina y 21 de Setiembre</v>
      </c>
      <c r="H2656" s="36" t="str">
        <f>IFERROR(__xludf.DUMMYFUNCTION("""COMPUTED_VALUE"""),"")</f>
        <v/>
      </c>
    </row>
    <row r="2657">
      <c r="A2657" s="36" t="str">
        <f>IFERROR(__xludf.DUMMYFUNCTION("""COMPUTED_VALUE"""),"04-32-13-420")</f>
        <v>04-32-13-420</v>
      </c>
      <c r="B2657" s="36" t="str">
        <f>IFERROR(__xludf.DUMMYFUNCTION("""COMPUTED_VALUE"""),"")</f>
        <v/>
      </c>
      <c r="C2657" s="36" t="str">
        <f>IFERROR(__xludf.DUMMYFUNCTION("""COMPUTED_VALUE"""),"")</f>
        <v/>
      </c>
      <c r="D2657" s="36" t="str">
        <f>IFERROR(__xludf.DUMMYFUNCTION("""COMPUTED_VALUE"""),"")</f>
        <v/>
      </c>
      <c r="E2657" s="36" t="str">
        <f>IFERROR(__xludf.DUMMYFUNCTION("""COMPUTED_VALUE"""),"02-31-06-50A")</f>
        <v>02-31-06-50A</v>
      </c>
      <c r="F2657" s="36"/>
      <c r="G2657" s="36" t="str">
        <f>IFERROR(__xludf.DUMMYFUNCTION("""COMPUTED_VALUE"""),"Sanidad Argentina y Boggian")</f>
        <v>Sanidad Argentina y Boggian</v>
      </c>
      <c r="H2657" s="36" t="str">
        <f>IFERROR(__xludf.DUMMYFUNCTION("""COMPUTED_VALUE"""),"")</f>
        <v/>
      </c>
    </row>
    <row r="2658">
      <c r="A2658" s="36" t="str">
        <f>IFERROR(__xludf.DUMMYFUNCTION("""COMPUTED_VALUE"""),"04-32-13-421")</f>
        <v>04-32-13-421</v>
      </c>
      <c r="B2658" s="36" t="str">
        <f>IFERROR(__xludf.DUMMYFUNCTION("""COMPUTED_VALUE"""),"")</f>
        <v/>
      </c>
      <c r="C2658" s="36" t="str">
        <f>IFERROR(__xludf.DUMMYFUNCTION("""COMPUTED_VALUE"""),"")</f>
        <v/>
      </c>
      <c r="D2658" s="36" t="str">
        <f>IFERROR(__xludf.DUMMYFUNCTION("""COMPUTED_VALUE"""),"")</f>
        <v/>
      </c>
      <c r="E2658" s="36" t="str">
        <f>IFERROR(__xludf.DUMMYFUNCTION("""COMPUTED_VALUE"""),"02-31-06-65B")</f>
        <v>02-31-06-65B</v>
      </c>
      <c r="F2658" s="36"/>
      <c r="G2658" s="36" t="str">
        <f>IFERROR(__xludf.DUMMYFUNCTION("""COMPUTED_VALUE"""),"Sanidad Argentina y Petracchini")</f>
        <v>Sanidad Argentina y Petracchini</v>
      </c>
      <c r="H2658" s="36" t="str">
        <f>IFERROR(__xludf.DUMMYFUNCTION("""COMPUTED_VALUE"""),"")</f>
        <v/>
      </c>
    </row>
    <row r="2659">
      <c r="A2659" s="36" t="str">
        <f>IFERROR(__xludf.DUMMYFUNCTION("""COMPUTED_VALUE"""),"04-32-13-422")</f>
        <v>04-32-13-422</v>
      </c>
      <c r="B2659" s="36" t="str">
        <f>IFERROR(__xludf.DUMMYFUNCTION("""COMPUTED_VALUE"""),"")</f>
        <v/>
      </c>
      <c r="C2659" s="36" t="str">
        <f>IFERROR(__xludf.DUMMYFUNCTION("""COMPUTED_VALUE"""),"")</f>
        <v/>
      </c>
      <c r="D2659" s="36" t="str">
        <f>IFERROR(__xludf.DUMMYFUNCTION("""COMPUTED_VALUE"""),"")</f>
        <v/>
      </c>
      <c r="E2659" s="36" t="str">
        <f>IFERROR(__xludf.DUMMYFUNCTION("""COMPUTED_VALUE"""),"01-51-08-5")</f>
        <v>01-51-08-5</v>
      </c>
      <c r="F2659" s="36"/>
      <c r="G2659" s="36" t="str">
        <f>IFERROR(__xludf.DUMMYFUNCTION("""COMPUTED_VALUE"""),"Santa Fe y Av. Alem")</f>
        <v>Santa Fe y Av. Alem</v>
      </c>
      <c r="H2659" s="36" t="str">
        <f>IFERROR(__xludf.DUMMYFUNCTION("""COMPUTED_VALUE"""),"")</f>
        <v/>
      </c>
    </row>
    <row r="2660">
      <c r="A2660" s="36" t="str">
        <f>IFERROR(__xludf.DUMMYFUNCTION("""COMPUTED_VALUE"""),"04-32-13-423")</f>
        <v>04-32-13-423</v>
      </c>
      <c r="B2660" s="36" t="str">
        <f>IFERROR(__xludf.DUMMYFUNCTION("""COMPUTED_VALUE"""),"")</f>
        <v/>
      </c>
      <c r="C2660" s="36" t="str">
        <f>IFERROR(__xludf.DUMMYFUNCTION("""COMPUTED_VALUE"""),"")</f>
        <v/>
      </c>
      <c r="D2660" s="36" t="str">
        <f>IFERROR(__xludf.DUMMYFUNCTION("""COMPUTED_VALUE"""),"")</f>
        <v/>
      </c>
      <c r="E2660" s="36" t="str">
        <f>IFERROR(__xludf.DUMMYFUNCTION("""COMPUTED_VALUE"""),"01-51-08-6")</f>
        <v>01-51-08-6</v>
      </c>
      <c r="F2660" s="36"/>
      <c r="G2660" s="36" t="str">
        <f>IFERROR(__xludf.DUMMYFUNCTION("""COMPUTED_VALUE"""),"Santa Fe y Av. Alem -E")</f>
        <v>Santa Fe y Av. Alem -E</v>
      </c>
      <c r="H2660" s="36" t="str">
        <f>IFERROR(__xludf.DUMMYFUNCTION("""COMPUTED_VALUE"""),"")</f>
        <v/>
      </c>
    </row>
    <row r="2661">
      <c r="A2661" s="36" t="str">
        <f>IFERROR(__xludf.DUMMYFUNCTION("""COMPUTED_VALUE"""),"04-32-13-424")</f>
        <v>04-32-13-424</v>
      </c>
      <c r="B2661" s="36" t="str">
        <f>IFERROR(__xludf.DUMMYFUNCTION("""COMPUTED_VALUE"""),"")</f>
        <v/>
      </c>
      <c r="C2661" s="36" t="str">
        <f>IFERROR(__xludf.DUMMYFUNCTION("""COMPUTED_VALUE"""),"")</f>
        <v/>
      </c>
      <c r="D2661" s="36" t="str">
        <f>IFERROR(__xludf.DUMMYFUNCTION("""COMPUTED_VALUE"""),"")</f>
        <v/>
      </c>
      <c r="E2661" s="36" t="str">
        <f>IFERROR(__xludf.DUMMYFUNCTION("""COMPUTED_VALUE"""),"01-51-08-7")</f>
        <v>01-51-08-7</v>
      </c>
      <c r="F2661" s="36"/>
      <c r="G2661" s="36" t="str">
        <f>IFERROR(__xludf.DUMMYFUNCTION("""COMPUTED_VALUE"""),"Santa Fe y Av. Catamarca")</f>
        <v>Santa Fe y Av. Catamarca</v>
      </c>
      <c r="H2661" s="36" t="str">
        <f>IFERROR(__xludf.DUMMYFUNCTION("""COMPUTED_VALUE"""),"")</f>
        <v/>
      </c>
    </row>
    <row r="2662">
      <c r="A2662" s="36" t="str">
        <f>IFERROR(__xludf.DUMMYFUNCTION("""COMPUTED_VALUE"""),"04-32-13-425")</f>
        <v>04-32-13-425</v>
      </c>
      <c r="B2662" s="36" t="str">
        <f>IFERROR(__xludf.DUMMYFUNCTION("""COMPUTED_VALUE"""),"")</f>
        <v/>
      </c>
      <c r="C2662" s="36" t="str">
        <f>IFERROR(__xludf.DUMMYFUNCTION("""COMPUTED_VALUE"""),"")</f>
        <v/>
      </c>
      <c r="D2662" s="36" t="str">
        <f>IFERROR(__xludf.DUMMYFUNCTION("""COMPUTED_VALUE"""),"")</f>
        <v/>
      </c>
      <c r="E2662" s="36" t="str">
        <f>IFERROR(__xludf.DUMMYFUNCTION("""COMPUTED_VALUE"""),"01-53-09-6")</f>
        <v>01-53-09-6</v>
      </c>
      <c r="F2662" s="36"/>
      <c r="G2662" s="36" t="str">
        <f>IFERROR(__xludf.DUMMYFUNCTION("""COMPUTED_VALUE"""),"Santa Fe y Av. Rawson")</f>
        <v>Santa Fe y Av. Rawson</v>
      </c>
      <c r="H2662" s="36" t="str">
        <f>IFERROR(__xludf.DUMMYFUNCTION("""COMPUTED_VALUE"""),"")</f>
        <v/>
      </c>
    </row>
    <row r="2663">
      <c r="A2663" s="36" t="str">
        <f>IFERROR(__xludf.DUMMYFUNCTION("""COMPUTED_VALUE"""),"04-32-13-426")</f>
        <v>04-32-13-426</v>
      </c>
      <c r="B2663" s="36" t="str">
        <f>IFERROR(__xludf.DUMMYFUNCTION("""COMPUTED_VALUE"""),"")</f>
        <v/>
      </c>
      <c r="C2663" s="36" t="str">
        <f>IFERROR(__xludf.DUMMYFUNCTION("""COMPUTED_VALUE"""),"")</f>
        <v/>
      </c>
      <c r="D2663" s="36" t="str">
        <f>IFERROR(__xludf.DUMMYFUNCTION("""COMPUTED_VALUE"""),"")</f>
        <v/>
      </c>
      <c r="E2663" s="36" t="str">
        <f>IFERROR(__xludf.DUMMYFUNCTION("""COMPUTED_VALUE"""),"01-52-08-32")</f>
        <v>01-52-08-32</v>
      </c>
      <c r="F2663" s="36"/>
      <c r="G2663" s="36" t="str">
        <f>IFERROR(__xludf.DUMMYFUNCTION("""COMPUTED_VALUE"""),"Santa Fe y Av. Rioja ")</f>
        <v>Santa Fe y Av. Rioja </v>
      </c>
      <c r="H2663" s="36" t="str">
        <f>IFERROR(__xludf.DUMMYFUNCTION("""COMPUTED_VALUE"""),"")</f>
        <v/>
      </c>
    </row>
    <row r="2664">
      <c r="A2664" s="36" t="str">
        <f>IFERROR(__xludf.DUMMYFUNCTION("""COMPUTED_VALUE"""),"04-32-13-427")</f>
        <v>04-32-13-427</v>
      </c>
      <c r="B2664" s="36" t="str">
        <f>IFERROR(__xludf.DUMMYFUNCTION("""COMPUTED_VALUE"""),"")</f>
        <v/>
      </c>
      <c r="C2664" s="36" t="str">
        <f>IFERROR(__xludf.DUMMYFUNCTION("""COMPUTED_VALUE"""),"")</f>
        <v/>
      </c>
      <c r="D2664" s="36" t="str">
        <f>IFERROR(__xludf.DUMMYFUNCTION("""COMPUTED_VALUE"""),"")</f>
        <v/>
      </c>
      <c r="E2664" s="36" t="str">
        <f>IFERROR(__xludf.DUMMYFUNCTION("""COMPUTED_VALUE"""),"01-47-12-290A")</f>
        <v>01-47-12-290A</v>
      </c>
      <c r="F2664" s="36"/>
      <c r="G2664" s="36" t="str">
        <f>IFERROR(__xludf.DUMMYFUNCTION("""COMPUTED_VALUE"""),"Santa Fe y Córdoba")</f>
        <v>Santa Fe y Córdoba</v>
      </c>
      <c r="H2664" s="36" t="str">
        <f>IFERROR(__xludf.DUMMYFUNCTION("""COMPUTED_VALUE"""),"")</f>
        <v/>
      </c>
    </row>
    <row r="2665">
      <c r="A2665" s="36" t="str">
        <f>IFERROR(__xludf.DUMMYFUNCTION("""COMPUTED_VALUE"""),"04-32-13-428")</f>
        <v>04-32-13-428</v>
      </c>
      <c r="B2665" s="36" t="str">
        <f>IFERROR(__xludf.DUMMYFUNCTION("""COMPUTED_VALUE"""),"")</f>
        <v/>
      </c>
      <c r="C2665" s="36" t="str">
        <f>IFERROR(__xludf.DUMMYFUNCTION("""COMPUTED_VALUE"""),"")</f>
        <v/>
      </c>
      <c r="D2665" s="36" t="str">
        <f>IFERROR(__xludf.DUMMYFUNCTION("""COMPUTED_VALUE"""),"")</f>
        <v/>
      </c>
      <c r="E2665" s="36" t="str">
        <f>IFERROR(__xludf.DUMMYFUNCTION("""COMPUTED_VALUE"""),"01-51-08-19A")</f>
        <v>01-51-08-19A</v>
      </c>
      <c r="F2665" s="36"/>
      <c r="G2665" s="36" t="str">
        <f>IFERROR(__xludf.DUMMYFUNCTION("""COMPUTED_VALUE"""),"Santa Fe y Entre Ríos ")</f>
        <v>Santa Fe y Entre Ríos </v>
      </c>
      <c r="H2665" s="36" t="str">
        <f>IFERROR(__xludf.DUMMYFUNCTION("""COMPUTED_VALUE"""),"")</f>
        <v/>
      </c>
    </row>
    <row r="2666">
      <c r="A2666" s="36" t="str">
        <f>IFERROR(__xludf.DUMMYFUNCTION("""COMPUTED_VALUE"""),"04-32-13-429")</f>
        <v>04-32-13-429</v>
      </c>
      <c r="B2666" s="36" t="str">
        <f>IFERROR(__xludf.DUMMYFUNCTION("""COMPUTED_VALUE"""),"")</f>
        <v/>
      </c>
      <c r="C2666" s="36" t="str">
        <f>IFERROR(__xludf.DUMMYFUNCTION("""COMPUTED_VALUE"""),"")</f>
        <v/>
      </c>
      <c r="D2666" s="36" t="str">
        <f>IFERROR(__xludf.DUMMYFUNCTION("""COMPUTED_VALUE"""),"")</f>
        <v/>
      </c>
      <c r="E2666" s="36" t="str">
        <f>IFERROR(__xludf.DUMMYFUNCTION("""COMPUTED_VALUE"""),"01-50-07-53A")</f>
        <v>01-50-07-53A</v>
      </c>
      <c r="F2666" s="36"/>
      <c r="G2666" s="36" t="str">
        <f>IFERROR(__xludf.DUMMYFUNCTION("""COMPUTED_VALUE"""),"Santa Fe y España")</f>
        <v>Santa Fe y España</v>
      </c>
      <c r="H2666" s="36" t="str">
        <f>IFERROR(__xludf.DUMMYFUNCTION("""COMPUTED_VALUE"""),"")</f>
        <v/>
      </c>
    </row>
    <row r="2667">
      <c r="A2667" s="36" t="str">
        <f>IFERROR(__xludf.DUMMYFUNCTION("""COMPUTED_VALUE"""),"04-32-13-430")</f>
        <v>04-32-13-430</v>
      </c>
      <c r="B2667" s="36" t="str">
        <f>IFERROR(__xludf.DUMMYFUNCTION("""COMPUTED_VALUE"""),"")</f>
        <v/>
      </c>
      <c r="C2667" s="36" t="str">
        <f>IFERROR(__xludf.DUMMYFUNCTION("""COMPUTED_VALUE"""),"")</f>
        <v/>
      </c>
      <c r="D2667" s="36" t="str">
        <f>IFERROR(__xludf.DUMMYFUNCTION("""COMPUTED_VALUE"""),"")</f>
        <v/>
      </c>
      <c r="E2667" s="36" t="str">
        <f>IFERROR(__xludf.DUMMYFUNCTION("""COMPUTED_VALUE"""),"01-53-09-9")</f>
        <v>01-53-09-9</v>
      </c>
      <c r="F2667" s="36"/>
      <c r="G2667" s="36" t="str">
        <f>IFERROR(__xludf.DUMMYFUNCTION("""COMPUTED_VALUE"""),"Santa Fe y Estados Unidos")</f>
        <v>Santa Fe y Estados Unidos</v>
      </c>
      <c r="H2667" s="36" t="str">
        <f>IFERROR(__xludf.DUMMYFUNCTION("""COMPUTED_VALUE"""),"")</f>
        <v/>
      </c>
    </row>
    <row r="2668">
      <c r="A2668" s="36" t="str">
        <f>IFERROR(__xludf.DUMMYFUNCTION("""COMPUTED_VALUE"""),"04-32-13-431")</f>
        <v>04-32-13-431</v>
      </c>
      <c r="B2668" s="36" t="str">
        <f>IFERROR(__xludf.DUMMYFUNCTION("""COMPUTED_VALUE"""),"")</f>
        <v/>
      </c>
      <c r="C2668" s="36" t="str">
        <f>IFERROR(__xludf.DUMMYFUNCTION("""COMPUTED_VALUE"""),"")</f>
        <v/>
      </c>
      <c r="D2668" s="36" t="str">
        <f>IFERROR(__xludf.DUMMYFUNCTION("""COMPUTED_VALUE"""),"")</f>
        <v/>
      </c>
      <c r="E2668" s="36" t="str">
        <f>IFERROR(__xludf.DUMMYFUNCTION("""COMPUTED_VALUE"""),"01-47-12-302")</f>
        <v>01-47-12-302</v>
      </c>
      <c r="F2668" s="36"/>
      <c r="G2668" s="36" t="str">
        <f>IFERROR(__xludf.DUMMYFUNCTION("""COMPUTED_VALUE"""),"Santa Fe y Esteban Echeverría")</f>
        <v>Santa Fe y Esteban Echeverría</v>
      </c>
      <c r="H2668" s="36" t="str">
        <f>IFERROR(__xludf.DUMMYFUNCTION("""COMPUTED_VALUE"""),"")</f>
        <v/>
      </c>
    </row>
    <row r="2669">
      <c r="A2669" s="36" t="str">
        <f>IFERROR(__xludf.DUMMYFUNCTION("""COMPUTED_VALUE"""),"04-32-13-432")</f>
        <v>04-32-13-432</v>
      </c>
      <c r="B2669" s="36" t="str">
        <f>IFERROR(__xludf.DUMMYFUNCTION("""COMPUTED_VALUE"""),"")</f>
        <v/>
      </c>
      <c r="C2669" s="36" t="str">
        <f>IFERROR(__xludf.DUMMYFUNCTION("""COMPUTED_VALUE"""),"")</f>
        <v/>
      </c>
      <c r="D2669" s="36" t="str">
        <f>IFERROR(__xludf.DUMMYFUNCTION("""COMPUTED_VALUE"""),"")</f>
        <v/>
      </c>
      <c r="E2669" s="36" t="str">
        <f>IFERROR(__xludf.DUMMYFUNCTION("""COMPUTED_VALUE"""),"01-47-12-290")</f>
        <v>01-47-12-290</v>
      </c>
      <c r="F2669" s="36"/>
      <c r="G2669" s="36" t="str">
        <f>IFERROR(__xludf.DUMMYFUNCTION("""COMPUTED_VALUE"""),"Santa Fe y General Paz")</f>
        <v>Santa Fe y General Paz</v>
      </c>
      <c r="H2669" s="36" t="str">
        <f>IFERROR(__xludf.DUMMYFUNCTION("""COMPUTED_VALUE"""),"")</f>
        <v/>
      </c>
    </row>
    <row r="2670">
      <c r="A2670" s="36" t="str">
        <f>IFERROR(__xludf.DUMMYFUNCTION("""COMPUTED_VALUE"""),"04-32-13-433")</f>
        <v>04-32-13-433</v>
      </c>
      <c r="B2670" s="36" t="str">
        <f>IFERROR(__xludf.DUMMYFUNCTION("""COMPUTED_VALUE"""),"")</f>
        <v/>
      </c>
      <c r="C2670" s="36" t="str">
        <f>IFERROR(__xludf.DUMMYFUNCTION("""COMPUTED_VALUE"""),"")</f>
        <v/>
      </c>
      <c r="D2670" s="36" t="str">
        <f>IFERROR(__xludf.DUMMYFUNCTION("""COMPUTED_VALUE"""),"")</f>
        <v/>
      </c>
      <c r="E2670" s="36" t="str">
        <f>IFERROR(__xludf.DUMMYFUNCTION("""COMPUTED_VALUE"""),"01-52-08-22B")</f>
        <v>01-52-08-22B</v>
      </c>
      <c r="F2670" s="36"/>
      <c r="G2670" s="36" t="str">
        <f>IFERROR(__xludf.DUMMYFUNCTION("""COMPUTED_VALUE"""),"Santa Fe y Gral. Acha")</f>
        <v>Santa Fe y Gral. Acha</v>
      </c>
      <c r="H2670" s="36" t="str">
        <f>IFERROR(__xludf.DUMMYFUNCTION("""COMPUTED_VALUE"""),"")</f>
        <v/>
      </c>
    </row>
    <row r="2671">
      <c r="A2671" s="36" t="str">
        <f>IFERROR(__xludf.DUMMYFUNCTION("""COMPUTED_VALUE"""),"04-32-13-434")</f>
        <v>04-32-13-434</v>
      </c>
      <c r="B2671" s="36" t="str">
        <f>IFERROR(__xludf.DUMMYFUNCTION("""COMPUTED_VALUE"""),"")</f>
        <v/>
      </c>
      <c r="C2671" s="36" t="str">
        <f>IFERROR(__xludf.DUMMYFUNCTION("""COMPUTED_VALUE"""),"")</f>
        <v/>
      </c>
      <c r="D2671" s="36" t="str">
        <f>IFERROR(__xludf.DUMMYFUNCTION("""COMPUTED_VALUE"""),"")</f>
        <v/>
      </c>
      <c r="E2671" s="36" t="str">
        <f>IFERROR(__xludf.DUMMYFUNCTION("""COMPUTED_VALUE"""),"01-47-12-299")</f>
        <v>01-47-12-299</v>
      </c>
      <c r="F2671" s="36"/>
      <c r="G2671" s="36" t="str">
        <f>IFERROR(__xludf.DUMMYFUNCTION("""COMPUTED_VALUE"""),"Santa Fe y Gral. Soler")</f>
        <v>Santa Fe y Gral. Soler</v>
      </c>
      <c r="H2671" s="36" t="str">
        <f>IFERROR(__xludf.DUMMYFUNCTION("""COMPUTED_VALUE"""),"")</f>
        <v/>
      </c>
    </row>
    <row r="2672">
      <c r="A2672" s="36" t="str">
        <f>IFERROR(__xludf.DUMMYFUNCTION("""COMPUTED_VALUE"""),"04-32-13-435")</f>
        <v>04-32-13-435</v>
      </c>
      <c r="B2672" s="36" t="str">
        <f>IFERROR(__xludf.DUMMYFUNCTION("""COMPUTED_VALUE"""),"")</f>
        <v/>
      </c>
      <c r="C2672" s="36" t="str">
        <f>IFERROR(__xludf.DUMMYFUNCTION("""COMPUTED_VALUE"""),"")</f>
        <v/>
      </c>
      <c r="D2672" s="36" t="str">
        <f>IFERROR(__xludf.DUMMYFUNCTION("""COMPUTED_VALUE"""),"")</f>
        <v/>
      </c>
      <c r="E2672" s="36" t="str">
        <f>IFERROR(__xludf.DUMMYFUNCTION("""COMPUTED_VALUE"""),"01-47-12-306")</f>
        <v>01-47-12-306</v>
      </c>
      <c r="F2672" s="36"/>
      <c r="G2672" s="36" t="str">
        <f>IFERROR(__xludf.DUMMYFUNCTION("""COMPUTED_VALUE"""),"Santa Fe y Hermógenes Ruiz")</f>
        <v>Santa Fe y Hermógenes Ruiz</v>
      </c>
      <c r="H2672" s="36" t="str">
        <f>IFERROR(__xludf.DUMMYFUNCTION("""COMPUTED_VALUE"""),"")</f>
        <v/>
      </c>
    </row>
    <row r="2673">
      <c r="A2673" s="36" t="str">
        <f>IFERROR(__xludf.DUMMYFUNCTION("""COMPUTED_VALUE"""),"04-32-13-436")</f>
        <v>04-32-13-436</v>
      </c>
      <c r="B2673" s="36" t="str">
        <f>IFERROR(__xludf.DUMMYFUNCTION("""COMPUTED_VALUE"""),"")</f>
        <v/>
      </c>
      <c r="C2673" s="36" t="str">
        <f>IFERROR(__xludf.DUMMYFUNCTION("""COMPUTED_VALUE"""),"")</f>
        <v/>
      </c>
      <c r="D2673" s="36" t="str">
        <f>IFERROR(__xludf.DUMMYFUNCTION("""COMPUTED_VALUE"""),"")</f>
        <v/>
      </c>
      <c r="E2673" s="36" t="str">
        <f>IFERROR(__xludf.DUMMYFUNCTION("""COMPUTED_VALUE"""),"01-47-12-301")</f>
        <v>01-47-12-301</v>
      </c>
      <c r="F2673" s="36"/>
      <c r="G2673" s="36" t="str">
        <f>IFERROR(__xludf.DUMMYFUNCTION("""COMPUTED_VALUE"""),"Santa Fe y Juan B. Justo")</f>
        <v>Santa Fe y Juan B. Justo</v>
      </c>
      <c r="H2673" s="36" t="str">
        <f>IFERROR(__xludf.DUMMYFUNCTION("""COMPUTED_VALUE"""),"")</f>
        <v/>
      </c>
    </row>
    <row r="2674">
      <c r="A2674" s="36" t="str">
        <f>IFERROR(__xludf.DUMMYFUNCTION("""COMPUTED_VALUE"""),"04-32-13-437")</f>
        <v>04-32-13-437</v>
      </c>
      <c r="B2674" s="36" t="str">
        <f>IFERROR(__xludf.DUMMYFUNCTION("""COMPUTED_VALUE"""),"")</f>
        <v/>
      </c>
      <c r="C2674" s="36" t="str">
        <f>IFERROR(__xludf.DUMMYFUNCTION("""COMPUTED_VALUE"""),"")</f>
        <v/>
      </c>
      <c r="D2674" s="36" t="str">
        <f>IFERROR(__xludf.DUMMYFUNCTION("""COMPUTED_VALUE"""),"")</f>
        <v/>
      </c>
      <c r="E2674" s="36" t="str">
        <f>IFERROR(__xludf.DUMMYFUNCTION("""COMPUTED_VALUE"""),"01-52-08-18A")</f>
        <v>01-52-08-18A</v>
      </c>
      <c r="F2674" s="36"/>
      <c r="G2674" s="36" t="str">
        <f>IFERROR(__xludf.DUMMYFUNCTION("""COMPUTED_VALUE"""),"Santa Fe y Mendoza")</f>
        <v>Santa Fe y Mendoza</v>
      </c>
      <c r="H2674" s="36" t="str">
        <f>IFERROR(__xludf.DUMMYFUNCTION("""COMPUTED_VALUE"""),"")</f>
        <v/>
      </c>
    </row>
    <row r="2675">
      <c r="A2675" s="36" t="str">
        <f>IFERROR(__xludf.DUMMYFUNCTION("""COMPUTED_VALUE"""),"04-32-13-438")</f>
        <v>04-32-13-438</v>
      </c>
      <c r="B2675" s="36" t="str">
        <f>IFERROR(__xludf.DUMMYFUNCTION("""COMPUTED_VALUE"""),"")</f>
        <v/>
      </c>
      <c r="C2675" s="36" t="str">
        <f>IFERROR(__xludf.DUMMYFUNCTION("""COMPUTED_VALUE"""),"")</f>
        <v/>
      </c>
      <c r="D2675" s="36" t="str">
        <f>IFERROR(__xludf.DUMMYFUNCTION("""COMPUTED_VALUE"""),"")</f>
        <v/>
      </c>
      <c r="E2675" s="36" t="str">
        <f>IFERROR(__xludf.DUMMYFUNCTION("""COMPUTED_VALUE"""),"01-52-08-18")</f>
        <v>01-52-08-18</v>
      </c>
      <c r="F2675" s="36"/>
      <c r="G2675" s="36" t="str">
        <f>IFERROR(__xludf.DUMMYFUNCTION("""COMPUTED_VALUE"""),"Santa Fe y Mendoza- E")</f>
        <v>Santa Fe y Mendoza- E</v>
      </c>
      <c r="H2675" s="36" t="str">
        <f>IFERROR(__xludf.DUMMYFUNCTION("""COMPUTED_VALUE"""),"")</f>
        <v/>
      </c>
    </row>
    <row r="2676">
      <c r="A2676" s="36" t="str">
        <f>IFERROR(__xludf.DUMMYFUNCTION("""COMPUTED_VALUE"""),"04-32-13-439")</f>
        <v>04-32-13-439</v>
      </c>
      <c r="B2676" s="36" t="str">
        <f>IFERROR(__xludf.DUMMYFUNCTION("""COMPUTED_VALUE"""),"")</f>
        <v/>
      </c>
      <c r="C2676" s="36" t="str">
        <f>IFERROR(__xludf.DUMMYFUNCTION("""COMPUTED_VALUE"""),"")</f>
        <v/>
      </c>
      <c r="D2676" s="36" t="str">
        <f>IFERROR(__xludf.DUMMYFUNCTION("""COMPUTED_VALUE"""),"")</f>
        <v/>
      </c>
      <c r="E2676" s="36" t="str">
        <f>IFERROR(__xludf.DUMMYFUNCTION("""COMPUTED_VALUE"""),"01-53-09-4")</f>
        <v>01-53-09-4</v>
      </c>
      <c r="F2676" s="36"/>
      <c r="G2676" s="36" t="str">
        <f>IFERROR(__xludf.DUMMYFUNCTION("""COMPUTED_VALUE"""),"Santa Fe y Patricias Sanjuaninas")</f>
        <v>Santa Fe y Patricias Sanjuaninas</v>
      </c>
      <c r="H2676" s="36" t="str">
        <f>IFERROR(__xludf.DUMMYFUNCTION("""COMPUTED_VALUE"""),"")</f>
        <v/>
      </c>
    </row>
    <row r="2677">
      <c r="A2677" s="36" t="str">
        <f>IFERROR(__xludf.DUMMYFUNCTION("""COMPUTED_VALUE"""),"04-32-13-440")</f>
        <v>04-32-13-440</v>
      </c>
      <c r="B2677" s="36" t="str">
        <f>IFERROR(__xludf.DUMMYFUNCTION("""COMPUTED_VALUE"""),"")</f>
        <v/>
      </c>
      <c r="C2677" s="36" t="str">
        <f>IFERROR(__xludf.DUMMYFUNCTION("""COMPUTED_VALUE"""),"")</f>
        <v/>
      </c>
      <c r="D2677" s="36" t="str">
        <f>IFERROR(__xludf.DUMMYFUNCTION("""COMPUTED_VALUE"""),"")</f>
        <v/>
      </c>
      <c r="E2677" s="36" t="str">
        <f>IFERROR(__xludf.DUMMYFUNCTION("""COMPUTED_VALUE"""),"01-51-07-43")</f>
        <v>01-51-07-43</v>
      </c>
      <c r="F2677" s="36"/>
      <c r="G2677" s="36" t="str">
        <f>IFERROR(__xludf.DUMMYFUNCTION("""COMPUTED_VALUE"""),"Santa Fe y Salta")</f>
        <v>Santa Fe y Salta</v>
      </c>
      <c r="H2677" s="36" t="str">
        <f>IFERROR(__xludf.DUMMYFUNCTION("""COMPUTED_VALUE"""),"")</f>
        <v/>
      </c>
    </row>
    <row r="2678">
      <c r="A2678" s="36" t="str">
        <f>IFERROR(__xludf.DUMMYFUNCTION("""COMPUTED_VALUE"""),"04-32-13-441")</f>
        <v>04-32-13-441</v>
      </c>
      <c r="B2678" s="36" t="str">
        <f>IFERROR(__xludf.DUMMYFUNCTION("""COMPUTED_VALUE"""),"")</f>
        <v/>
      </c>
      <c r="C2678" s="36" t="str">
        <f>IFERROR(__xludf.DUMMYFUNCTION("""COMPUTED_VALUE"""),"")</f>
        <v/>
      </c>
      <c r="D2678" s="36" t="str">
        <f>IFERROR(__xludf.DUMMYFUNCTION("""COMPUTED_VALUE"""),"")</f>
        <v/>
      </c>
      <c r="E2678" s="36" t="str">
        <f>IFERROR(__xludf.DUMMYFUNCTION("""COMPUTED_VALUE"""),"01-47-12-304")</f>
        <v>01-47-12-304</v>
      </c>
      <c r="F2678" s="36"/>
      <c r="G2678" s="36" t="str">
        <f>IFERROR(__xludf.DUMMYFUNCTION("""COMPUTED_VALUE"""),"Santa Fe y Victoria")</f>
        <v>Santa Fe y Victoria</v>
      </c>
      <c r="H2678" s="36" t="str">
        <f>IFERROR(__xludf.DUMMYFUNCTION("""COMPUTED_VALUE"""),"")</f>
        <v/>
      </c>
    </row>
    <row r="2679">
      <c r="A2679" s="36" t="str">
        <f>IFERROR(__xludf.DUMMYFUNCTION("""COMPUTED_VALUE"""),"04-32-13-442")</f>
        <v>04-32-13-442</v>
      </c>
      <c r="B2679" s="36" t="str">
        <f>IFERROR(__xludf.DUMMYFUNCTION("""COMPUTED_VALUE"""),"")</f>
        <v/>
      </c>
      <c r="C2679" s="36" t="str">
        <f>IFERROR(__xludf.DUMMYFUNCTION("""COMPUTED_VALUE"""),"")</f>
        <v/>
      </c>
      <c r="D2679" s="36" t="str">
        <f>IFERROR(__xludf.DUMMYFUNCTION("""COMPUTED_VALUE"""),"")</f>
        <v/>
      </c>
      <c r="E2679" s="36" t="str">
        <f>IFERROR(__xludf.DUMMYFUNCTION("""COMPUTED_VALUE"""),"03-20-09-213B")</f>
        <v>03-20-09-213B</v>
      </c>
      <c r="F2679" s="36"/>
      <c r="G2679" s="36" t="str">
        <f>IFERROR(__xludf.DUMMYFUNCTION("""COMPUTED_VALUE"""),"Santiago Derqui y Callejón Comunitario")</f>
        <v>Santiago Derqui y Callejón Comunitario</v>
      </c>
      <c r="H2679" s="36" t="str">
        <f>IFERROR(__xludf.DUMMYFUNCTION("""COMPUTED_VALUE"""),"")</f>
        <v/>
      </c>
    </row>
    <row r="2680">
      <c r="A2680" s="36" t="str">
        <f>IFERROR(__xludf.DUMMYFUNCTION("""COMPUTED_VALUE"""),"04-32-13-443")</f>
        <v>04-32-13-443</v>
      </c>
      <c r="B2680" s="36" t="str">
        <f>IFERROR(__xludf.DUMMYFUNCTION("""COMPUTED_VALUE"""),"")</f>
        <v/>
      </c>
      <c r="C2680" s="36" t="str">
        <f>IFERROR(__xludf.DUMMYFUNCTION("""COMPUTED_VALUE"""),"")</f>
        <v/>
      </c>
      <c r="D2680" s="36" t="str">
        <f>IFERROR(__xludf.DUMMYFUNCTION("""COMPUTED_VALUE"""),"")</f>
        <v/>
      </c>
      <c r="E2680" s="36" t="str">
        <f>IFERROR(__xludf.DUMMYFUNCTION("""COMPUTED_VALUE"""),"03-20-09-213D")</f>
        <v>03-20-09-213D</v>
      </c>
      <c r="F2680" s="36"/>
      <c r="G2680" s="36" t="str">
        <f>IFERROR(__xludf.DUMMYFUNCTION("""COMPUTED_VALUE"""),"Santiago Derqui y Neuquén")</f>
        <v>Santiago Derqui y Neuquén</v>
      </c>
      <c r="H2680" s="36" t="str">
        <f>IFERROR(__xludf.DUMMYFUNCTION("""COMPUTED_VALUE"""),"")</f>
        <v/>
      </c>
    </row>
    <row r="2681">
      <c r="A2681" s="36" t="str">
        <f>IFERROR(__xludf.DUMMYFUNCTION("""COMPUTED_VALUE"""),"04-32-13-444")</f>
        <v>04-32-13-444</v>
      </c>
      <c r="B2681" s="36" t="str">
        <f>IFERROR(__xludf.DUMMYFUNCTION("""COMPUTED_VALUE"""),"")</f>
        <v/>
      </c>
      <c r="C2681" s="36" t="str">
        <f>IFERROR(__xludf.DUMMYFUNCTION("""COMPUTED_VALUE"""),"")</f>
        <v/>
      </c>
      <c r="D2681" s="36" t="str">
        <f>IFERROR(__xludf.DUMMYFUNCTION("""COMPUTED_VALUE"""),"")</f>
        <v/>
      </c>
      <c r="E2681" s="36" t="str">
        <f>IFERROR(__xludf.DUMMYFUNCTION("""COMPUTED_VALUE"""),"03-20-09-213E")</f>
        <v>03-20-09-213E</v>
      </c>
      <c r="F2681" s="36"/>
      <c r="G2681" s="36" t="str">
        <f>IFERROR(__xludf.DUMMYFUNCTION("""COMPUTED_VALUE"""),"Santiago Derqui y Río Negro")</f>
        <v>Santiago Derqui y Río Negro</v>
      </c>
      <c r="H2681" s="36" t="str">
        <f>IFERROR(__xludf.DUMMYFUNCTION("""COMPUTED_VALUE"""),"")</f>
        <v/>
      </c>
    </row>
    <row r="2682">
      <c r="A2682" s="36" t="str">
        <f>IFERROR(__xludf.DUMMYFUNCTION("""COMPUTED_VALUE"""),"04-32-13-458A")</f>
        <v>04-32-13-458A</v>
      </c>
      <c r="B2682" s="36" t="str">
        <f>IFERROR(__xludf.DUMMYFUNCTION("""COMPUTED_VALUE"""),"")</f>
        <v/>
      </c>
      <c r="C2682" s="36" t="str">
        <f>IFERROR(__xludf.DUMMYFUNCTION("""COMPUTED_VALUE"""),"")</f>
        <v/>
      </c>
      <c r="D2682" s="36" t="str">
        <f>IFERROR(__xludf.DUMMYFUNCTION("""COMPUTED_VALUE"""),"")</f>
        <v/>
      </c>
      <c r="E2682" s="36" t="str">
        <f>IFERROR(__xludf.DUMMYFUNCTION("""COMPUTED_VALUE"""),"01-30-07-208")</f>
        <v>01-30-07-208</v>
      </c>
      <c r="F2682" s="36"/>
      <c r="G2682" s="36" t="str">
        <f>IFERROR(__xludf.DUMMYFUNCTION("""COMPUTED_VALUE"""),"Sargento Cabral Frente a Bodega")</f>
        <v>Sargento Cabral Frente a Bodega</v>
      </c>
      <c r="H2682" s="36" t="str">
        <f>IFERROR(__xludf.DUMMYFUNCTION("""COMPUTED_VALUE"""),"")</f>
        <v/>
      </c>
    </row>
    <row r="2683">
      <c r="A2683" s="36" t="str">
        <f>IFERROR(__xludf.DUMMYFUNCTION("""COMPUTED_VALUE"""),"04-32-13-463")</f>
        <v>04-32-13-463</v>
      </c>
      <c r="B2683" s="36" t="str">
        <f>IFERROR(__xludf.DUMMYFUNCTION("""COMPUTED_VALUE"""),"")</f>
        <v/>
      </c>
      <c r="C2683" s="36" t="str">
        <f>IFERROR(__xludf.DUMMYFUNCTION("""COMPUTED_VALUE"""),"")</f>
        <v/>
      </c>
      <c r="D2683" s="36" t="str">
        <f>IFERROR(__xludf.DUMMYFUNCTION("""COMPUTED_VALUE"""),"")</f>
        <v/>
      </c>
      <c r="E2683" s="36" t="str">
        <f>IFERROR(__xludf.DUMMYFUNCTION("""COMPUTED_VALUE"""),"01-32-07-92")</f>
        <v>01-32-07-92</v>
      </c>
      <c r="F2683" s="36"/>
      <c r="G2683" s="36" t="str">
        <f>IFERROR(__xludf.DUMMYFUNCTION("""COMPUTED_VALUE"""),"Sargento Cabral y Andrade")</f>
        <v>Sargento Cabral y Andrade</v>
      </c>
      <c r="H2683" s="36" t="str">
        <f>IFERROR(__xludf.DUMMYFUNCTION("""COMPUTED_VALUE"""),"")</f>
        <v/>
      </c>
    </row>
    <row r="2684">
      <c r="A2684" s="36" t="str">
        <f>IFERROR(__xludf.DUMMYFUNCTION("""COMPUTED_VALUE"""),"04-32-13-464")</f>
        <v>04-32-13-464</v>
      </c>
      <c r="B2684" s="36" t="str">
        <f>IFERROR(__xludf.DUMMYFUNCTION("""COMPUTED_VALUE"""),"")</f>
        <v/>
      </c>
      <c r="C2684" s="36" t="str">
        <f>IFERROR(__xludf.DUMMYFUNCTION("""COMPUTED_VALUE"""),"")</f>
        <v/>
      </c>
      <c r="D2684" s="36" t="str">
        <f>IFERROR(__xludf.DUMMYFUNCTION("""COMPUTED_VALUE"""),"")</f>
        <v/>
      </c>
      <c r="E2684" s="36" t="str">
        <f>IFERROR(__xludf.DUMMYFUNCTION("""COMPUTED_VALUE"""),"01-31-07-116")</f>
        <v>01-31-07-116</v>
      </c>
      <c r="F2684" s="36"/>
      <c r="G2684" s="36" t="str">
        <f>IFERROR(__xludf.DUMMYFUNCTION("""COMPUTED_VALUE"""),"Sargento Cabral y B° R.Mansilla")</f>
        <v>Sargento Cabral y B° R.Mansilla</v>
      </c>
      <c r="H2684" s="36" t="str">
        <f>IFERROR(__xludf.DUMMYFUNCTION("""COMPUTED_VALUE"""),"")</f>
        <v/>
      </c>
    </row>
    <row r="2685">
      <c r="A2685" s="36" t="str">
        <f>IFERROR(__xludf.DUMMYFUNCTION("""COMPUTED_VALUE"""),"04-32-13-465")</f>
        <v>04-32-13-465</v>
      </c>
      <c r="B2685" s="36" t="str">
        <f>IFERROR(__xludf.DUMMYFUNCTION("""COMPUTED_VALUE"""),"")</f>
        <v/>
      </c>
      <c r="C2685" s="36" t="str">
        <f>IFERROR(__xludf.DUMMYFUNCTION("""COMPUTED_VALUE"""),"")</f>
        <v/>
      </c>
      <c r="D2685" s="36" t="str">
        <f>IFERROR(__xludf.DUMMYFUNCTION("""COMPUTED_VALUE"""),"")</f>
        <v/>
      </c>
      <c r="E2685" s="36" t="str">
        <f>IFERROR(__xludf.DUMMYFUNCTION("""COMPUTED_VALUE"""),"02-26-05-70")</f>
        <v>02-26-05-70</v>
      </c>
      <c r="F2685" s="36"/>
      <c r="G2685" s="36" t="str">
        <f>IFERROR(__xludf.DUMMYFUNCTION("""COMPUTED_VALUE"""),"Sargento Cabral y Callejón de los Ríos N")</f>
        <v>Sargento Cabral y Callejón de los Ríos N</v>
      </c>
      <c r="H2685" s="36" t="str">
        <f>IFERROR(__xludf.DUMMYFUNCTION("""COMPUTED_VALUE"""),"")</f>
        <v/>
      </c>
    </row>
    <row r="2686">
      <c r="A2686" s="36" t="str">
        <f>IFERROR(__xludf.DUMMYFUNCTION("""COMPUTED_VALUE"""),"04-32-13-466")</f>
        <v>04-32-13-466</v>
      </c>
      <c r="B2686" s="36" t="str">
        <f>IFERROR(__xludf.DUMMYFUNCTION("""COMPUTED_VALUE"""),"")</f>
        <v/>
      </c>
      <c r="C2686" s="36" t="str">
        <f>IFERROR(__xludf.DUMMYFUNCTION("""COMPUTED_VALUE"""),"")</f>
        <v/>
      </c>
      <c r="D2686" s="36" t="str">
        <f>IFERROR(__xludf.DUMMYFUNCTION("""COMPUTED_VALUE"""),"")</f>
        <v/>
      </c>
      <c r="E2686" s="36" t="str">
        <f>IFERROR(__xludf.DUMMYFUNCTION("""COMPUTED_VALUE"""),"02-32-05-69")</f>
        <v>02-32-05-69</v>
      </c>
      <c r="F2686" s="36"/>
      <c r="G2686" s="36" t="str">
        <f>IFERROR(__xludf.DUMMYFUNCTION("""COMPUTED_VALUE"""),"Sargento Cabral y Callejón de los Ríos S")</f>
        <v>Sargento Cabral y Callejón de los Ríos S</v>
      </c>
      <c r="H2686" s="36" t="str">
        <f>IFERROR(__xludf.DUMMYFUNCTION("""COMPUTED_VALUE"""),"")</f>
        <v/>
      </c>
    </row>
    <row r="2687">
      <c r="A2687" s="36" t="str">
        <f>IFERROR(__xludf.DUMMYFUNCTION("""COMPUTED_VALUE"""),"04-32-13-467")</f>
        <v>04-32-13-467</v>
      </c>
      <c r="B2687" s="36" t="str">
        <f>IFERROR(__xludf.DUMMYFUNCTION("""COMPUTED_VALUE"""),"")</f>
        <v/>
      </c>
      <c r="C2687" s="36" t="str">
        <f>IFERROR(__xludf.DUMMYFUNCTION("""COMPUTED_VALUE"""),"")</f>
        <v/>
      </c>
      <c r="D2687" s="36" t="str">
        <f>IFERROR(__xludf.DUMMYFUNCTION("""COMPUTED_VALUE"""),"")</f>
        <v/>
      </c>
      <c r="E2687" s="36" t="str">
        <f>IFERROR(__xludf.DUMMYFUNCTION("""COMPUTED_VALUE"""),"01-21-07-23A")</f>
        <v>01-21-07-23A</v>
      </c>
      <c r="F2687" s="36"/>
      <c r="G2687" s="36" t="str">
        <f>IFERROR(__xludf.DUMMYFUNCTION("""COMPUTED_VALUE"""),"Sargento Cabral y Centro Comercial N")</f>
        <v>Sargento Cabral y Centro Comercial N</v>
      </c>
      <c r="H2687" s="36" t="str">
        <f>IFERROR(__xludf.DUMMYFUNCTION("""COMPUTED_VALUE"""),"")</f>
        <v/>
      </c>
    </row>
    <row r="2688">
      <c r="A2688" s="36" t="str">
        <f>IFERROR(__xludf.DUMMYFUNCTION("""COMPUTED_VALUE"""),"04-32-13-468")</f>
        <v>04-32-13-468</v>
      </c>
      <c r="B2688" s="36" t="str">
        <f>IFERROR(__xludf.DUMMYFUNCTION("""COMPUTED_VALUE"""),"")</f>
        <v/>
      </c>
      <c r="C2688" s="36" t="str">
        <f>IFERROR(__xludf.DUMMYFUNCTION("""COMPUTED_VALUE"""),"")</f>
        <v/>
      </c>
      <c r="D2688" s="36" t="str">
        <f>IFERROR(__xludf.DUMMYFUNCTION("""COMPUTED_VALUE"""),"")</f>
        <v/>
      </c>
      <c r="E2688" s="36" t="str">
        <f>IFERROR(__xludf.DUMMYFUNCTION("""COMPUTED_VALUE"""),"01-29-07-23B")</f>
        <v>01-29-07-23B</v>
      </c>
      <c r="F2688" s="36"/>
      <c r="G2688" s="36" t="str">
        <f>IFERROR(__xludf.DUMMYFUNCTION("""COMPUTED_VALUE"""),"Sargento Cabral y Centro Comercial S")</f>
        <v>Sargento Cabral y Centro Comercial S</v>
      </c>
      <c r="H2688" s="36" t="str">
        <f>IFERROR(__xludf.DUMMYFUNCTION("""COMPUTED_VALUE"""),"")</f>
        <v/>
      </c>
    </row>
    <row r="2689">
      <c r="A2689" s="36" t="str">
        <f>IFERROR(__xludf.DUMMYFUNCTION("""COMPUTED_VALUE"""),"04-33-13-115")</f>
        <v>04-33-13-115</v>
      </c>
      <c r="B2689" s="36" t="str">
        <f>IFERROR(__xludf.DUMMYFUNCTION("""COMPUTED_VALUE"""),"")</f>
        <v/>
      </c>
      <c r="C2689" s="36" t="str">
        <f>IFERROR(__xludf.DUMMYFUNCTION("""COMPUTED_VALUE"""),"")</f>
        <v/>
      </c>
      <c r="D2689" s="36" t="str">
        <f>IFERROR(__xludf.DUMMYFUNCTION("""COMPUTED_VALUE"""),"")</f>
        <v/>
      </c>
      <c r="E2689" s="36" t="str">
        <f>IFERROR(__xludf.DUMMYFUNCTION("""COMPUTED_VALUE"""),"01-30-07-203")</f>
        <v>01-30-07-203</v>
      </c>
      <c r="F2689" s="36"/>
      <c r="G2689" s="36" t="str">
        <f>IFERROR(__xludf.DUMMYFUNCTION("""COMPUTED_VALUE"""),"Sargento Cabral y Colombia")</f>
        <v>Sargento Cabral y Colombia</v>
      </c>
      <c r="H2689" s="36" t="str">
        <f>IFERROR(__xludf.DUMMYFUNCTION("""COMPUTED_VALUE"""),"")</f>
        <v/>
      </c>
    </row>
    <row r="2690">
      <c r="A2690" s="36" t="str">
        <f>IFERROR(__xludf.DUMMYFUNCTION("""COMPUTED_VALUE"""),"04-33-13-115A")</f>
        <v>04-33-13-115A</v>
      </c>
      <c r="B2690" s="36" t="str">
        <f>IFERROR(__xludf.DUMMYFUNCTION("""COMPUTED_VALUE"""),"")</f>
        <v/>
      </c>
      <c r="C2690" s="36" t="str">
        <f>IFERROR(__xludf.DUMMYFUNCTION("""COMPUTED_VALUE"""),"")</f>
        <v/>
      </c>
      <c r="D2690" s="36" t="str">
        <f>IFERROR(__xludf.DUMMYFUNCTION("""COMPUTED_VALUE"""),"")</f>
        <v/>
      </c>
      <c r="E2690" s="36" t="str">
        <f>IFERROR(__xludf.DUMMYFUNCTION("""COMPUTED_VALUE"""),"01-21-07-210")</f>
        <v>01-21-07-210</v>
      </c>
      <c r="F2690" s="36"/>
      <c r="G2690" s="36" t="str">
        <f>IFERROR(__xludf.DUMMYFUNCTION("""COMPUTED_VALUE"""),"Sargento Cabral y Cristobal Colón N")</f>
        <v>Sargento Cabral y Cristobal Colón N</v>
      </c>
      <c r="H2690" s="36" t="str">
        <f>IFERROR(__xludf.DUMMYFUNCTION("""COMPUTED_VALUE"""),"")</f>
        <v/>
      </c>
    </row>
    <row r="2691">
      <c r="A2691" s="36" t="str">
        <f>IFERROR(__xludf.DUMMYFUNCTION("""COMPUTED_VALUE"""),"04-33-13-116")</f>
        <v>04-33-13-116</v>
      </c>
      <c r="B2691" s="36" t="str">
        <f>IFERROR(__xludf.DUMMYFUNCTION("""COMPUTED_VALUE"""),"")</f>
        <v/>
      </c>
      <c r="C2691" s="36" t="str">
        <f>IFERROR(__xludf.DUMMYFUNCTION("""COMPUTED_VALUE"""),"")</f>
        <v/>
      </c>
      <c r="D2691" s="36" t="str">
        <f>IFERROR(__xludf.DUMMYFUNCTION("""COMPUTED_VALUE"""),"")</f>
        <v/>
      </c>
      <c r="E2691" s="36" t="str">
        <f>IFERROR(__xludf.DUMMYFUNCTION("""COMPUTED_VALUE"""),"01-29-07-209")</f>
        <v>01-29-07-209</v>
      </c>
      <c r="F2691" s="36"/>
      <c r="G2691" s="36" t="str">
        <f>IFERROR(__xludf.DUMMYFUNCTION("""COMPUTED_VALUE"""),"Sargento Cabral y Cristobal Colón S")</f>
        <v>Sargento Cabral y Cristobal Colón S</v>
      </c>
      <c r="H2691" s="36" t="str">
        <f>IFERROR(__xludf.DUMMYFUNCTION("""COMPUTED_VALUE"""),"")</f>
        <v/>
      </c>
    </row>
    <row r="2692">
      <c r="A2692" s="36" t="str">
        <f>IFERROR(__xludf.DUMMYFUNCTION("""COMPUTED_VALUE"""),"04-33-13-116B")</f>
        <v>04-33-13-116B</v>
      </c>
      <c r="B2692" s="36" t="str">
        <f>IFERROR(__xludf.DUMMYFUNCTION("""COMPUTED_VALUE"""),"")</f>
        <v/>
      </c>
      <c r="C2692" s="36" t="str">
        <f>IFERROR(__xludf.DUMMYFUNCTION("""COMPUTED_VALUE"""),"")</f>
        <v/>
      </c>
      <c r="D2692" s="36" t="str">
        <f>IFERROR(__xludf.DUMMYFUNCTION("""COMPUTED_VALUE"""),"")</f>
        <v/>
      </c>
      <c r="E2692" s="36" t="str">
        <f>IFERROR(__xludf.DUMMYFUNCTION("""COMPUTED_VALUE"""),"02-29-07-93A")</f>
        <v>02-29-07-93A</v>
      </c>
      <c r="F2692" s="36"/>
      <c r="G2692" s="36" t="str">
        <f>IFERROR(__xludf.DUMMYFUNCTION("""COMPUTED_VALUE"""),"Sargento Cabral y Driollet")</f>
        <v>Sargento Cabral y Driollet</v>
      </c>
      <c r="H2692" s="36" t="str">
        <f>IFERROR(__xludf.DUMMYFUNCTION("""COMPUTED_VALUE"""),"")</f>
        <v/>
      </c>
    </row>
    <row r="2693">
      <c r="A2693" s="36" t="str">
        <f>IFERROR(__xludf.DUMMYFUNCTION("""COMPUTED_VALUE"""),"04-33-13-172")</f>
        <v>04-33-13-172</v>
      </c>
      <c r="B2693" s="36" t="str">
        <f>IFERROR(__xludf.DUMMYFUNCTION("""COMPUTED_VALUE"""),"")</f>
        <v/>
      </c>
      <c r="C2693" s="36" t="str">
        <f>IFERROR(__xludf.DUMMYFUNCTION("""COMPUTED_VALUE"""),"")</f>
        <v/>
      </c>
      <c r="D2693" s="36" t="str">
        <f>IFERROR(__xludf.DUMMYFUNCTION("""COMPUTED_VALUE"""),"")</f>
        <v/>
      </c>
      <c r="E2693" s="36" t="str">
        <f>IFERROR(__xludf.DUMMYFUNCTION("""COMPUTED_VALUE"""),"01-32-07-93")</f>
        <v>01-32-07-93</v>
      </c>
      <c r="F2693" s="36"/>
      <c r="G2693" s="36" t="str">
        <f>IFERROR(__xludf.DUMMYFUNCTION("""COMPUTED_VALUE"""),"Sargento Cabral y Driollet - Cancha")</f>
        <v>Sargento Cabral y Driollet - Cancha</v>
      </c>
      <c r="H2693" s="36" t="str">
        <f>IFERROR(__xludf.DUMMYFUNCTION("""COMPUTED_VALUE"""),"")</f>
        <v/>
      </c>
    </row>
    <row r="2694">
      <c r="A2694" s="36" t="str">
        <f>IFERROR(__xludf.DUMMYFUNCTION("""COMPUTED_VALUE"""),"04-33-13-174")</f>
        <v>04-33-13-174</v>
      </c>
      <c r="B2694" s="36" t="str">
        <f>IFERROR(__xludf.DUMMYFUNCTION("""COMPUTED_VALUE"""),"")</f>
        <v/>
      </c>
      <c r="C2694" s="36" t="str">
        <f>IFERROR(__xludf.DUMMYFUNCTION("""COMPUTED_VALUE"""),"")</f>
        <v/>
      </c>
      <c r="D2694" s="36" t="str">
        <f>IFERROR(__xludf.DUMMYFUNCTION("""COMPUTED_VALUE"""),"")</f>
        <v/>
      </c>
      <c r="E2694" s="36" t="str">
        <f>IFERROR(__xludf.DUMMYFUNCTION("""COMPUTED_VALUE"""),"01-29-07-21")</f>
        <v>01-29-07-21</v>
      </c>
      <c r="F2694" s="36"/>
      <c r="G2694" s="36" t="str">
        <f>IFERROR(__xludf.DUMMYFUNCTION("""COMPUTED_VALUE"""),"Sargento Cabral y España")</f>
        <v>Sargento Cabral y España</v>
      </c>
      <c r="H2694" s="36" t="str">
        <f>IFERROR(__xludf.DUMMYFUNCTION("""COMPUTED_VALUE"""),"")</f>
        <v/>
      </c>
    </row>
    <row r="2695">
      <c r="A2695" s="36" t="str">
        <f>IFERROR(__xludf.DUMMYFUNCTION("""COMPUTED_VALUE"""),"04-33-13-176")</f>
        <v>04-33-13-176</v>
      </c>
      <c r="B2695" s="36" t="str">
        <f>IFERROR(__xludf.DUMMYFUNCTION("""COMPUTED_VALUE"""),"")</f>
        <v/>
      </c>
      <c r="C2695" s="36" t="str">
        <f>IFERROR(__xludf.DUMMYFUNCTION("""COMPUTED_VALUE"""),"")</f>
        <v/>
      </c>
      <c r="D2695" s="36" t="str">
        <f>IFERROR(__xludf.DUMMYFUNCTION("""COMPUTED_VALUE"""),"")</f>
        <v/>
      </c>
      <c r="E2695" s="36" t="str">
        <f>IFERROR(__xludf.DUMMYFUNCTION("""COMPUTED_VALUE"""),"02-29-07-118")</f>
        <v>02-29-07-118</v>
      </c>
      <c r="F2695" s="36"/>
      <c r="G2695" s="36" t="str">
        <f>IFERROR(__xludf.DUMMYFUNCTION("""COMPUTED_VALUE"""),"Sargento Cabral y French")</f>
        <v>Sargento Cabral y French</v>
      </c>
      <c r="H2695" s="36" t="str">
        <f>IFERROR(__xludf.DUMMYFUNCTION("""COMPUTED_VALUE"""),"")</f>
        <v/>
      </c>
    </row>
    <row r="2696">
      <c r="A2696" s="36" t="str">
        <f>IFERROR(__xludf.DUMMYFUNCTION("""COMPUTED_VALUE"""),"04-33-13-179")</f>
        <v>04-33-13-179</v>
      </c>
      <c r="B2696" s="36" t="str">
        <f>IFERROR(__xludf.DUMMYFUNCTION("""COMPUTED_VALUE"""),"")</f>
        <v/>
      </c>
      <c r="C2696" s="36" t="str">
        <f>IFERROR(__xludf.DUMMYFUNCTION("""COMPUTED_VALUE"""),"")</f>
        <v/>
      </c>
      <c r="D2696" s="36" t="str">
        <f>IFERROR(__xludf.DUMMYFUNCTION("""COMPUTED_VALUE"""),"")</f>
        <v/>
      </c>
      <c r="E2696" s="36" t="str">
        <f>IFERROR(__xludf.DUMMYFUNCTION("""COMPUTED_VALUE"""),"02-29-07-112")</f>
        <v>02-29-07-112</v>
      </c>
      <c r="F2696" s="36"/>
      <c r="G2696" s="36" t="str">
        <f>IFERROR(__xludf.DUMMYFUNCTION("""COMPUTED_VALUE"""),"Sargento Cabral y Granaderos")</f>
        <v>Sargento Cabral y Granaderos</v>
      </c>
      <c r="H2696" s="36" t="str">
        <f>IFERROR(__xludf.DUMMYFUNCTION("""COMPUTED_VALUE"""),"")</f>
        <v/>
      </c>
    </row>
    <row r="2697">
      <c r="A2697" s="36" t="str">
        <f>IFERROR(__xludf.DUMMYFUNCTION("""COMPUTED_VALUE"""),"04-33-13-181")</f>
        <v>04-33-13-181</v>
      </c>
      <c r="B2697" s="36" t="str">
        <f>IFERROR(__xludf.DUMMYFUNCTION("""COMPUTED_VALUE"""),"")</f>
        <v/>
      </c>
      <c r="C2697" s="36" t="str">
        <f>IFERROR(__xludf.DUMMYFUNCTION("""COMPUTED_VALUE"""),"")</f>
        <v/>
      </c>
      <c r="D2697" s="36" t="str">
        <f>IFERROR(__xludf.DUMMYFUNCTION("""COMPUTED_VALUE"""),"")</f>
        <v/>
      </c>
      <c r="E2697" s="36" t="str">
        <f>IFERROR(__xludf.DUMMYFUNCTION("""COMPUTED_VALUE"""),"01-21-07-23D")</f>
        <v>01-21-07-23D</v>
      </c>
      <c r="F2697" s="36"/>
      <c r="G2697" s="36" t="str">
        <f>IFERROR(__xludf.DUMMYFUNCTION("""COMPUTED_VALUE"""),"Sargento Cabral y Las Heras N")</f>
        <v>Sargento Cabral y Las Heras N</v>
      </c>
      <c r="H2697" s="36" t="str">
        <f>IFERROR(__xludf.DUMMYFUNCTION("""COMPUTED_VALUE"""),"")</f>
        <v/>
      </c>
    </row>
    <row r="2698">
      <c r="A2698" s="36" t="str">
        <f>IFERROR(__xludf.DUMMYFUNCTION("""COMPUTED_VALUE"""),"04-33-13-181B")</f>
        <v>04-33-13-181B</v>
      </c>
      <c r="B2698" s="36" t="str">
        <f>IFERROR(__xludf.DUMMYFUNCTION("""COMPUTED_VALUE"""),"")</f>
        <v/>
      </c>
      <c r="C2698" s="36" t="str">
        <f>IFERROR(__xludf.DUMMYFUNCTION("""COMPUTED_VALUE"""),"")</f>
        <v/>
      </c>
      <c r="D2698" s="36" t="str">
        <f>IFERROR(__xludf.DUMMYFUNCTION("""COMPUTED_VALUE"""),"")</f>
        <v/>
      </c>
      <c r="E2698" s="36" t="str">
        <f>IFERROR(__xludf.DUMMYFUNCTION("""COMPUTED_VALUE"""),"01-29-07-23C")</f>
        <v>01-29-07-23C</v>
      </c>
      <c r="F2698" s="36"/>
      <c r="G2698" s="36" t="str">
        <f>IFERROR(__xludf.DUMMYFUNCTION("""COMPUTED_VALUE"""),"Sargento Cabral y Las Heras S")</f>
        <v>Sargento Cabral y Las Heras S</v>
      </c>
      <c r="H2698" s="36" t="str">
        <f>IFERROR(__xludf.DUMMYFUNCTION("""COMPUTED_VALUE"""),"")</f>
        <v/>
      </c>
    </row>
    <row r="2699">
      <c r="A2699" s="36" t="str">
        <f>IFERROR(__xludf.DUMMYFUNCTION("""COMPUTED_VALUE"""),"04-33-13-3B")</f>
        <v>04-33-13-3B</v>
      </c>
      <c r="B2699" s="36" t="str">
        <f>IFERROR(__xludf.DUMMYFUNCTION("""COMPUTED_VALUE"""),"")</f>
        <v/>
      </c>
      <c r="C2699" s="36" t="str">
        <f>IFERROR(__xludf.DUMMYFUNCTION("""COMPUTED_VALUE"""),"")</f>
        <v/>
      </c>
      <c r="D2699" s="36" t="str">
        <f>IFERROR(__xludf.DUMMYFUNCTION("""COMPUTED_VALUE"""),"")</f>
        <v/>
      </c>
      <c r="E2699" s="36" t="str">
        <f>IFERROR(__xludf.DUMMYFUNCTION("""COMPUTED_VALUE"""),"01-31-07-114")</f>
        <v>01-31-07-114</v>
      </c>
      <c r="F2699" s="36"/>
      <c r="G2699" s="36" t="str">
        <f>IFERROR(__xludf.DUMMYFUNCTION("""COMPUTED_VALUE"""),"Sargento Cabral y Mansilla")</f>
        <v>Sargento Cabral y Mansilla</v>
      </c>
      <c r="H2699" s="36" t="str">
        <f>IFERROR(__xludf.DUMMYFUNCTION("""COMPUTED_VALUE"""),"")</f>
        <v/>
      </c>
    </row>
    <row r="2700">
      <c r="A2700" s="36" t="str">
        <f>IFERROR(__xludf.DUMMYFUNCTION("""COMPUTED_VALUE"""),"04-33-13-4B")</f>
        <v>04-33-13-4B</v>
      </c>
      <c r="B2700" s="36" t="str">
        <f>IFERROR(__xludf.DUMMYFUNCTION("""COMPUTED_VALUE"""),"")</f>
        <v/>
      </c>
      <c r="C2700" s="36" t="str">
        <f>IFERROR(__xludf.DUMMYFUNCTION("""COMPUTED_VALUE"""),"")</f>
        <v/>
      </c>
      <c r="D2700" s="36" t="str">
        <f>IFERROR(__xludf.DUMMYFUNCTION("""COMPUTED_VALUE"""),"")</f>
        <v/>
      </c>
      <c r="E2700" s="36" t="str">
        <f>IFERROR(__xludf.DUMMYFUNCTION("""COMPUTED_VALUE"""),"02-29-07-115")</f>
        <v>02-29-07-115</v>
      </c>
      <c r="F2700" s="36"/>
      <c r="G2700" s="36" t="str">
        <f>IFERROR(__xludf.DUMMYFUNCTION("""COMPUTED_VALUE"""),"Sargento Cabral y Manuel Dorrego")</f>
        <v>Sargento Cabral y Manuel Dorrego</v>
      </c>
      <c r="H2700" s="36" t="str">
        <f>IFERROR(__xludf.DUMMYFUNCTION("""COMPUTED_VALUE"""),"")</f>
        <v/>
      </c>
    </row>
    <row r="2701">
      <c r="A2701" s="36" t="str">
        <f>IFERROR(__xludf.DUMMYFUNCTION("""COMPUTED_VALUE"""),"04-33-13-541")</f>
        <v>04-33-13-541</v>
      </c>
      <c r="B2701" s="36" t="str">
        <f>IFERROR(__xludf.DUMMYFUNCTION("""COMPUTED_VALUE"""),"")</f>
        <v/>
      </c>
      <c r="C2701" s="36" t="str">
        <f>IFERROR(__xludf.DUMMYFUNCTION("""COMPUTED_VALUE"""),"")</f>
        <v/>
      </c>
      <c r="D2701" s="36" t="str">
        <f>IFERROR(__xludf.DUMMYFUNCTION("""COMPUTED_VALUE"""),"")</f>
        <v/>
      </c>
      <c r="E2701" s="36" t="str">
        <f>IFERROR(__xludf.DUMMYFUNCTION("""COMPUTED_VALUE"""),"01-20-07-206")</f>
        <v>01-20-07-206</v>
      </c>
      <c r="F2701" s="36"/>
      <c r="G2701" s="36" t="str">
        <f>IFERROR(__xludf.DUMMYFUNCTION("""COMPUTED_VALUE"""),"Sargento Cabral y Matías Zavalla N")</f>
        <v>Sargento Cabral y Matías Zavalla N</v>
      </c>
      <c r="H2701" s="36" t="str">
        <f>IFERROR(__xludf.DUMMYFUNCTION("""COMPUTED_VALUE"""),"")</f>
        <v/>
      </c>
    </row>
    <row r="2702">
      <c r="A2702" s="36" t="str">
        <f>IFERROR(__xludf.DUMMYFUNCTION("""COMPUTED_VALUE"""),"04-33-13-541A")</f>
        <v>04-33-13-541A</v>
      </c>
      <c r="B2702" s="36" t="str">
        <f>IFERROR(__xludf.DUMMYFUNCTION("""COMPUTED_VALUE"""),"")</f>
        <v/>
      </c>
      <c r="C2702" s="36" t="str">
        <f>IFERROR(__xludf.DUMMYFUNCTION("""COMPUTED_VALUE"""),"")</f>
        <v/>
      </c>
      <c r="D2702" s="36" t="str">
        <f>IFERROR(__xludf.DUMMYFUNCTION("""COMPUTED_VALUE"""),"")</f>
        <v/>
      </c>
      <c r="E2702" s="36" t="str">
        <f>IFERROR(__xludf.DUMMYFUNCTION("""COMPUTED_VALUE"""),"01-30-07-204")</f>
        <v>01-30-07-204</v>
      </c>
      <c r="F2702" s="36"/>
      <c r="G2702" s="36" t="str">
        <f>IFERROR(__xludf.DUMMYFUNCTION("""COMPUTED_VALUE"""),"Sargento Cabral y Matías Zavalla O")</f>
        <v>Sargento Cabral y Matías Zavalla O</v>
      </c>
      <c r="H2702" s="36" t="str">
        <f>IFERROR(__xludf.DUMMYFUNCTION("""COMPUTED_VALUE"""),"")</f>
        <v/>
      </c>
    </row>
    <row r="2703">
      <c r="A2703" s="36" t="str">
        <f>IFERROR(__xludf.DUMMYFUNCTION("""COMPUTED_VALUE"""),"04-33-13-543")</f>
        <v>04-33-13-543</v>
      </c>
      <c r="B2703" s="36" t="str">
        <f>IFERROR(__xludf.DUMMYFUNCTION("""COMPUTED_VALUE"""),"")</f>
        <v/>
      </c>
      <c r="C2703" s="36" t="str">
        <f>IFERROR(__xludf.DUMMYFUNCTION("""COMPUTED_VALUE"""),"")</f>
        <v/>
      </c>
      <c r="D2703" s="36" t="str">
        <f>IFERROR(__xludf.DUMMYFUNCTION("""COMPUTED_VALUE"""),"")</f>
        <v/>
      </c>
      <c r="E2703" s="36" t="str">
        <f>IFERROR(__xludf.DUMMYFUNCTION("""COMPUTED_VALUE"""),"01-30-07-205")</f>
        <v>01-30-07-205</v>
      </c>
      <c r="F2703" s="36"/>
      <c r="G2703" s="36" t="str">
        <f>IFERROR(__xludf.DUMMYFUNCTION("""COMPUTED_VALUE"""),"Sargento Cabral y Matías Zavalla S")</f>
        <v>Sargento Cabral y Matías Zavalla S</v>
      </c>
      <c r="H2703" s="36" t="str">
        <f>IFERROR(__xludf.DUMMYFUNCTION("""COMPUTED_VALUE"""),"")</f>
        <v/>
      </c>
    </row>
    <row r="2704">
      <c r="A2704" s="36" t="str">
        <f>IFERROR(__xludf.DUMMYFUNCTION("""COMPUTED_VALUE"""),"04-33-13-544")</f>
        <v>04-33-13-544</v>
      </c>
      <c r="B2704" s="36" t="str">
        <f>IFERROR(__xludf.DUMMYFUNCTION("""COMPUTED_VALUE"""),"")</f>
        <v/>
      </c>
      <c r="C2704" s="36" t="str">
        <f>IFERROR(__xludf.DUMMYFUNCTION("""COMPUTED_VALUE"""),"")</f>
        <v/>
      </c>
      <c r="D2704" s="36" t="str">
        <f>IFERROR(__xludf.DUMMYFUNCTION("""COMPUTED_VALUE"""),"")</f>
        <v/>
      </c>
      <c r="E2704" s="36" t="str">
        <f>IFERROR(__xludf.DUMMYFUNCTION("""COMPUTED_VALUE"""),"01-20-07-185")</f>
        <v>01-20-07-185</v>
      </c>
      <c r="F2704" s="36"/>
      <c r="G2704" s="36" t="str">
        <f>IFERROR(__xludf.DUMMYFUNCTION("""COMPUTED_VALUE"""),"Sargento Cabral y Paula A. de Sarmiento")</f>
        <v>Sargento Cabral y Paula A. de Sarmiento</v>
      </c>
      <c r="H2704" s="36" t="str">
        <f>IFERROR(__xludf.DUMMYFUNCTION("""COMPUTED_VALUE"""),"")</f>
        <v/>
      </c>
    </row>
    <row r="2705">
      <c r="A2705" s="36" t="str">
        <f>IFERROR(__xludf.DUMMYFUNCTION("""COMPUTED_VALUE"""),"04-33-13-545")</f>
        <v>04-33-13-545</v>
      </c>
      <c r="B2705" s="36" t="str">
        <f>IFERROR(__xludf.DUMMYFUNCTION("""COMPUTED_VALUE"""),"")</f>
        <v/>
      </c>
      <c r="C2705" s="36" t="str">
        <f>IFERROR(__xludf.DUMMYFUNCTION("""COMPUTED_VALUE"""),"")</f>
        <v/>
      </c>
      <c r="D2705" s="36" t="str">
        <f>IFERROR(__xludf.DUMMYFUNCTION("""COMPUTED_VALUE"""),"")</f>
        <v/>
      </c>
      <c r="E2705" s="36" t="str">
        <f>IFERROR(__xludf.DUMMYFUNCTION("""COMPUTED_VALUE"""),"01-31-07-121")</f>
        <v>01-31-07-121</v>
      </c>
      <c r="F2705" s="36"/>
      <c r="G2705" s="36" t="str">
        <f>IFERROR(__xludf.DUMMYFUNCTION("""COMPUTED_VALUE"""),"Sargento Cabral y Paula Albarracín")</f>
        <v>Sargento Cabral y Paula Albarracín</v>
      </c>
      <c r="H2705" s="36" t="str">
        <f>IFERROR(__xludf.DUMMYFUNCTION("""COMPUTED_VALUE"""),"")</f>
        <v/>
      </c>
    </row>
    <row r="2706">
      <c r="A2706" s="36" t="str">
        <f>IFERROR(__xludf.DUMMYFUNCTION("""COMPUTED_VALUE"""),"04-33-13-546")</f>
        <v>04-33-13-546</v>
      </c>
      <c r="B2706" s="36" t="str">
        <f>IFERROR(__xludf.DUMMYFUNCTION("""COMPUTED_VALUE"""),"")</f>
        <v/>
      </c>
      <c r="C2706" s="36" t="str">
        <f>IFERROR(__xludf.DUMMYFUNCTION("""COMPUTED_VALUE"""),"")</f>
        <v/>
      </c>
      <c r="D2706" s="36" t="str">
        <f>IFERROR(__xludf.DUMMYFUNCTION("""COMPUTED_VALUE"""),"")</f>
        <v/>
      </c>
      <c r="E2706" s="36" t="str">
        <f>IFERROR(__xludf.DUMMYFUNCTION("""COMPUTED_VALUE"""),"01-30-07-202")</f>
        <v>01-30-07-202</v>
      </c>
      <c r="F2706" s="36"/>
      <c r="G2706" s="36" t="str">
        <f>IFERROR(__xludf.DUMMYFUNCTION("""COMPUTED_VALUE"""),"Sargento Cabral y Perito Moreno")</f>
        <v>Sargento Cabral y Perito Moreno</v>
      </c>
      <c r="H2706" s="36" t="str">
        <f>IFERROR(__xludf.DUMMYFUNCTION("""COMPUTED_VALUE"""),"")</f>
        <v/>
      </c>
    </row>
    <row r="2707">
      <c r="A2707" s="36" t="str">
        <f>IFERROR(__xludf.DUMMYFUNCTION("""COMPUTED_VALUE"""),"04-33-13-547")</f>
        <v>04-33-13-547</v>
      </c>
      <c r="B2707" s="36" t="str">
        <f>IFERROR(__xludf.DUMMYFUNCTION("""COMPUTED_VALUE"""),"")</f>
        <v/>
      </c>
      <c r="C2707" s="36" t="str">
        <f>IFERROR(__xludf.DUMMYFUNCTION("""COMPUTED_VALUE"""),"")</f>
        <v/>
      </c>
      <c r="D2707" s="36" t="str">
        <f>IFERROR(__xludf.DUMMYFUNCTION("""COMPUTED_VALUE"""),"")</f>
        <v/>
      </c>
      <c r="E2707" s="36" t="str">
        <f>IFERROR(__xludf.DUMMYFUNCTION("""COMPUTED_VALUE"""),"02-29-07-91")</f>
        <v>02-29-07-91</v>
      </c>
      <c r="F2707" s="36"/>
      <c r="G2707" s="36" t="str">
        <f>IFERROR(__xludf.DUMMYFUNCTION("""COMPUTED_VALUE"""),"Sargento Cabral y Posta de Yatasto")</f>
        <v>Sargento Cabral y Posta de Yatasto</v>
      </c>
      <c r="H2707" s="36" t="str">
        <f>IFERROR(__xludf.DUMMYFUNCTION("""COMPUTED_VALUE"""),"")</f>
        <v/>
      </c>
    </row>
    <row r="2708">
      <c r="A2708" s="36" t="str">
        <f>IFERROR(__xludf.DUMMYFUNCTION("""COMPUTED_VALUE"""),"04-33-13-548")</f>
        <v>04-33-13-548</v>
      </c>
      <c r="B2708" s="36" t="str">
        <f>IFERROR(__xludf.DUMMYFUNCTION("""COMPUTED_VALUE"""),"")</f>
        <v/>
      </c>
      <c r="C2708" s="36" t="str">
        <f>IFERROR(__xludf.DUMMYFUNCTION("""COMPUTED_VALUE"""),"")</f>
        <v/>
      </c>
      <c r="D2708" s="36" t="str">
        <f>IFERROR(__xludf.DUMMYFUNCTION("""COMPUTED_VALUE"""),"")</f>
        <v/>
      </c>
      <c r="E2708" s="36" t="str">
        <f>IFERROR(__xludf.DUMMYFUNCTION("""COMPUTED_VALUE"""),"01-32-07-113")</f>
        <v>01-32-07-113</v>
      </c>
      <c r="F2708" s="36"/>
      <c r="G2708" s="36" t="str">
        <f>IFERROR(__xludf.DUMMYFUNCTION("""COMPUTED_VALUE"""),"Sargento Cabral y Roger Ballet")</f>
        <v>Sargento Cabral y Roger Ballet</v>
      </c>
      <c r="H2708" s="36" t="str">
        <f>IFERROR(__xludf.DUMMYFUNCTION("""COMPUTED_VALUE"""),"")</f>
        <v/>
      </c>
    </row>
    <row r="2709">
      <c r="A2709" s="36" t="str">
        <f>IFERROR(__xludf.DUMMYFUNCTION("""COMPUTED_VALUE"""),"04-33-13-549")</f>
        <v>04-33-13-549</v>
      </c>
      <c r="B2709" s="36" t="str">
        <f>IFERROR(__xludf.DUMMYFUNCTION("""COMPUTED_VALUE"""),"")</f>
        <v/>
      </c>
      <c r="C2709" s="36" t="str">
        <f>IFERROR(__xludf.DUMMYFUNCTION("""COMPUTED_VALUE"""),"")</f>
        <v/>
      </c>
      <c r="D2709" s="36" t="str">
        <f>IFERROR(__xludf.DUMMYFUNCTION("""COMPUTED_VALUE"""),"")</f>
        <v/>
      </c>
      <c r="E2709" s="36" t="str">
        <f>IFERROR(__xludf.DUMMYFUNCTION("""COMPUTED_VALUE"""),"02-29-07-117")</f>
        <v>02-29-07-117</v>
      </c>
      <c r="F2709" s="36"/>
      <c r="G2709" s="36" t="str">
        <f>IFERROR(__xludf.DUMMYFUNCTION("""COMPUTED_VALUE"""),"Sargento Cabral y San Lorenzo")</f>
        <v>Sargento Cabral y San Lorenzo</v>
      </c>
      <c r="H2709" s="36" t="str">
        <f>IFERROR(__xludf.DUMMYFUNCTION("""COMPUTED_VALUE"""),"")</f>
        <v/>
      </c>
    </row>
    <row r="2710">
      <c r="A2710" s="36" t="str">
        <f>IFERROR(__xludf.DUMMYFUNCTION("""COMPUTED_VALUE"""),"04-33-13-550")</f>
        <v>04-33-13-550</v>
      </c>
      <c r="B2710" s="36" t="str">
        <f>IFERROR(__xludf.DUMMYFUNCTION("""COMPUTED_VALUE"""),"")</f>
        <v/>
      </c>
      <c r="C2710" s="36" t="str">
        <f>IFERROR(__xludf.DUMMYFUNCTION("""COMPUTED_VALUE"""),"")</f>
        <v/>
      </c>
      <c r="D2710" s="36" t="str">
        <f>IFERROR(__xludf.DUMMYFUNCTION("""COMPUTED_VALUE"""),"")</f>
        <v/>
      </c>
      <c r="E2710" s="36" t="str">
        <f>IFERROR(__xludf.DUMMYFUNCTION("""COMPUTED_VALUE"""),"01-21-07-242")</f>
        <v>01-21-07-242</v>
      </c>
      <c r="F2710" s="36"/>
      <c r="G2710" s="36" t="str">
        <f>IFERROR(__xludf.DUMMYFUNCTION("""COMPUTED_VALUE"""),"Sargento Cabral y Scalabrini Ortíz")</f>
        <v>Sargento Cabral y Scalabrini Ortíz</v>
      </c>
      <c r="H2710" s="36" t="str">
        <f>IFERROR(__xludf.DUMMYFUNCTION("""COMPUTED_VALUE"""),"")</f>
        <v/>
      </c>
    </row>
    <row r="2711">
      <c r="A2711" s="36" t="str">
        <f>IFERROR(__xludf.DUMMYFUNCTION("""COMPUTED_VALUE"""),"04-33-13-551")</f>
        <v>04-33-13-551</v>
      </c>
      <c r="B2711" s="36" t="str">
        <f>IFERROR(__xludf.DUMMYFUNCTION("""COMPUTED_VALUE"""),"")</f>
        <v/>
      </c>
      <c r="C2711" s="36" t="str">
        <f>IFERROR(__xludf.DUMMYFUNCTION("""COMPUTED_VALUE"""),"")</f>
        <v/>
      </c>
      <c r="D2711" s="36" t="str">
        <f>IFERROR(__xludf.DUMMYFUNCTION("""COMPUTED_VALUE"""),"")</f>
        <v/>
      </c>
      <c r="E2711" s="36" t="str">
        <f>IFERROR(__xludf.DUMMYFUNCTION("""COMPUTED_VALUE"""),"01-29-07-22")</f>
        <v>01-29-07-22</v>
      </c>
      <c r="F2711" s="36"/>
      <c r="G2711" s="36" t="str">
        <f>IFERROR(__xludf.DUMMYFUNCTION("""COMPUTED_VALUE"""),"Sargento Cabral y Segundino B. Aguiar")</f>
        <v>Sargento Cabral y Segundino B. Aguiar</v>
      </c>
      <c r="H2711" s="36" t="str">
        <f>IFERROR(__xludf.DUMMYFUNCTION("""COMPUTED_VALUE"""),"")</f>
        <v/>
      </c>
    </row>
    <row r="2712">
      <c r="A2712" s="36" t="str">
        <f>IFERROR(__xludf.DUMMYFUNCTION("""COMPUTED_VALUE"""),"04-33-13-552")</f>
        <v>04-33-13-552</v>
      </c>
      <c r="B2712" s="36" t="str">
        <f>IFERROR(__xludf.DUMMYFUNCTION("""COMPUTED_VALUE"""),"")</f>
        <v/>
      </c>
      <c r="C2712" s="36" t="str">
        <f>IFERROR(__xludf.DUMMYFUNCTION("""COMPUTED_VALUE"""),"")</f>
        <v/>
      </c>
      <c r="D2712" s="36" t="str">
        <f>IFERROR(__xludf.DUMMYFUNCTION("""COMPUTED_VALUE"""),"")</f>
        <v/>
      </c>
      <c r="E2712" s="36" t="str">
        <f>IFERROR(__xludf.DUMMYFUNCTION("""COMPUTED_VALUE"""),"02-29-07-119")</f>
        <v>02-29-07-119</v>
      </c>
      <c r="F2712" s="36"/>
      <c r="G2712" s="36" t="str">
        <f>IFERROR(__xludf.DUMMYFUNCTION("""COMPUTED_VALUE"""),"Sargento Cabral y Viamonte N")</f>
        <v>Sargento Cabral y Viamonte N</v>
      </c>
      <c r="H2712" s="36" t="str">
        <f>IFERROR(__xludf.DUMMYFUNCTION("""COMPUTED_VALUE"""),"")</f>
        <v/>
      </c>
    </row>
    <row r="2713">
      <c r="A2713" s="36" t="str">
        <f>IFERROR(__xludf.DUMMYFUNCTION("""COMPUTED_VALUE"""),"04-33-13-553")</f>
        <v>04-33-13-553</v>
      </c>
      <c r="B2713" s="36" t="str">
        <f>IFERROR(__xludf.DUMMYFUNCTION("""COMPUTED_VALUE"""),"")</f>
        <v/>
      </c>
      <c r="C2713" s="36" t="str">
        <f>IFERROR(__xludf.DUMMYFUNCTION("""COMPUTED_VALUE"""),"")</f>
        <v/>
      </c>
      <c r="D2713" s="36" t="str">
        <f>IFERROR(__xludf.DUMMYFUNCTION("""COMPUTED_VALUE"""),"")</f>
        <v/>
      </c>
      <c r="E2713" s="36" t="str">
        <f>IFERROR(__xludf.DUMMYFUNCTION("""COMPUTED_VALUE"""),"01-31-07-120")</f>
        <v>01-31-07-120</v>
      </c>
      <c r="F2713" s="36"/>
      <c r="G2713" s="36" t="str">
        <f>IFERROR(__xludf.DUMMYFUNCTION("""COMPUTED_VALUE"""),"Sargento Cabral y Viamonte S")</f>
        <v>Sargento Cabral y Viamonte S</v>
      </c>
      <c r="H2713" s="36" t="str">
        <f>IFERROR(__xludf.DUMMYFUNCTION("""COMPUTED_VALUE"""),"")</f>
        <v/>
      </c>
    </row>
    <row r="2714">
      <c r="A2714" s="36" t="str">
        <f>IFERROR(__xludf.DUMMYFUNCTION("""COMPUTED_VALUE"""),"04-33-13-7")</f>
        <v>04-33-13-7</v>
      </c>
      <c r="B2714" s="36" t="str">
        <f>IFERROR(__xludf.DUMMYFUNCTION("""COMPUTED_VALUE"""),"")</f>
        <v/>
      </c>
      <c r="C2714" s="36" t="str">
        <f>IFERROR(__xludf.DUMMYFUNCTION("""COMPUTED_VALUE"""),"")</f>
        <v/>
      </c>
      <c r="D2714" s="36" t="str">
        <f>IFERROR(__xludf.DUMMYFUNCTION("""COMPUTED_VALUE"""),"")</f>
        <v/>
      </c>
      <c r="E2714" s="36" t="str">
        <f>IFERROR(__xludf.DUMMYFUNCTION("""COMPUTED_VALUE"""),"01-66-13-156")</f>
        <v>01-66-13-156</v>
      </c>
      <c r="F2714" s="36"/>
      <c r="G2714" s="36" t="str">
        <f>IFERROR(__xludf.DUMMYFUNCTION("""COMPUTED_VALUE"""),"Sarmiento y San Francisco del Monte")</f>
        <v>Sarmiento y San Francisco del Monte</v>
      </c>
      <c r="H2714" s="36" t="str">
        <f>IFERROR(__xludf.DUMMYFUNCTION("""COMPUTED_VALUE"""),"")</f>
        <v/>
      </c>
    </row>
    <row r="2715">
      <c r="A2715" s="36" t="str">
        <f>IFERROR(__xludf.DUMMYFUNCTION("""COMPUTED_VALUE"""),"04-46-13-100")</f>
        <v>04-46-13-100</v>
      </c>
      <c r="B2715" s="36" t="str">
        <f>IFERROR(__xludf.DUMMYFUNCTION("""COMPUTED_VALUE"""),"")</f>
        <v/>
      </c>
      <c r="C2715" s="36" t="str">
        <f>IFERROR(__xludf.DUMMYFUNCTION("""COMPUTED_VALUE"""),"")</f>
        <v/>
      </c>
      <c r="D2715" s="36" t="str">
        <f>IFERROR(__xludf.DUMMYFUNCTION("""COMPUTED_VALUE"""),"")</f>
        <v/>
      </c>
      <c r="E2715" s="36" t="str">
        <f>IFERROR(__xludf.DUMMYFUNCTION("""COMPUTED_VALUE"""),"01-66-13-155")</f>
        <v>01-66-13-155</v>
      </c>
      <c r="F2715" s="36"/>
      <c r="G2715" s="36" t="str">
        <f>IFERROR(__xludf.DUMMYFUNCTION("""COMPUTED_VALUE"""),"Sarmiento y Yanzón N")</f>
        <v>Sarmiento y Yanzón N</v>
      </c>
      <c r="H2715" s="36" t="str">
        <f>IFERROR(__xludf.DUMMYFUNCTION("""COMPUTED_VALUE"""),"")</f>
        <v/>
      </c>
    </row>
    <row r="2716">
      <c r="A2716" s="36" t="str">
        <f>IFERROR(__xludf.DUMMYFUNCTION("""COMPUTED_VALUE"""),"04-46-13-101")</f>
        <v>04-46-13-101</v>
      </c>
      <c r="B2716" s="36" t="str">
        <f>IFERROR(__xludf.DUMMYFUNCTION("""COMPUTED_VALUE"""),"")</f>
        <v/>
      </c>
      <c r="C2716" s="36" t="str">
        <f>IFERROR(__xludf.DUMMYFUNCTION("""COMPUTED_VALUE"""),"")</f>
        <v/>
      </c>
      <c r="D2716" s="36" t="str">
        <f>IFERROR(__xludf.DUMMYFUNCTION("""COMPUTED_VALUE"""),"")</f>
        <v/>
      </c>
      <c r="E2716" s="36" t="str">
        <f>IFERROR(__xludf.DUMMYFUNCTION("""COMPUTED_VALUE"""),"01-66-13-154")</f>
        <v>01-66-13-154</v>
      </c>
      <c r="F2716" s="36"/>
      <c r="G2716" s="36" t="str">
        <f>IFERROR(__xludf.DUMMYFUNCTION("""COMPUTED_VALUE"""),"Sarmiento y Yanzón S")</f>
        <v>Sarmiento y Yanzón S</v>
      </c>
      <c r="H2716" s="36" t="str">
        <f>IFERROR(__xludf.DUMMYFUNCTION("""COMPUTED_VALUE"""),"")</f>
        <v/>
      </c>
    </row>
    <row r="2717">
      <c r="A2717" s="36" t="str">
        <f>IFERROR(__xludf.DUMMYFUNCTION("""COMPUTED_VALUE"""),"04-46-13-104")</f>
        <v>04-46-13-104</v>
      </c>
      <c r="B2717" s="36" t="str">
        <f>IFERROR(__xludf.DUMMYFUNCTION("""COMPUTED_VALUE"""),"")</f>
        <v/>
      </c>
      <c r="C2717" s="36" t="str">
        <f>IFERROR(__xludf.DUMMYFUNCTION("""COMPUTED_VALUE"""),"")</f>
        <v/>
      </c>
      <c r="D2717" s="36" t="str">
        <f>IFERROR(__xludf.DUMMYFUNCTION("""COMPUTED_VALUE"""),"")</f>
        <v/>
      </c>
      <c r="E2717" s="36" t="str">
        <f>IFERROR(__xludf.DUMMYFUNCTION("""COMPUTED_VALUE"""),"01-63-14-35")</f>
        <v>01-63-14-35</v>
      </c>
      <c r="F2717" s="36"/>
      <c r="G2717" s="36" t="str">
        <f>IFERROR(__xludf.DUMMYFUNCTION("""COMPUTED_VALUE"""),"Saturnino Sarassa y Madre Teresa")</f>
        <v>Saturnino Sarassa y Madre Teresa</v>
      </c>
      <c r="H2717" s="36" t="str">
        <f>IFERROR(__xludf.DUMMYFUNCTION("""COMPUTED_VALUE"""),"")</f>
        <v/>
      </c>
    </row>
    <row r="2718">
      <c r="A2718" s="36" t="str">
        <f>IFERROR(__xludf.DUMMYFUNCTION("""COMPUTED_VALUE"""),"04-46-13-104A")</f>
        <v>04-46-13-104A</v>
      </c>
      <c r="B2718" s="36" t="str">
        <f>IFERROR(__xludf.DUMMYFUNCTION("""COMPUTED_VALUE"""),"")</f>
        <v/>
      </c>
      <c r="C2718" s="36" t="str">
        <f>IFERROR(__xludf.DUMMYFUNCTION("""COMPUTED_VALUE"""),"")</f>
        <v/>
      </c>
      <c r="D2718" s="36" t="str">
        <f>IFERROR(__xludf.DUMMYFUNCTION("""COMPUTED_VALUE"""),"")</f>
        <v/>
      </c>
      <c r="E2718" s="36" t="str">
        <f>IFERROR(__xludf.DUMMYFUNCTION("""COMPUTED_VALUE"""),"01-63-14-36")</f>
        <v>01-63-14-36</v>
      </c>
      <c r="F2718" s="36"/>
      <c r="G2718" s="36" t="str">
        <f>IFERROR(__xludf.DUMMYFUNCTION("""COMPUTED_VALUE"""),"Saturnino Sarassa y Proyectada")</f>
        <v>Saturnino Sarassa y Proyectada</v>
      </c>
      <c r="H2718" s="36" t="str">
        <f>IFERROR(__xludf.DUMMYFUNCTION("""COMPUTED_VALUE"""),"")</f>
        <v/>
      </c>
    </row>
    <row r="2719">
      <c r="A2719" s="36" t="str">
        <f>IFERROR(__xludf.DUMMYFUNCTION("""COMPUTED_VALUE"""),"04-46-13-600")</f>
        <v>04-46-13-600</v>
      </c>
      <c r="B2719" s="36" t="str">
        <f>IFERROR(__xludf.DUMMYFUNCTION("""COMPUTED_VALUE"""),"")</f>
        <v/>
      </c>
      <c r="C2719" s="36" t="str">
        <f>IFERROR(__xludf.DUMMYFUNCTION("""COMPUTED_VALUE"""),"")</f>
        <v/>
      </c>
      <c r="D2719" s="36" t="str">
        <f>IFERROR(__xludf.DUMMYFUNCTION("""COMPUTED_VALUE"""),"")</f>
        <v/>
      </c>
      <c r="E2719" s="36" t="str">
        <f>IFERROR(__xludf.DUMMYFUNCTION("""COMPUTED_VALUE"""),"01-29-07-247")</f>
        <v>01-29-07-247</v>
      </c>
      <c r="F2719" s="36"/>
      <c r="G2719" s="36" t="str">
        <f>IFERROR(__xludf.DUMMYFUNCTION("""COMPUTED_VALUE"""),"Scalabrini Ortíz y Centro Comercial NE")</f>
        <v>Scalabrini Ortíz y Centro Comercial NE</v>
      </c>
      <c r="H2719" s="36" t="str">
        <f>IFERROR(__xludf.DUMMYFUNCTION("""COMPUTED_VALUE"""),"")</f>
        <v/>
      </c>
    </row>
    <row r="2720">
      <c r="A2720" s="36" t="str">
        <f>IFERROR(__xludf.DUMMYFUNCTION("""COMPUTED_VALUE"""),"04-46-13-601")</f>
        <v>04-46-13-601</v>
      </c>
      <c r="B2720" s="36" t="str">
        <f>IFERROR(__xludf.DUMMYFUNCTION("""COMPUTED_VALUE"""),"")</f>
        <v/>
      </c>
      <c r="C2720" s="36" t="str">
        <f>IFERROR(__xludf.DUMMYFUNCTION("""COMPUTED_VALUE"""),"")</f>
        <v/>
      </c>
      <c r="D2720" s="36" t="str">
        <f>IFERROR(__xludf.DUMMYFUNCTION("""COMPUTED_VALUE"""),"")</f>
        <v/>
      </c>
      <c r="E2720" s="36" t="str">
        <f>IFERROR(__xludf.DUMMYFUNCTION("""COMPUTED_VALUE"""),"01-29-07-246")</f>
        <v>01-29-07-246</v>
      </c>
      <c r="F2720" s="36"/>
      <c r="G2720" s="36" t="str">
        <f>IFERROR(__xludf.DUMMYFUNCTION("""COMPUTED_VALUE"""),"Scalabrini Ortíz y Centro Comercial NO")</f>
        <v>Scalabrini Ortíz y Centro Comercial NO</v>
      </c>
      <c r="H2720" s="36" t="str">
        <f>IFERROR(__xludf.DUMMYFUNCTION("""COMPUTED_VALUE"""),"")</f>
        <v/>
      </c>
    </row>
    <row r="2721">
      <c r="A2721" s="36" t="str">
        <f>IFERROR(__xludf.DUMMYFUNCTION("""COMPUTED_VALUE"""),"04-46-13-79")</f>
        <v>04-46-13-79</v>
      </c>
      <c r="B2721" s="36" t="str">
        <f>IFERROR(__xludf.DUMMYFUNCTION("""COMPUTED_VALUE"""),"")</f>
        <v/>
      </c>
      <c r="C2721" s="36" t="str">
        <f>IFERROR(__xludf.DUMMYFUNCTION("""COMPUTED_VALUE"""),"")</f>
        <v/>
      </c>
      <c r="D2721" s="36" t="str">
        <f>IFERROR(__xludf.DUMMYFUNCTION("""COMPUTED_VALUE"""),"")</f>
        <v/>
      </c>
      <c r="E2721" s="36" t="str">
        <f>IFERROR(__xludf.DUMMYFUNCTION("""COMPUTED_VALUE"""),"01-29-07-244")</f>
        <v>01-29-07-244</v>
      </c>
      <c r="F2721" s="36"/>
      <c r="G2721" s="36" t="str">
        <f>IFERROR(__xludf.DUMMYFUNCTION("""COMPUTED_VALUE"""),"Scalabrini Ortíz y Centro Comercial S")</f>
        <v>Scalabrini Ortíz y Centro Comercial S</v>
      </c>
      <c r="H2721" s="36" t="str">
        <f>IFERROR(__xludf.DUMMYFUNCTION("""COMPUTED_VALUE"""),"")</f>
        <v/>
      </c>
    </row>
    <row r="2722">
      <c r="A2722" s="36" t="str">
        <f>IFERROR(__xludf.DUMMYFUNCTION("""COMPUTED_VALUE"""),"04-46-13-80")</f>
        <v>04-46-13-80</v>
      </c>
      <c r="B2722" s="36" t="str">
        <f>IFERROR(__xludf.DUMMYFUNCTION("""COMPUTED_VALUE"""),"")</f>
        <v/>
      </c>
      <c r="C2722" s="36" t="str">
        <f>IFERROR(__xludf.DUMMYFUNCTION("""COMPUTED_VALUE"""),"")</f>
        <v/>
      </c>
      <c r="D2722" s="36" t="str">
        <f>IFERROR(__xludf.DUMMYFUNCTION("""COMPUTED_VALUE"""),"")</f>
        <v/>
      </c>
      <c r="E2722" s="36" t="str">
        <f>IFERROR(__xludf.DUMMYFUNCTION("""COMPUTED_VALUE"""),"01-29-07-243A")</f>
        <v>01-29-07-243A</v>
      </c>
      <c r="F2722" s="36"/>
      <c r="G2722" s="36" t="str">
        <f>IFERROR(__xludf.DUMMYFUNCTION("""COMPUTED_VALUE"""),"Scalabrini Ortíz y Circunvalación")</f>
        <v>Scalabrini Ortíz y Circunvalación</v>
      </c>
      <c r="H2722" s="36" t="str">
        <f>IFERROR(__xludf.DUMMYFUNCTION("""COMPUTED_VALUE"""),"")</f>
        <v/>
      </c>
    </row>
    <row r="2723">
      <c r="A2723" s="36" t="str">
        <f>IFERROR(__xludf.DUMMYFUNCTION("""COMPUTED_VALUE"""),"04-46-13-81")</f>
        <v>04-46-13-81</v>
      </c>
      <c r="B2723" s="36" t="str">
        <f>IFERROR(__xludf.DUMMYFUNCTION("""COMPUTED_VALUE"""),"")</f>
        <v/>
      </c>
      <c r="C2723" s="36" t="str">
        <f>IFERROR(__xludf.DUMMYFUNCTION("""COMPUTED_VALUE"""),"")</f>
        <v/>
      </c>
      <c r="D2723" s="36" t="str">
        <f>IFERROR(__xludf.DUMMYFUNCTION("""COMPUTED_VALUE"""),"")</f>
        <v/>
      </c>
      <c r="E2723" s="36" t="str">
        <f>IFERROR(__xludf.DUMMYFUNCTION("""COMPUTED_VALUE"""),"01-36-07-24K")</f>
        <v>01-36-07-24K</v>
      </c>
      <c r="F2723" s="36"/>
      <c r="G2723" s="36" t="str">
        <f>IFERROR(__xludf.DUMMYFUNCTION("""COMPUTED_VALUE"""),"Scalabrini Ortíz y Falucho")</f>
        <v>Scalabrini Ortíz y Falucho</v>
      </c>
      <c r="H2723" s="36" t="str">
        <f>IFERROR(__xludf.DUMMYFUNCTION("""COMPUTED_VALUE"""),"")</f>
        <v/>
      </c>
    </row>
    <row r="2724">
      <c r="A2724" s="36" t="str">
        <f>IFERROR(__xludf.DUMMYFUNCTION("""COMPUTED_VALUE"""),"04-46-13-81A")</f>
        <v>04-46-13-81A</v>
      </c>
      <c r="B2724" s="36" t="str">
        <f>IFERROR(__xludf.DUMMYFUNCTION("""COMPUTED_VALUE"""),"")</f>
        <v/>
      </c>
      <c r="C2724" s="36" t="str">
        <f>IFERROR(__xludf.DUMMYFUNCTION("""COMPUTED_VALUE"""),"")</f>
        <v/>
      </c>
      <c r="D2724" s="36" t="str">
        <f>IFERROR(__xludf.DUMMYFUNCTION("""COMPUTED_VALUE"""),"")</f>
        <v/>
      </c>
      <c r="E2724" s="36" t="str">
        <f>IFERROR(__xludf.DUMMYFUNCTION("""COMPUTED_VALUE"""),"01-29-07-243")</f>
        <v>01-29-07-243</v>
      </c>
      <c r="F2724" s="36"/>
      <c r="G2724" s="36" t="str">
        <f>IFERROR(__xludf.DUMMYFUNCTION("""COMPUTED_VALUE"""),"Scalabrini Ortíz y Lateral")</f>
        <v>Scalabrini Ortíz y Lateral</v>
      </c>
      <c r="H2724" s="36" t="str">
        <f>IFERROR(__xludf.DUMMYFUNCTION("""COMPUTED_VALUE"""),"")</f>
        <v/>
      </c>
    </row>
    <row r="2725">
      <c r="A2725" s="36" t="str">
        <f>IFERROR(__xludf.DUMMYFUNCTION("""COMPUTED_VALUE"""),"04-46-13-82")</f>
        <v>04-46-13-82</v>
      </c>
      <c r="B2725" s="36" t="str">
        <f>IFERROR(__xludf.DUMMYFUNCTION("""COMPUTED_VALUE"""),"")</f>
        <v/>
      </c>
      <c r="C2725" s="36" t="str">
        <f>IFERROR(__xludf.DUMMYFUNCTION("""COMPUTED_VALUE"""),"")</f>
        <v/>
      </c>
      <c r="D2725" s="36" t="str">
        <f>IFERROR(__xludf.DUMMYFUNCTION("""COMPUTED_VALUE"""),"")</f>
        <v/>
      </c>
      <c r="E2725" s="36" t="str">
        <f>IFERROR(__xludf.DUMMYFUNCTION("""COMPUTED_VALUE"""),"01-29-07-245")</f>
        <v>01-29-07-245</v>
      </c>
      <c r="F2725" s="36"/>
      <c r="G2725" s="36" t="str">
        <f>IFERROR(__xludf.DUMMYFUNCTION("""COMPUTED_VALUE"""),"Scalabrini Ortíz y San Lorenzo")</f>
        <v>Scalabrini Ortíz y San Lorenzo</v>
      </c>
      <c r="H2725" s="36" t="str">
        <f>IFERROR(__xludf.DUMMYFUNCTION("""COMPUTED_VALUE"""),"")</f>
        <v/>
      </c>
    </row>
    <row r="2726">
      <c r="A2726" s="36" t="str">
        <f>IFERROR(__xludf.DUMMYFUNCTION("""COMPUTED_VALUE"""),"04-46-13-88A")</f>
        <v>04-46-13-88A</v>
      </c>
      <c r="B2726" s="36" t="str">
        <f>IFERROR(__xludf.DUMMYFUNCTION("""COMPUTED_VALUE"""),"")</f>
        <v/>
      </c>
      <c r="C2726" s="36" t="str">
        <f>IFERROR(__xludf.DUMMYFUNCTION("""COMPUTED_VALUE"""),"")</f>
        <v/>
      </c>
      <c r="D2726" s="36" t="str">
        <f>IFERROR(__xludf.DUMMYFUNCTION("""COMPUTED_VALUE"""),"")</f>
        <v/>
      </c>
      <c r="E2726" s="36" t="str">
        <f>IFERROR(__xludf.DUMMYFUNCTION("""COMPUTED_VALUE"""),"01-35-07-24G")</f>
        <v>01-35-07-24G</v>
      </c>
      <c r="F2726" s="36"/>
      <c r="G2726" s="36" t="str">
        <f>IFERROR(__xludf.DUMMYFUNCTION("""COMPUTED_VALUE"""),"Scalibrini Ortíz y Cereceto")</f>
        <v>Scalibrini Ortíz y Cereceto</v>
      </c>
      <c r="H2726" s="36" t="str">
        <f>IFERROR(__xludf.DUMMYFUNCTION("""COMPUTED_VALUE"""),"")</f>
        <v/>
      </c>
    </row>
    <row r="2727">
      <c r="A2727" s="36" t="str">
        <f>IFERROR(__xludf.DUMMYFUNCTION("""COMPUTED_VALUE"""),"04-46-13-95")</f>
        <v>04-46-13-95</v>
      </c>
      <c r="B2727" s="36" t="str">
        <f>IFERROR(__xludf.DUMMYFUNCTION("""COMPUTED_VALUE"""),"")</f>
        <v/>
      </c>
      <c r="C2727" s="36" t="str">
        <f>IFERROR(__xludf.DUMMYFUNCTION("""COMPUTED_VALUE"""),"")</f>
        <v/>
      </c>
      <c r="D2727" s="36" t="str">
        <f>IFERROR(__xludf.DUMMYFUNCTION("""COMPUTED_VALUE"""),"")</f>
        <v/>
      </c>
      <c r="E2727" s="36" t="str">
        <f>IFERROR(__xludf.DUMMYFUNCTION("""COMPUTED_VALUE"""),"01-35-07-24I")</f>
        <v>01-35-07-24I</v>
      </c>
      <c r="F2727" s="36"/>
      <c r="G2727" s="36" t="str">
        <f>IFERROR(__xludf.DUMMYFUNCTION("""COMPUTED_VALUE"""),"Scalibrini Ortíz y Juan Jufré")</f>
        <v>Scalibrini Ortíz y Juan Jufré</v>
      </c>
      <c r="H2727" s="36" t="str">
        <f>IFERROR(__xludf.DUMMYFUNCTION("""COMPUTED_VALUE"""),"")</f>
        <v/>
      </c>
    </row>
    <row r="2728">
      <c r="A2728" s="36" t="str">
        <f>IFERROR(__xludf.DUMMYFUNCTION("""COMPUTED_VALUE"""),"04-46-13-97")</f>
        <v>04-46-13-97</v>
      </c>
      <c r="B2728" s="36" t="str">
        <f>IFERROR(__xludf.DUMMYFUNCTION("""COMPUTED_VALUE"""),"")</f>
        <v/>
      </c>
      <c r="C2728" s="36" t="str">
        <f>IFERROR(__xludf.DUMMYFUNCTION("""COMPUTED_VALUE"""),"")</f>
        <v/>
      </c>
      <c r="D2728" s="36" t="str">
        <f>IFERROR(__xludf.DUMMYFUNCTION("""COMPUTED_VALUE"""),"")</f>
        <v/>
      </c>
      <c r="E2728" s="36" t="str">
        <f>IFERROR(__xludf.DUMMYFUNCTION("""COMPUTED_VALUE"""),"01-21-07-23")</f>
        <v>01-21-07-23</v>
      </c>
      <c r="F2728" s="36"/>
      <c r="G2728" s="36" t="str">
        <f>IFERROR(__xludf.DUMMYFUNCTION("""COMPUTED_VALUE"""),"Segundino B. Aguilar y Sargento cabral")</f>
        <v>Segundino B. Aguilar y Sargento cabral</v>
      </c>
      <c r="H2728" s="36" t="str">
        <f>IFERROR(__xludf.DUMMYFUNCTION("""COMPUTED_VALUE"""),"")</f>
        <v/>
      </c>
    </row>
    <row r="2729">
      <c r="A2729" s="36" t="str">
        <f>IFERROR(__xludf.DUMMYFUNCTION("""COMPUTED_VALUE"""),"04-46-13-98")</f>
        <v>04-46-13-98</v>
      </c>
      <c r="B2729" s="36" t="str">
        <f>IFERROR(__xludf.DUMMYFUNCTION("""COMPUTED_VALUE"""),"")</f>
        <v/>
      </c>
      <c r="C2729" s="36" t="str">
        <f>IFERROR(__xludf.DUMMYFUNCTION("""COMPUTED_VALUE"""),"")</f>
        <v/>
      </c>
      <c r="D2729" s="36" t="str">
        <f>IFERROR(__xludf.DUMMYFUNCTION("""COMPUTED_VALUE"""),"")</f>
        <v/>
      </c>
      <c r="E2729" s="36" t="str">
        <f>IFERROR(__xludf.DUMMYFUNCTION("""COMPUTED_VALUE"""),"02-26-06-58A")</f>
        <v>02-26-06-58A</v>
      </c>
      <c r="F2729" s="36"/>
      <c r="G2729" s="36" t="str">
        <f>IFERROR(__xludf.DUMMYFUNCTION("""COMPUTED_VALUE"""),"Sgto. Cabral e Isla Victoria N")</f>
        <v>Sgto. Cabral e Isla Victoria N</v>
      </c>
      <c r="H2729" s="36" t="str">
        <f>IFERROR(__xludf.DUMMYFUNCTION("""COMPUTED_VALUE"""),"")</f>
        <v/>
      </c>
    </row>
    <row r="2730">
      <c r="A2730" s="36" t="str">
        <f>IFERROR(__xludf.DUMMYFUNCTION("""COMPUTED_VALUE"""),"04-46-13-99")</f>
        <v>04-46-13-99</v>
      </c>
      <c r="B2730" s="36" t="str">
        <f>IFERROR(__xludf.DUMMYFUNCTION("""COMPUTED_VALUE"""),"")</f>
        <v/>
      </c>
      <c r="C2730" s="36" t="str">
        <f>IFERROR(__xludf.DUMMYFUNCTION("""COMPUTED_VALUE"""),"")</f>
        <v/>
      </c>
      <c r="D2730" s="36" t="str">
        <f>IFERROR(__xludf.DUMMYFUNCTION("""COMPUTED_VALUE"""),"")</f>
        <v/>
      </c>
      <c r="E2730" s="36" t="str">
        <f>IFERROR(__xludf.DUMMYFUNCTION("""COMPUTED_VALUE"""),"02-31-06-58")</f>
        <v>02-31-06-58</v>
      </c>
      <c r="F2730" s="36"/>
      <c r="G2730" s="36" t="str">
        <f>IFERROR(__xludf.DUMMYFUNCTION("""COMPUTED_VALUE"""),"Sgto. Cabral e Isla Victoria S")</f>
        <v>Sgto. Cabral e Isla Victoria S</v>
      </c>
      <c r="H2730" s="36" t="str">
        <f>IFERROR(__xludf.DUMMYFUNCTION("""COMPUTED_VALUE"""),"")</f>
        <v/>
      </c>
    </row>
    <row r="2731">
      <c r="A2731" s="36" t="str">
        <f>IFERROR(__xludf.DUMMYFUNCTION("""COMPUTED_VALUE"""),"04-47-13-102")</f>
        <v>04-47-13-102</v>
      </c>
      <c r="B2731" s="36" t="str">
        <f>IFERROR(__xludf.DUMMYFUNCTION("""COMPUTED_VALUE"""),"")</f>
        <v/>
      </c>
      <c r="C2731" s="36" t="str">
        <f>IFERROR(__xludf.DUMMYFUNCTION("""COMPUTED_VALUE"""),"")</f>
        <v/>
      </c>
      <c r="D2731" s="36" t="str">
        <f>IFERROR(__xludf.DUMMYFUNCTION("""COMPUTED_VALUE"""),"")</f>
        <v/>
      </c>
      <c r="E2731" s="36" t="str">
        <f>IFERROR(__xludf.DUMMYFUNCTION("""COMPUTED_VALUE"""),"02-30-06-96B")</f>
        <v>02-30-06-96B</v>
      </c>
      <c r="F2731" s="36"/>
      <c r="G2731" s="36" t="str">
        <f>IFERROR(__xludf.DUMMYFUNCTION("""COMPUTED_VALUE"""),"Sgto. Cabral y Almirante Brown N")</f>
        <v>Sgto. Cabral y Almirante Brown N</v>
      </c>
      <c r="H2731" s="36" t="str">
        <f>IFERROR(__xludf.DUMMYFUNCTION("""COMPUTED_VALUE"""),"")</f>
        <v/>
      </c>
    </row>
    <row r="2732">
      <c r="A2732" s="36" t="str">
        <f>IFERROR(__xludf.DUMMYFUNCTION("""COMPUTED_VALUE"""),"04-47-13-103")</f>
        <v>04-47-13-103</v>
      </c>
      <c r="B2732" s="36" t="str">
        <f>IFERROR(__xludf.DUMMYFUNCTION("""COMPUTED_VALUE"""),"")</f>
        <v/>
      </c>
      <c r="C2732" s="36" t="str">
        <f>IFERROR(__xludf.DUMMYFUNCTION("""COMPUTED_VALUE"""),"")</f>
        <v/>
      </c>
      <c r="D2732" s="36" t="str">
        <f>IFERROR(__xludf.DUMMYFUNCTION("""COMPUTED_VALUE"""),"")</f>
        <v/>
      </c>
      <c r="E2732" s="36" t="str">
        <f>IFERROR(__xludf.DUMMYFUNCTION("""COMPUTED_VALUE"""),"02-30-06-77")</f>
        <v>02-30-06-77</v>
      </c>
      <c r="F2732" s="36"/>
      <c r="G2732" s="36" t="str">
        <f>IFERROR(__xludf.DUMMYFUNCTION("""COMPUTED_VALUE"""),"Sgto. Cabral y Almirante Brown S")</f>
        <v>Sgto. Cabral y Almirante Brown S</v>
      </c>
      <c r="H2732" s="36" t="str">
        <f>IFERROR(__xludf.DUMMYFUNCTION("""COMPUTED_VALUE"""),"")</f>
        <v/>
      </c>
    </row>
    <row r="2733">
      <c r="A2733" s="36" t="str">
        <f>IFERROR(__xludf.DUMMYFUNCTION("""COMPUTED_VALUE"""),"04-47-13-185B")</f>
        <v>04-47-13-185B</v>
      </c>
      <c r="B2733" s="36" t="str">
        <f>IFERROR(__xludf.DUMMYFUNCTION("""COMPUTED_VALUE"""),"")</f>
        <v/>
      </c>
      <c r="C2733" s="36" t="str">
        <f>IFERROR(__xludf.DUMMYFUNCTION("""COMPUTED_VALUE"""),"")</f>
        <v/>
      </c>
      <c r="D2733" s="36" t="str">
        <f>IFERROR(__xludf.DUMMYFUNCTION("""COMPUTED_VALUE"""),"")</f>
        <v/>
      </c>
      <c r="E2733" s="36" t="str">
        <f>IFERROR(__xludf.DUMMYFUNCTION("""COMPUTED_VALUE"""),"02-27-06-80")</f>
        <v>02-27-06-80</v>
      </c>
      <c r="F2733" s="36"/>
      <c r="G2733" s="36" t="str">
        <f>IFERROR(__xludf.DUMMYFUNCTION("""COMPUTED_VALUE"""),"Sgto. Cabral y Arnobio Sánchez")</f>
        <v>Sgto. Cabral y Arnobio Sánchez</v>
      </c>
      <c r="H2733" s="36" t="str">
        <f>IFERROR(__xludf.DUMMYFUNCTION("""COMPUTED_VALUE"""),"")</f>
        <v/>
      </c>
    </row>
    <row r="2734">
      <c r="A2734" s="36" t="str">
        <f>IFERROR(__xludf.DUMMYFUNCTION("""COMPUTED_VALUE"""),"04-47-13-187")</f>
        <v>04-47-13-187</v>
      </c>
      <c r="B2734" s="36" t="str">
        <f>IFERROR(__xludf.DUMMYFUNCTION("""COMPUTED_VALUE"""),"")</f>
        <v/>
      </c>
      <c r="C2734" s="36" t="str">
        <f>IFERROR(__xludf.DUMMYFUNCTION("""COMPUTED_VALUE"""),"")</f>
        <v/>
      </c>
      <c r="D2734" s="36" t="str">
        <f>IFERROR(__xludf.DUMMYFUNCTION("""COMPUTED_VALUE"""),"")</f>
        <v/>
      </c>
      <c r="E2734" s="36" t="str">
        <f>IFERROR(__xludf.DUMMYFUNCTION("""COMPUTED_VALUE"""),"02-30-06-78")</f>
        <v>02-30-06-78</v>
      </c>
      <c r="F2734" s="36"/>
      <c r="G2734" s="36" t="str">
        <f>IFERROR(__xludf.DUMMYFUNCTION("""COMPUTED_VALUE"""),"Sgto. Cabral y Callejón Comunero")</f>
        <v>Sgto. Cabral y Callejón Comunero</v>
      </c>
      <c r="H2734" s="36" t="str">
        <f>IFERROR(__xludf.DUMMYFUNCTION("""COMPUTED_VALUE"""),"")</f>
        <v/>
      </c>
    </row>
    <row r="2735">
      <c r="A2735" s="36" t="str">
        <f>IFERROR(__xludf.DUMMYFUNCTION("""COMPUTED_VALUE"""),"04-47-13-400")</f>
        <v>04-47-13-400</v>
      </c>
      <c r="B2735" s="36" t="str">
        <f>IFERROR(__xludf.DUMMYFUNCTION("""COMPUTED_VALUE"""),"")</f>
        <v/>
      </c>
      <c r="C2735" s="36" t="str">
        <f>IFERROR(__xludf.DUMMYFUNCTION("""COMPUTED_VALUE"""),"")</f>
        <v/>
      </c>
      <c r="D2735" s="36" t="str">
        <f>IFERROR(__xludf.DUMMYFUNCTION("""COMPUTED_VALUE"""),"")</f>
        <v/>
      </c>
      <c r="E2735" s="36" t="str">
        <f>IFERROR(__xludf.DUMMYFUNCTION("""COMPUTED_VALUE"""),"02-29-06-105B")</f>
        <v>02-29-06-105B</v>
      </c>
      <c r="F2735" s="36"/>
      <c r="G2735" s="36" t="str">
        <f>IFERROR(__xludf.DUMMYFUNCTION("""COMPUTED_VALUE"""),"Sgto. Cabral y Cipolletti")</f>
        <v>Sgto. Cabral y Cipolletti</v>
      </c>
      <c r="H2735" s="36" t="str">
        <f>IFERROR(__xludf.DUMMYFUNCTION("""COMPUTED_VALUE"""),"")</f>
        <v/>
      </c>
    </row>
    <row r="2736">
      <c r="A2736" s="36" t="str">
        <f>IFERROR(__xludf.DUMMYFUNCTION("""COMPUTED_VALUE"""),"04-47-13-401")</f>
        <v>04-47-13-401</v>
      </c>
      <c r="B2736" s="36" t="str">
        <f>IFERROR(__xludf.DUMMYFUNCTION("""COMPUTED_VALUE"""),"")</f>
        <v/>
      </c>
      <c r="C2736" s="36" t="str">
        <f>IFERROR(__xludf.DUMMYFUNCTION("""COMPUTED_VALUE"""),"")</f>
        <v/>
      </c>
      <c r="D2736" s="36" t="str">
        <f>IFERROR(__xludf.DUMMYFUNCTION("""COMPUTED_VALUE"""),"")</f>
        <v/>
      </c>
      <c r="E2736" s="36" t="str">
        <f>IFERROR(__xludf.DUMMYFUNCTION("""COMPUTED_VALUE"""),"02-28-06-76B")</f>
        <v>02-28-06-76B</v>
      </c>
      <c r="F2736" s="36"/>
      <c r="G2736" s="36" t="str">
        <f>IFERROR(__xludf.DUMMYFUNCTION("""COMPUTED_VALUE"""),"Sgto. Cabral y Cordillera de los Andes N")</f>
        <v>Sgto. Cabral y Cordillera de los Andes N</v>
      </c>
      <c r="H2736" s="36" t="str">
        <f>IFERROR(__xludf.DUMMYFUNCTION("""COMPUTED_VALUE"""),"")</f>
        <v/>
      </c>
    </row>
    <row r="2737">
      <c r="A2737" s="36" t="str">
        <f>IFERROR(__xludf.DUMMYFUNCTION("""COMPUTED_VALUE"""),"04-47-13-402")</f>
        <v>04-47-13-402</v>
      </c>
      <c r="B2737" s="36" t="str">
        <f>IFERROR(__xludf.DUMMYFUNCTION("""COMPUTED_VALUE"""),"")</f>
        <v/>
      </c>
      <c r="C2737" s="36" t="str">
        <f>IFERROR(__xludf.DUMMYFUNCTION("""COMPUTED_VALUE"""),"")</f>
        <v/>
      </c>
      <c r="D2737" s="36" t="str">
        <f>IFERROR(__xludf.DUMMYFUNCTION("""COMPUTED_VALUE"""),"")</f>
        <v/>
      </c>
      <c r="E2737" s="36" t="str">
        <f>IFERROR(__xludf.DUMMYFUNCTION("""COMPUTED_VALUE"""),"02-30-06-76A")</f>
        <v>02-30-06-76A</v>
      </c>
      <c r="F2737" s="36"/>
      <c r="G2737" s="36" t="str">
        <f>IFERROR(__xludf.DUMMYFUNCTION("""COMPUTED_VALUE"""),"Sgto. Cabral y Cordillera de los Andes S")</f>
        <v>Sgto. Cabral y Cordillera de los Andes S</v>
      </c>
      <c r="H2737" s="36" t="str">
        <f>IFERROR(__xludf.DUMMYFUNCTION("""COMPUTED_VALUE"""),"")</f>
        <v/>
      </c>
    </row>
    <row r="2738">
      <c r="A2738" s="36" t="str">
        <f>IFERROR(__xludf.DUMMYFUNCTION("""COMPUTED_VALUE"""),"04-47-13-403")</f>
        <v>04-47-13-403</v>
      </c>
      <c r="B2738" s="36" t="str">
        <f>IFERROR(__xludf.DUMMYFUNCTION("""COMPUTED_VALUE"""),"")</f>
        <v/>
      </c>
      <c r="C2738" s="36" t="str">
        <f>IFERROR(__xludf.DUMMYFUNCTION("""COMPUTED_VALUE"""),"")</f>
        <v/>
      </c>
      <c r="D2738" s="36" t="str">
        <f>IFERROR(__xludf.DUMMYFUNCTION("""COMPUTED_VALUE"""),"")</f>
        <v/>
      </c>
      <c r="E2738" s="36" t="str">
        <f>IFERROR(__xludf.DUMMYFUNCTION("""COMPUTED_VALUE"""),"02-28-06-95")</f>
        <v>02-28-06-95</v>
      </c>
      <c r="F2738" s="36"/>
      <c r="G2738" s="36" t="str">
        <f>IFERROR(__xludf.DUMMYFUNCTION("""COMPUTED_VALUE"""),"Sgto. Cabral y Juan José Paso N")</f>
        <v>Sgto. Cabral y Juan José Paso N</v>
      </c>
      <c r="H2738" s="36" t="str">
        <f>IFERROR(__xludf.DUMMYFUNCTION("""COMPUTED_VALUE"""),"")</f>
        <v/>
      </c>
    </row>
    <row r="2739">
      <c r="A2739" s="36" t="str">
        <f>IFERROR(__xludf.DUMMYFUNCTION("""COMPUTED_VALUE"""),"04-47-13-404")</f>
        <v>04-47-13-404</v>
      </c>
      <c r="B2739" s="36" t="str">
        <f>IFERROR(__xludf.DUMMYFUNCTION("""COMPUTED_VALUE"""),"")</f>
        <v/>
      </c>
      <c r="C2739" s="36" t="str">
        <f>IFERROR(__xludf.DUMMYFUNCTION("""COMPUTED_VALUE"""),"")</f>
        <v/>
      </c>
      <c r="D2739" s="36" t="str">
        <f>IFERROR(__xludf.DUMMYFUNCTION("""COMPUTED_VALUE"""),"")</f>
        <v/>
      </c>
      <c r="E2739" s="36" t="str">
        <f>IFERROR(__xludf.DUMMYFUNCTION("""COMPUTED_VALUE"""),"02-30-06-95A")</f>
        <v>02-30-06-95A</v>
      </c>
      <c r="F2739" s="36"/>
      <c r="G2739" s="36" t="str">
        <f>IFERROR(__xludf.DUMMYFUNCTION("""COMPUTED_VALUE"""),"Sgto. Cabral y Juan José Paso S")</f>
        <v>Sgto. Cabral y Juan José Paso S</v>
      </c>
      <c r="H2739" s="36" t="str">
        <f>IFERROR(__xludf.DUMMYFUNCTION("""COMPUTED_VALUE"""),"")</f>
        <v/>
      </c>
    </row>
    <row r="2740">
      <c r="A2740" s="36" t="str">
        <f>IFERROR(__xludf.DUMMYFUNCTION("""COMPUTED_VALUE"""),"04-47-13-405")</f>
        <v>04-47-13-405</v>
      </c>
      <c r="B2740" s="36" t="str">
        <f>IFERROR(__xludf.DUMMYFUNCTION("""COMPUTED_VALUE"""),"")</f>
        <v/>
      </c>
      <c r="C2740" s="36" t="str">
        <f>IFERROR(__xludf.DUMMYFUNCTION("""COMPUTED_VALUE"""),"")</f>
        <v/>
      </c>
      <c r="D2740" s="36" t="str">
        <f>IFERROR(__xludf.DUMMYFUNCTION("""COMPUTED_VALUE"""),"")</f>
        <v/>
      </c>
      <c r="E2740" s="36" t="str">
        <f>IFERROR(__xludf.DUMMYFUNCTION("""COMPUTED_VALUE"""),"02-26-06-60A")</f>
        <v>02-26-06-60A</v>
      </c>
      <c r="F2740" s="36"/>
      <c r="G2740" s="36" t="str">
        <f>IFERROR(__xludf.DUMMYFUNCTION("""COMPUTED_VALUE"""),"Sgto. Cabral y Juan Widmer N")</f>
        <v>Sgto. Cabral y Juan Widmer N</v>
      </c>
      <c r="H2740" s="36" t="str">
        <f>IFERROR(__xludf.DUMMYFUNCTION("""COMPUTED_VALUE"""),"")</f>
        <v/>
      </c>
    </row>
    <row r="2741">
      <c r="A2741" s="36" t="str">
        <f>IFERROR(__xludf.DUMMYFUNCTION("""COMPUTED_VALUE"""),"04-47-13-406")</f>
        <v>04-47-13-406</v>
      </c>
      <c r="B2741" s="36" t="str">
        <f>IFERROR(__xludf.DUMMYFUNCTION("""COMPUTED_VALUE"""),"")</f>
        <v/>
      </c>
      <c r="C2741" s="36" t="str">
        <f>IFERROR(__xludf.DUMMYFUNCTION("""COMPUTED_VALUE"""),"")</f>
        <v/>
      </c>
      <c r="D2741" s="36" t="str">
        <f>IFERROR(__xludf.DUMMYFUNCTION("""COMPUTED_VALUE"""),"")</f>
        <v/>
      </c>
      <c r="E2741" s="36" t="str">
        <f>IFERROR(__xludf.DUMMYFUNCTION("""COMPUTED_VALUE"""),"02-31-06-60")</f>
        <v>02-31-06-60</v>
      </c>
      <c r="F2741" s="36"/>
      <c r="G2741" s="36" t="str">
        <f>IFERROR(__xludf.DUMMYFUNCTION("""COMPUTED_VALUE"""),"Sgto. Cabral y Juan Widmer S")</f>
        <v>Sgto. Cabral y Juan Widmer S</v>
      </c>
      <c r="H2741" s="36" t="str">
        <f>IFERROR(__xludf.DUMMYFUNCTION("""COMPUTED_VALUE"""),"")</f>
        <v/>
      </c>
    </row>
    <row r="2742">
      <c r="A2742" s="36" t="str">
        <f>IFERROR(__xludf.DUMMYFUNCTION("""COMPUTED_VALUE"""),"04-47-13-407")</f>
        <v>04-47-13-407</v>
      </c>
      <c r="B2742" s="36" t="str">
        <f>IFERROR(__xludf.DUMMYFUNCTION("""COMPUTED_VALUE"""),"")</f>
        <v/>
      </c>
      <c r="C2742" s="36" t="str">
        <f>IFERROR(__xludf.DUMMYFUNCTION("""COMPUTED_VALUE"""),"")</f>
        <v/>
      </c>
      <c r="D2742" s="36" t="str">
        <f>IFERROR(__xludf.DUMMYFUNCTION("""COMPUTED_VALUE"""),"")</f>
        <v/>
      </c>
      <c r="E2742" s="36" t="str">
        <f>IFERROR(__xludf.DUMMYFUNCTION("""COMPUTED_VALUE"""),"02-26-06-59A")</f>
        <v>02-26-06-59A</v>
      </c>
      <c r="F2742" s="36"/>
      <c r="G2742" s="36" t="str">
        <f>IFERROR(__xludf.DUMMYFUNCTION("""COMPUTED_VALUE"""),"Sgto. Cabral y La Angostura N")</f>
        <v>Sgto. Cabral y La Angostura N</v>
      </c>
      <c r="H2742" s="36" t="str">
        <f>IFERROR(__xludf.DUMMYFUNCTION("""COMPUTED_VALUE"""),"")</f>
        <v/>
      </c>
    </row>
    <row r="2743">
      <c r="A2743" s="36" t="str">
        <f>IFERROR(__xludf.DUMMYFUNCTION("""COMPUTED_VALUE"""),"04-47-13-408")</f>
        <v>04-47-13-408</v>
      </c>
      <c r="B2743" s="36" t="str">
        <f>IFERROR(__xludf.DUMMYFUNCTION("""COMPUTED_VALUE"""),"")</f>
        <v/>
      </c>
      <c r="C2743" s="36" t="str">
        <f>IFERROR(__xludf.DUMMYFUNCTION("""COMPUTED_VALUE"""),"")</f>
        <v/>
      </c>
      <c r="D2743" s="36" t="str">
        <f>IFERROR(__xludf.DUMMYFUNCTION("""COMPUTED_VALUE"""),"")</f>
        <v/>
      </c>
      <c r="E2743" s="36" t="str">
        <f>IFERROR(__xludf.DUMMYFUNCTION("""COMPUTED_VALUE"""),"02-31-06-59")</f>
        <v>02-31-06-59</v>
      </c>
      <c r="F2743" s="36"/>
      <c r="G2743" s="36" t="str">
        <f>IFERROR(__xludf.DUMMYFUNCTION("""COMPUTED_VALUE"""),"Sgto. Cabral y La Angostura S")</f>
        <v>Sgto. Cabral y La Angostura S</v>
      </c>
      <c r="H2743" s="36" t="str">
        <f>IFERROR(__xludf.DUMMYFUNCTION("""COMPUTED_VALUE"""),"")</f>
        <v/>
      </c>
    </row>
    <row r="2744">
      <c r="A2744" s="36" t="str">
        <f>IFERROR(__xludf.DUMMYFUNCTION("""COMPUTED_VALUE"""),"04-47-13-409")</f>
        <v>04-47-13-409</v>
      </c>
      <c r="B2744" s="36" t="str">
        <f>IFERROR(__xludf.DUMMYFUNCTION("""COMPUTED_VALUE"""),"")</f>
        <v/>
      </c>
      <c r="C2744" s="36" t="str">
        <f>IFERROR(__xludf.DUMMYFUNCTION("""COMPUTED_VALUE"""),"")</f>
        <v/>
      </c>
      <c r="D2744" s="36" t="str">
        <f>IFERROR(__xludf.DUMMYFUNCTION("""COMPUTED_VALUE"""),"")</f>
        <v/>
      </c>
      <c r="E2744" s="36" t="str">
        <f>IFERROR(__xludf.DUMMYFUNCTION("""COMPUTED_VALUE"""),"02-28-06-97B")</f>
        <v>02-28-06-97B</v>
      </c>
      <c r="F2744" s="36"/>
      <c r="G2744" s="36" t="str">
        <f>IFERROR(__xludf.DUMMYFUNCTION("""COMPUTED_VALUE"""),"Sgto. Cabral y Liniers")</f>
        <v>Sgto. Cabral y Liniers</v>
      </c>
      <c r="H2744" s="36" t="str">
        <f>IFERROR(__xludf.DUMMYFUNCTION("""COMPUTED_VALUE"""),"")</f>
        <v/>
      </c>
    </row>
    <row r="2745">
      <c r="A2745" s="36" t="str">
        <f>IFERROR(__xludf.DUMMYFUNCTION("""COMPUTED_VALUE"""),"04-47-13-410")</f>
        <v>04-47-13-410</v>
      </c>
      <c r="B2745" s="36" t="str">
        <f>IFERROR(__xludf.DUMMYFUNCTION("""COMPUTED_VALUE"""),"")</f>
        <v/>
      </c>
      <c r="C2745" s="36" t="str">
        <f>IFERROR(__xludf.DUMMYFUNCTION("""COMPUTED_VALUE"""),"")</f>
        <v/>
      </c>
      <c r="D2745" s="36" t="str">
        <f>IFERROR(__xludf.DUMMYFUNCTION("""COMPUTED_VALUE"""),"")</f>
        <v/>
      </c>
      <c r="E2745" s="36" t="str">
        <f>IFERROR(__xludf.DUMMYFUNCTION("""COMPUTED_VALUE"""),"02-27-06-79")</f>
        <v>02-27-06-79</v>
      </c>
      <c r="F2745" s="36"/>
      <c r="G2745" s="36" t="str">
        <f>IFERROR(__xludf.DUMMYFUNCTION("""COMPUTED_VALUE"""),"Sgto. Cabral y Manuel Zavalla N")</f>
        <v>Sgto. Cabral y Manuel Zavalla N</v>
      </c>
      <c r="H2745" s="36" t="str">
        <f>IFERROR(__xludf.DUMMYFUNCTION("""COMPUTED_VALUE"""),"")</f>
        <v/>
      </c>
    </row>
    <row r="2746">
      <c r="A2746" s="36" t="str">
        <f>IFERROR(__xludf.DUMMYFUNCTION("""COMPUTED_VALUE"""),"04-47-13-412")</f>
        <v>04-47-13-412</v>
      </c>
      <c r="B2746" s="36" t="str">
        <f>IFERROR(__xludf.DUMMYFUNCTION("""COMPUTED_VALUE"""),"")</f>
        <v/>
      </c>
      <c r="C2746" s="36" t="str">
        <f>IFERROR(__xludf.DUMMYFUNCTION("""COMPUTED_VALUE"""),"")</f>
        <v/>
      </c>
      <c r="D2746" s="36" t="str">
        <f>IFERROR(__xludf.DUMMYFUNCTION("""COMPUTED_VALUE"""),"")</f>
        <v/>
      </c>
      <c r="E2746" s="36" t="str">
        <f>IFERROR(__xludf.DUMMYFUNCTION("""COMPUTED_VALUE"""),"02-31-06-79A")</f>
        <v>02-31-06-79A</v>
      </c>
      <c r="F2746" s="36"/>
      <c r="G2746" s="36" t="str">
        <f>IFERROR(__xludf.DUMMYFUNCTION("""COMPUTED_VALUE"""),"Sgto. Cabral y Manuel Zavalla S")</f>
        <v>Sgto. Cabral y Manuel Zavalla S</v>
      </c>
      <c r="H2746" s="36" t="str">
        <f>IFERROR(__xludf.DUMMYFUNCTION("""COMPUTED_VALUE"""),"")</f>
        <v/>
      </c>
    </row>
    <row r="2747">
      <c r="A2747" s="36" t="str">
        <f>IFERROR(__xludf.DUMMYFUNCTION("""COMPUTED_VALUE"""),"04-47-13-415")</f>
        <v>04-47-13-415</v>
      </c>
      <c r="B2747" s="36" t="str">
        <f>IFERROR(__xludf.DUMMYFUNCTION("""COMPUTED_VALUE"""),"")</f>
        <v/>
      </c>
      <c r="C2747" s="36" t="str">
        <f>IFERROR(__xludf.DUMMYFUNCTION("""COMPUTED_VALUE"""),"")</f>
        <v/>
      </c>
      <c r="D2747" s="36" t="str">
        <f>IFERROR(__xludf.DUMMYFUNCTION("""COMPUTED_VALUE"""),"")</f>
        <v/>
      </c>
      <c r="E2747" s="36" t="str">
        <f>IFERROR(__xludf.DUMMYFUNCTION("""COMPUTED_VALUE"""),"02-31-06-61")</f>
        <v>02-31-06-61</v>
      </c>
      <c r="F2747" s="36"/>
      <c r="G2747" s="36" t="str">
        <f>IFERROR(__xludf.DUMMYFUNCTION("""COMPUTED_VALUE"""),"Sgto. Cabral y Mercedario")</f>
        <v>Sgto. Cabral y Mercedario</v>
      </c>
      <c r="H2747" s="36" t="str">
        <f>IFERROR(__xludf.DUMMYFUNCTION("""COMPUTED_VALUE"""),"")</f>
        <v/>
      </c>
    </row>
    <row r="2748">
      <c r="A2748" s="36" t="str">
        <f>IFERROR(__xludf.DUMMYFUNCTION("""COMPUTED_VALUE"""),"04-47-13-417")</f>
        <v>04-47-13-417</v>
      </c>
      <c r="B2748" s="36" t="str">
        <f>IFERROR(__xludf.DUMMYFUNCTION("""COMPUTED_VALUE"""),"")</f>
        <v/>
      </c>
      <c r="C2748" s="36" t="str">
        <f>IFERROR(__xludf.DUMMYFUNCTION("""COMPUTED_VALUE"""),"")</f>
        <v/>
      </c>
      <c r="D2748" s="36" t="str">
        <f>IFERROR(__xludf.DUMMYFUNCTION("""COMPUTED_VALUE"""),"")</f>
        <v/>
      </c>
      <c r="E2748" s="36" t="str">
        <f>IFERROR(__xludf.DUMMYFUNCTION("""COMPUTED_VALUE"""),"08-36-02-112")</f>
        <v>08-36-02-112</v>
      </c>
      <c r="F2748" s="36"/>
      <c r="G2748" s="36" t="str">
        <f>IFERROR(__xludf.DUMMYFUNCTION("""COMPUTED_VALUE"""),"Sgto. Cabral y Nueva Argentina O")</f>
        <v>Sgto. Cabral y Nueva Argentina O</v>
      </c>
      <c r="H2748" s="36" t="str">
        <f>IFERROR(__xludf.DUMMYFUNCTION("""COMPUTED_VALUE"""),"")</f>
        <v/>
      </c>
    </row>
    <row r="2749">
      <c r="A2749" s="36" t="str">
        <f>IFERROR(__xludf.DUMMYFUNCTION("""COMPUTED_VALUE"""),"04-47-13-469")</f>
        <v>04-47-13-469</v>
      </c>
      <c r="B2749" s="36" t="str">
        <f>IFERROR(__xludf.DUMMYFUNCTION("""COMPUTED_VALUE"""),"")</f>
        <v/>
      </c>
      <c r="C2749" s="36" t="str">
        <f>IFERROR(__xludf.DUMMYFUNCTION("""COMPUTED_VALUE"""),"")</f>
        <v/>
      </c>
      <c r="D2749" s="36" t="str">
        <f>IFERROR(__xludf.DUMMYFUNCTION("""COMPUTED_VALUE"""),"")</f>
        <v/>
      </c>
      <c r="E2749" s="36" t="str">
        <f>IFERROR(__xludf.DUMMYFUNCTION("""COMPUTED_VALUE"""),"08-36-02-113")</f>
        <v>08-36-02-113</v>
      </c>
      <c r="F2749" s="36"/>
      <c r="G2749" s="36" t="str">
        <f>IFERROR(__xludf.DUMMYFUNCTION("""COMPUTED_VALUE"""),"Sgto. Cabral y Nueva ArgentinaE")</f>
        <v>Sgto. Cabral y Nueva ArgentinaE</v>
      </c>
      <c r="H2749" s="36" t="str">
        <f>IFERROR(__xludf.DUMMYFUNCTION("""COMPUTED_VALUE"""),"")</f>
        <v/>
      </c>
    </row>
    <row r="2750">
      <c r="A2750" s="36" t="str">
        <f>IFERROR(__xludf.DUMMYFUNCTION("""COMPUTED_VALUE"""),"04-47-13-470")</f>
        <v>04-47-13-470</v>
      </c>
      <c r="B2750" s="36" t="str">
        <f>IFERROR(__xludf.DUMMYFUNCTION("""COMPUTED_VALUE"""),"")</f>
        <v/>
      </c>
      <c r="C2750" s="36" t="str">
        <f>IFERROR(__xludf.DUMMYFUNCTION("""COMPUTED_VALUE"""),"")</f>
        <v/>
      </c>
      <c r="D2750" s="36" t="str">
        <f>IFERROR(__xludf.DUMMYFUNCTION("""COMPUTED_VALUE"""),"")</f>
        <v/>
      </c>
      <c r="E2750" s="36" t="str">
        <f>IFERROR(__xludf.DUMMYFUNCTION("""COMPUTED_VALUE"""),"08-36-02-101")</f>
        <v>08-36-02-101</v>
      </c>
      <c r="F2750" s="36"/>
      <c r="G2750" s="36" t="str">
        <f>IFERROR(__xludf.DUMMYFUNCTION("""COMPUTED_VALUE"""),"Sgto. Cabral y Retiro")</f>
        <v>Sgto. Cabral y Retiro</v>
      </c>
      <c r="H2750" s="36" t="str">
        <f>IFERROR(__xludf.DUMMYFUNCTION("""COMPUTED_VALUE"""),"")</f>
        <v/>
      </c>
    </row>
    <row r="2751">
      <c r="A2751" s="36" t="str">
        <f>IFERROR(__xludf.DUMMYFUNCTION("""COMPUTED_VALUE"""),"04-47-13-471")</f>
        <v>04-47-13-471</v>
      </c>
      <c r="B2751" s="36" t="str">
        <f>IFERROR(__xludf.DUMMYFUNCTION("""COMPUTED_VALUE"""),"")</f>
        <v/>
      </c>
      <c r="C2751" s="36" t="str">
        <f>IFERROR(__xludf.DUMMYFUNCTION("""COMPUTED_VALUE"""),"")</f>
        <v/>
      </c>
      <c r="D2751" s="36" t="str">
        <f>IFERROR(__xludf.DUMMYFUNCTION("""COMPUTED_VALUE"""),"")</f>
        <v/>
      </c>
      <c r="E2751" s="36" t="str">
        <f>IFERROR(__xludf.DUMMYFUNCTION("""COMPUTED_VALUE"""),"02-28-06-75A")</f>
        <v>02-28-06-75A</v>
      </c>
      <c r="F2751" s="36"/>
      <c r="G2751" s="36" t="str">
        <f>IFERROR(__xludf.DUMMYFUNCTION("""COMPUTED_VALUE"""),"Sgto.Cabral y Misiones N")</f>
        <v>Sgto.Cabral y Misiones N</v>
      </c>
      <c r="H2751" s="36" t="str">
        <f>IFERROR(__xludf.DUMMYFUNCTION("""COMPUTED_VALUE"""),"")</f>
        <v/>
      </c>
    </row>
    <row r="2752">
      <c r="A2752" s="36" t="str">
        <f>IFERROR(__xludf.DUMMYFUNCTION("""COMPUTED_VALUE"""),"04-47-13-472")</f>
        <v>04-47-13-472</v>
      </c>
      <c r="B2752" s="36" t="str">
        <f>IFERROR(__xludf.DUMMYFUNCTION("""COMPUTED_VALUE"""),"")</f>
        <v/>
      </c>
      <c r="C2752" s="36" t="str">
        <f>IFERROR(__xludf.DUMMYFUNCTION("""COMPUTED_VALUE"""),"")</f>
        <v/>
      </c>
      <c r="D2752" s="36" t="str">
        <f>IFERROR(__xludf.DUMMYFUNCTION("""COMPUTED_VALUE"""),"")</f>
        <v/>
      </c>
      <c r="E2752" s="36" t="str">
        <f>IFERROR(__xludf.DUMMYFUNCTION("""COMPUTED_VALUE"""),"02-30-06-75")</f>
        <v>02-30-06-75</v>
      </c>
      <c r="F2752" s="36"/>
      <c r="G2752" s="36" t="str">
        <f>IFERROR(__xludf.DUMMYFUNCTION("""COMPUTED_VALUE"""),"Sgto.Cabral y Misiones S")</f>
        <v>Sgto.Cabral y Misiones S</v>
      </c>
      <c r="H2752" s="36" t="str">
        <f>IFERROR(__xludf.DUMMYFUNCTION("""COMPUTED_VALUE"""),"")</f>
        <v/>
      </c>
    </row>
    <row r="2753">
      <c r="A2753" s="36" t="str">
        <f>IFERROR(__xludf.DUMMYFUNCTION("""COMPUTED_VALUE"""),"04-47-13-473")</f>
        <v>04-47-13-473</v>
      </c>
      <c r="B2753" s="36" t="str">
        <f>IFERROR(__xludf.DUMMYFUNCTION("""COMPUTED_VALUE"""),"")</f>
        <v/>
      </c>
      <c r="C2753" s="36" t="str">
        <f>IFERROR(__xludf.DUMMYFUNCTION("""COMPUTED_VALUE"""),"")</f>
        <v/>
      </c>
      <c r="D2753" s="36" t="str">
        <f>IFERROR(__xludf.DUMMYFUNCTION("""COMPUTED_VALUE"""),"")</f>
        <v/>
      </c>
      <c r="E2753" s="36" t="str">
        <f>IFERROR(__xludf.DUMMYFUNCTION("""COMPUTED_VALUE"""),"04-32-13-182")</f>
        <v>04-32-13-182</v>
      </c>
      <c r="F2753" s="36"/>
      <c r="G2753" s="36" t="str">
        <f>IFERROR(__xludf.DUMMYFUNCTION("""COMPUTED_VALUE"""),"Sívori y Mendoza")</f>
        <v>Sívori y Mendoza</v>
      </c>
      <c r="H2753" s="36" t="str">
        <f>IFERROR(__xludf.DUMMYFUNCTION("""COMPUTED_VALUE"""),"")</f>
        <v/>
      </c>
    </row>
    <row r="2754">
      <c r="A2754" s="36" t="str">
        <f>IFERROR(__xludf.DUMMYFUNCTION("""COMPUTED_VALUE"""),"04-47-13-474")</f>
        <v>04-47-13-474</v>
      </c>
      <c r="B2754" s="36" t="str">
        <f>IFERROR(__xludf.DUMMYFUNCTION("""COMPUTED_VALUE"""),"")</f>
        <v/>
      </c>
      <c r="C2754" s="36" t="str">
        <f>IFERROR(__xludf.DUMMYFUNCTION("""COMPUTED_VALUE"""),"")</f>
        <v/>
      </c>
      <c r="D2754" s="36" t="str">
        <f>IFERROR(__xludf.DUMMYFUNCTION("""COMPUTED_VALUE"""),"")</f>
        <v/>
      </c>
      <c r="E2754" s="36" t="str">
        <f>IFERROR(__xludf.DUMMYFUNCTION("""COMPUTED_VALUE"""),"04-45-12-5")</f>
        <v>04-45-12-5</v>
      </c>
      <c r="F2754" s="36"/>
      <c r="G2754" s="36" t="str">
        <f>IFERROR(__xludf.DUMMYFUNCTION("""COMPUTED_VALUE"""),"Skatepark Rawson")</f>
        <v>Skatepark Rawson</v>
      </c>
      <c r="H2754" s="36" t="str">
        <f>IFERROR(__xludf.DUMMYFUNCTION("""COMPUTED_VALUE"""),"")</f>
        <v/>
      </c>
    </row>
    <row r="2755">
      <c r="A2755" s="36" t="str">
        <f>IFERROR(__xludf.DUMMYFUNCTION("""COMPUTED_VALUE"""),"04-47-13-475")</f>
        <v>04-47-13-475</v>
      </c>
      <c r="B2755" s="36" t="str">
        <f>IFERROR(__xludf.DUMMYFUNCTION("""COMPUTED_VALUE"""),"")</f>
        <v/>
      </c>
      <c r="C2755" s="36" t="str">
        <f>IFERROR(__xludf.DUMMYFUNCTION("""COMPUTED_VALUE"""),"")</f>
        <v/>
      </c>
      <c r="D2755" s="36" t="str">
        <f>IFERROR(__xludf.DUMMYFUNCTION("""COMPUTED_VALUE"""),"")</f>
        <v/>
      </c>
      <c r="E2755" s="36" t="str">
        <f>IFERROR(__xludf.DUMMYFUNCTION("""COMPUTED_VALUE"""),"08-23-04-84")</f>
        <v>08-23-04-84</v>
      </c>
      <c r="F2755" s="36"/>
      <c r="G2755" s="36" t="str">
        <f>IFERROR(__xludf.DUMMYFUNCTION("""COMPUTED_VALUE"""),"Soler y Patagonia ")</f>
        <v>Soler y Patagonia </v>
      </c>
      <c r="H2755" s="36" t="str">
        <f>IFERROR(__xludf.DUMMYFUNCTION("""COMPUTED_VALUE"""),"")</f>
        <v/>
      </c>
    </row>
    <row r="2756">
      <c r="A2756" s="36" t="str">
        <f>IFERROR(__xludf.DUMMYFUNCTION("""COMPUTED_VALUE"""),"04-47-13-476")</f>
        <v>04-47-13-476</v>
      </c>
      <c r="B2756" s="36" t="str">
        <f>IFERROR(__xludf.DUMMYFUNCTION("""COMPUTED_VALUE"""),"")</f>
        <v/>
      </c>
      <c r="C2756" s="36" t="str">
        <f>IFERROR(__xludf.DUMMYFUNCTION("""COMPUTED_VALUE"""),"")</f>
        <v/>
      </c>
      <c r="D2756" s="36" t="str">
        <f>IFERROR(__xludf.DUMMYFUNCTION("""COMPUTED_VALUE"""),"")</f>
        <v/>
      </c>
      <c r="E2756" s="36" t="str">
        <f>IFERROR(__xludf.DUMMYFUNCTION("""COMPUTED_VALUE"""),"08-23-04-75")</f>
        <v>08-23-04-75</v>
      </c>
      <c r="F2756" s="36"/>
      <c r="G2756" s="36" t="str">
        <f>IFERROR(__xludf.DUMMYFUNCTION("""COMPUTED_VALUE"""),"Soler y Reconquista")</f>
        <v>Soler y Reconquista</v>
      </c>
      <c r="H2756" s="36" t="str">
        <f>IFERROR(__xludf.DUMMYFUNCTION("""COMPUTED_VALUE"""),"")</f>
        <v/>
      </c>
    </row>
    <row r="2757">
      <c r="A2757" s="36" t="str">
        <f>IFERROR(__xludf.DUMMYFUNCTION("""COMPUTED_VALUE"""),"04-47-13-477")</f>
        <v>04-47-13-477</v>
      </c>
      <c r="B2757" s="36" t="str">
        <f>IFERROR(__xludf.DUMMYFUNCTION("""COMPUTED_VALUE"""),"")</f>
        <v/>
      </c>
      <c r="C2757" s="36" t="str">
        <f>IFERROR(__xludf.DUMMYFUNCTION("""COMPUTED_VALUE"""),"")</f>
        <v/>
      </c>
      <c r="D2757" s="36" t="str">
        <f>IFERROR(__xludf.DUMMYFUNCTION("""COMPUTED_VALUE"""),"")</f>
        <v/>
      </c>
      <c r="E2757" s="36" t="str">
        <f>IFERROR(__xludf.DUMMYFUNCTION("""COMPUTED_VALUE"""),"08-23-04-83")</f>
        <v>08-23-04-83</v>
      </c>
      <c r="F2757" s="36"/>
      <c r="G2757" s="36" t="str">
        <f>IFERROR(__xludf.DUMMYFUNCTION("""COMPUTED_VALUE"""),"Soler y Santa Cruz E")</f>
        <v>Soler y Santa Cruz E</v>
      </c>
      <c r="H2757" s="36" t="str">
        <f>IFERROR(__xludf.DUMMYFUNCTION("""COMPUTED_VALUE"""),"")</f>
        <v/>
      </c>
    </row>
    <row r="2758">
      <c r="A2758" s="36" t="str">
        <f>IFERROR(__xludf.DUMMYFUNCTION("""COMPUTED_VALUE"""),"04-47-13-477A")</f>
        <v>04-47-13-477A</v>
      </c>
      <c r="B2758" s="36" t="str">
        <f>IFERROR(__xludf.DUMMYFUNCTION("""COMPUTED_VALUE"""),"")</f>
        <v/>
      </c>
      <c r="C2758" s="36" t="str">
        <f>IFERROR(__xludf.DUMMYFUNCTION("""COMPUTED_VALUE"""),"")</f>
        <v/>
      </c>
      <c r="D2758" s="36" t="str">
        <f>IFERROR(__xludf.DUMMYFUNCTION("""COMPUTED_VALUE"""),"")</f>
        <v/>
      </c>
      <c r="E2758" s="36" t="str">
        <f>IFERROR(__xludf.DUMMYFUNCTION("""COMPUTED_VALUE"""),"08-23-04-82")</f>
        <v>08-23-04-82</v>
      </c>
      <c r="F2758" s="36"/>
      <c r="G2758" s="36" t="str">
        <f>IFERROR(__xludf.DUMMYFUNCTION("""COMPUTED_VALUE"""),"Soler y Santa Cruz O")</f>
        <v>Soler y Santa Cruz O</v>
      </c>
      <c r="H2758" s="36" t="str">
        <f>IFERROR(__xludf.DUMMYFUNCTION("""COMPUTED_VALUE"""),"")</f>
        <v/>
      </c>
    </row>
    <row r="2759">
      <c r="A2759" s="36" t="str">
        <f>IFERROR(__xludf.DUMMYFUNCTION("""COMPUTED_VALUE"""),"04-47-13-94")</f>
        <v>04-47-13-94</v>
      </c>
      <c r="B2759" s="36" t="str">
        <f>IFERROR(__xludf.DUMMYFUNCTION("""COMPUTED_VALUE"""),"")</f>
        <v/>
      </c>
      <c r="C2759" s="36" t="str">
        <f>IFERROR(__xludf.DUMMYFUNCTION("""COMPUTED_VALUE"""),"")</f>
        <v/>
      </c>
      <c r="D2759" s="36" t="str">
        <f>IFERROR(__xludf.DUMMYFUNCTION("""COMPUTED_VALUE"""),"")</f>
        <v/>
      </c>
      <c r="E2759" s="36" t="str">
        <f>IFERROR(__xludf.DUMMYFUNCTION("""COMPUTED_VALUE"""),"01-26-09-250G")</f>
        <v>01-26-09-250G</v>
      </c>
      <c r="F2759" s="36"/>
      <c r="G2759" s="36" t="str">
        <f>IFERROR(__xludf.DUMMYFUNCTION("""COMPUTED_VALUE"""),"Soler y Yapeyú")</f>
        <v>Soler y Yapeyú</v>
      </c>
      <c r="H2759" s="36" t="str">
        <f>IFERROR(__xludf.DUMMYFUNCTION("""COMPUTED_VALUE"""),"")</f>
        <v/>
      </c>
    </row>
    <row r="2760">
      <c r="A2760" s="36" t="str">
        <f>IFERROR(__xludf.DUMMYFUNCTION("""COMPUTED_VALUE"""),"04-47-13-96")</f>
        <v>04-47-13-96</v>
      </c>
      <c r="B2760" s="36" t="str">
        <f>IFERROR(__xludf.DUMMYFUNCTION("""COMPUTED_VALUE"""),"")</f>
        <v/>
      </c>
      <c r="C2760" s="36" t="str">
        <f>IFERROR(__xludf.DUMMYFUNCTION("""COMPUTED_VALUE"""),"")</f>
        <v/>
      </c>
      <c r="D2760" s="36" t="str">
        <f>IFERROR(__xludf.DUMMYFUNCTION("""COMPUTED_VALUE"""),"")</f>
        <v/>
      </c>
      <c r="E2760" s="36" t="str">
        <f>IFERROR(__xludf.DUMMYFUNCTION("""COMPUTED_VALUE"""),"01-26-09-250F")</f>
        <v>01-26-09-250F</v>
      </c>
      <c r="F2760" s="36"/>
      <c r="G2760" s="36" t="str">
        <f>IFERROR(__xludf.DUMMYFUNCTION("""COMPUTED_VALUE"""),"Soler y Yapeyú -N")</f>
        <v>Soler y Yapeyú -N</v>
      </c>
      <c r="H2760" s="36" t="str">
        <f>IFERROR(__xludf.DUMMYFUNCTION("""COMPUTED_VALUE"""),"")</f>
        <v/>
      </c>
    </row>
    <row r="2761">
      <c r="A2761" s="36" t="str">
        <f>IFERROR(__xludf.DUMMYFUNCTION("""COMPUTED_VALUE"""),"05-24-13-88B")</f>
        <v>05-24-13-88B</v>
      </c>
      <c r="B2761" s="36" t="str">
        <f>IFERROR(__xludf.DUMMYFUNCTION("""COMPUTED_VALUE"""),"")</f>
        <v/>
      </c>
      <c r="C2761" s="36" t="str">
        <f>IFERROR(__xludf.DUMMYFUNCTION("""COMPUTED_VALUE"""),"")</f>
        <v/>
      </c>
      <c r="D2761" s="36" t="str">
        <f>IFERROR(__xludf.DUMMYFUNCTION("""COMPUTED_VALUE"""),"")</f>
        <v/>
      </c>
      <c r="E2761" s="36" t="str">
        <f>IFERROR(__xludf.DUMMYFUNCTION("""COMPUTED_VALUE"""),"01-32-06-37B")</f>
        <v>01-32-06-37B</v>
      </c>
      <c r="F2761" s="36"/>
      <c r="G2761" s="36" t="str">
        <f>IFERROR(__xludf.DUMMYFUNCTION("""COMPUTED_VALUE"""),"Sta. María de Oro y Falucho")</f>
        <v>Sta. María de Oro y Falucho</v>
      </c>
      <c r="H2761" s="36" t="str">
        <f>IFERROR(__xludf.DUMMYFUNCTION("""COMPUTED_VALUE"""),"")</f>
        <v/>
      </c>
    </row>
    <row r="2762">
      <c r="A2762" s="36" t="str">
        <f>IFERROR(__xludf.DUMMYFUNCTION("""COMPUTED_VALUE"""),"05-24-13-89")</f>
        <v>05-24-13-89</v>
      </c>
      <c r="B2762" s="36" t="str">
        <f>IFERROR(__xludf.DUMMYFUNCTION("""COMPUTED_VALUE"""),"")</f>
        <v/>
      </c>
      <c r="C2762" s="36" t="str">
        <f>IFERROR(__xludf.DUMMYFUNCTION("""COMPUTED_VALUE"""),"")</f>
        <v/>
      </c>
      <c r="D2762" s="36" t="str">
        <f>IFERROR(__xludf.DUMMYFUNCTION("""COMPUTED_VALUE"""),"")</f>
        <v/>
      </c>
      <c r="E2762" s="36" t="str">
        <f>IFERROR(__xludf.DUMMYFUNCTION("""COMPUTED_VALUE"""),"01-32-06-72A")</f>
        <v>01-32-06-72A</v>
      </c>
      <c r="F2762" s="36"/>
      <c r="G2762" s="36" t="str">
        <f>IFERROR(__xludf.DUMMYFUNCTION("""COMPUTED_VALUE"""),"Sta. María de Oro y Pasteur E")</f>
        <v>Sta. María de Oro y Pasteur E</v>
      </c>
      <c r="H2762" s="36" t="str">
        <f>IFERROR(__xludf.DUMMYFUNCTION("""COMPUTED_VALUE"""),"")</f>
        <v/>
      </c>
    </row>
    <row r="2763">
      <c r="A2763" s="36" t="str">
        <f>IFERROR(__xludf.DUMMYFUNCTION("""COMPUTED_VALUE"""),"05-26-13-474A")</f>
        <v>05-26-13-474A</v>
      </c>
      <c r="B2763" s="36" t="str">
        <f>IFERROR(__xludf.DUMMYFUNCTION("""COMPUTED_VALUE"""),"")</f>
        <v/>
      </c>
      <c r="C2763" s="36" t="str">
        <f>IFERROR(__xludf.DUMMYFUNCTION("""COMPUTED_VALUE"""),"")</f>
        <v/>
      </c>
      <c r="D2763" s="36" t="str">
        <f>IFERROR(__xludf.DUMMYFUNCTION("""COMPUTED_VALUE"""),"")</f>
        <v/>
      </c>
      <c r="E2763" s="36" t="str">
        <f>IFERROR(__xludf.DUMMYFUNCTION("""COMPUTED_VALUE"""),"02-30-06-72")</f>
        <v>02-30-06-72</v>
      </c>
      <c r="F2763" s="36"/>
      <c r="G2763" s="36" t="str">
        <f>IFERROR(__xludf.DUMMYFUNCTION("""COMPUTED_VALUE"""),"Sta. María de Oro y Pasteur O")</f>
        <v>Sta. María de Oro y Pasteur O</v>
      </c>
      <c r="H2763" s="36" t="str">
        <f>IFERROR(__xludf.DUMMYFUNCTION("""COMPUTED_VALUE"""),"")</f>
        <v/>
      </c>
    </row>
    <row r="2764">
      <c r="A2764" s="36" t="str">
        <f>IFERROR(__xludf.DUMMYFUNCTION("""COMPUTED_VALUE"""),"05-26-13-475A")</f>
        <v>05-26-13-475A</v>
      </c>
      <c r="B2764" s="36" t="str">
        <f>IFERROR(__xludf.DUMMYFUNCTION("""COMPUTED_VALUE"""),"")</f>
        <v/>
      </c>
      <c r="C2764" s="36" t="str">
        <f>IFERROR(__xludf.DUMMYFUNCTION("""COMPUTED_VALUE"""),"")</f>
        <v/>
      </c>
      <c r="D2764" s="36" t="str">
        <f>IFERROR(__xludf.DUMMYFUNCTION("""COMPUTED_VALUE"""),"")</f>
        <v/>
      </c>
      <c r="E2764" s="36" t="str">
        <f>IFERROR(__xludf.DUMMYFUNCTION("""COMPUTED_VALUE"""),"01-32-06-73A")</f>
        <v>01-32-06-73A</v>
      </c>
      <c r="F2764" s="36"/>
      <c r="G2764" s="36" t="str">
        <f>IFERROR(__xludf.DUMMYFUNCTION("""COMPUTED_VALUE"""),"Sta. María de Oro y San Lorenzo E")</f>
        <v>Sta. María de Oro y San Lorenzo E</v>
      </c>
      <c r="H2764" s="36" t="str">
        <f>IFERROR(__xludf.DUMMYFUNCTION("""COMPUTED_VALUE"""),"")</f>
        <v/>
      </c>
    </row>
    <row r="2765">
      <c r="A2765" s="36" t="str">
        <f>IFERROR(__xludf.DUMMYFUNCTION("""COMPUTED_VALUE"""),"05-26-13-476A")</f>
        <v>05-26-13-476A</v>
      </c>
      <c r="B2765" s="36" t="str">
        <f>IFERROR(__xludf.DUMMYFUNCTION("""COMPUTED_VALUE"""),"")</f>
        <v/>
      </c>
      <c r="C2765" s="36" t="str">
        <f>IFERROR(__xludf.DUMMYFUNCTION("""COMPUTED_VALUE"""),"")</f>
        <v/>
      </c>
      <c r="D2765" s="36" t="str">
        <f>IFERROR(__xludf.DUMMYFUNCTION("""COMPUTED_VALUE"""),"")</f>
        <v/>
      </c>
      <c r="E2765" s="36" t="str">
        <f>IFERROR(__xludf.DUMMYFUNCTION("""COMPUTED_VALUE"""),"02-30-06-73")</f>
        <v>02-30-06-73</v>
      </c>
      <c r="F2765" s="36"/>
      <c r="G2765" s="36" t="str">
        <f>IFERROR(__xludf.DUMMYFUNCTION("""COMPUTED_VALUE"""),"Sta. María de Oro y San Lorenzo O")</f>
        <v>Sta. María de Oro y San Lorenzo O</v>
      </c>
      <c r="H2765" s="36" t="str">
        <f>IFERROR(__xludf.DUMMYFUNCTION("""COMPUTED_VALUE"""),"")</f>
        <v/>
      </c>
    </row>
    <row r="2766">
      <c r="A2766" s="36" t="str">
        <f>IFERROR(__xludf.DUMMYFUNCTION("""COMPUTED_VALUE"""),"05-26-13-477B")</f>
        <v>05-26-13-477B</v>
      </c>
      <c r="B2766" s="36" t="str">
        <f>IFERROR(__xludf.DUMMYFUNCTION("""COMPUTED_VALUE"""),"")</f>
        <v/>
      </c>
      <c r="C2766" s="36" t="str">
        <f>IFERROR(__xludf.DUMMYFUNCTION("""COMPUTED_VALUE"""),"")</f>
        <v/>
      </c>
      <c r="D2766" s="36" t="str">
        <f>IFERROR(__xludf.DUMMYFUNCTION("""COMPUTED_VALUE"""),"")</f>
        <v/>
      </c>
      <c r="E2766" s="36" t="str">
        <f>IFERROR(__xludf.DUMMYFUNCTION("""COMPUTED_VALUE"""),"01-32-06-74A")</f>
        <v>01-32-06-74A</v>
      </c>
      <c r="F2766" s="36"/>
      <c r="G2766" s="36" t="str">
        <f>IFERROR(__xludf.DUMMYFUNCTION("""COMPUTED_VALUE"""),"Sta. María de Oro y Sgto. Cabral E")</f>
        <v>Sta. María de Oro y Sgto. Cabral E</v>
      </c>
      <c r="H2766" s="36" t="str">
        <f>IFERROR(__xludf.DUMMYFUNCTION("""COMPUTED_VALUE"""),"")</f>
        <v/>
      </c>
    </row>
    <row r="2767">
      <c r="A2767" s="36" t="str">
        <f>IFERROR(__xludf.DUMMYFUNCTION("""COMPUTED_VALUE"""),"01-54-14-1")</f>
        <v>01-54-14-1</v>
      </c>
      <c r="B2767" s="36" t="str">
        <f>IFERROR(__xludf.DUMMYFUNCTION("""COMPUTED_VALUE"""),"")</f>
        <v/>
      </c>
      <c r="C2767" s="36" t="str">
        <f>IFERROR(__xludf.DUMMYFUNCTION("""COMPUTED_VALUE"""),"")</f>
        <v/>
      </c>
      <c r="D2767" s="36" t="str">
        <f>IFERROR(__xludf.DUMMYFUNCTION("""COMPUTED_VALUE"""),"")</f>
        <v/>
      </c>
      <c r="E2767" s="36" t="str">
        <f>IFERROR(__xludf.DUMMYFUNCTION("""COMPUTED_VALUE"""),"02-30-06-74")</f>
        <v>02-30-06-74</v>
      </c>
      <c r="F2767" s="36"/>
      <c r="G2767" s="36" t="str">
        <f>IFERROR(__xludf.DUMMYFUNCTION("""COMPUTED_VALUE"""),"Sta. María de Oro y Sgto. Cabral O")</f>
        <v>Sta. María de Oro y Sgto. Cabral O</v>
      </c>
      <c r="H2767" s="36" t="str">
        <f>IFERROR(__xludf.DUMMYFUNCTION("""COMPUTED_VALUE"""),"")</f>
        <v/>
      </c>
    </row>
    <row r="2768">
      <c r="A2768" s="36" t="str">
        <f>IFERROR(__xludf.DUMMYFUNCTION("""COMPUTED_VALUE"""),"01-54-14-10")</f>
        <v>01-54-14-10</v>
      </c>
      <c r="B2768" s="36" t="str">
        <f>IFERROR(__xludf.DUMMYFUNCTION("""COMPUTED_VALUE"""),"")</f>
        <v/>
      </c>
      <c r="C2768" s="36" t="str">
        <f>IFERROR(__xludf.DUMMYFUNCTION("""COMPUTED_VALUE"""),"")</f>
        <v/>
      </c>
      <c r="D2768" s="36" t="str">
        <f>IFERROR(__xludf.DUMMYFUNCTION("""COMPUTED_VALUE"""),"")</f>
        <v/>
      </c>
      <c r="E2768" s="36" t="str">
        <f>IFERROR(__xludf.DUMMYFUNCTION("""COMPUTED_VALUE"""),"02-30-06-36")</f>
        <v>02-30-06-36</v>
      </c>
      <c r="F2768" s="36"/>
      <c r="G2768" s="36" t="str">
        <f>IFERROR(__xludf.DUMMYFUNCTION("""COMPUTED_VALUE"""),"Sta. María de Oro y Tomás Cruz")</f>
        <v>Sta. María de Oro y Tomás Cruz</v>
      </c>
      <c r="H2768" s="36" t="str">
        <f>IFERROR(__xludf.DUMMYFUNCTION("""COMPUTED_VALUE"""),"")</f>
        <v/>
      </c>
    </row>
    <row r="2769">
      <c r="A2769" s="36" t="str">
        <f>IFERROR(__xludf.DUMMYFUNCTION("""COMPUTED_VALUE"""),"01-54-14-11")</f>
        <v>01-54-14-11</v>
      </c>
      <c r="B2769" s="36" t="str">
        <f>IFERROR(__xludf.DUMMYFUNCTION("""COMPUTED_VALUE"""),"")</f>
        <v/>
      </c>
      <c r="C2769" s="36" t="str">
        <f>IFERROR(__xludf.DUMMYFUNCTION("""COMPUTED_VALUE"""),"")</f>
        <v/>
      </c>
      <c r="D2769" s="36" t="str">
        <f>IFERROR(__xludf.DUMMYFUNCTION("""COMPUTED_VALUE"""),"")</f>
        <v/>
      </c>
      <c r="E2769" s="36" t="str">
        <f>IFERROR(__xludf.DUMMYFUNCTION("""COMPUTED_VALUE"""),"02-31-06-54")</f>
        <v>02-31-06-54</v>
      </c>
      <c r="F2769" s="36"/>
      <c r="G2769" s="36" t="str">
        <f>IFERROR(__xludf.DUMMYFUNCTION("""COMPUTED_VALUE"""),"Sto. Domingo y Arturo Illia")</f>
        <v>Sto. Domingo y Arturo Illia</v>
      </c>
      <c r="H2769" s="36" t="str">
        <f>IFERROR(__xludf.DUMMYFUNCTION("""COMPUTED_VALUE"""),"")</f>
        <v/>
      </c>
    </row>
    <row r="2770">
      <c r="A2770" s="36" t="str">
        <f>IFERROR(__xludf.DUMMYFUNCTION("""COMPUTED_VALUE"""),"01-54-14-12")</f>
        <v>01-54-14-12</v>
      </c>
      <c r="B2770" s="36" t="str">
        <f>IFERROR(__xludf.DUMMYFUNCTION("""COMPUTED_VALUE"""),"")</f>
        <v/>
      </c>
      <c r="C2770" s="36" t="str">
        <f>IFERROR(__xludf.DUMMYFUNCTION("""COMPUTED_VALUE"""),"")</f>
        <v/>
      </c>
      <c r="D2770" s="36" t="str">
        <f>IFERROR(__xludf.DUMMYFUNCTION("""COMPUTED_VALUE"""),"")</f>
        <v/>
      </c>
      <c r="E2770" s="36" t="str">
        <f>IFERROR(__xludf.DUMMYFUNCTION("""COMPUTED_VALUE"""),"02-31-06-55")</f>
        <v>02-31-06-55</v>
      </c>
      <c r="F2770" s="36"/>
      <c r="G2770" s="36" t="str">
        <f>IFERROR(__xludf.DUMMYFUNCTION("""COMPUTED_VALUE"""),"Sto. Domingo y B° Natania Residencial II E")</f>
        <v>Sto. Domingo y B° Natania Residencial II E</v>
      </c>
      <c r="H2770" s="36" t="str">
        <f>IFERROR(__xludf.DUMMYFUNCTION("""COMPUTED_VALUE"""),"")</f>
        <v/>
      </c>
    </row>
    <row r="2771">
      <c r="A2771" s="36" t="str">
        <f>IFERROR(__xludf.DUMMYFUNCTION("""COMPUTED_VALUE"""),"01-54-14-13A")</f>
        <v>01-54-14-13A</v>
      </c>
      <c r="B2771" s="36" t="str">
        <f>IFERROR(__xludf.DUMMYFUNCTION("""COMPUTED_VALUE"""),"")</f>
        <v/>
      </c>
      <c r="C2771" s="36" t="str">
        <f>IFERROR(__xludf.DUMMYFUNCTION("""COMPUTED_VALUE"""),"")</f>
        <v/>
      </c>
      <c r="D2771" s="36" t="str">
        <f>IFERROR(__xludf.DUMMYFUNCTION("""COMPUTED_VALUE"""),"")</f>
        <v/>
      </c>
      <c r="E2771" s="36" t="str">
        <f>IFERROR(__xludf.DUMMYFUNCTION("""COMPUTED_VALUE"""),"02-31-06-54A")</f>
        <v>02-31-06-54A</v>
      </c>
      <c r="F2771" s="36"/>
      <c r="G2771" s="36" t="str">
        <f>IFERROR(__xludf.DUMMYFUNCTION("""COMPUTED_VALUE"""),"Sto. Domingo y B° Natania Residencial II O")</f>
        <v>Sto. Domingo y B° Natania Residencial II O</v>
      </c>
      <c r="H2771" s="36" t="str">
        <f>IFERROR(__xludf.DUMMYFUNCTION("""COMPUTED_VALUE"""),"")</f>
        <v/>
      </c>
    </row>
    <row r="2772">
      <c r="A2772" s="36" t="str">
        <f>IFERROR(__xludf.DUMMYFUNCTION("""COMPUTED_VALUE"""),"01-54-14-14")</f>
        <v>01-54-14-14</v>
      </c>
      <c r="B2772" s="36" t="str">
        <f>IFERROR(__xludf.DUMMYFUNCTION("""COMPUTED_VALUE"""),"")</f>
        <v/>
      </c>
      <c r="C2772" s="36" t="str">
        <f>IFERROR(__xludf.DUMMYFUNCTION("""COMPUTED_VALUE"""),"")</f>
        <v/>
      </c>
      <c r="D2772" s="36" t="str">
        <f>IFERROR(__xludf.DUMMYFUNCTION("""COMPUTED_VALUE"""),"")</f>
        <v/>
      </c>
      <c r="E2772" s="36" t="str">
        <f>IFERROR(__xludf.DUMMYFUNCTION("""COMPUTED_VALUE"""),"02-31-06-55A")</f>
        <v>02-31-06-55A</v>
      </c>
      <c r="F2772" s="36"/>
      <c r="G2772" s="36" t="str">
        <f>IFERROR(__xludf.DUMMYFUNCTION("""COMPUTED_VALUE"""),"Sto. Domingo y Barud de Quattropani")</f>
        <v>Sto. Domingo y Barud de Quattropani</v>
      </c>
      <c r="H2772" s="36" t="str">
        <f>IFERROR(__xludf.DUMMYFUNCTION("""COMPUTED_VALUE"""),"")</f>
        <v/>
      </c>
    </row>
    <row r="2773">
      <c r="A2773" s="36" t="str">
        <f>IFERROR(__xludf.DUMMYFUNCTION("""COMPUTED_VALUE"""),"01-54-14-15")</f>
        <v>01-54-14-15</v>
      </c>
      <c r="B2773" s="36" t="str">
        <f>IFERROR(__xludf.DUMMYFUNCTION("""COMPUTED_VALUE"""),"")</f>
        <v/>
      </c>
      <c r="C2773" s="36" t="str">
        <f>IFERROR(__xludf.DUMMYFUNCTION("""COMPUTED_VALUE"""),"")</f>
        <v/>
      </c>
      <c r="D2773" s="36" t="str">
        <f>IFERROR(__xludf.DUMMYFUNCTION("""COMPUTED_VALUE"""),"")</f>
        <v/>
      </c>
      <c r="E2773" s="36" t="str">
        <f>IFERROR(__xludf.DUMMYFUNCTION("""COMPUTED_VALUE"""),"03-20-09-219")</f>
        <v>03-20-09-219</v>
      </c>
      <c r="F2773" s="36"/>
      <c r="G2773" s="36" t="str">
        <f>IFERROR(__xludf.DUMMYFUNCTION("""COMPUTED_VALUE"""),"Sub Comisaría Santa Lucía")</f>
        <v>Sub Comisaría Santa Lucía</v>
      </c>
      <c r="H2773" s="36" t="str">
        <f>IFERROR(__xludf.DUMMYFUNCTION("""COMPUTED_VALUE"""),"")</f>
        <v/>
      </c>
    </row>
    <row r="2774">
      <c r="A2774" s="36" t="str">
        <f>IFERROR(__xludf.DUMMYFUNCTION("""COMPUTED_VALUE"""),"01-54-14-16")</f>
        <v>01-54-14-16</v>
      </c>
      <c r="B2774" s="36" t="str">
        <f>IFERROR(__xludf.DUMMYFUNCTION("""COMPUTED_VALUE"""),"")</f>
        <v/>
      </c>
      <c r="C2774" s="36" t="str">
        <f>IFERROR(__xludf.DUMMYFUNCTION("""COMPUTED_VALUE"""),"")</f>
        <v/>
      </c>
      <c r="D2774" s="36" t="str">
        <f>IFERROR(__xludf.DUMMYFUNCTION("""COMPUTED_VALUE"""),"")</f>
        <v/>
      </c>
      <c r="E2774" s="36" t="str">
        <f>IFERROR(__xludf.DUMMYFUNCTION("""COMPUTED_VALUE"""),"08-36-02-78")</f>
        <v>08-36-02-78</v>
      </c>
      <c r="F2774" s="36"/>
      <c r="G2774" s="36" t="str">
        <f>IFERROR(__xludf.DUMMYFUNCTION("""COMPUTED_VALUE"""),"Subcomisaría B° Cipolletti N")</f>
        <v>Subcomisaría B° Cipolletti N</v>
      </c>
      <c r="H2774" s="36" t="str">
        <f>IFERROR(__xludf.DUMMYFUNCTION("""COMPUTED_VALUE"""),"")</f>
        <v/>
      </c>
    </row>
    <row r="2775">
      <c r="A2775" s="36" t="str">
        <f>IFERROR(__xludf.DUMMYFUNCTION("""COMPUTED_VALUE"""),"01-54-14-18")</f>
        <v>01-54-14-18</v>
      </c>
      <c r="B2775" s="36" t="str">
        <f>IFERROR(__xludf.DUMMYFUNCTION("""COMPUTED_VALUE"""),"")</f>
        <v/>
      </c>
      <c r="C2775" s="36" t="str">
        <f>IFERROR(__xludf.DUMMYFUNCTION("""COMPUTED_VALUE"""),"")</f>
        <v/>
      </c>
      <c r="D2775" s="36" t="str">
        <f>IFERROR(__xludf.DUMMYFUNCTION("""COMPUTED_VALUE"""),"")</f>
        <v/>
      </c>
      <c r="E2775" s="36" t="str">
        <f>IFERROR(__xludf.DUMMYFUNCTION("""COMPUTED_VALUE"""),"08-36-02-77")</f>
        <v>08-36-02-77</v>
      </c>
      <c r="F2775" s="36"/>
      <c r="G2775" s="36" t="str">
        <f>IFERROR(__xludf.DUMMYFUNCTION("""COMPUTED_VALUE"""),"Subcomisaría B° Cipolletti S")</f>
        <v>Subcomisaría B° Cipolletti S</v>
      </c>
      <c r="H2775" s="36" t="str">
        <f>IFERROR(__xludf.DUMMYFUNCTION("""COMPUTED_VALUE"""),"")</f>
        <v/>
      </c>
    </row>
    <row r="2776">
      <c r="A2776" s="36" t="str">
        <f>IFERROR(__xludf.DUMMYFUNCTION("""COMPUTED_VALUE"""),"01-54-14-4")</f>
        <v>01-54-14-4</v>
      </c>
      <c r="B2776" s="36" t="str">
        <f>IFERROR(__xludf.DUMMYFUNCTION("""COMPUTED_VALUE"""),"")</f>
        <v/>
      </c>
      <c r="C2776" s="36" t="str">
        <f>IFERROR(__xludf.DUMMYFUNCTION("""COMPUTED_VALUE"""),"")</f>
        <v/>
      </c>
      <c r="D2776" s="36" t="str">
        <f>IFERROR(__xludf.DUMMYFUNCTION("""COMPUTED_VALUE"""),"")</f>
        <v/>
      </c>
      <c r="E2776" s="36" t="str">
        <f>IFERROR(__xludf.DUMMYFUNCTION("""COMPUTED_VALUE"""),"09-20-10-36B")</f>
        <v>09-20-10-36B</v>
      </c>
      <c r="F2776" s="36"/>
      <c r="G2776" s="36" t="str">
        <f>IFERROR(__xludf.DUMMYFUNCTION("""COMPUTED_VALUE"""),"Sum 9 de Julio")</f>
        <v>Sum 9 de Julio</v>
      </c>
      <c r="H2776" s="36" t="str">
        <f>IFERROR(__xludf.DUMMYFUNCTION("""COMPUTED_VALUE"""),"")</f>
        <v/>
      </c>
    </row>
    <row r="2777">
      <c r="A2777" s="36" t="str">
        <f>IFERROR(__xludf.DUMMYFUNCTION("""COMPUTED_VALUE"""),"01-54-14-6")</f>
        <v>01-54-14-6</v>
      </c>
      <c r="B2777" s="36" t="str">
        <f>IFERROR(__xludf.DUMMYFUNCTION("""COMPUTED_VALUE"""),"")</f>
        <v/>
      </c>
      <c r="C2777" s="36" t="str">
        <f>IFERROR(__xludf.DUMMYFUNCTION("""COMPUTED_VALUE"""),"")</f>
        <v/>
      </c>
      <c r="D2777" s="36" t="str">
        <f>IFERROR(__xludf.DUMMYFUNCTION("""COMPUTED_VALUE"""),"")</f>
        <v/>
      </c>
      <c r="E2777" s="36" t="str">
        <f>IFERROR(__xludf.DUMMYFUNCTION("""COMPUTED_VALUE"""),"03-46-10-119B")</f>
        <v>03-46-10-119B</v>
      </c>
      <c r="F2777" s="36"/>
      <c r="G2777" s="36" t="str">
        <f>IFERROR(__xludf.DUMMYFUNCTION("""COMPUTED_VALUE"""),"SUM Municipal La Legua")</f>
        <v>SUM Municipal La Legua</v>
      </c>
      <c r="H2777" s="36" t="str">
        <f>IFERROR(__xludf.DUMMYFUNCTION("""COMPUTED_VALUE"""),"")</f>
        <v/>
      </c>
    </row>
    <row r="2778">
      <c r="A2778" s="36" t="str">
        <f>IFERROR(__xludf.DUMMYFUNCTION("""COMPUTED_VALUE"""),"01-54-14-7")</f>
        <v>01-54-14-7</v>
      </c>
      <c r="B2778" s="36" t="str">
        <f>IFERROR(__xludf.DUMMYFUNCTION("""COMPUTED_VALUE"""),"")</f>
        <v/>
      </c>
      <c r="C2778" s="36" t="str">
        <f>IFERROR(__xludf.DUMMYFUNCTION("""COMPUTED_VALUE"""),"")</f>
        <v/>
      </c>
      <c r="D2778" s="36" t="str">
        <f>IFERROR(__xludf.DUMMYFUNCTION("""COMPUTED_VALUE"""),"")</f>
        <v/>
      </c>
      <c r="E2778" s="36" t="str">
        <f>IFERROR(__xludf.DUMMYFUNCTION("""COMPUTED_VALUE"""),"08-36-02-89")</f>
        <v>08-36-02-89</v>
      </c>
      <c r="F2778" s="36"/>
      <c r="G2778" s="36" t="str">
        <f>IFERROR(__xludf.DUMMYFUNCTION("""COMPUTED_VALUE"""),"Tacuarí y 25 de Mayo E")</f>
        <v>Tacuarí y 25 de Mayo E</v>
      </c>
      <c r="H2778" s="36" t="str">
        <f>IFERROR(__xludf.DUMMYFUNCTION("""COMPUTED_VALUE"""),"")</f>
        <v/>
      </c>
    </row>
    <row r="2779">
      <c r="A2779" s="36" t="str">
        <f>IFERROR(__xludf.DUMMYFUNCTION("""COMPUTED_VALUE"""),"01-54-14-8")</f>
        <v>01-54-14-8</v>
      </c>
      <c r="B2779" s="36" t="str">
        <f>IFERROR(__xludf.DUMMYFUNCTION("""COMPUTED_VALUE"""),"")</f>
        <v/>
      </c>
      <c r="C2779" s="36" t="str">
        <f>IFERROR(__xludf.DUMMYFUNCTION("""COMPUTED_VALUE"""),"")</f>
        <v/>
      </c>
      <c r="D2779" s="36" t="str">
        <f>IFERROR(__xludf.DUMMYFUNCTION("""COMPUTED_VALUE"""),"")</f>
        <v/>
      </c>
      <c r="E2779" s="36" t="str">
        <f>IFERROR(__xludf.DUMMYFUNCTION("""COMPUTED_VALUE"""),"08-36-02-88")</f>
        <v>08-36-02-88</v>
      </c>
      <c r="F2779" s="36"/>
      <c r="G2779" s="36" t="str">
        <f>IFERROR(__xludf.DUMMYFUNCTION("""COMPUTED_VALUE"""),"Tacuarí y 25 de Mayo N")</f>
        <v>Tacuarí y 25 de Mayo N</v>
      </c>
      <c r="H2779" s="36" t="str">
        <f>IFERROR(__xludf.DUMMYFUNCTION("""COMPUTED_VALUE"""),"")</f>
        <v/>
      </c>
    </row>
    <row r="2780">
      <c r="A2780" s="36" t="str">
        <f>IFERROR(__xludf.DUMMYFUNCTION("""COMPUTED_VALUE"""),"01-54-14-9")</f>
        <v>01-54-14-9</v>
      </c>
      <c r="B2780" s="36" t="str">
        <f>IFERROR(__xludf.DUMMYFUNCTION("""COMPUTED_VALUE"""),"")</f>
        <v/>
      </c>
      <c r="C2780" s="36" t="str">
        <f>IFERROR(__xludf.DUMMYFUNCTION("""COMPUTED_VALUE"""),"")</f>
        <v/>
      </c>
      <c r="D2780" s="36" t="str">
        <f>IFERROR(__xludf.DUMMYFUNCTION("""COMPUTED_VALUE"""),"")</f>
        <v/>
      </c>
      <c r="E2780" s="36" t="str">
        <f>IFERROR(__xludf.DUMMYFUNCTION("""COMPUTED_VALUE"""),"08-36-02-87")</f>
        <v>08-36-02-87</v>
      </c>
      <c r="F2780" s="36"/>
      <c r="G2780" s="36" t="str">
        <f>IFERROR(__xludf.DUMMYFUNCTION("""COMPUTED_VALUE"""),"Tacuarí y 25 de Mayo O")</f>
        <v>Tacuarí y 25 de Mayo O</v>
      </c>
      <c r="H2780" s="36" t="str">
        <f>IFERROR(__xludf.DUMMYFUNCTION("""COMPUTED_VALUE"""),"")</f>
        <v/>
      </c>
    </row>
    <row r="2781">
      <c r="A2781" s="36" t="str">
        <f>IFERROR(__xludf.DUMMYFUNCTION("""COMPUTED_VALUE"""),"01-62-14-20")</f>
        <v>01-62-14-20</v>
      </c>
      <c r="B2781" s="36" t="str">
        <f>IFERROR(__xludf.DUMMYFUNCTION("""COMPUTED_VALUE"""),"")</f>
        <v/>
      </c>
      <c r="C2781" s="36" t="str">
        <f>IFERROR(__xludf.DUMMYFUNCTION("""COMPUTED_VALUE"""),"")</f>
        <v/>
      </c>
      <c r="D2781" s="36" t="str">
        <f>IFERROR(__xludf.DUMMYFUNCTION("""COMPUTED_VALUE"""),"")</f>
        <v/>
      </c>
      <c r="E2781" s="36" t="str">
        <f>IFERROR(__xludf.DUMMYFUNCTION("""COMPUTED_VALUE"""),"08-20-02-58")</f>
        <v>08-20-02-58</v>
      </c>
      <c r="F2781" s="36"/>
      <c r="G2781" s="36" t="str">
        <f>IFERROR(__xludf.DUMMYFUNCTION("""COMPUTED_VALUE"""),"Tacuarí y Centenario E")</f>
        <v>Tacuarí y Centenario E</v>
      </c>
      <c r="H2781" s="36" t="str">
        <f>IFERROR(__xludf.DUMMYFUNCTION("""COMPUTED_VALUE"""),"")</f>
        <v/>
      </c>
    </row>
    <row r="2782">
      <c r="A2782" s="36" t="str">
        <f>IFERROR(__xludf.DUMMYFUNCTION("""COMPUTED_VALUE"""),"01-63-14-17")</f>
        <v>01-63-14-17</v>
      </c>
      <c r="B2782" s="36" t="str">
        <f>IFERROR(__xludf.DUMMYFUNCTION("""COMPUTED_VALUE"""),"")</f>
        <v/>
      </c>
      <c r="C2782" s="36" t="str">
        <f>IFERROR(__xludf.DUMMYFUNCTION("""COMPUTED_VALUE"""),"")</f>
        <v/>
      </c>
      <c r="D2782" s="36" t="str">
        <f>IFERROR(__xludf.DUMMYFUNCTION("""COMPUTED_VALUE"""),"")</f>
        <v/>
      </c>
      <c r="E2782" s="36" t="str">
        <f>IFERROR(__xludf.DUMMYFUNCTION("""COMPUTED_VALUE"""),"08-20-02-60")</f>
        <v>08-20-02-60</v>
      </c>
      <c r="F2782" s="36"/>
      <c r="G2782" s="36" t="str">
        <f>IFERROR(__xludf.DUMMYFUNCTION("""COMPUTED_VALUE"""),"Tacuarí y Centenario O")</f>
        <v>Tacuarí y Centenario O</v>
      </c>
      <c r="H2782" s="36" t="str">
        <f>IFERROR(__xludf.DUMMYFUNCTION("""COMPUTED_VALUE"""),"")</f>
        <v/>
      </c>
    </row>
    <row r="2783">
      <c r="A2783" s="36" t="str">
        <f>IFERROR(__xludf.DUMMYFUNCTION("""COMPUTED_VALUE"""),"01-63-14-19")</f>
        <v>01-63-14-19</v>
      </c>
      <c r="B2783" s="36" t="str">
        <f>IFERROR(__xludf.DUMMYFUNCTION("""COMPUTED_VALUE"""),"")</f>
        <v/>
      </c>
      <c r="C2783" s="36" t="str">
        <f>IFERROR(__xludf.DUMMYFUNCTION("""COMPUTED_VALUE"""),"")</f>
        <v/>
      </c>
      <c r="D2783" s="36" t="str">
        <f>IFERROR(__xludf.DUMMYFUNCTION("""COMPUTED_VALUE"""),"")</f>
        <v/>
      </c>
      <c r="E2783" s="36" t="str">
        <f>IFERROR(__xludf.DUMMYFUNCTION("""COMPUTED_VALUE"""),"08-20-02-62")</f>
        <v>08-20-02-62</v>
      </c>
      <c r="F2783" s="36"/>
      <c r="G2783" s="36" t="str">
        <f>IFERROR(__xludf.DUMMYFUNCTION("""COMPUTED_VALUE"""),"Tacuarí y Proyectada 1 E")</f>
        <v>Tacuarí y Proyectada 1 E</v>
      </c>
      <c r="H2783" s="36" t="str">
        <f>IFERROR(__xludf.DUMMYFUNCTION("""COMPUTED_VALUE"""),"")</f>
        <v/>
      </c>
    </row>
    <row r="2784">
      <c r="A2784" s="36" t="str">
        <f>IFERROR(__xludf.DUMMYFUNCTION("""COMPUTED_VALUE"""),"01-63-14-35")</f>
        <v>01-63-14-35</v>
      </c>
      <c r="B2784" s="36" t="str">
        <f>IFERROR(__xludf.DUMMYFUNCTION("""COMPUTED_VALUE"""),"")</f>
        <v/>
      </c>
      <c r="C2784" s="36" t="str">
        <f>IFERROR(__xludf.DUMMYFUNCTION("""COMPUTED_VALUE"""),"")</f>
        <v/>
      </c>
      <c r="D2784" s="36" t="str">
        <f>IFERROR(__xludf.DUMMYFUNCTION("""COMPUTED_VALUE"""),"")</f>
        <v/>
      </c>
      <c r="E2784" s="36" t="str">
        <f>IFERROR(__xludf.DUMMYFUNCTION("""COMPUTED_VALUE"""),"08-20-02-61")</f>
        <v>08-20-02-61</v>
      </c>
      <c r="F2784" s="36"/>
      <c r="G2784" s="36" t="str">
        <f>IFERROR(__xludf.DUMMYFUNCTION("""COMPUTED_VALUE"""),"Tacuarí y Proyectada 1 O ")</f>
        <v>Tacuarí y Proyectada 1 O </v>
      </c>
      <c r="H2784" s="36" t="str">
        <f>IFERROR(__xludf.DUMMYFUNCTION("""COMPUTED_VALUE"""),"")</f>
        <v/>
      </c>
    </row>
    <row r="2785">
      <c r="A2785" s="36" t="str">
        <f>IFERROR(__xludf.DUMMYFUNCTION("""COMPUTED_VALUE"""),"01-63-14-36")</f>
        <v>01-63-14-36</v>
      </c>
      <c r="B2785" s="36" t="str">
        <f>IFERROR(__xludf.DUMMYFUNCTION("""COMPUTED_VALUE"""),"")</f>
        <v/>
      </c>
      <c r="C2785" s="36" t="str">
        <f>IFERROR(__xludf.DUMMYFUNCTION("""COMPUTED_VALUE"""),"")</f>
        <v/>
      </c>
      <c r="D2785" s="36" t="str">
        <f>IFERROR(__xludf.DUMMYFUNCTION("""COMPUTED_VALUE"""),"")</f>
        <v/>
      </c>
      <c r="E2785" s="36" t="str">
        <f>IFERROR(__xludf.DUMMYFUNCTION("""COMPUTED_VALUE"""),"08-20-02-86")</f>
        <v>08-20-02-86</v>
      </c>
      <c r="F2785" s="36"/>
      <c r="G2785" s="36" t="str">
        <f>IFERROR(__xludf.DUMMYFUNCTION("""COMPUTED_VALUE"""),"Tacuarí y Proyectada 2 E")</f>
        <v>Tacuarí y Proyectada 2 E</v>
      </c>
      <c r="H2785" s="36" t="str">
        <f>IFERROR(__xludf.DUMMYFUNCTION("""COMPUTED_VALUE"""),"")</f>
        <v/>
      </c>
    </row>
    <row r="2786">
      <c r="A2786" s="36" t="str">
        <f>IFERROR(__xludf.DUMMYFUNCTION("""COMPUTED_VALUE"""),"01-63-14-37")</f>
        <v>01-63-14-37</v>
      </c>
      <c r="B2786" s="36" t="str">
        <f>IFERROR(__xludf.DUMMYFUNCTION("""COMPUTED_VALUE"""),"")</f>
        <v/>
      </c>
      <c r="C2786" s="36" t="str">
        <f>IFERROR(__xludf.DUMMYFUNCTION("""COMPUTED_VALUE"""),"")</f>
        <v/>
      </c>
      <c r="D2786" s="36" t="str">
        <f>IFERROR(__xludf.DUMMYFUNCTION("""COMPUTED_VALUE"""),"")</f>
        <v/>
      </c>
      <c r="E2786" s="36" t="str">
        <f>IFERROR(__xludf.DUMMYFUNCTION("""COMPUTED_VALUE"""),"08-20-02-85")</f>
        <v>08-20-02-85</v>
      </c>
      <c r="F2786" s="36"/>
      <c r="G2786" s="36" t="str">
        <f>IFERROR(__xludf.DUMMYFUNCTION("""COMPUTED_VALUE"""),"Tacuarí y Proyectada 2 O")</f>
        <v>Tacuarí y Proyectada 2 O</v>
      </c>
      <c r="H2786" s="36" t="str">
        <f>IFERROR(__xludf.DUMMYFUNCTION("""COMPUTED_VALUE"""),"")</f>
        <v/>
      </c>
    </row>
    <row r="2787">
      <c r="A2787" s="36" t="str">
        <f>IFERROR(__xludf.DUMMYFUNCTION("""COMPUTED_VALUE"""),"01-63-14-38")</f>
        <v>01-63-14-38</v>
      </c>
      <c r="B2787" s="36" t="str">
        <f>IFERROR(__xludf.DUMMYFUNCTION("""COMPUTED_VALUE"""),"")</f>
        <v/>
      </c>
      <c r="C2787" s="36" t="str">
        <f>IFERROR(__xludf.DUMMYFUNCTION("""COMPUTED_VALUE"""),"")</f>
        <v/>
      </c>
      <c r="D2787" s="36" t="str">
        <f>IFERROR(__xludf.DUMMYFUNCTION("""COMPUTED_VALUE"""),"")</f>
        <v/>
      </c>
      <c r="E2787" s="36" t="str">
        <f>IFERROR(__xludf.DUMMYFUNCTION("""COMPUTED_VALUE"""),"08-36-02-91")</f>
        <v>08-36-02-91</v>
      </c>
      <c r="F2787" s="36"/>
      <c r="G2787" s="36" t="str">
        <f>IFERROR(__xludf.DUMMYFUNCTION("""COMPUTED_VALUE"""),"Tacuarí y Sarmiento")</f>
        <v>Tacuarí y Sarmiento</v>
      </c>
      <c r="H2787" s="36" t="str">
        <f>IFERROR(__xludf.DUMMYFUNCTION("""COMPUTED_VALUE"""),"")</f>
        <v/>
      </c>
    </row>
    <row r="2788">
      <c r="A2788" s="36" t="str">
        <f>IFERROR(__xludf.DUMMYFUNCTION("""COMPUTED_VALUE"""),"01-63-14-39")</f>
        <v>01-63-14-39</v>
      </c>
      <c r="B2788" s="36" t="str">
        <f>IFERROR(__xludf.DUMMYFUNCTION("""COMPUTED_VALUE"""),"")</f>
        <v/>
      </c>
      <c r="C2788" s="36" t="str">
        <f>IFERROR(__xludf.DUMMYFUNCTION("""COMPUTED_VALUE"""),"")</f>
        <v/>
      </c>
      <c r="D2788" s="36" t="str">
        <f>IFERROR(__xludf.DUMMYFUNCTION("""COMPUTED_VALUE"""),"")</f>
        <v/>
      </c>
      <c r="E2788" s="36" t="str">
        <f>IFERROR(__xludf.DUMMYFUNCTION("""COMPUTED_VALUE"""),"08-36-02-90")</f>
        <v>08-36-02-90</v>
      </c>
      <c r="F2788" s="36"/>
      <c r="G2788" s="36" t="str">
        <f>IFERROR(__xludf.DUMMYFUNCTION("""COMPUTED_VALUE"""),"Tacuarí y Sta. M. de Oro")</f>
        <v>Tacuarí y Sta. M. de Oro</v>
      </c>
      <c r="H2788" s="36" t="str">
        <f>IFERROR(__xludf.DUMMYFUNCTION("""COMPUTED_VALUE"""),"")</f>
        <v/>
      </c>
    </row>
    <row r="2789">
      <c r="A2789" s="36" t="str">
        <f>IFERROR(__xludf.DUMMYFUNCTION("""COMPUTED_VALUE"""),"01-63-14-40")</f>
        <v>01-63-14-40</v>
      </c>
      <c r="B2789" s="36" t="str">
        <f>IFERROR(__xludf.DUMMYFUNCTION("""COMPUTED_VALUE"""),"")</f>
        <v/>
      </c>
      <c r="C2789" s="36" t="str">
        <f>IFERROR(__xludf.DUMMYFUNCTION("""COMPUTED_VALUE"""),"")</f>
        <v/>
      </c>
      <c r="D2789" s="36" t="str">
        <f>IFERROR(__xludf.DUMMYFUNCTION("""COMPUTED_VALUE"""),"")</f>
        <v/>
      </c>
      <c r="E2789" s="36" t="str">
        <f>IFERROR(__xludf.DUMMYFUNCTION("""COMPUTED_VALUE"""),"04-22-14-142")</f>
        <v>04-22-14-142</v>
      </c>
      <c r="F2789" s="36"/>
      <c r="G2789" s="36" t="str">
        <f>IFERROR(__xludf.DUMMYFUNCTION("""COMPUTED_VALUE"""),"Tahona y Callejón Castro N")</f>
        <v>Tahona y Callejón Castro N</v>
      </c>
      <c r="H2789" s="36" t="str">
        <f>IFERROR(__xludf.DUMMYFUNCTION("""COMPUTED_VALUE"""),"")</f>
        <v/>
      </c>
    </row>
    <row r="2790">
      <c r="A2790" s="36" t="str">
        <f>IFERROR(__xludf.DUMMYFUNCTION("""COMPUTED_VALUE"""),"01-63-14-41")</f>
        <v>01-63-14-41</v>
      </c>
      <c r="B2790" s="36" t="str">
        <f>IFERROR(__xludf.DUMMYFUNCTION("""COMPUTED_VALUE"""),"")</f>
        <v/>
      </c>
      <c r="C2790" s="36" t="str">
        <f>IFERROR(__xludf.DUMMYFUNCTION("""COMPUTED_VALUE"""),"")</f>
        <v/>
      </c>
      <c r="D2790" s="36" t="str">
        <f>IFERROR(__xludf.DUMMYFUNCTION("""COMPUTED_VALUE"""),"")</f>
        <v/>
      </c>
      <c r="E2790" s="36" t="str">
        <f>IFERROR(__xludf.DUMMYFUNCTION("""COMPUTED_VALUE"""),"04-24-14-141")</f>
        <v>04-24-14-141</v>
      </c>
      <c r="F2790" s="36"/>
      <c r="G2790" s="36" t="str">
        <f>IFERROR(__xludf.DUMMYFUNCTION("""COMPUTED_VALUE"""),"Tahona y Callejón Castro S")</f>
        <v>Tahona y Callejón Castro S</v>
      </c>
      <c r="H2790" s="36" t="str">
        <f>IFERROR(__xludf.DUMMYFUNCTION("""COMPUTED_VALUE"""),"")</f>
        <v/>
      </c>
    </row>
    <row r="2791">
      <c r="A2791" s="36" t="str">
        <f>IFERROR(__xludf.DUMMYFUNCTION("""COMPUTED_VALUE"""),"01-64-14-24")</f>
        <v>01-64-14-24</v>
      </c>
      <c r="B2791" s="36" t="str">
        <f>IFERROR(__xludf.DUMMYFUNCTION("""COMPUTED_VALUE"""),"")</f>
        <v/>
      </c>
      <c r="C2791" s="36" t="str">
        <f>IFERROR(__xludf.DUMMYFUNCTION("""COMPUTED_VALUE"""),"")</f>
        <v/>
      </c>
      <c r="D2791" s="36" t="str">
        <f>IFERROR(__xludf.DUMMYFUNCTION("""COMPUTED_VALUE"""),"")</f>
        <v/>
      </c>
      <c r="E2791" s="36" t="str">
        <f>IFERROR(__xludf.DUMMYFUNCTION("""COMPUTED_VALUE"""),"04-22-14-143")</f>
        <v>04-22-14-143</v>
      </c>
      <c r="F2791" s="36"/>
      <c r="G2791" s="36" t="str">
        <f>IFERROR(__xludf.DUMMYFUNCTION("""COMPUTED_VALUE"""),"Tahona y Callejón Coria N")</f>
        <v>Tahona y Callejón Coria N</v>
      </c>
      <c r="H2791" s="36" t="str">
        <f>IFERROR(__xludf.DUMMYFUNCTION("""COMPUTED_VALUE"""),"")</f>
        <v/>
      </c>
    </row>
    <row r="2792">
      <c r="A2792" s="36" t="str">
        <f>IFERROR(__xludf.DUMMYFUNCTION("""COMPUTED_VALUE"""),"01-64-14-26")</f>
        <v>01-64-14-26</v>
      </c>
      <c r="B2792" s="36" t="str">
        <f>IFERROR(__xludf.DUMMYFUNCTION("""COMPUTED_VALUE"""),"")</f>
        <v/>
      </c>
      <c r="C2792" s="36" t="str">
        <f>IFERROR(__xludf.DUMMYFUNCTION("""COMPUTED_VALUE"""),"")</f>
        <v/>
      </c>
      <c r="D2792" s="36" t="str">
        <f>IFERROR(__xludf.DUMMYFUNCTION("""COMPUTED_VALUE"""),"")</f>
        <v/>
      </c>
      <c r="E2792" s="36" t="str">
        <f>IFERROR(__xludf.DUMMYFUNCTION("""COMPUTED_VALUE"""),"04-24-14-144")</f>
        <v>04-24-14-144</v>
      </c>
      <c r="F2792" s="36"/>
      <c r="G2792" s="36" t="str">
        <f>IFERROR(__xludf.DUMMYFUNCTION("""COMPUTED_VALUE"""),"Tahona y Callejón Coria S")</f>
        <v>Tahona y Callejón Coria S</v>
      </c>
      <c r="H2792" s="36" t="str">
        <f>IFERROR(__xludf.DUMMYFUNCTION("""COMPUTED_VALUE"""),"")</f>
        <v/>
      </c>
    </row>
    <row r="2793">
      <c r="A2793" s="36" t="str">
        <f>IFERROR(__xludf.DUMMYFUNCTION("""COMPUTED_VALUE"""),"04-22-14-25")</f>
        <v>04-22-14-25</v>
      </c>
      <c r="B2793" s="36" t="str">
        <f>IFERROR(__xludf.DUMMYFUNCTION("""COMPUTED_VALUE"""),"")</f>
        <v/>
      </c>
      <c r="C2793" s="36" t="str">
        <f>IFERROR(__xludf.DUMMYFUNCTION("""COMPUTED_VALUE"""),"")</f>
        <v/>
      </c>
      <c r="D2793" s="36" t="str">
        <f>IFERROR(__xludf.DUMMYFUNCTION("""COMPUTED_VALUE"""),"")</f>
        <v/>
      </c>
      <c r="E2793" s="36" t="str">
        <f>IFERROR(__xludf.DUMMYFUNCTION("""COMPUTED_VALUE"""),"01-63-14-37")</f>
        <v>01-63-14-37</v>
      </c>
      <c r="F2793" s="36"/>
      <c r="G2793" s="36" t="str">
        <f>IFERROR(__xludf.DUMMYFUNCTION("""COMPUTED_VALUE"""),"Tahona y René Favaloro")</f>
        <v>Tahona y René Favaloro</v>
      </c>
      <c r="H2793" s="36" t="str">
        <f>IFERROR(__xludf.DUMMYFUNCTION("""COMPUTED_VALUE"""),"")</f>
        <v/>
      </c>
    </row>
    <row r="2794">
      <c r="A2794" s="36" t="str">
        <f>IFERROR(__xludf.DUMMYFUNCTION("""COMPUTED_VALUE"""),"03-49-14-2")</f>
        <v>03-49-14-2</v>
      </c>
      <c r="B2794" s="36" t="str">
        <f>IFERROR(__xludf.DUMMYFUNCTION("""COMPUTED_VALUE"""),"")</f>
        <v/>
      </c>
      <c r="C2794" s="36" t="str">
        <f>IFERROR(__xludf.DUMMYFUNCTION("""COMPUTED_VALUE"""),"")</f>
        <v/>
      </c>
      <c r="D2794" s="36" t="str">
        <f>IFERROR(__xludf.DUMMYFUNCTION("""COMPUTED_VALUE"""),"")</f>
        <v/>
      </c>
      <c r="E2794" s="36" t="str">
        <f>IFERROR(__xludf.DUMMYFUNCTION("""COMPUTED_VALUE"""),"04-24-14-140")</f>
        <v>04-24-14-140</v>
      </c>
      <c r="F2794" s="36"/>
      <c r="G2794" s="36" t="str">
        <f>IFERROR(__xludf.DUMMYFUNCTION("""COMPUTED_VALUE"""),"Tahona y Servidumbre de Paso N")</f>
        <v>Tahona y Servidumbre de Paso N</v>
      </c>
      <c r="H2794" s="36" t="str">
        <f>IFERROR(__xludf.DUMMYFUNCTION("""COMPUTED_VALUE"""),"")</f>
        <v/>
      </c>
    </row>
    <row r="2795">
      <c r="A2795" s="36" t="str">
        <f>IFERROR(__xludf.DUMMYFUNCTION("""COMPUTED_VALUE"""),"03-49-14-3")</f>
        <v>03-49-14-3</v>
      </c>
      <c r="B2795" s="36" t="str">
        <f>IFERROR(__xludf.DUMMYFUNCTION("""COMPUTED_VALUE"""),"")</f>
        <v/>
      </c>
      <c r="C2795" s="36" t="str">
        <f>IFERROR(__xludf.DUMMYFUNCTION("""COMPUTED_VALUE"""),"")</f>
        <v/>
      </c>
      <c r="D2795" s="36" t="str">
        <f>IFERROR(__xludf.DUMMYFUNCTION("""COMPUTED_VALUE"""),"")</f>
        <v/>
      </c>
      <c r="E2795" s="36" t="str">
        <f>IFERROR(__xludf.DUMMYFUNCTION("""COMPUTED_VALUE"""),"04-22-14-140""")</f>
        <v>04-22-14-140"</v>
      </c>
      <c r="F2795" s="36"/>
      <c r="G2795" s="36" t="str">
        <f>IFERROR(__xludf.DUMMYFUNCTION("""COMPUTED_VALUE"""),"Tahona y Servidumbre de Paso S")</f>
        <v>Tahona y Servidumbre de Paso S</v>
      </c>
      <c r="H2795" s="36" t="str">
        <f>IFERROR(__xludf.DUMMYFUNCTION("""COMPUTED_VALUE"""),"")</f>
        <v/>
      </c>
    </row>
    <row r="2796">
      <c r="A2796" s="36" t="str">
        <f>IFERROR(__xludf.DUMMYFUNCTION("""COMPUTED_VALUE"""),"03-49-14-5")</f>
        <v>03-49-14-5</v>
      </c>
      <c r="B2796" s="36" t="str">
        <f>IFERROR(__xludf.DUMMYFUNCTION("""COMPUTED_VALUE"""),"")</f>
        <v/>
      </c>
      <c r="C2796" s="36" t="str">
        <f>IFERROR(__xludf.DUMMYFUNCTION("""COMPUTED_VALUE"""),"")</f>
        <v/>
      </c>
      <c r="D2796" s="36" t="str">
        <f>IFERROR(__xludf.DUMMYFUNCTION("""COMPUTED_VALUE"""),"")</f>
        <v/>
      </c>
      <c r="E2796" s="36" t="str">
        <f>IFERROR(__xludf.DUMMYFUNCTION("""COMPUTED_VALUE"""),"02-30-06-40A")</f>
        <v>02-30-06-40A</v>
      </c>
      <c r="F2796" s="36"/>
      <c r="G2796" s="36" t="str">
        <f>IFERROR(__xludf.DUMMYFUNCTION("""COMPUTED_VALUE"""),"Talcahuano e Hipólito Vieytes N")</f>
        <v>Talcahuano e Hipólito Vieytes N</v>
      </c>
      <c r="H2796" s="36" t="str">
        <f>IFERROR(__xludf.DUMMYFUNCTION("""COMPUTED_VALUE"""),"")</f>
        <v/>
      </c>
    </row>
    <row r="2797">
      <c r="A2797" s="36" t="str">
        <f>IFERROR(__xludf.DUMMYFUNCTION("""COMPUTED_VALUE"""),"04-22-14-140""")</f>
        <v>04-22-14-140"</v>
      </c>
      <c r="B2797" s="36" t="str">
        <f>IFERROR(__xludf.DUMMYFUNCTION("""COMPUTED_VALUE"""),"")</f>
        <v/>
      </c>
      <c r="C2797" s="36" t="str">
        <f>IFERROR(__xludf.DUMMYFUNCTION("""COMPUTED_VALUE"""),"")</f>
        <v/>
      </c>
      <c r="D2797" s="36" t="str">
        <f>IFERROR(__xludf.DUMMYFUNCTION("""COMPUTED_VALUE"""),"")</f>
        <v/>
      </c>
      <c r="E2797" s="36" t="str">
        <f>IFERROR(__xludf.DUMMYFUNCTION("""COMPUTED_VALUE"""),"02-30-06-40")</f>
        <v>02-30-06-40</v>
      </c>
      <c r="F2797" s="36"/>
      <c r="G2797" s="36" t="str">
        <f>IFERROR(__xludf.DUMMYFUNCTION("""COMPUTED_VALUE"""),"Talcahuano e Hipólito Vieytes S")</f>
        <v>Talcahuano e Hipólito Vieytes S</v>
      </c>
      <c r="H2797" s="36" t="str">
        <f>IFERROR(__xludf.DUMMYFUNCTION("""COMPUTED_VALUE"""),"")</f>
        <v/>
      </c>
    </row>
    <row r="2798">
      <c r="A2798" s="36" t="str">
        <f>IFERROR(__xludf.DUMMYFUNCTION("""COMPUTED_VALUE"""),"04-22-14-142")</f>
        <v>04-22-14-142</v>
      </c>
      <c r="B2798" s="36" t="str">
        <f>IFERROR(__xludf.DUMMYFUNCTION("""COMPUTED_VALUE"""),"")</f>
        <v/>
      </c>
      <c r="C2798" s="36" t="str">
        <f>IFERROR(__xludf.DUMMYFUNCTION("""COMPUTED_VALUE"""),"")</f>
        <v/>
      </c>
      <c r="D2798" s="36" t="str">
        <f>IFERROR(__xludf.DUMMYFUNCTION("""COMPUTED_VALUE"""),"")</f>
        <v/>
      </c>
      <c r="E2798" s="36" t="str">
        <f>IFERROR(__xludf.DUMMYFUNCTION("""COMPUTED_VALUE"""),"02-31-06-45")</f>
        <v>02-31-06-45</v>
      </c>
      <c r="F2798" s="36"/>
      <c r="G2798" s="36" t="str">
        <f>IFERROR(__xludf.DUMMYFUNCTION("""COMPUTED_VALUE"""),"Talcahuano y Bolaños N")</f>
        <v>Talcahuano y Bolaños N</v>
      </c>
      <c r="H2798" s="36" t="str">
        <f>IFERROR(__xludf.DUMMYFUNCTION("""COMPUTED_VALUE"""),"")</f>
        <v/>
      </c>
    </row>
    <row r="2799">
      <c r="A2799" s="36" t="str">
        <f>IFERROR(__xludf.DUMMYFUNCTION("""COMPUTED_VALUE"""),"04-22-14-143")</f>
        <v>04-22-14-143</v>
      </c>
      <c r="B2799" s="36" t="str">
        <f>IFERROR(__xludf.DUMMYFUNCTION("""COMPUTED_VALUE"""),"")</f>
        <v/>
      </c>
      <c r="C2799" s="36" t="str">
        <f>IFERROR(__xludf.DUMMYFUNCTION("""COMPUTED_VALUE"""),"")</f>
        <v/>
      </c>
      <c r="D2799" s="36" t="str">
        <f>IFERROR(__xludf.DUMMYFUNCTION("""COMPUTED_VALUE"""),"")</f>
        <v/>
      </c>
      <c r="E2799" s="36" t="str">
        <f>IFERROR(__xludf.DUMMYFUNCTION("""COMPUTED_VALUE"""),"02-31-06-45A")</f>
        <v>02-31-06-45A</v>
      </c>
      <c r="F2799" s="36"/>
      <c r="G2799" s="36" t="str">
        <f>IFERROR(__xludf.DUMMYFUNCTION("""COMPUTED_VALUE"""),"Talcahuano y Bolaños S")</f>
        <v>Talcahuano y Bolaños S</v>
      </c>
      <c r="H2799" s="36" t="str">
        <f>IFERROR(__xludf.DUMMYFUNCTION("""COMPUTED_VALUE"""),"")</f>
        <v/>
      </c>
    </row>
    <row r="2800">
      <c r="A2800" s="36" t="str">
        <f>IFERROR(__xludf.DUMMYFUNCTION("""COMPUTED_VALUE"""),"04-22-14-146")</f>
        <v>04-22-14-146</v>
      </c>
      <c r="B2800" s="36" t="str">
        <f>IFERROR(__xludf.DUMMYFUNCTION("""COMPUTED_VALUE"""),"")</f>
        <v/>
      </c>
      <c r="C2800" s="36" t="str">
        <f>IFERROR(__xludf.DUMMYFUNCTION("""COMPUTED_VALUE"""),"")</f>
        <v/>
      </c>
      <c r="D2800" s="36" t="str">
        <f>IFERROR(__xludf.DUMMYFUNCTION("""COMPUTED_VALUE"""),"")</f>
        <v/>
      </c>
      <c r="E2800" s="36" t="str">
        <f>IFERROR(__xludf.DUMMYFUNCTION("""COMPUTED_VALUE"""),"02-31-06-46A")</f>
        <v>02-31-06-46A</v>
      </c>
      <c r="F2800" s="36"/>
      <c r="G2800" s="36" t="str">
        <f>IFERROR(__xludf.DUMMYFUNCTION("""COMPUTED_VALUE"""),"Talcahuano y Las Palmas")</f>
        <v>Talcahuano y Las Palmas</v>
      </c>
      <c r="H2800" s="36" t="str">
        <f>IFERROR(__xludf.DUMMYFUNCTION("""COMPUTED_VALUE"""),"")</f>
        <v/>
      </c>
    </row>
    <row r="2801">
      <c r="A2801" s="36" t="str">
        <f>IFERROR(__xludf.DUMMYFUNCTION("""COMPUTED_VALUE"""),"04-22-14-21")</f>
        <v>04-22-14-21</v>
      </c>
      <c r="B2801" s="36" t="str">
        <f>IFERROR(__xludf.DUMMYFUNCTION("""COMPUTED_VALUE"""),"")</f>
        <v/>
      </c>
      <c r="C2801" s="36" t="str">
        <f>IFERROR(__xludf.DUMMYFUNCTION("""COMPUTED_VALUE"""),"")</f>
        <v/>
      </c>
      <c r="D2801" s="36" t="str">
        <f>IFERROR(__xludf.DUMMYFUNCTION("""COMPUTED_VALUE"""),"")</f>
        <v/>
      </c>
      <c r="E2801" s="36" t="str">
        <f>IFERROR(__xludf.DUMMYFUNCTION("""COMPUTED_VALUE"""),"02-31-06-42B")</f>
        <v>02-31-06-42B</v>
      </c>
      <c r="F2801" s="36"/>
      <c r="G2801" s="36" t="str">
        <f>IFERROR(__xludf.DUMMYFUNCTION("""COMPUTED_VALUE"""),"Talcahuano y Manuel Zavalla")</f>
        <v>Talcahuano y Manuel Zavalla</v>
      </c>
      <c r="H2801" s="36" t="str">
        <f>IFERROR(__xludf.DUMMYFUNCTION("""COMPUTED_VALUE"""),"")</f>
        <v/>
      </c>
    </row>
    <row r="2802">
      <c r="A2802" s="36" t="str">
        <f>IFERROR(__xludf.DUMMYFUNCTION("""COMPUTED_VALUE"""),"04-22-14-22")</f>
        <v>04-22-14-22</v>
      </c>
      <c r="B2802" s="36" t="str">
        <f>IFERROR(__xludf.DUMMYFUNCTION("""COMPUTED_VALUE"""),"")</f>
        <v/>
      </c>
      <c r="C2802" s="36" t="str">
        <f>IFERROR(__xludf.DUMMYFUNCTION("""COMPUTED_VALUE"""),"")</f>
        <v/>
      </c>
      <c r="D2802" s="36" t="str">
        <f>IFERROR(__xludf.DUMMYFUNCTION("""COMPUTED_VALUE"""),"")</f>
        <v/>
      </c>
      <c r="E2802" s="36" t="str">
        <f>IFERROR(__xludf.DUMMYFUNCTION("""COMPUTED_VALUE"""),"02-30-06-41A")</f>
        <v>02-30-06-41A</v>
      </c>
      <c r="F2802" s="36"/>
      <c r="G2802" s="36" t="str">
        <f>IFERROR(__xludf.DUMMYFUNCTION("""COMPUTED_VALUE"""),"Talcahuano y Plaza 2 de Agosto N")</f>
        <v>Talcahuano y Plaza 2 de Agosto N</v>
      </c>
      <c r="H2802" s="36" t="str">
        <f>IFERROR(__xludf.DUMMYFUNCTION("""COMPUTED_VALUE"""),"")</f>
        <v/>
      </c>
    </row>
    <row r="2803">
      <c r="A2803" s="36" t="str">
        <f>IFERROR(__xludf.DUMMYFUNCTION("""COMPUTED_VALUE"""),"04-22-14-23")</f>
        <v>04-22-14-23</v>
      </c>
      <c r="B2803" s="36" t="str">
        <f>IFERROR(__xludf.DUMMYFUNCTION("""COMPUTED_VALUE"""),"")</f>
        <v/>
      </c>
      <c r="C2803" s="36" t="str">
        <f>IFERROR(__xludf.DUMMYFUNCTION("""COMPUTED_VALUE"""),"")</f>
        <v/>
      </c>
      <c r="D2803" s="36" t="str">
        <f>IFERROR(__xludf.DUMMYFUNCTION("""COMPUTED_VALUE"""),"")</f>
        <v/>
      </c>
      <c r="E2803" s="36" t="str">
        <f>IFERROR(__xludf.DUMMYFUNCTION("""COMPUTED_VALUE"""),"02-30-06-41")</f>
        <v>02-30-06-41</v>
      </c>
      <c r="F2803" s="36"/>
      <c r="G2803" s="36" t="str">
        <f>IFERROR(__xludf.DUMMYFUNCTION("""COMPUTED_VALUE"""),"Talcahuano y Plaza 2 de Agosto S")</f>
        <v>Talcahuano y Plaza 2 de Agosto S</v>
      </c>
      <c r="H2803" s="36" t="str">
        <f>IFERROR(__xludf.DUMMYFUNCTION("""COMPUTED_VALUE"""),"")</f>
        <v/>
      </c>
    </row>
    <row r="2804">
      <c r="A2804" s="36" t="str">
        <f>IFERROR(__xludf.DUMMYFUNCTION("""COMPUTED_VALUE"""),"04-22-14-27")</f>
        <v>04-22-14-27</v>
      </c>
      <c r="B2804" s="36" t="str">
        <f>IFERROR(__xludf.DUMMYFUNCTION("""COMPUTED_VALUE"""),"")</f>
        <v/>
      </c>
      <c r="C2804" s="36" t="str">
        <f>IFERROR(__xludf.DUMMYFUNCTION("""COMPUTED_VALUE"""),"")</f>
        <v/>
      </c>
      <c r="D2804" s="36" t="str">
        <f>IFERROR(__xludf.DUMMYFUNCTION("""COMPUTED_VALUE"""),"")</f>
        <v/>
      </c>
      <c r="E2804" s="36" t="str">
        <f>IFERROR(__xludf.DUMMYFUNCTION("""COMPUTED_VALUE"""),"02-39-11-81F")</f>
        <v>02-39-11-81F</v>
      </c>
      <c r="F2804" s="36"/>
      <c r="G2804" s="36" t="str">
        <f>IFERROR(__xludf.DUMMYFUNCTION("""COMPUTED_VALUE"""),"Talleres UNSJ")</f>
        <v>Talleres UNSJ</v>
      </c>
      <c r="H2804" s="36" t="str">
        <f>IFERROR(__xludf.DUMMYFUNCTION("""COMPUTED_VALUE"""),"")</f>
        <v/>
      </c>
    </row>
    <row r="2805">
      <c r="A2805" s="36" t="str">
        <f>IFERROR(__xludf.DUMMYFUNCTION("""COMPUTED_VALUE"""),"04-22-14-28")</f>
        <v>04-22-14-28</v>
      </c>
      <c r="B2805" s="36" t="str">
        <f>IFERROR(__xludf.DUMMYFUNCTION("""COMPUTED_VALUE"""),"")</f>
        <v/>
      </c>
      <c r="C2805" s="36" t="str">
        <f>IFERROR(__xludf.DUMMYFUNCTION("""COMPUTED_VALUE"""),"")</f>
        <v/>
      </c>
      <c r="D2805" s="36" t="str">
        <f>IFERROR(__xludf.DUMMYFUNCTION("""COMPUTED_VALUE"""),"")</f>
        <v/>
      </c>
      <c r="E2805" s="36" t="str">
        <f>IFERROR(__xludf.DUMMYFUNCTION("""COMPUTED_VALUE"""),"03-20-09-116V")</f>
        <v>03-20-09-116V</v>
      </c>
      <c r="F2805" s="36"/>
      <c r="G2805" s="36" t="str">
        <f>IFERROR(__xludf.DUMMYFUNCTION("""COMPUTED_VALUE"""),"Thomas Edison -N y 11 de Junio")</f>
        <v>Thomas Edison -N y 11 de Junio</v>
      </c>
      <c r="H2805" s="36" t="str">
        <f>IFERROR(__xludf.DUMMYFUNCTION("""COMPUTED_VALUE"""),"")</f>
        <v/>
      </c>
    </row>
    <row r="2806">
      <c r="A2806" s="36" t="str">
        <f>IFERROR(__xludf.DUMMYFUNCTION("""COMPUTED_VALUE"""),"04-22-14-29")</f>
        <v>04-22-14-29</v>
      </c>
      <c r="B2806" s="36" t="str">
        <f>IFERROR(__xludf.DUMMYFUNCTION("""COMPUTED_VALUE"""),"")</f>
        <v/>
      </c>
      <c r="C2806" s="36" t="str">
        <f>IFERROR(__xludf.DUMMYFUNCTION("""COMPUTED_VALUE"""),"")</f>
        <v/>
      </c>
      <c r="D2806" s="36" t="str">
        <f>IFERROR(__xludf.DUMMYFUNCTION("""COMPUTED_VALUE"""),"")</f>
        <v/>
      </c>
      <c r="E2806" s="36" t="str">
        <f>IFERROR(__xludf.DUMMYFUNCTION("""COMPUTED_VALUE"""),"03-20-09-116P")</f>
        <v>03-20-09-116P</v>
      </c>
      <c r="F2806" s="36"/>
      <c r="G2806" s="36" t="str">
        <f>IFERROR(__xludf.DUMMYFUNCTION("""COMPUTED_VALUE"""),"Thomas Edison -N y Chacabuco")</f>
        <v>Thomas Edison -N y Chacabuco</v>
      </c>
      <c r="H2806" s="36" t="str">
        <f>IFERROR(__xludf.DUMMYFUNCTION("""COMPUTED_VALUE"""),"")</f>
        <v/>
      </c>
    </row>
    <row r="2807">
      <c r="A2807" s="36" t="str">
        <f>IFERROR(__xludf.DUMMYFUNCTION("""COMPUTED_VALUE"""),"04-22-14-30")</f>
        <v>04-22-14-30</v>
      </c>
      <c r="B2807" s="36" t="str">
        <f>IFERROR(__xludf.DUMMYFUNCTION("""COMPUTED_VALUE"""),"")</f>
        <v/>
      </c>
      <c r="C2807" s="36" t="str">
        <f>IFERROR(__xludf.DUMMYFUNCTION("""COMPUTED_VALUE"""),"")</f>
        <v/>
      </c>
      <c r="D2807" s="36" t="str">
        <f>IFERROR(__xludf.DUMMYFUNCTION("""COMPUTED_VALUE"""),"")</f>
        <v/>
      </c>
      <c r="E2807" s="36" t="str">
        <f>IFERROR(__xludf.DUMMYFUNCTION("""COMPUTED_VALUE"""),"03-20-09-116N")</f>
        <v>03-20-09-116N</v>
      </c>
      <c r="F2807" s="36"/>
      <c r="G2807" s="36" t="str">
        <f>IFERROR(__xludf.DUMMYFUNCTION("""COMPUTED_VALUE"""),"Thomas Edison -N y F. Cantoni")</f>
        <v>Thomas Edison -N y F. Cantoni</v>
      </c>
      <c r="H2807" s="36" t="str">
        <f>IFERROR(__xludf.DUMMYFUNCTION("""COMPUTED_VALUE"""),"")</f>
        <v/>
      </c>
    </row>
    <row r="2808">
      <c r="A2808" s="36" t="str">
        <f>IFERROR(__xludf.DUMMYFUNCTION("""COMPUTED_VALUE"""),"04-22-14-31")</f>
        <v>04-22-14-31</v>
      </c>
      <c r="B2808" s="36" t="str">
        <f>IFERROR(__xludf.DUMMYFUNCTION("""COMPUTED_VALUE"""),"")</f>
        <v/>
      </c>
      <c r="C2808" s="36" t="str">
        <f>IFERROR(__xludf.DUMMYFUNCTION("""COMPUTED_VALUE"""),"")</f>
        <v/>
      </c>
      <c r="D2808" s="36" t="str">
        <f>IFERROR(__xludf.DUMMYFUNCTION("""COMPUTED_VALUE"""),"")</f>
        <v/>
      </c>
      <c r="E2808" s="36" t="str">
        <f>IFERROR(__xludf.DUMMYFUNCTION("""COMPUTED_VALUE"""),"03-20-09-116T")</f>
        <v>03-20-09-116T</v>
      </c>
      <c r="F2808" s="36"/>
      <c r="G2808" s="36" t="str">
        <f>IFERROR(__xludf.DUMMYFUNCTION("""COMPUTED_VALUE"""),"Thomas Edison -N y Libertad")</f>
        <v>Thomas Edison -N y Libertad</v>
      </c>
      <c r="H2808" s="36" t="str">
        <f>IFERROR(__xludf.DUMMYFUNCTION("""COMPUTED_VALUE"""),"")</f>
        <v/>
      </c>
    </row>
    <row r="2809">
      <c r="A2809" s="36" t="str">
        <f>IFERROR(__xludf.DUMMYFUNCTION("""COMPUTED_VALUE"""),"04-22-14-32")</f>
        <v>04-22-14-32</v>
      </c>
      <c r="B2809" s="36" t="str">
        <f>IFERROR(__xludf.DUMMYFUNCTION("""COMPUTED_VALUE"""),"")</f>
        <v/>
      </c>
      <c r="C2809" s="36" t="str">
        <f>IFERROR(__xludf.DUMMYFUNCTION("""COMPUTED_VALUE"""),"")</f>
        <v/>
      </c>
      <c r="D2809" s="36" t="str">
        <f>IFERROR(__xludf.DUMMYFUNCTION("""COMPUTED_VALUE"""),"")</f>
        <v/>
      </c>
      <c r="E2809" s="36" t="str">
        <f>IFERROR(__xludf.DUMMYFUNCTION("""COMPUTED_VALUE"""),"03-20-09-116U")</f>
        <v>03-20-09-116U</v>
      </c>
      <c r="F2809" s="36"/>
      <c r="G2809" s="36" t="str">
        <f>IFERROR(__xludf.DUMMYFUNCTION("""COMPUTED_VALUE"""),"Thomas Edison -S y 11 de Junio")</f>
        <v>Thomas Edison -S y 11 de Junio</v>
      </c>
      <c r="H2809" s="36" t="str">
        <f>IFERROR(__xludf.DUMMYFUNCTION("""COMPUTED_VALUE"""),"")</f>
        <v/>
      </c>
    </row>
    <row r="2810">
      <c r="A2810" s="36" t="str">
        <f>IFERROR(__xludf.DUMMYFUNCTION("""COMPUTED_VALUE"""),"04-22-14-33")</f>
        <v>04-22-14-33</v>
      </c>
      <c r="B2810" s="36" t="str">
        <f>IFERROR(__xludf.DUMMYFUNCTION("""COMPUTED_VALUE"""),"")</f>
        <v/>
      </c>
      <c r="C2810" s="36" t="str">
        <f>IFERROR(__xludf.DUMMYFUNCTION("""COMPUTED_VALUE"""),"")</f>
        <v/>
      </c>
      <c r="D2810" s="36" t="str">
        <f>IFERROR(__xludf.DUMMYFUNCTION("""COMPUTED_VALUE"""),"")</f>
        <v/>
      </c>
      <c r="E2810" s="36" t="str">
        <f>IFERROR(__xludf.DUMMYFUNCTION("""COMPUTED_VALUE"""),"03-20-09-116Ñ")</f>
        <v>03-20-09-116Ñ</v>
      </c>
      <c r="F2810" s="36"/>
      <c r="G2810" s="36" t="str">
        <f>IFERROR(__xludf.DUMMYFUNCTION("""COMPUTED_VALUE"""),"Thomas Edison -S y F. Cantoni")</f>
        <v>Thomas Edison -S y F. Cantoni</v>
      </c>
      <c r="H2810" s="36" t="str">
        <f>IFERROR(__xludf.DUMMYFUNCTION("""COMPUTED_VALUE"""),"")</f>
        <v/>
      </c>
    </row>
    <row r="2811">
      <c r="A2811" s="36" t="str">
        <f>IFERROR(__xludf.DUMMYFUNCTION("""COMPUTED_VALUE"""),"04-22-14-34")</f>
        <v>04-22-14-34</v>
      </c>
      <c r="B2811" s="36" t="str">
        <f>IFERROR(__xludf.DUMMYFUNCTION("""COMPUTED_VALUE"""),"")</f>
        <v/>
      </c>
      <c r="C2811" s="36" t="str">
        <f>IFERROR(__xludf.DUMMYFUNCTION("""COMPUTED_VALUE"""),"")</f>
        <v/>
      </c>
      <c r="D2811" s="36" t="str">
        <f>IFERROR(__xludf.DUMMYFUNCTION("""COMPUTED_VALUE"""),"")</f>
        <v/>
      </c>
      <c r="E2811" s="36" t="str">
        <f>IFERROR(__xludf.DUMMYFUNCTION("""COMPUTED_VALUE"""),"03-20-09-116S")</f>
        <v>03-20-09-116S</v>
      </c>
      <c r="F2811" s="36"/>
      <c r="G2811" s="36" t="str">
        <f>IFERROR(__xludf.DUMMYFUNCTION("""COMPUTED_VALUE"""),"Thomas Edison -S y Libertad")</f>
        <v>Thomas Edison -S y Libertad</v>
      </c>
      <c r="H2811" s="36" t="str">
        <f>IFERROR(__xludf.DUMMYFUNCTION("""COMPUTED_VALUE"""),"")</f>
        <v/>
      </c>
    </row>
    <row r="2812">
      <c r="A2812" s="36" t="str">
        <f>IFERROR(__xludf.DUMMYFUNCTION("""COMPUTED_VALUE"""),"04-22-14-42")</f>
        <v>04-22-14-42</v>
      </c>
      <c r="B2812" s="36" t="str">
        <f>IFERROR(__xludf.DUMMYFUNCTION("""COMPUTED_VALUE"""),"")</f>
        <v/>
      </c>
      <c r="C2812" s="36" t="str">
        <f>IFERROR(__xludf.DUMMYFUNCTION("""COMPUTED_VALUE"""),"")</f>
        <v/>
      </c>
      <c r="D2812" s="36" t="str">
        <f>IFERROR(__xludf.DUMMYFUNCTION("""COMPUTED_VALUE"""),"")</f>
        <v/>
      </c>
      <c r="E2812" s="36" t="str">
        <f>IFERROR(__xludf.DUMMYFUNCTION("""COMPUTED_VALUE"""),"03-20-09-116Y")</f>
        <v>03-20-09-116Y</v>
      </c>
      <c r="F2812" s="36"/>
      <c r="G2812" s="36" t="str">
        <f>IFERROR(__xludf.DUMMYFUNCTION("""COMPUTED_VALUE"""),"Thomas Edison y Colón")</f>
        <v>Thomas Edison y Colón</v>
      </c>
      <c r="H2812" s="36" t="str">
        <f>IFERROR(__xludf.DUMMYFUNCTION("""COMPUTED_VALUE"""),"")</f>
        <v/>
      </c>
    </row>
    <row r="2813">
      <c r="A2813" s="36" t="str">
        <f>IFERROR(__xludf.DUMMYFUNCTION("""COMPUTED_VALUE"""),"04-22-14-43")</f>
        <v>04-22-14-43</v>
      </c>
      <c r="B2813" s="36" t="str">
        <f>IFERROR(__xludf.DUMMYFUNCTION("""COMPUTED_VALUE"""),"")</f>
        <v/>
      </c>
      <c r="C2813" s="36" t="str">
        <f>IFERROR(__xludf.DUMMYFUNCTION("""COMPUTED_VALUE"""),"")</f>
        <v/>
      </c>
      <c r="D2813" s="36" t="str">
        <f>IFERROR(__xludf.DUMMYFUNCTION("""COMPUTED_VALUE"""),"")</f>
        <v/>
      </c>
      <c r="E2813" s="36" t="str">
        <f>IFERROR(__xludf.DUMMYFUNCTION("""COMPUTED_VALUE"""),"08-26-03-57")</f>
        <v>08-26-03-57</v>
      </c>
      <c r="F2813" s="36"/>
      <c r="G2813" s="36" t="str">
        <f>IFERROR(__xludf.DUMMYFUNCTION("""COMPUTED_VALUE"""),"Tucumán y 25 de Mayo")</f>
        <v>Tucumán y 25 de Mayo</v>
      </c>
      <c r="H2813" s="36" t="str">
        <f>IFERROR(__xludf.DUMMYFUNCTION("""COMPUTED_VALUE"""),"")</f>
        <v/>
      </c>
    </row>
    <row r="2814">
      <c r="A2814" s="36" t="str">
        <f>IFERROR(__xludf.DUMMYFUNCTION("""COMPUTED_VALUE"""),"04-22-14-44")</f>
        <v>04-22-14-44</v>
      </c>
      <c r="B2814" s="36" t="str">
        <f>IFERROR(__xludf.DUMMYFUNCTION("""COMPUTED_VALUE"""),"")</f>
        <v/>
      </c>
      <c r="C2814" s="36" t="str">
        <f>IFERROR(__xludf.DUMMYFUNCTION("""COMPUTED_VALUE"""),"")</f>
        <v/>
      </c>
      <c r="D2814" s="36" t="str">
        <f>IFERROR(__xludf.DUMMYFUNCTION("""COMPUTED_VALUE"""),"")</f>
        <v/>
      </c>
      <c r="E2814" s="36" t="str">
        <f>IFERROR(__xludf.DUMMYFUNCTION("""COMPUTED_VALUE"""),"01-41-08-43")</f>
        <v>01-41-08-43</v>
      </c>
      <c r="F2814" s="36"/>
      <c r="G2814" s="36" t="str">
        <f>IFERROR(__xludf.DUMMYFUNCTION("""COMPUTED_VALUE"""),"Tucumán y Av. Libertador ")</f>
        <v>Tucumán y Av. Libertador </v>
      </c>
      <c r="H2814" s="36" t="str">
        <f>IFERROR(__xludf.DUMMYFUNCTION("""COMPUTED_VALUE"""),"")</f>
        <v/>
      </c>
    </row>
    <row r="2815">
      <c r="A2815" s="36" t="str">
        <f>IFERROR(__xludf.DUMMYFUNCTION("""COMPUTED_VALUE"""),"04-22-14-45")</f>
        <v>04-22-14-45</v>
      </c>
      <c r="B2815" s="36" t="str">
        <f>IFERROR(__xludf.DUMMYFUNCTION("""COMPUTED_VALUE"""),"")</f>
        <v/>
      </c>
      <c r="C2815" s="36" t="str">
        <f>IFERROR(__xludf.DUMMYFUNCTION("""COMPUTED_VALUE"""),"")</f>
        <v/>
      </c>
      <c r="D2815" s="36" t="str">
        <f>IFERROR(__xludf.DUMMYFUNCTION("""COMPUTED_VALUE"""),"")</f>
        <v/>
      </c>
      <c r="E2815" s="36" t="str">
        <f>IFERROR(__xludf.DUMMYFUNCTION("""COMPUTED_VALUE"""),"01-38-08-69")</f>
        <v>01-38-08-69</v>
      </c>
      <c r="F2815" s="36"/>
      <c r="G2815" s="36" t="str">
        <f>IFERROR(__xludf.DUMMYFUNCTION("""COMPUTED_VALUE"""),"Tucumán y Chile")</f>
        <v>Tucumán y Chile</v>
      </c>
      <c r="H2815" s="36" t="str">
        <f>IFERROR(__xludf.DUMMYFUNCTION("""COMPUTED_VALUE"""),"")</f>
        <v/>
      </c>
    </row>
    <row r="2816">
      <c r="A2816" s="36" t="str">
        <f>IFERROR(__xludf.DUMMYFUNCTION("""COMPUTED_VALUE"""),"04-22-14-46")</f>
        <v>04-22-14-46</v>
      </c>
      <c r="B2816" s="36" t="str">
        <f>IFERROR(__xludf.DUMMYFUNCTION("""COMPUTED_VALUE"""),"")</f>
        <v/>
      </c>
      <c r="C2816" s="36" t="str">
        <f>IFERROR(__xludf.DUMMYFUNCTION("""COMPUTED_VALUE"""),"")</f>
        <v/>
      </c>
      <c r="D2816" s="36" t="str">
        <f>IFERROR(__xludf.DUMMYFUNCTION("""COMPUTED_VALUE"""),"")</f>
        <v/>
      </c>
      <c r="E2816" s="36" t="str">
        <f>IFERROR(__xludf.DUMMYFUNCTION("""COMPUTED_VALUE"""),"01-27-08-52Q")</f>
        <v>01-27-08-52Q</v>
      </c>
      <c r="F2816" s="36"/>
      <c r="G2816" s="36" t="str">
        <f>IFERROR(__xludf.DUMMYFUNCTION("""COMPUTED_VALUE"""),"Tucumán y Corrientes")</f>
        <v>Tucumán y Corrientes</v>
      </c>
      <c r="H2816" s="36" t="str">
        <f>IFERROR(__xludf.DUMMYFUNCTION("""COMPUTED_VALUE"""),"")</f>
        <v/>
      </c>
    </row>
    <row r="2817">
      <c r="A2817" s="36" t="str">
        <f>IFERROR(__xludf.DUMMYFUNCTION("""COMPUTED_VALUE"""),"04-22-14-47")</f>
        <v>04-22-14-47</v>
      </c>
      <c r="B2817" s="36" t="str">
        <f>IFERROR(__xludf.DUMMYFUNCTION("""COMPUTED_VALUE"""),"")</f>
        <v/>
      </c>
      <c r="C2817" s="36" t="str">
        <f>IFERROR(__xludf.DUMMYFUNCTION("""COMPUTED_VALUE"""),"")</f>
        <v/>
      </c>
      <c r="D2817" s="36" t="str">
        <f>IFERROR(__xludf.DUMMYFUNCTION("""COMPUTED_VALUE"""),"")</f>
        <v/>
      </c>
      <c r="E2817" s="36" t="str">
        <f>IFERROR(__xludf.DUMMYFUNCTION("""COMPUTED_VALUE"""),"01-27-08-52P")</f>
        <v>01-27-08-52P</v>
      </c>
      <c r="F2817" s="36"/>
      <c r="G2817" s="36" t="str">
        <f>IFERROR(__xludf.DUMMYFUNCTION("""COMPUTED_VALUE"""),"Tucumán y Lateral de Circunvalación -N")</f>
        <v>Tucumán y Lateral de Circunvalación -N</v>
      </c>
      <c r="H2817" s="36" t="str">
        <f>IFERROR(__xludf.DUMMYFUNCTION("""COMPUTED_VALUE"""),"")</f>
        <v/>
      </c>
    </row>
    <row r="2818">
      <c r="A2818" s="36" t="str">
        <f>IFERROR(__xludf.DUMMYFUNCTION("""COMPUTED_VALUE"""),"04-22-14-48")</f>
        <v>04-22-14-48</v>
      </c>
      <c r="B2818" s="36" t="str">
        <f>IFERROR(__xludf.DUMMYFUNCTION("""COMPUTED_VALUE"""),"")</f>
        <v/>
      </c>
      <c r="C2818" s="36" t="str">
        <f>IFERROR(__xludf.DUMMYFUNCTION("""COMPUTED_VALUE"""),"")</f>
        <v/>
      </c>
      <c r="D2818" s="36" t="str">
        <f>IFERROR(__xludf.DUMMYFUNCTION("""COMPUTED_VALUE"""),"")</f>
        <v/>
      </c>
      <c r="E2818" s="36" t="str">
        <f>IFERROR(__xludf.DUMMYFUNCTION("""COMPUTED_VALUE"""),"01-27-08-52O")</f>
        <v>01-27-08-52O</v>
      </c>
      <c r="F2818" s="36"/>
      <c r="G2818" s="36" t="str">
        <f>IFERROR(__xludf.DUMMYFUNCTION("""COMPUTED_VALUE"""),"Tucumán y Monteagudo")</f>
        <v>Tucumán y Monteagudo</v>
      </c>
      <c r="H2818" s="36" t="str">
        <f>IFERROR(__xludf.DUMMYFUNCTION("""COMPUTED_VALUE"""),"")</f>
        <v/>
      </c>
    </row>
    <row r="2819">
      <c r="A2819" s="36" t="str">
        <f>IFERROR(__xludf.DUMMYFUNCTION("""COMPUTED_VALUE"""),"04-22-14-49")</f>
        <v>04-22-14-49</v>
      </c>
      <c r="B2819" s="36" t="str">
        <f>IFERROR(__xludf.DUMMYFUNCTION("""COMPUTED_VALUE"""),"")</f>
        <v/>
      </c>
      <c r="C2819" s="36" t="str">
        <f>IFERROR(__xludf.DUMMYFUNCTION("""COMPUTED_VALUE"""),"")</f>
        <v/>
      </c>
      <c r="D2819" s="36" t="str">
        <f>IFERROR(__xludf.DUMMYFUNCTION("""COMPUTED_VALUE"""),"")</f>
        <v/>
      </c>
      <c r="E2819" s="36" t="str">
        <f>IFERROR(__xludf.DUMMYFUNCTION("""COMPUTED_VALUE"""),"01-38-08-51")</f>
        <v>01-38-08-51</v>
      </c>
      <c r="F2819" s="36"/>
      <c r="G2819" s="36" t="str">
        <f>IFERROR(__xludf.DUMMYFUNCTION("""COMPUTED_VALUE"""),"Tucumán y Pedro Echagüe ")</f>
        <v>Tucumán y Pedro Echagüe </v>
      </c>
      <c r="H2819" s="36" t="str">
        <f>IFERROR(__xludf.DUMMYFUNCTION("""COMPUTED_VALUE"""),"")</f>
        <v/>
      </c>
    </row>
    <row r="2820">
      <c r="A2820" s="36" t="str">
        <f>IFERROR(__xludf.DUMMYFUNCTION("""COMPUTED_VALUE"""),"04-22-14-49A")</f>
        <v>04-22-14-49A</v>
      </c>
      <c r="B2820" s="36" t="str">
        <f>IFERROR(__xludf.DUMMYFUNCTION("""COMPUTED_VALUE"""),"")</f>
        <v/>
      </c>
      <c r="C2820" s="36" t="str">
        <f>IFERROR(__xludf.DUMMYFUNCTION("""COMPUTED_VALUE"""),"")</f>
        <v/>
      </c>
      <c r="D2820" s="36" t="str">
        <f>IFERROR(__xludf.DUMMYFUNCTION("""COMPUTED_VALUE"""),"")</f>
        <v/>
      </c>
      <c r="E2820" s="36" t="str">
        <f>IFERROR(__xludf.DUMMYFUNCTION("""COMPUTED_VALUE"""),"08-26-03-58")</f>
        <v>08-26-03-58</v>
      </c>
      <c r="F2820" s="36"/>
      <c r="G2820" s="36" t="str">
        <f>IFERROR(__xludf.DUMMYFUNCTION("""COMPUTED_VALUE"""),"Tucumán y R. E. de San Martín")</f>
        <v>Tucumán y R. E. de San Martín</v>
      </c>
      <c r="H2820" s="36" t="str">
        <f>IFERROR(__xludf.DUMMYFUNCTION("""COMPUTED_VALUE"""),"")</f>
        <v/>
      </c>
    </row>
    <row r="2821">
      <c r="A2821" s="36" t="str">
        <f>IFERROR(__xludf.DUMMYFUNCTION("""COMPUTED_VALUE"""),"04-22-14-50")</f>
        <v>04-22-14-50</v>
      </c>
      <c r="B2821" s="36" t="str">
        <f>IFERROR(__xludf.DUMMYFUNCTION("""COMPUTED_VALUE"""),"")</f>
        <v/>
      </c>
      <c r="C2821" s="36" t="str">
        <f>IFERROR(__xludf.DUMMYFUNCTION("""COMPUTED_VALUE"""),"")</f>
        <v/>
      </c>
      <c r="D2821" s="36" t="str">
        <f>IFERROR(__xludf.DUMMYFUNCTION("""COMPUTED_VALUE"""),"")</f>
        <v/>
      </c>
      <c r="E2821" s="36" t="str">
        <f>IFERROR(__xludf.DUMMYFUNCTION("""COMPUTED_VALUE"""),"08-26-03-60")</f>
        <v>08-26-03-60</v>
      </c>
      <c r="F2821" s="36"/>
      <c r="G2821" s="36" t="str">
        <f>IFERROR(__xludf.DUMMYFUNCTION("""COMPUTED_VALUE"""),"Tucumán y Rodríguez ")</f>
        <v>Tucumán y Rodríguez </v>
      </c>
      <c r="H2821" s="36" t="str">
        <f>IFERROR(__xludf.DUMMYFUNCTION("""COMPUTED_VALUE"""),"")</f>
        <v/>
      </c>
    </row>
    <row r="2822">
      <c r="A2822" s="36" t="str">
        <f>IFERROR(__xludf.DUMMYFUNCTION("""COMPUTED_VALUE"""),"04-22-14-51")</f>
        <v>04-22-14-51</v>
      </c>
      <c r="B2822" s="36" t="str">
        <f>IFERROR(__xludf.DUMMYFUNCTION("""COMPUTED_VALUE"""),"")</f>
        <v/>
      </c>
      <c r="C2822" s="36" t="str">
        <f>IFERROR(__xludf.DUMMYFUNCTION("""COMPUTED_VALUE"""),"")</f>
        <v/>
      </c>
      <c r="D2822" s="36" t="str">
        <f>IFERROR(__xludf.DUMMYFUNCTION("""COMPUTED_VALUE"""),"")</f>
        <v/>
      </c>
      <c r="E2822" s="36" t="str">
        <f>IFERROR(__xludf.DUMMYFUNCTION("""COMPUTED_VALUE"""),"01-27-08-52Ñ")</f>
        <v>01-27-08-52Ñ</v>
      </c>
      <c r="F2822" s="36"/>
      <c r="G2822" s="36" t="str">
        <f>IFERROR(__xludf.DUMMYFUNCTION("""COMPUTED_VALUE"""),"Tucumán y San Lorenzo")</f>
        <v>Tucumán y San Lorenzo</v>
      </c>
      <c r="H2822" s="36" t="str">
        <f>IFERROR(__xludf.DUMMYFUNCTION("""COMPUTED_VALUE"""),"")</f>
        <v/>
      </c>
    </row>
    <row r="2823">
      <c r="A2823" s="36" t="str">
        <f>IFERROR(__xludf.DUMMYFUNCTION("""COMPUTED_VALUE"""),"04-22-14-52")</f>
        <v>04-22-14-52</v>
      </c>
      <c r="B2823" s="36" t="str">
        <f>IFERROR(__xludf.DUMMYFUNCTION("""COMPUTED_VALUE"""),"")</f>
        <v/>
      </c>
      <c r="C2823" s="36" t="str">
        <f>IFERROR(__xludf.DUMMYFUNCTION("""COMPUTED_VALUE"""),"")</f>
        <v/>
      </c>
      <c r="D2823" s="36" t="str">
        <f>IFERROR(__xludf.DUMMYFUNCTION("""COMPUTED_VALUE"""),"")</f>
        <v/>
      </c>
      <c r="E2823" s="36" t="str">
        <f>IFERROR(__xludf.DUMMYFUNCTION("""COMPUTED_VALUE"""),"08-34-01-10")</f>
        <v>08-34-01-10</v>
      </c>
      <c r="F2823" s="36"/>
      <c r="G2823" s="36" t="str">
        <f>IFERROR(__xludf.DUMMYFUNCTION("""COMPUTED_VALUE"""),"Tulúm y Martina Chapanay N")</f>
        <v>Tulúm y Martina Chapanay N</v>
      </c>
      <c r="H2823" s="36" t="str">
        <f>IFERROR(__xludf.DUMMYFUNCTION("""COMPUTED_VALUE"""),"")</f>
        <v/>
      </c>
    </row>
    <row r="2824">
      <c r="A2824" s="36" t="str">
        <f>IFERROR(__xludf.DUMMYFUNCTION("""COMPUTED_VALUE"""),"04-22-14-53")</f>
        <v>04-22-14-53</v>
      </c>
      <c r="B2824" s="36" t="str">
        <f>IFERROR(__xludf.DUMMYFUNCTION("""COMPUTED_VALUE"""),"")</f>
        <v/>
      </c>
      <c r="C2824" s="36" t="str">
        <f>IFERROR(__xludf.DUMMYFUNCTION("""COMPUTED_VALUE"""),"")</f>
        <v/>
      </c>
      <c r="D2824" s="36" t="str">
        <f>IFERROR(__xludf.DUMMYFUNCTION("""COMPUTED_VALUE"""),"")</f>
        <v/>
      </c>
      <c r="E2824" s="36" t="str">
        <f>IFERROR(__xludf.DUMMYFUNCTION("""COMPUTED_VALUE"""),"08-32-01-10A")</f>
        <v>08-32-01-10A</v>
      </c>
      <c r="F2824" s="36"/>
      <c r="G2824" s="36" t="str">
        <f>IFERROR(__xludf.DUMMYFUNCTION("""COMPUTED_VALUE"""),"Tulúm y Martina Chapanay S")</f>
        <v>Tulúm y Martina Chapanay S</v>
      </c>
      <c r="H2824" s="36" t="str">
        <f>IFERROR(__xludf.DUMMYFUNCTION("""COMPUTED_VALUE"""),"")</f>
        <v/>
      </c>
    </row>
    <row r="2825">
      <c r="A2825" s="36" t="str">
        <f>IFERROR(__xludf.DUMMYFUNCTION("""COMPUTED_VALUE"""),"04-22-14-54")</f>
        <v>04-22-14-54</v>
      </c>
      <c r="B2825" s="36" t="str">
        <f>IFERROR(__xludf.DUMMYFUNCTION("""COMPUTED_VALUE"""),"")</f>
        <v/>
      </c>
      <c r="C2825" s="36" t="str">
        <f>IFERROR(__xludf.DUMMYFUNCTION("""COMPUTED_VALUE"""),"")</f>
        <v/>
      </c>
      <c r="D2825" s="36" t="str">
        <f>IFERROR(__xludf.DUMMYFUNCTION("""COMPUTED_VALUE"""),"")</f>
        <v/>
      </c>
      <c r="E2825" s="36" t="str">
        <f>IFERROR(__xludf.DUMMYFUNCTION("""COMPUTED_VALUE"""),"08-32-01-11")</f>
        <v>08-32-01-11</v>
      </c>
      <c r="F2825" s="36"/>
      <c r="G2825" s="36" t="str">
        <f>IFERROR(__xludf.DUMMYFUNCTION("""COMPUTED_VALUE"""),"Tulúm y Rastreador Calivar")</f>
        <v>Tulúm y Rastreador Calivar</v>
      </c>
      <c r="H2825" s="36" t="str">
        <f>IFERROR(__xludf.DUMMYFUNCTION("""COMPUTED_VALUE"""),"")</f>
        <v/>
      </c>
    </row>
    <row r="2826">
      <c r="A2826" s="36" t="str">
        <f>IFERROR(__xludf.DUMMYFUNCTION("""COMPUTED_VALUE"""),"04-22-14-55")</f>
        <v>04-22-14-55</v>
      </c>
      <c r="B2826" s="36" t="str">
        <f>IFERROR(__xludf.DUMMYFUNCTION("""COMPUTED_VALUE"""),"")</f>
        <v/>
      </c>
      <c r="C2826" s="36" t="str">
        <f>IFERROR(__xludf.DUMMYFUNCTION("""COMPUTED_VALUE"""),"")</f>
        <v/>
      </c>
      <c r="D2826" s="36" t="str">
        <f>IFERROR(__xludf.DUMMYFUNCTION("""COMPUTED_VALUE"""),"")</f>
        <v/>
      </c>
      <c r="E2826" s="36" t="str">
        <f>IFERROR(__xludf.DUMMYFUNCTION("""COMPUTED_VALUE"""),"02-32-05-24")</f>
        <v>02-32-05-24</v>
      </c>
      <c r="F2826" s="36"/>
      <c r="G2826" s="36" t="str">
        <f>IFERROR(__xludf.DUMMYFUNCTION("""COMPUTED_VALUE"""),"Unión Vecinal B° Camus")</f>
        <v>Unión Vecinal B° Camus</v>
      </c>
      <c r="H2826" s="36" t="str">
        <f>IFERROR(__xludf.DUMMYFUNCTION("""COMPUTED_VALUE"""),"")</f>
        <v/>
      </c>
    </row>
    <row r="2827">
      <c r="A2827" s="36" t="str">
        <f>IFERROR(__xludf.DUMMYFUNCTION("""COMPUTED_VALUE"""),"04-22-14-56")</f>
        <v>04-22-14-56</v>
      </c>
      <c r="B2827" s="36" t="str">
        <f>IFERROR(__xludf.DUMMYFUNCTION("""COMPUTED_VALUE"""),"")</f>
        <v/>
      </c>
      <c r="C2827" s="36" t="str">
        <f>IFERROR(__xludf.DUMMYFUNCTION("""COMPUTED_VALUE"""),"")</f>
        <v/>
      </c>
      <c r="D2827" s="36" t="str">
        <f>IFERROR(__xludf.DUMMYFUNCTION("""COMPUTED_VALUE"""),"")</f>
        <v/>
      </c>
      <c r="E2827" s="36" t="str">
        <f>IFERROR(__xludf.DUMMYFUNCTION("""COMPUTED_VALUE"""),"02-38-12-277")</f>
        <v>02-38-12-277</v>
      </c>
      <c r="F2827" s="36"/>
      <c r="G2827" s="36" t="str">
        <f>IFERROR(__xludf.DUMMYFUNCTION("""COMPUTED_VALUE"""),"Unión Vecinal B° FOEVA")</f>
        <v>Unión Vecinal B° FOEVA</v>
      </c>
      <c r="H2827" s="36" t="str">
        <f>IFERROR(__xludf.DUMMYFUNCTION("""COMPUTED_VALUE"""),"")</f>
        <v/>
      </c>
    </row>
    <row r="2828">
      <c r="A2828" s="36" t="str">
        <f>IFERROR(__xludf.DUMMYFUNCTION("""COMPUTED_VALUE"""),"04-22-14-57")</f>
        <v>04-22-14-57</v>
      </c>
      <c r="B2828" s="36" t="str">
        <f>IFERROR(__xludf.DUMMYFUNCTION("""COMPUTED_VALUE"""),"")</f>
        <v/>
      </c>
      <c r="C2828" s="36" t="str">
        <f>IFERROR(__xludf.DUMMYFUNCTION("""COMPUTED_VALUE"""),"")</f>
        <v/>
      </c>
      <c r="D2828" s="36" t="str">
        <f>IFERROR(__xludf.DUMMYFUNCTION("""COMPUTED_VALUE"""),"")</f>
        <v/>
      </c>
      <c r="E2828" s="36" t="str">
        <f>IFERROR(__xludf.DUMMYFUNCTION("""COMPUTED_VALUE"""),"08-34-01-39")</f>
        <v>08-34-01-39</v>
      </c>
      <c r="F2828" s="36"/>
      <c r="G2828" s="36" t="str">
        <f>IFERROR(__xludf.DUMMYFUNCTION("""COMPUTED_VALUE"""),"Unión Vecinal B° La Estancia")</f>
        <v>Unión Vecinal B° La Estancia</v>
      </c>
      <c r="H2828" s="36" t="str">
        <f>IFERROR(__xludf.DUMMYFUNCTION("""COMPUTED_VALUE"""),"")</f>
        <v/>
      </c>
    </row>
    <row r="2829">
      <c r="A2829" s="36" t="str">
        <f>IFERROR(__xludf.DUMMYFUNCTION("""COMPUTED_VALUE"""),"04-22-14-58")</f>
        <v>04-22-14-58</v>
      </c>
      <c r="B2829" s="36" t="str">
        <f>IFERROR(__xludf.DUMMYFUNCTION("""COMPUTED_VALUE"""),"")</f>
        <v/>
      </c>
      <c r="C2829" s="36" t="str">
        <f>IFERROR(__xludf.DUMMYFUNCTION("""COMPUTED_VALUE"""),"")</f>
        <v/>
      </c>
      <c r="D2829" s="36" t="str">
        <f>IFERROR(__xludf.DUMMYFUNCTION("""COMPUTED_VALUE"""),"")</f>
        <v/>
      </c>
      <c r="E2829" s="36" t="str">
        <f>IFERROR(__xludf.DUMMYFUNCTION("""COMPUTED_VALUE"""),"02-27-06-85")</f>
        <v>02-27-06-85</v>
      </c>
      <c r="F2829" s="36"/>
      <c r="G2829" s="36" t="str">
        <f>IFERROR(__xludf.DUMMYFUNCTION("""COMPUTED_VALUE"""),"Unión Vecinal B° Parque Rivadavia Norte")</f>
        <v>Unión Vecinal B° Parque Rivadavia Norte</v>
      </c>
      <c r="H2829" s="36" t="str">
        <f>IFERROR(__xludf.DUMMYFUNCTION("""COMPUTED_VALUE"""),"")</f>
        <v/>
      </c>
    </row>
    <row r="2830">
      <c r="A2830" s="36" t="str">
        <f>IFERROR(__xludf.DUMMYFUNCTION("""COMPUTED_VALUE"""),"04-22-14-59")</f>
        <v>04-22-14-59</v>
      </c>
      <c r="B2830" s="36" t="str">
        <f>IFERROR(__xludf.DUMMYFUNCTION("""COMPUTED_VALUE"""),"")</f>
        <v/>
      </c>
      <c r="C2830" s="36" t="str">
        <f>IFERROR(__xludf.DUMMYFUNCTION("""COMPUTED_VALUE"""),"")</f>
        <v/>
      </c>
      <c r="D2830" s="36" t="str">
        <f>IFERROR(__xludf.DUMMYFUNCTION("""COMPUTED_VALUE"""),"")</f>
        <v/>
      </c>
      <c r="E2830" s="36" t="str">
        <f>IFERROR(__xludf.DUMMYFUNCTION("""COMPUTED_VALUE"""),"02-24-05-59")</f>
        <v>02-24-05-59</v>
      </c>
      <c r="F2830" s="36"/>
      <c r="G2830" s="36" t="str">
        <f>IFERROR(__xludf.DUMMYFUNCTION("""COMPUTED_VALUE"""),"Unión Vecinal Barrio 22 de Abril")</f>
        <v>Unión Vecinal Barrio 22 de Abril</v>
      </c>
      <c r="H2830" s="36" t="str">
        <f>IFERROR(__xludf.DUMMYFUNCTION("""COMPUTED_VALUE"""),"")</f>
        <v/>
      </c>
    </row>
    <row r="2831">
      <c r="A2831" s="36" t="str">
        <f>IFERROR(__xludf.DUMMYFUNCTION("""COMPUTED_VALUE"""),"04-22-14-60")</f>
        <v>04-22-14-60</v>
      </c>
      <c r="B2831" s="36" t="str">
        <f>IFERROR(__xludf.DUMMYFUNCTION("""COMPUTED_VALUE"""),"")</f>
        <v/>
      </c>
      <c r="C2831" s="36" t="str">
        <f>IFERROR(__xludf.DUMMYFUNCTION("""COMPUTED_VALUE"""),"")</f>
        <v/>
      </c>
      <c r="D2831" s="36" t="str">
        <f>IFERROR(__xludf.DUMMYFUNCTION("""COMPUTED_VALUE"""),"")</f>
        <v/>
      </c>
      <c r="E2831" s="36" t="str">
        <f>IFERROR(__xludf.DUMMYFUNCTION("""COMPUTED_VALUE"""),"08-22-03-29")</f>
        <v>08-22-03-29</v>
      </c>
      <c r="F2831" s="36"/>
      <c r="G2831" s="36" t="str">
        <f>IFERROR(__xludf.DUMMYFUNCTION("""COMPUTED_VALUE"""),"Unión Vecinal Chimbas Norte")</f>
        <v>Unión Vecinal Chimbas Norte</v>
      </c>
      <c r="H2831" s="36" t="str">
        <f>IFERROR(__xludf.DUMMYFUNCTION("""COMPUTED_VALUE"""),"")</f>
        <v/>
      </c>
    </row>
    <row r="2832">
      <c r="A2832" s="36" t="str">
        <f>IFERROR(__xludf.DUMMYFUNCTION("""COMPUTED_VALUE"""),"04-22-14-61")</f>
        <v>04-22-14-61</v>
      </c>
      <c r="B2832" s="36" t="str">
        <f>IFERROR(__xludf.DUMMYFUNCTION("""COMPUTED_VALUE"""),"")</f>
        <v/>
      </c>
      <c r="C2832" s="36" t="str">
        <f>IFERROR(__xludf.DUMMYFUNCTION("""COMPUTED_VALUE"""),"")</f>
        <v/>
      </c>
      <c r="D2832" s="36" t="str">
        <f>IFERROR(__xludf.DUMMYFUNCTION("""COMPUTED_VALUE"""),"")</f>
        <v/>
      </c>
      <c r="E2832" s="36" t="str">
        <f>IFERROR(__xludf.DUMMYFUNCTION("""COMPUTED_VALUE"""),"04-22-14-52")</f>
        <v>04-22-14-52</v>
      </c>
      <c r="F2832" s="36"/>
      <c r="G2832" s="36" t="str">
        <f>IFERROR(__xludf.DUMMYFUNCTION("""COMPUTED_VALUE"""),"Unión Vecinal de Trinidad (U.V.T) Este
")</f>
        <v>Unión Vecinal de Trinidad (U.V.T) Este
</v>
      </c>
      <c r="H2832" s="36" t="str">
        <f>IFERROR(__xludf.DUMMYFUNCTION("""COMPUTED_VALUE"""),"")</f>
        <v/>
      </c>
    </row>
    <row r="2833">
      <c r="A2833" s="36" t="str">
        <f>IFERROR(__xludf.DUMMYFUNCTION("""COMPUTED_VALUE"""),"04-22-14-62")</f>
        <v>04-22-14-62</v>
      </c>
      <c r="B2833" s="36" t="str">
        <f>IFERROR(__xludf.DUMMYFUNCTION("""COMPUTED_VALUE"""),"")</f>
        <v/>
      </c>
      <c r="C2833" s="36" t="str">
        <f>IFERROR(__xludf.DUMMYFUNCTION("""COMPUTED_VALUE"""),"")</f>
        <v/>
      </c>
      <c r="D2833" s="36" t="str">
        <f>IFERROR(__xludf.DUMMYFUNCTION("""COMPUTED_VALUE"""),"")</f>
        <v/>
      </c>
      <c r="E2833" s="36" t="str">
        <f>IFERROR(__xludf.DUMMYFUNCTION("""COMPUTED_VALUE"""),"04-22-14-51")</f>
        <v>04-22-14-51</v>
      </c>
      <c r="F2833" s="36"/>
      <c r="G2833" s="36" t="str">
        <f>IFERROR(__xludf.DUMMYFUNCTION("""COMPUTED_VALUE"""),"Unión Vecinal de Trinidad (U.V.T) Oeste
")</f>
        <v>Unión Vecinal de Trinidad (U.V.T) Oeste
</v>
      </c>
      <c r="H2833" s="36" t="str">
        <f>IFERROR(__xludf.DUMMYFUNCTION("""COMPUTED_VALUE"""),"")</f>
        <v/>
      </c>
    </row>
    <row r="2834">
      <c r="A2834" s="36" t="str">
        <f>IFERROR(__xludf.DUMMYFUNCTION("""COMPUTED_VALUE"""),"04-22-14-63")</f>
        <v>04-22-14-63</v>
      </c>
      <c r="B2834" s="36" t="str">
        <f>IFERROR(__xludf.DUMMYFUNCTION("""COMPUTED_VALUE"""),"")</f>
        <v/>
      </c>
      <c r="C2834" s="36" t="str">
        <f>IFERROR(__xludf.DUMMYFUNCTION("""COMPUTED_VALUE"""),"")</f>
        <v/>
      </c>
      <c r="D2834" s="36" t="str">
        <f>IFERROR(__xludf.DUMMYFUNCTION("""COMPUTED_VALUE"""),"")</f>
        <v/>
      </c>
      <c r="E2834" s="36" t="str">
        <f>IFERROR(__xludf.DUMMYFUNCTION("""COMPUTED_VALUE"""),"01-32-07-184")</f>
        <v>01-32-07-184</v>
      </c>
      <c r="F2834" s="36"/>
      <c r="G2834" s="36" t="str">
        <f>IFERROR(__xludf.DUMMYFUNCTION("""COMPUTED_VALUE"""),"Unión Vecinal Patricias Sanjuaninas")</f>
        <v>Unión Vecinal Patricias Sanjuaninas</v>
      </c>
      <c r="H2834" s="36" t="str">
        <f>IFERROR(__xludf.DUMMYFUNCTION("""COMPUTED_VALUE"""),"")</f>
        <v/>
      </c>
    </row>
    <row r="2835">
      <c r="A2835" s="36" t="str">
        <f>IFERROR(__xludf.DUMMYFUNCTION("""COMPUTED_VALUE"""),"04-22-14-64")</f>
        <v>04-22-14-64</v>
      </c>
      <c r="B2835" s="36" t="str">
        <f>IFERROR(__xludf.DUMMYFUNCTION("""COMPUTED_VALUE"""),"")</f>
        <v/>
      </c>
      <c r="C2835" s="36" t="str">
        <f>IFERROR(__xludf.DUMMYFUNCTION("""COMPUTED_VALUE"""),"")</f>
        <v/>
      </c>
      <c r="D2835" s="36" t="str">
        <f>IFERROR(__xludf.DUMMYFUNCTION("""COMPUTED_VALUE"""),"")</f>
        <v/>
      </c>
      <c r="E2835" s="36" t="str">
        <f>IFERROR(__xludf.DUMMYFUNCTION("""COMPUTED_VALUE"""),"02-36-11-82B")</f>
        <v>02-36-11-82B</v>
      </c>
      <c r="F2835" s="36"/>
      <c r="G2835" s="36" t="str">
        <f>IFERROR(__xludf.DUMMYFUNCTION("""COMPUTED_VALUE"""),"Universidad Católica de Cuyo")</f>
        <v>Universidad Católica de Cuyo</v>
      </c>
      <c r="H2835" s="36" t="str">
        <f>IFERROR(__xludf.DUMMYFUNCTION("""COMPUTED_VALUE"""),"")</f>
        <v/>
      </c>
    </row>
    <row r="2836">
      <c r="A2836" s="36" t="str">
        <f>IFERROR(__xludf.DUMMYFUNCTION("""COMPUTED_VALUE"""),"04-22-14-65")</f>
        <v>04-22-14-65</v>
      </c>
      <c r="B2836" s="36" t="str">
        <f>IFERROR(__xludf.DUMMYFUNCTION("""COMPUTED_VALUE"""),"")</f>
        <v/>
      </c>
      <c r="C2836" s="36" t="str">
        <f>IFERROR(__xludf.DUMMYFUNCTION("""COMPUTED_VALUE"""),"")</f>
        <v/>
      </c>
      <c r="D2836" s="36" t="str">
        <f>IFERROR(__xludf.DUMMYFUNCTION("""COMPUTED_VALUE"""),"")</f>
        <v/>
      </c>
      <c r="E2836" s="36" t="str">
        <f>IFERROR(__xludf.DUMMYFUNCTION("""COMPUTED_VALUE"""),"05-20-11-68")</f>
        <v>05-20-11-68</v>
      </c>
      <c r="F2836" s="36"/>
      <c r="G2836" s="36" t="str">
        <f>IFERROR(__xludf.DUMMYFUNCTION("""COMPUTED_VALUE"""),"Universitario Rugby Club")</f>
        <v>Universitario Rugby Club</v>
      </c>
      <c r="H2836" s="36" t="str">
        <f>IFERROR(__xludf.DUMMYFUNCTION("""COMPUTED_VALUE"""),"")</f>
        <v/>
      </c>
    </row>
    <row r="2837">
      <c r="A2837" s="36" t="str">
        <f>IFERROR(__xludf.DUMMYFUNCTION("""COMPUTED_VALUE"""),"04-22-14-66")</f>
        <v>04-22-14-66</v>
      </c>
      <c r="B2837" s="36" t="str">
        <f>IFERROR(__xludf.DUMMYFUNCTION("""COMPUTED_VALUE"""),"")</f>
        <v/>
      </c>
      <c r="C2837" s="36" t="str">
        <f>IFERROR(__xludf.DUMMYFUNCTION("""COMPUTED_VALUE"""),"")</f>
        <v/>
      </c>
      <c r="D2837" s="36" t="str">
        <f>IFERROR(__xludf.DUMMYFUNCTION("""COMPUTED_VALUE"""),"")</f>
        <v/>
      </c>
      <c r="E2837" s="36" t="str">
        <f>IFERROR(__xludf.DUMMYFUNCTION("""COMPUTED_VALUE"""),"04-42-11-68A")</f>
        <v>04-42-11-68A</v>
      </c>
      <c r="F2837" s="36"/>
      <c r="G2837" s="36" t="str">
        <f>IFERROR(__xludf.DUMMYFUNCTION("""COMPUTED_VALUE"""),"Universitario Rugby Club I")</f>
        <v>Universitario Rugby Club I</v>
      </c>
      <c r="H2837" s="36" t="str">
        <f>IFERROR(__xludf.DUMMYFUNCTION("""COMPUTED_VALUE"""),"")</f>
        <v/>
      </c>
    </row>
    <row r="2838">
      <c r="A2838" s="36" t="str">
        <f>IFERROR(__xludf.DUMMYFUNCTION("""COMPUTED_VALUE"""),"04-22-14-67")</f>
        <v>04-22-14-67</v>
      </c>
      <c r="B2838" s="36" t="str">
        <f>IFERROR(__xludf.DUMMYFUNCTION("""COMPUTED_VALUE"""),"")</f>
        <v/>
      </c>
      <c r="C2838" s="36" t="str">
        <f>IFERROR(__xludf.DUMMYFUNCTION("""COMPUTED_VALUE"""),"")</f>
        <v/>
      </c>
      <c r="D2838" s="36" t="str">
        <f>IFERROR(__xludf.DUMMYFUNCTION("""COMPUTED_VALUE"""),"")</f>
        <v/>
      </c>
      <c r="E2838" s="36" t="str">
        <f>IFERROR(__xludf.DUMMYFUNCTION("""COMPUTED_VALUE"""),"03-20-09-234")</f>
        <v>03-20-09-234</v>
      </c>
      <c r="F2838" s="36"/>
      <c r="G2838" s="36" t="str">
        <f>IFERROR(__xludf.DUMMYFUNCTION("""COMPUTED_VALUE"""),"Urquiza -N y Pueyrredón")</f>
        <v>Urquiza -N y Pueyrredón</v>
      </c>
      <c r="H2838" s="36" t="str">
        <f>IFERROR(__xludf.DUMMYFUNCTION("""COMPUTED_VALUE"""),"")</f>
        <v/>
      </c>
    </row>
    <row r="2839">
      <c r="A2839" s="36" t="str">
        <f>IFERROR(__xludf.DUMMYFUNCTION("""COMPUTED_VALUE"""),"04-22-14-79")</f>
        <v>04-22-14-79</v>
      </c>
      <c r="B2839" s="36" t="str">
        <f>IFERROR(__xludf.DUMMYFUNCTION("""COMPUTED_VALUE"""),"")</f>
        <v/>
      </c>
      <c r="C2839" s="36" t="str">
        <f>IFERROR(__xludf.DUMMYFUNCTION("""COMPUTED_VALUE"""),"")</f>
        <v/>
      </c>
      <c r="D2839" s="36" t="str">
        <f>IFERROR(__xludf.DUMMYFUNCTION("""COMPUTED_VALUE"""),"")</f>
        <v/>
      </c>
      <c r="E2839" s="36" t="str">
        <f>IFERROR(__xludf.DUMMYFUNCTION("""COMPUTED_VALUE"""),"03-20-09-232")</f>
        <v>03-20-09-232</v>
      </c>
      <c r="F2839" s="36"/>
      <c r="G2839" s="36" t="str">
        <f>IFERROR(__xludf.DUMMYFUNCTION("""COMPUTED_VALUE"""),"Urquiza -N y Tortosa")</f>
        <v>Urquiza -N y Tortosa</v>
      </c>
      <c r="H2839" s="36" t="str">
        <f>IFERROR(__xludf.DUMMYFUNCTION("""COMPUTED_VALUE"""),"")</f>
        <v/>
      </c>
    </row>
    <row r="2840">
      <c r="A2840" s="36" t="str">
        <f>IFERROR(__xludf.DUMMYFUNCTION("""COMPUTED_VALUE"""),"04-22-14-81")</f>
        <v>04-22-14-81</v>
      </c>
      <c r="B2840" s="36" t="str">
        <f>IFERROR(__xludf.DUMMYFUNCTION("""COMPUTED_VALUE"""),"")</f>
        <v/>
      </c>
      <c r="C2840" s="36" t="str">
        <f>IFERROR(__xludf.DUMMYFUNCTION("""COMPUTED_VALUE"""),"")</f>
        <v/>
      </c>
      <c r="D2840" s="36" t="str">
        <f>IFERROR(__xludf.DUMMYFUNCTION("""COMPUTED_VALUE"""),"")</f>
        <v/>
      </c>
      <c r="E2840" s="36" t="str">
        <f>IFERROR(__xludf.DUMMYFUNCTION("""COMPUTED_VALUE"""),"08-44-03-37")</f>
        <v>08-44-03-37</v>
      </c>
      <c r="F2840" s="36"/>
      <c r="G2840" s="36" t="str">
        <f>IFERROR(__xludf.DUMMYFUNCTION("""COMPUTED_VALUE"""),"Urquiza y Ameghino")</f>
        <v>Urquiza y Ameghino</v>
      </c>
      <c r="H2840" s="36" t="str">
        <f>IFERROR(__xludf.DUMMYFUNCTION("""COMPUTED_VALUE"""),"")</f>
        <v/>
      </c>
    </row>
    <row r="2841">
      <c r="A2841" s="36" t="str">
        <f>IFERROR(__xludf.DUMMYFUNCTION("""COMPUTED_VALUE"""),"04-22-14-83")</f>
        <v>04-22-14-83</v>
      </c>
      <c r="B2841" s="36" t="str">
        <f>IFERROR(__xludf.DUMMYFUNCTION("""COMPUTED_VALUE"""),"")</f>
        <v/>
      </c>
      <c r="C2841" s="36" t="str">
        <f>IFERROR(__xludf.DUMMYFUNCTION("""COMPUTED_VALUE"""),"")</f>
        <v/>
      </c>
      <c r="D2841" s="36" t="str">
        <f>IFERROR(__xludf.DUMMYFUNCTION("""COMPUTED_VALUE"""),"")</f>
        <v/>
      </c>
      <c r="E2841" s="36" t="str">
        <f>IFERROR(__xludf.DUMMYFUNCTION("""COMPUTED_VALUE"""),"03-20-09-224")</f>
        <v>03-20-09-224</v>
      </c>
      <c r="F2841" s="36"/>
      <c r="G2841" s="36" t="str">
        <f>IFERROR(__xludf.DUMMYFUNCTION("""COMPUTED_VALUE"""),"Urquiza y Chacabuco")</f>
        <v>Urquiza y Chacabuco</v>
      </c>
      <c r="H2841" s="36" t="str">
        <f>IFERROR(__xludf.DUMMYFUNCTION("""COMPUTED_VALUE"""),"")</f>
        <v/>
      </c>
    </row>
    <row r="2842">
      <c r="A2842" s="36" t="str">
        <f>IFERROR(__xludf.DUMMYFUNCTION("""COMPUTED_VALUE"""),"04-22-14-84")</f>
        <v>04-22-14-84</v>
      </c>
      <c r="B2842" s="36" t="str">
        <f>IFERROR(__xludf.DUMMYFUNCTION("""COMPUTED_VALUE"""),"")</f>
        <v/>
      </c>
      <c r="C2842" s="36" t="str">
        <f>IFERROR(__xludf.DUMMYFUNCTION("""COMPUTED_VALUE"""),"")</f>
        <v/>
      </c>
      <c r="D2842" s="36" t="str">
        <f>IFERROR(__xludf.DUMMYFUNCTION("""COMPUTED_VALUE"""),"")</f>
        <v/>
      </c>
      <c r="E2842" s="36" t="str">
        <f>IFERROR(__xludf.DUMMYFUNCTION("""COMPUTED_VALUE"""),"01-49-07-75")</f>
        <v>01-49-07-75</v>
      </c>
      <c r="F2842" s="36"/>
      <c r="G2842" s="36" t="str">
        <f>IFERROR(__xludf.DUMMYFUNCTION("""COMPUTED_VALUE"""),"Urquiza y F. de Miranda")</f>
        <v>Urquiza y F. de Miranda</v>
      </c>
      <c r="H2842" s="36" t="str">
        <f>IFERROR(__xludf.DUMMYFUNCTION("""COMPUTED_VALUE"""),"")</f>
        <v/>
      </c>
    </row>
    <row r="2843">
      <c r="A2843" s="36" t="str">
        <f>IFERROR(__xludf.DUMMYFUNCTION("""COMPUTED_VALUE"""),"04-22-14-87")</f>
        <v>04-22-14-87</v>
      </c>
      <c r="B2843" s="36" t="str">
        <f>IFERROR(__xludf.DUMMYFUNCTION("""COMPUTED_VALUE"""),"")</f>
        <v/>
      </c>
      <c r="C2843" s="36" t="str">
        <f>IFERROR(__xludf.DUMMYFUNCTION("""COMPUTED_VALUE"""),"")</f>
        <v/>
      </c>
      <c r="D2843" s="36" t="str">
        <f>IFERROR(__xludf.DUMMYFUNCTION("""COMPUTED_VALUE"""),"")</f>
        <v/>
      </c>
      <c r="E2843" s="36" t="str">
        <f>IFERROR(__xludf.DUMMYFUNCTION("""COMPUTED_VALUE"""),"01-50-07-57")</f>
        <v>01-50-07-57</v>
      </c>
      <c r="F2843" s="36"/>
      <c r="G2843" s="36" t="str">
        <f>IFERROR(__xludf.DUMMYFUNCTION("""COMPUTED_VALUE"""),"Urquiza y General Paz")</f>
        <v>Urquiza y General Paz</v>
      </c>
      <c r="H2843" s="36" t="str">
        <f>IFERROR(__xludf.DUMMYFUNCTION("""COMPUTED_VALUE"""),"")</f>
        <v/>
      </c>
    </row>
    <row r="2844">
      <c r="A2844" s="36" t="str">
        <f>IFERROR(__xludf.DUMMYFUNCTION("""COMPUTED_VALUE"""),"04-24-14-140")</f>
        <v>04-24-14-140</v>
      </c>
      <c r="B2844" s="36" t="str">
        <f>IFERROR(__xludf.DUMMYFUNCTION("""COMPUTED_VALUE"""),"")</f>
        <v/>
      </c>
      <c r="C2844" s="36" t="str">
        <f>IFERROR(__xludf.DUMMYFUNCTION("""COMPUTED_VALUE"""),"")</f>
        <v/>
      </c>
      <c r="D2844" s="36" t="str">
        <f>IFERROR(__xludf.DUMMYFUNCTION("""COMPUTED_VALUE"""),"")</f>
        <v/>
      </c>
      <c r="E2844" s="36" t="str">
        <f>IFERROR(__xludf.DUMMYFUNCTION("""COMPUTED_VALUE"""),"01-58-12-342")</f>
        <v>01-58-12-342</v>
      </c>
      <c r="F2844" s="36"/>
      <c r="G2844" s="36" t="str">
        <f>IFERROR(__xludf.DUMMYFUNCTION("""COMPUTED_VALUE"""),"Urquiza y Gral. Arenales Este")</f>
        <v>Urquiza y Gral. Arenales Este</v>
      </c>
      <c r="H2844" s="36" t="str">
        <f>IFERROR(__xludf.DUMMYFUNCTION("""COMPUTED_VALUE"""),"")</f>
        <v/>
      </c>
    </row>
    <row r="2845">
      <c r="A2845" s="36" t="str">
        <f>IFERROR(__xludf.DUMMYFUNCTION("""COMPUTED_VALUE"""),"04-24-14-141")</f>
        <v>04-24-14-141</v>
      </c>
      <c r="B2845" s="36" t="str">
        <f>IFERROR(__xludf.DUMMYFUNCTION("""COMPUTED_VALUE"""),"")</f>
        <v/>
      </c>
      <c r="C2845" s="36" t="str">
        <f>IFERROR(__xludf.DUMMYFUNCTION("""COMPUTED_VALUE"""),"")</f>
        <v/>
      </c>
      <c r="D2845" s="36" t="str">
        <f>IFERROR(__xludf.DUMMYFUNCTION("""COMPUTED_VALUE"""),"")</f>
        <v/>
      </c>
      <c r="E2845" s="36" t="str">
        <f>IFERROR(__xludf.DUMMYFUNCTION("""COMPUTED_VALUE"""),"01-58-12-343")</f>
        <v>01-58-12-343</v>
      </c>
      <c r="F2845" s="36"/>
      <c r="G2845" s="36" t="str">
        <f>IFERROR(__xludf.DUMMYFUNCTION("""COMPUTED_VALUE"""),"Urquiza y Gral. Arenales Oeste")</f>
        <v>Urquiza y Gral. Arenales Oeste</v>
      </c>
      <c r="H2845" s="36" t="str">
        <f>IFERROR(__xludf.DUMMYFUNCTION("""COMPUTED_VALUE"""),"")</f>
        <v/>
      </c>
    </row>
    <row r="2846">
      <c r="A2846" s="36" t="str">
        <f>IFERROR(__xludf.DUMMYFUNCTION("""COMPUTED_VALUE"""),"04-24-14-144")</f>
        <v>04-24-14-144</v>
      </c>
      <c r="B2846" s="36" t="str">
        <f>IFERROR(__xludf.DUMMYFUNCTION("""COMPUTED_VALUE"""),"")</f>
        <v/>
      </c>
      <c r="C2846" s="36" t="str">
        <f>IFERROR(__xludf.DUMMYFUNCTION("""COMPUTED_VALUE"""),"")</f>
        <v/>
      </c>
      <c r="D2846" s="36" t="str">
        <f>IFERROR(__xludf.DUMMYFUNCTION("""COMPUTED_VALUE"""),"")</f>
        <v/>
      </c>
      <c r="E2846" s="36" t="str">
        <f>IFERROR(__xludf.DUMMYFUNCTION("""COMPUTED_VALUE"""),"03-20-09-223")</f>
        <v>03-20-09-223</v>
      </c>
      <c r="F2846" s="36"/>
      <c r="G2846" s="36" t="str">
        <f>IFERROR(__xludf.DUMMYFUNCTION("""COMPUTED_VALUE"""),"Urquiza y Hermes Quijada")</f>
        <v>Urquiza y Hermes Quijada</v>
      </c>
      <c r="H2846" s="36" t="str">
        <f>IFERROR(__xludf.DUMMYFUNCTION("""COMPUTED_VALUE"""),"")</f>
        <v/>
      </c>
    </row>
    <row r="2847">
      <c r="A2847" s="36" t="str">
        <f>IFERROR(__xludf.DUMMYFUNCTION("""COMPUTED_VALUE"""),"04-24-14-150")</f>
        <v>04-24-14-150</v>
      </c>
      <c r="B2847" s="36" t="str">
        <f>IFERROR(__xludf.DUMMYFUNCTION("""COMPUTED_VALUE"""),"")</f>
        <v/>
      </c>
      <c r="C2847" s="36" t="str">
        <f>IFERROR(__xludf.DUMMYFUNCTION("""COMPUTED_VALUE"""),"")</f>
        <v/>
      </c>
      <c r="D2847" s="36" t="str">
        <f>IFERROR(__xludf.DUMMYFUNCTION("""COMPUTED_VALUE"""),"")</f>
        <v/>
      </c>
      <c r="E2847" s="36" t="str">
        <f>IFERROR(__xludf.DUMMYFUNCTION("""COMPUTED_VALUE"""),"03-20-09-235")</f>
        <v>03-20-09-235</v>
      </c>
      <c r="F2847" s="36"/>
      <c r="G2847" s="36" t="str">
        <f>IFERROR(__xludf.DUMMYFUNCTION("""COMPUTED_VALUE"""),"Urquiza y Necochea")</f>
        <v>Urquiza y Necochea</v>
      </c>
      <c r="H2847" s="36" t="str">
        <f>IFERROR(__xludf.DUMMYFUNCTION("""COMPUTED_VALUE"""),"")</f>
        <v/>
      </c>
    </row>
    <row r="2848">
      <c r="A2848" s="36" t="str">
        <f>IFERROR(__xludf.DUMMYFUNCTION("""COMPUTED_VALUE"""),"04-24-14-152")</f>
        <v>04-24-14-152</v>
      </c>
      <c r="B2848" s="36" t="str">
        <f>IFERROR(__xludf.DUMMYFUNCTION("""COMPUTED_VALUE"""),"")</f>
        <v/>
      </c>
      <c r="C2848" s="36" t="str">
        <f>IFERROR(__xludf.DUMMYFUNCTION("""COMPUTED_VALUE"""),"")</f>
        <v/>
      </c>
      <c r="D2848" s="36" t="str">
        <f>IFERROR(__xludf.DUMMYFUNCTION("""COMPUTED_VALUE"""),"")</f>
        <v/>
      </c>
      <c r="E2848" s="36" t="str">
        <f>IFERROR(__xludf.DUMMYFUNCTION("""COMPUTED_VALUE"""),"08-44-03-40")</f>
        <v>08-44-03-40</v>
      </c>
      <c r="F2848" s="36"/>
      <c r="G2848" s="36" t="str">
        <f>IFERROR(__xludf.DUMMYFUNCTION("""COMPUTED_VALUE"""),"Urquiza y Neuquén")</f>
        <v>Urquiza y Neuquén</v>
      </c>
      <c r="H2848" s="36" t="str">
        <f>IFERROR(__xludf.DUMMYFUNCTION("""COMPUTED_VALUE"""),"")</f>
        <v/>
      </c>
    </row>
    <row r="2849">
      <c r="A2849" s="36" t="str">
        <f>IFERROR(__xludf.DUMMYFUNCTION("""COMPUTED_VALUE"""),"04-24-14-153")</f>
        <v>04-24-14-153</v>
      </c>
      <c r="B2849" s="36" t="str">
        <f>IFERROR(__xludf.DUMMYFUNCTION("""COMPUTED_VALUE"""),"")</f>
        <v/>
      </c>
      <c r="C2849" s="36" t="str">
        <f>IFERROR(__xludf.DUMMYFUNCTION("""COMPUTED_VALUE"""),"")</f>
        <v/>
      </c>
      <c r="D2849" s="36" t="str">
        <f>IFERROR(__xludf.DUMMYFUNCTION("""COMPUTED_VALUE"""),"")</f>
        <v/>
      </c>
      <c r="E2849" s="36" t="str">
        <f>IFERROR(__xludf.DUMMYFUNCTION("""COMPUTED_VALUE"""),"01-49-07-73")</f>
        <v>01-49-07-73</v>
      </c>
      <c r="F2849" s="36"/>
      <c r="G2849" s="36" t="str">
        <f>IFERROR(__xludf.DUMMYFUNCTION("""COMPUTED_VALUE"""),"Urquiza y Nuche")</f>
        <v>Urquiza y Nuche</v>
      </c>
      <c r="H2849" s="36" t="str">
        <f>IFERROR(__xludf.DUMMYFUNCTION("""COMPUTED_VALUE"""),"")</f>
        <v/>
      </c>
    </row>
    <row r="2850">
      <c r="A2850" s="36" t="str">
        <f>IFERROR(__xludf.DUMMYFUNCTION("""COMPUTED_VALUE"""),"04-26-14-156")</f>
        <v>04-26-14-156</v>
      </c>
      <c r="B2850" s="36" t="str">
        <f>IFERROR(__xludf.DUMMYFUNCTION("""COMPUTED_VALUE"""),"")</f>
        <v/>
      </c>
      <c r="C2850" s="36" t="str">
        <f>IFERROR(__xludf.DUMMYFUNCTION("""COMPUTED_VALUE"""),"")</f>
        <v/>
      </c>
      <c r="D2850" s="36" t="str">
        <f>IFERROR(__xludf.DUMMYFUNCTION("""COMPUTED_VALUE"""),"")</f>
        <v/>
      </c>
      <c r="E2850" s="36" t="str">
        <f>IFERROR(__xludf.DUMMYFUNCTION("""COMPUTED_VALUE"""),"08-44-03-39")</f>
        <v>08-44-03-39</v>
      </c>
      <c r="F2850" s="36"/>
      <c r="G2850" s="36" t="str">
        <f>IFERROR(__xludf.DUMMYFUNCTION("""COMPUTED_VALUE"""),"Urquiza y Patagonia")</f>
        <v>Urquiza y Patagonia</v>
      </c>
      <c r="H2850" s="36" t="str">
        <f>IFERROR(__xludf.DUMMYFUNCTION("""COMPUTED_VALUE"""),"")</f>
        <v/>
      </c>
    </row>
    <row r="2851">
      <c r="A2851" s="36" t="str">
        <f>IFERROR(__xludf.DUMMYFUNCTION("""COMPUTED_VALUE"""),"04-26-14-158")</f>
        <v>04-26-14-158</v>
      </c>
      <c r="B2851" s="36" t="str">
        <f>IFERROR(__xludf.DUMMYFUNCTION("""COMPUTED_VALUE"""),"")</f>
        <v/>
      </c>
      <c r="C2851" s="36" t="str">
        <f>IFERROR(__xludf.DUMMYFUNCTION("""COMPUTED_VALUE"""),"")</f>
        <v/>
      </c>
      <c r="D2851" s="36" t="str">
        <f>IFERROR(__xludf.DUMMYFUNCTION("""COMPUTED_VALUE"""),"")</f>
        <v/>
      </c>
      <c r="E2851" s="36" t="str">
        <f>IFERROR(__xludf.DUMMYFUNCTION("""COMPUTED_VALUE"""),"01-58-12-338")</f>
        <v>01-58-12-338</v>
      </c>
      <c r="F2851" s="36"/>
      <c r="G2851" s="36" t="str">
        <f>IFERROR(__xludf.DUMMYFUNCTION("""COMPUTED_VALUE"""),"Urquiza y Pedro de Valdivia Oeste")</f>
        <v>Urquiza y Pedro de Valdivia Oeste</v>
      </c>
      <c r="H2851" s="36" t="str">
        <f>IFERROR(__xludf.DUMMYFUNCTION("""COMPUTED_VALUE"""),"")</f>
        <v/>
      </c>
    </row>
    <row r="2852">
      <c r="A2852" s="36" t="str">
        <f>IFERROR(__xludf.DUMMYFUNCTION("""COMPUTED_VALUE"""),"04-28-14-149")</f>
        <v>04-28-14-149</v>
      </c>
      <c r="B2852" s="36" t="str">
        <f>IFERROR(__xludf.DUMMYFUNCTION("""COMPUTED_VALUE"""),"")</f>
        <v/>
      </c>
      <c r="C2852" s="36" t="str">
        <f>IFERROR(__xludf.DUMMYFUNCTION("""COMPUTED_VALUE"""),"")</f>
        <v/>
      </c>
      <c r="D2852" s="36" t="str">
        <f>IFERROR(__xludf.DUMMYFUNCTION("""COMPUTED_VALUE"""),"")</f>
        <v/>
      </c>
      <c r="E2852" s="36" t="str">
        <f>IFERROR(__xludf.DUMMYFUNCTION("""COMPUTED_VALUE"""),"01-35-07-238")</f>
        <v>01-35-07-238</v>
      </c>
      <c r="F2852" s="36"/>
      <c r="G2852" s="36" t="str">
        <f>IFERROR(__xludf.DUMMYFUNCTION("""COMPUTED_VALUE"""),"Urquiza y Plaza Ejercito Argentino")</f>
        <v>Urquiza y Plaza Ejercito Argentino</v>
      </c>
      <c r="H2852" s="36" t="str">
        <f>IFERROR(__xludf.DUMMYFUNCTION("""COMPUTED_VALUE"""),"")</f>
        <v/>
      </c>
    </row>
    <row r="2853">
      <c r="A2853" s="36" t="str">
        <f>IFERROR(__xludf.DUMMYFUNCTION("""COMPUTED_VALUE"""),"04-28-14-151")</f>
        <v>04-28-14-151</v>
      </c>
      <c r="B2853" s="36" t="str">
        <f>IFERROR(__xludf.DUMMYFUNCTION("""COMPUTED_VALUE"""),"")</f>
        <v/>
      </c>
      <c r="C2853" s="36" t="str">
        <f>IFERROR(__xludf.DUMMYFUNCTION("""COMPUTED_VALUE"""),"")</f>
        <v/>
      </c>
      <c r="D2853" s="36" t="str">
        <f>IFERROR(__xludf.DUMMYFUNCTION("""COMPUTED_VALUE"""),"")</f>
        <v/>
      </c>
      <c r="E2853" s="36" t="str">
        <f>IFERROR(__xludf.DUMMYFUNCTION("""COMPUTED_VALUE"""),"08-44-03-41")</f>
        <v>08-44-03-41</v>
      </c>
      <c r="F2853" s="36"/>
      <c r="G2853" s="36" t="str">
        <f>IFERROR(__xludf.DUMMYFUNCTION("""COMPUTED_VALUE"""),"Urquiza y Porres")</f>
        <v>Urquiza y Porres</v>
      </c>
      <c r="H2853" s="36" t="str">
        <f>IFERROR(__xludf.DUMMYFUNCTION("""COMPUTED_VALUE"""),"")</f>
        <v/>
      </c>
    </row>
    <row r="2854">
      <c r="A2854" s="36" t="str">
        <f>IFERROR(__xludf.DUMMYFUNCTION("""COMPUTED_VALUE"""),"04-28-14-154")</f>
        <v>04-28-14-154</v>
      </c>
      <c r="B2854" s="36" t="str">
        <f>IFERROR(__xludf.DUMMYFUNCTION("""COMPUTED_VALUE"""),"")</f>
        <v/>
      </c>
      <c r="C2854" s="36" t="str">
        <f>IFERROR(__xludf.DUMMYFUNCTION("""COMPUTED_VALUE"""),"")</f>
        <v/>
      </c>
      <c r="D2854" s="36" t="str">
        <f>IFERROR(__xludf.DUMMYFUNCTION("""COMPUTED_VALUE"""),"")</f>
        <v/>
      </c>
      <c r="E2854" s="36" t="str">
        <f>IFERROR(__xludf.DUMMYFUNCTION("""COMPUTED_VALUE"""),"03-20-09-233")</f>
        <v>03-20-09-233</v>
      </c>
      <c r="F2854" s="36"/>
      <c r="G2854" s="36" t="str">
        <f>IFERROR(__xludf.DUMMYFUNCTION("""COMPUTED_VALUE"""),"Urquiza y Pueyrredón")</f>
        <v>Urquiza y Pueyrredón</v>
      </c>
      <c r="H2854" s="36" t="str">
        <f>IFERROR(__xludf.DUMMYFUNCTION("""COMPUTED_VALUE"""),"")</f>
        <v/>
      </c>
    </row>
    <row r="2855">
      <c r="A2855" s="36" t="str">
        <f>IFERROR(__xludf.DUMMYFUNCTION("""COMPUTED_VALUE"""),"04-28-14-155")</f>
        <v>04-28-14-155</v>
      </c>
      <c r="B2855" s="36" t="str">
        <f>IFERROR(__xludf.DUMMYFUNCTION("""COMPUTED_VALUE"""),"")</f>
        <v/>
      </c>
      <c r="C2855" s="36" t="str">
        <f>IFERROR(__xludf.DUMMYFUNCTION("""COMPUTED_VALUE"""),"")</f>
        <v/>
      </c>
      <c r="D2855" s="36" t="str">
        <f>IFERROR(__xludf.DUMMYFUNCTION("""COMPUTED_VALUE"""),"")</f>
        <v/>
      </c>
      <c r="E2855" s="36" t="str">
        <f>IFERROR(__xludf.DUMMYFUNCTION("""COMPUTED_VALUE"""),"04-20-12-240")</f>
        <v>04-20-12-240</v>
      </c>
      <c r="F2855" s="36"/>
      <c r="G2855" s="36" t="str">
        <f>IFERROR(__xludf.DUMMYFUNCTION("""COMPUTED_VALUE"""),"Urquiza y San Lorenzo")</f>
        <v>Urquiza y San Lorenzo</v>
      </c>
      <c r="H2855" s="36" t="str">
        <f>IFERROR(__xludf.DUMMYFUNCTION("""COMPUTED_VALUE"""),"")</f>
        <v/>
      </c>
    </row>
    <row r="2856">
      <c r="A2856" s="36" t="str">
        <f>IFERROR(__xludf.DUMMYFUNCTION("""COMPUTED_VALUE"""),"04-28-14-157")</f>
        <v>04-28-14-157</v>
      </c>
      <c r="B2856" s="36" t="str">
        <f>IFERROR(__xludf.DUMMYFUNCTION("""COMPUTED_VALUE"""),"")</f>
        <v/>
      </c>
      <c r="C2856" s="36" t="str">
        <f>IFERROR(__xludf.DUMMYFUNCTION("""COMPUTED_VALUE"""),"")</f>
        <v/>
      </c>
      <c r="D2856" s="36" t="str">
        <f>IFERROR(__xludf.DUMMYFUNCTION("""COMPUTED_VALUE"""),"")</f>
        <v/>
      </c>
      <c r="E2856" s="36" t="str">
        <f>IFERROR(__xludf.DUMMYFUNCTION("""COMPUTED_VALUE"""),"03-20-09-231")</f>
        <v>03-20-09-231</v>
      </c>
      <c r="F2856" s="36"/>
      <c r="G2856" s="36" t="str">
        <f>IFERROR(__xludf.DUMMYFUNCTION("""COMPUTED_VALUE"""),"Urquiza y Tortosa")</f>
        <v>Urquiza y Tortosa</v>
      </c>
      <c r="H2856" s="36" t="str">
        <f>IFERROR(__xludf.DUMMYFUNCTION("""COMPUTED_VALUE"""),"")</f>
        <v/>
      </c>
    </row>
    <row r="2857">
      <c r="A2857" s="36" t="str">
        <f>IFERROR(__xludf.DUMMYFUNCTION("""COMPUTED_VALUE"""),"04-28-14-159")</f>
        <v>04-28-14-159</v>
      </c>
      <c r="B2857" s="36" t="str">
        <f>IFERROR(__xludf.DUMMYFUNCTION("""COMPUTED_VALUE"""),"")</f>
        <v/>
      </c>
      <c r="C2857" s="36" t="str">
        <f>IFERROR(__xludf.DUMMYFUNCTION("""COMPUTED_VALUE"""),"")</f>
        <v/>
      </c>
      <c r="D2857" s="36" t="str">
        <f>IFERROR(__xludf.DUMMYFUNCTION("""COMPUTED_VALUE"""),"")</f>
        <v/>
      </c>
      <c r="E2857" s="36" t="str">
        <f>IFERROR(__xludf.DUMMYFUNCTION("""COMPUTED_VALUE"""),"04-20-12-241")</f>
        <v>04-20-12-241</v>
      </c>
      <c r="F2857" s="36"/>
      <c r="G2857" s="36" t="str">
        <f>IFERROR(__xludf.DUMMYFUNCTION("""COMPUTED_VALUE"""),"Urquiza y Virgen del Loreto")</f>
        <v>Urquiza y Virgen del Loreto</v>
      </c>
      <c r="H2857" s="36" t="str">
        <f>IFERROR(__xludf.DUMMYFUNCTION("""COMPUTED_VALUE"""),"")</f>
        <v/>
      </c>
    </row>
    <row r="2858">
      <c r="A2858" s="36" t="str">
        <f>IFERROR(__xludf.DUMMYFUNCTION("""COMPUTED_VALUE"""),"04-30-14-109A")</f>
        <v>04-30-14-109A</v>
      </c>
      <c r="B2858" s="36" t="str">
        <f>IFERROR(__xludf.DUMMYFUNCTION("""COMPUTED_VALUE"""),"")</f>
        <v/>
      </c>
      <c r="C2858" s="36" t="str">
        <f>IFERROR(__xludf.DUMMYFUNCTION("""COMPUTED_VALUE"""),"")</f>
        <v/>
      </c>
      <c r="D2858" s="36" t="str">
        <f>IFERROR(__xludf.DUMMYFUNCTION("""COMPUTED_VALUE"""),"")</f>
        <v/>
      </c>
      <c r="E2858" s="36" t="str">
        <f>IFERROR(__xludf.DUMMYFUNCTION("""COMPUTED_VALUE"""),"08-30-01-9A")</f>
        <v>08-30-01-9A</v>
      </c>
      <c r="F2858" s="36"/>
      <c r="G2858" s="36" t="str">
        <f>IFERROR(__xludf.DUMMYFUNCTION("""COMPUTED_VALUE"""),"V° Pueyrredón N")</f>
        <v>V° Pueyrredón N</v>
      </c>
      <c r="H2858" s="36" t="str">
        <f>IFERROR(__xludf.DUMMYFUNCTION("""COMPUTED_VALUE"""),"")</f>
        <v/>
      </c>
    </row>
    <row r="2859">
      <c r="A2859" s="36" t="str">
        <f>IFERROR(__xludf.DUMMYFUNCTION("""COMPUTED_VALUE"""),"04-30-14-111")</f>
        <v>04-30-14-111</v>
      </c>
      <c r="B2859" s="36" t="str">
        <f>IFERROR(__xludf.DUMMYFUNCTION("""COMPUTED_VALUE"""),"")</f>
        <v/>
      </c>
      <c r="C2859" s="36" t="str">
        <f>IFERROR(__xludf.DUMMYFUNCTION("""COMPUTED_VALUE"""),"")</f>
        <v/>
      </c>
      <c r="D2859" s="36" t="str">
        <f>IFERROR(__xludf.DUMMYFUNCTION("""COMPUTED_VALUE"""),"")</f>
        <v/>
      </c>
      <c r="E2859" s="36" t="str">
        <f>IFERROR(__xludf.DUMMYFUNCTION("""COMPUTED_VALUE"""),"02-42-11-39")</f>
        <v>02-42-11-39</v>
      </c>
      <c r="F2859" s="36"/>
      <c r="G2859" s="36" t="str">
        <f>IFERROR(__xludf.DUMMYFUNCTION("""COMPUTED_VALUE"""),"Va. San Justo")</f>
        <v>Va. San Justo</v>
      </c>
      <c r="H2859" s="36" t="str">
        <f>IFERROR(__xludf.DUMMYFUNCTION("""COMPUTED_VALUE"""),"")</f>
        <v/>
      </c>
    </row>
    <row r="2860">
      <c r="A2860" s="36" t="str">
        <f>IFERROR(__xludf.DUMMYFUNCTION("""COMPUTED_VALUE"""),"04-30-14-113")</f>
        <v>04-30-14-113</v>
      </c>
      <c r="B2860" s="36" t="str">
        <f>IFERROR(__xludf.DUMMYFUNCTION("""COMPUTED_VALUE"""),"")</f>
        <v/>
      </c>
      <c r="C2860" s="36" t="str">
        <f>IFERROR(__xludf.DUMMYFUNCTION("""COMPUTED_VALUE"""),"")</f>
        <v/>
      </c>
      <c r="D2860" s="36" t="str">
        <f>IFERROR(__xludf.DUMMYFUNCTION("""COMPUTED_VALUE"""),"")</f>
        <v/>
      </c>
      <c r="E2860" s="36" t="str">
        <f>IFERROR(__xludf.DUMMYFUNCTION("""COMPUTED_VALUE"""),"02-32-11-108A")</f>
        <v>02-32-11-108A</v>
      </c>
      <c r="F2860" s="36"/>
      <c r="G2860" s="36" t="str">
        <f>IFERROR(__xludf.DUMMYFUNCTION("""COMPUTED_VALUE"""),"Valenzuela Varas Norte y Gral. Madariaga N")</f>
        <v>Valenzuela Varas Norte y Gral. Madariaga N</v>
      </c>
      <c r="H2860" s="36" t="str">
        <f>IFERROR(__xludf.DUMMYFUNCTION("""COMPUTED_VALUE"""),"")</f>
        <v/>
      </c>
    </row>
    <row r="2861">
      <c r="A2861" s="36" t="str">
        <f>IFERROR(__xludf.DUMMYFUNCTION("""COMPUTED_VALUE"""),"04-30-14-115")</f>
        <v>04-30-14-115</v>
      </c>
      <c r="B2861" s="36" t="str">
        <f>IFERROR(__xludf.DUMMYFUNCTION("""COMPUTED_VALUE"""),"")</f>
        <v/>
      </c>
      <c r="C2861" s="36" t="str">
        <f>IFERROR(__xludf.DUMMYFUNCTION("""COMPUTED_VALUE"""),"")</f>
        <v/>
      </c>
      <c r="D2861" s="36" t="str">
        <f>IFERROR(__xludf.DUMMYFUNCTION("""COMPUTED_VALUE"""),"")</f>
        <v/>
      </c>
      <c r="E2861" s="36" t="str">
        <f>IFERROR(__xludf.DUMMYFUNCTION("""COMPUTED_VALUE"""),"02-36-11-108")</f>
        <v>02-36-11-108</v>
      </c>
      <c r="F2861" s="36"/>
      <c r="G2861" s="36" t="str">
        <f>IFERROR(__xludf.DUMMYFUNCTION("""COMPUTED_VALUE"""),"Valenzuela Varas Norte y Gral. Madariaga S")</f>
        <v>Valenzuela Varas Norte y Gral. Madariaga S</v>
      </c>
      <c r="H2861" s="36" t="str">
        <f>IFERROR(__xludf.DUMMYFUNCTION("""COMPUTED_VALUE"""),"")</f>
        <v/>
      </c>
    </row>
    <row r="2862">
      <c r="A2862" s="36" t="str">
        <f>IFERROR(__xludf.DUMMYFUNCTION("""COMPUTED_VALUE"""),"04-30-14-117A")</f>
        <v>04-30-14-117A</v>
      </c>
      <c r="B2862" s="36" t="str">
        <f>IFERROR(__xludf.DUMMYFUNCTION("""COMPUTED_VALUE"""),"")</f>
        <v/>
      </c>
      <c r="C2862" s="36" t="str">
        <f>IFERROR(__xludf.DUMMYFUNCTION("""COMPUTED_VALUE"""),"")</f>
        <v/>
      </c>
      <c r="D2862" s="36" t="str">
        <f>IFERROR(__xludf.DUMMYFUNCTION("""COMPUTED_VALUE"""),"")</f>
        <v/>
      </c>
      <c r="E2862" s="36" t="str">
        <f>IFERROR(__xludf.DUMMYFUNCTION("""COMPUTED_VALUE"""),"02-36-11-107")</f>
        <v>02-36-11-107</v>
      </c>
      <c r="F2862" s="36"/>
      <c r="G2862" s="36" t="str">
        <f>IFERROR(__xludf.DUMMYFUNCTION("""COMPUTED_VALUE"""),"Valenzuela Varas y Pablo Di Marco")</f>
        <v>Valenzuela Varas y Pablo Di Marco</v>
      </c>
      <c r="H2862" s="36" t="str">
        <f>IFERROR(__xludf.DUMMYFUNCTION("""COMPUTED_VALUE"""),"")</f>
        <v/>
      </c>
    </row>
    <row r="2863">
      <c r="A2863" s="36" t="str">
        <f>IFERROR(__xludf.DUMMYFUNCTION("""COMPUTED_VALUE"""),"04-30-14-118A")</f>
        <v>04-30-14-118A</v>
      </c>
      <c r="B2863" s="36" t="str">
        <f>IFERROR(__xludf.DUMMYFUNCTION("""COMPUTED_VALUE"""),"")</f>
        <v/>
      </c>
      <c r="C2863" s="36" t="str">
        <f>IFERROR(__xludf.DUMMYFUNCTION("""COMPUTED_VALUE"""),"")</f>
        <v/>
      </c>
      <c r="D2863" s="36" t="str">
        <f>IFERROR(__xludf.DUMMYFUNCTION("""COMPUTED_VALUE"""),"")</f>
        <v/>
      </c>
      <c r="E2863" s="36" t="str">
        <f>IFERROR(__xludf.DUMMYFUNCTION("""COMPUTED_VALUE"""),"02-36-11-106A")</f>
        <v>02-36-11-106A</v>
      </c>
      <c r="F2863" s="36"/>
      <c r="G2863" s="36" t="str">
        <f>IFERROR(__xludf.DUMMYFUNCTION("""COMPUTED_VALUE"""),"Valenzuela Varas y W. Kenny")</f>
        <v>Valenzuela Varas y W. Kenny</v>
      </c>
      <c r="H2863" s="36" t="str">
        <f>IFERROR(__xludf.DUMMYFUNCTION("""COMPUTED_VALUE"""),"")</f>
        <v/>
      </c>
    </row>
    <row r="2864">
      <c r="A2864" s="36" t="str">
        <f>IFERROR(__xludf.DUMMYFUNCTION("""COMPUTED_VALUE"""),"04-30-14-119A")</f>
        <v>04-30-14-119A</v>
      </c>
      <c r="B2864" s="36" t="str">
        <f>IFERROR(__xludf.DUMMYFUNCTION("""COMPUTED_VALUE"""),"")</f>
        <v/>
      </c>
      <c r="C2864" s="36" t="str">
        <f>IFERROR(__xludf.DUMMYFUNCTION("""COMPUTED_VALUE"""),"")</f>
        <v/>
      </c>
      <c r="D2864" s="36" t="str">
        <f>IFERROR(__xludf.DUMMYFUNCTION("""COMPUTED_VALUE"""),"")</f>
        <v/>
      </c>
      <c r="E2864" s="36" t="str">
        <f>IFERROR(__xludf.DUMMYFUNCTION("""COMPUTED_VALUE"""),"08-31-01-6")</f>
        <v>08-31-01-6</v>
      </c>
      <c r="F2864" s="36"/>
      <c r="G2864" s="36" t="str">
        <f>IFERROR(__xludf.DUMMYFUNCTION("""COMPUTED_VALUE"""),"Valle Fértil y Quiroga N")</f>
        <v>Valle Fértil y Quiroga N</v>
      </c>
      <c r="H2864" s="36" t="str">
        <f>IFERROR(__xludf.DUMMYFUNCTION("""COMPUTED_VALUE"""),"")</f>
        <v/>
      </c>
    </row>
    <row r="2865">
      <c r="A2865" s="36" t="str">
        <f>IFERROR(__xludf.DUMMYFUNCTION("""COMPUTED_VALUE"""),"04-30-14-120A")</f>
        <v>04-30-14-120A</v>
      </c>
      <c r="B2865" s="36" t="str">
        <f>IFERROR(__xludf.DUMMYFUNCTION("""COMPUTED_VALUE"""),"")</f>
        <v/>
      </c>
      <c r="C2865" s="36" t="str">
        <f>IFERROR(__xludf.DUMMYFUNCTION("""COMPUTED_VALUE"""),"")</f>
        <v/>
      </c>
      <c r="D2865" s="36" t="str">
        <f>IFERROR(__xludf.DUMMYFUNCTION("""COMPUTED_VALUE"""),"")</f>
        <v/>
      </c>
      <c r="E2865" s="36" t="str">
        <f>IFERROR(__xludf.DUMMYFUNCTION("""COMPUTED_VALUE"""),"08-31-01-5")</f>
        <v>08-31-01-5</v>
      </c>
      <c r="F2865" s="36"/>
      <c r="G2865" s="36" t="str">
        <f>IFERROR(__xludf.DUMMYFUNCTION("""COMPUTED_VALUE"""),"Valle Fértil y Quiroga S")</f>
        <v>Valle Fértil y Quiroga S</v>
      </c>
      <c r="H2865" s="36" t="str">
        <f>IFERROR(__xludf.DUMMYFUNCTION("""COMPUTED_VALUE"""),"")</f>
        <v/>
      </c>
    </row>
    <row r="2866">
      <c r="A2866" s="36" t="str">
        <f>IFERROR(__xludf.DUMMYFUNCTION("""COMPUTED_VALUE"""),"04-30-14-121A")</f>
        <v>04-30-14-121A</v>
      </c>
      <c r="B2866" s="36" t="str">
        <f>IFERROR(__xludf.DUMMYFUNCTION("""COMPUTED_VALUE"""),"")</f>
        <v/>
      </c>
      <c r="C2866" s="36" t="str">
        <f>IFERROR(__xludf.DUMMYFUNCTION("""COMPUTED_VALUE"""),"")</f>
        <v/>
      </c>
      <c r="D2866" s="36" t="str">
        <f>IFERROR(__xludf.DUMMYFUNCTION("""COMPUTED_VALUE"""),"")</f>
        <v/>
      </c>
      <c r="E2866" s="36" t="str">
        <f>IFERROR(__xludf.DUMMYFUNCTION("""COMPUTED_VALUE"""),"02-31-06-66")</f>
        <v>02-31-06-66</v>
      </c>
      <c r="F2866" s="36"/>
      <c r="G2866" s="36" t="str">
        <f>IFERROR(__xludf.DUMMYFUNCTION("""COMPUTED_VALUE"""),"Velázquez y 21 de Setiembre")</f>
        <v>Velázquez y 21 de Setiembre</v>
      </c>
      <c r="H2866" s="36" t="str">
        <f>IFERROR(__xludf.DUMMYFUNCTION("""COMPUTED_VALUE"""),"")</f>
        <v/>
      </c>
    </row>
    <row r="2867">
      <c r="A2867" s="36" t="str">
        <f>IFERROR(__xludf.DUMMYFUNCTION("""COMPUTED_VALUE"""),"04-30-14-124")</f>
        <v>04-30-14-124</v>
      </c>
      <c r="B2867" s="36" t="str">
        <f>IFERROR(__xludf.DUMMYFUNCTION("""COMPUTED_VALUE"""),"")</f>
        <v/>
      </c>
      <c r="C2867" s="36" t="str">
        <f>IFERROR(__xludf.DUMMYFUNCTION("""COMPUTED_VALUE"""),"")</f>
        <v/>
      </c>
      <c r="D2867" s="36" t="str">
        <f>IFERROR(__xludf.DUMMYFUNCTION("""COMPUTED_VALUE"""),"")</f>
        <v/>
      </c>
      <c r="E2867" s="36" t="str">
        <f>IFERROR(__xludf.DUMMYFUNCTION("""COMPUTED_VALUE"""),"02-27-01-44")</f>
        <v>02-27-01-44</v>
      </c>
      <c r="F2867" s="36"/>
      <c r="G2867" s="36" t="str">
        <f>IFERROR(__xludf.DUMMYFUNCTION("""COMPUTED_VALUE"""),"Velázquez y Av. N. Benavídez ")</f>
        <v>Velázquez y Av. N. Benavídez </v>
      </c>
      <c r="H2867" s="36" t="str">
        <f>IFERROR(__xludf.DUMMYFUNCTION("""COMPUTED_VALUE"""),"")</f>
        <v/>
      </c>
    </row>
    <row r="2868">
      <c r="A2868" s="36" t="str">
        <f>IFERROR(__xludf.DUMMYFUNCTION("""COMPUTED_VALUE"""),"04-30-14-124A")</f>
        <v>04-30-14-124A</v>
      </c>
      <c r="B2868" s="36" t="str">
        <f>IFERROR(__xludf.DUMMYFUNCTION("""COMPUTED_VALUE"""),"")</f>
        <v/>
      </c>
      <c r="C2868" s="36" t="str">
        <f>IFERROR(__xludf.DUMMYFUNCTION("""COMPUTED_VALUE"""),"")</f>
        <v/>
      </c>
      <c r="D2868" s="36" t="str">
        <f>IFERROR(__xludf.DUMMYFUNCTION("""COMPUTED_VALUE"""),"")</f>
        <v/>
      </c>
      <c r="E2868" s="36" t="str">
        <f>IFERROR(__xludf.DUMMYFUNCTION("""COMPUTED_VALUE"""),"02-29-07-97")</f>
        <v>02-29-07-97</v>
      </c>
      <c r="F2868" s="36"/>
      <c r="G2868" s="36" t="str">
        <f>IFERROR(__xludf.DUMMYFUNCTION("""COMPUTED_VALUE"""),"Vice Gdor. Cattani y Dr. Bazán Agras")</f>
        <v>Vice Gdor. Cattani y Dr. Bazán Agras</v>
      </c>
      <c r="H2868" s="36" t="str">
        <f>IFERROR(__xludf.DUMMYFUNCTION("""COMPUTED_VALUE"""),"")</f>
        <v/>
      </c>
    </row>
    <row r="2869">
      <c r="A2869" s="36" t="str">
        <f>IFERROR(__xludf.DUMMYFUNCTION("""COMPUTED_VALUE"""),"04-30-14-124B")</f>
        <v>04-30-14-124B</v>
      </c>
      <c r="B2869" s="36" t="str">
        <f>IFERROR(__xludf.DUMMYFUNCTION("""COMPUTED_VALUE"""),"")</f>
        <v/>
      </c>
      <c r="C2869" s="36" t="str">
        <f>IFERROR(__xludf.DUMMYFUNCTION("""COMPUTED_VALUE"""),"")</f>
        <v/>
      </c>
      <c r="D2869" s="36" t="str">
        <f>IFERROR(__xludf.DUMMYFUNCTION("""COMPUTED_VALUE"""),"")</f>
        <v/>
      </c>
      <c r="E2869" s="36" t="str">
        <f>IFERROR(__xludf.DUMMYFUNCTION("""COMPUTED_VALUE"""),"02-29-07-98")</f>
        <v>02-29-07-98</v>
      </c>
      <c r="F2869" s="36"/>
      <c r="G2869" s="36" t="str">
        <f>IFERROR(__xludf.DUMMYFUNCTION("""COMPUTED_VALUE"""),"Vice Gdor. Luis Cattani y 2 de Abril")</f>
        <v>Vice Gdor. Luis Cattani y 2 de Abril</v>
      </c>
      <c r="H2869" s="36" t="str">
        <f>IFERROR(__xludf.DUMMYFUNCTION("""COMPUTED_VALUE"""),"")</f>
        <v/>
      </c>
    </row>
    <row r="2870">
      <c r="A2870" s="36" t="str">
        <f>IFERROR(__xludf.DUMMYFUNCTION("""COMPUTED_VALUE"""),"04-30-14-125")</f>
        <v>04-30-14-125</v>
      </c>
      <c r="B2870" s="36" t="str">
        <f>IFERROR(__xludf.DUMMYFUNCTION("""COMPUTED_VALUE"""),"")</f>
        <v/>
      </c>
      <c r="C2870" s="36" t="str">
        <f>IFERROR(__xludf.DUMMYFUNCTION("""COMPUTED_VALUE"""),"")</f>
        <v/>
      </c>
      <c r="D2870" s="36" t="str">
        <f>IFERROR(__xludf.DUMMYFUNCTION("""COMPUTED_VALUE"""),"")</f>
        <v/>
      </c>
      <c r="E2870" s="36" t="str">
        <f>IFERROR(__xludf.DUMMYFUNCTION("""COMPUTED_VALUE"""),"02-29-07-99")</f>
        <v>02-29-07-99</v>
      </c>
      <c r="F2870" s="36"/>
      <c r="G2870" s="36" t="str">
        <f>IFERROR(__xludf.DUMMYFUNCTION("""COMPUTED_VALUE"""),"Vice Gdor. Luis Cattani y Alberdi")</f>
        <v>Vice Gdor. Luis Cattani y Alberdi</v>
      </c>
      <c r="H2870" s="36" t="str">
        <f>IFERROR(__xludf.DUMMYFUNCTION("""COMPUTED_VALUE"""),"")</f>
        <v/>
      </c>
    </row>
    <row r="2871">
      <c r="A2871" s="36" t="str">
        <f>IFERROR(__xludf.DUMMYFUNCTION("""COMPUTED_VALUE"""),"04-30-14-125A")</f>
        <v>04-30-14-125A</v>
      </c>
      <c r="B2871" s="36" t="str">
        <f>IFERROR(__xludf.DUMMYFUNCTION("""COMPUTED_VALUE"""),"")</f>
        <v/>
      </c>
      <c r="C2871" s="36" t="str">
        <f>IFERROR(__xludf.DUMMYFUNCTION("""COMPUTED_VALUE"""),"")</f>
        <v/>
      </c>
      <c r="D2871" s="36" t="str">
        <f>IFERROR(__xludf.DUMMYFUNCTION("""COMPUTED_VALUE"""),"")</f>
        <v/>
      </c>
      <c r="E2871" s="36" t="str">
        <f>IFERROR(__xludf.DUMMYFUNCTION("""COMPUTED_VALUE"""),"02-29-07-100")</f>
        <v>02-29-07-100</v>
      </c>
      <c r="F2871" s="36"/>
      <c r="G2871" s="36" t="str">
        <f>IFERROR(__xludf.DUMMYFUNCTION("""COMPUTED_VALUE"""),"Vice Gdor. Luis Cattani y Fray M. Esquiú")</f>
        <v>Vice Gdor. Luis Cattani y Fray M. Esquiú</v>
      </c>
      <c r="H2871" s="36" t="str">
        <f>IFERROR(__xludf.DUMMYFUNCTION("""COMPUTED_VALUE"""),"")</f>
        <v/>
      </c>
    </row>
    <row r="2872">
      <c r="A2872" s="36" t="str">
        <f>IFERROR(__xludf.DUMMYFUNCTION("""COMPUTED_VALUE"""),"04-30-14-125B")</f>
        <v>04-30-14-125B</v>
      </c>
      <c r="B2872" s="36" t="str">
        <f>IFERROR(__xludf.DUMMYFUNCTION("""COMPUTED_VALUE"""),"")</f>
        <v/>
      </c>
      <c r="C2872" s="36" t="str">
        <f>IFERROR(__xludf.DUMMYFUNCTION("""COMPUTED_VALUE"""),"")</f>
        <v/>
      </c>
      <c r="D2872" s="36" t="str">
        <f>IFERROR(__xludf.DUMMYFUNCTION("""COMPUTED_VALUE"""),"")</f>
        <v/>
      </c>
      <c r="E2872" s="36" t="str">
        <f>IFERROR(__xludf.DUMMYFUNCTION("""COMPUTED_VALUE"""),"02-29-07-101")</f>
        <v>02-29-07-101</v>
      </c>
      <c r="F2872" s="36"/>
      <c r="G2872" s="36" t="str">
        <f>IFERROR(__xludf.DUMMYFUNCTION("""COMPUTED_VALUE"""),"Vice Gdor. Luis Cattani y Zuluaga")</f>
        <v>Vice Gdor. Luis Cattani y Zuluaga</v>
      </c>
      <c r="H2872" s="36" t="str">
        <f>IFERROR(__xludf.DUMMYFUNCTION("""COMPUTED_VALUE"""),"")</f>
        <v/>
      </c>
    </row>
    <row r="2873">
      <c r="A2873" s="36" t="str">
        <f>IFERROR(__xludf.DUMMYFUNCTION("""COMPUTED_VALUE"""),"04-30-14-128")</f>
        <v>04-30-14-128</v>
      </c>
      <c r="B2873" s="36" t="str">
        <f>IFERROR(__xludf.DUMMYFUNCTION("""COMPUTED_VALUE"""),"")</f>
        <v/>
      </c>
      <c r="C2873" s="36" t="str">
        <f>IFERROR(__xludf.DUMMYFUNCTION("""COMPUTED_VALUE"""),"")</f>
        <v/>
      </c>
      <c r="D2873" s="36" t="str">
        <f>IFERROR(__xludf.DUMMYFUNCTION("""COMPUTED_VALUE"""),"")</f>
        <v/>
      </c>
      <c r="E2873" s="36" t="str">
        <f>IFERROR(__xludf.DUMMYFUNCTION("""COMPUTED_VALUE"""),"04-45-12-65")</f>
        <v>04-45-12-65</v>
      </c>
      <c r="F2873" s="36"/>
      <c r="G2873" s="36" t="str">
        <f>IFERROR(__xludf.DUMMYFUNCTION("""COMPUTED_VALUE"""),"Vidart e/ Colón y Dr. Ortega Este")</f>
        <v>Vidart e/ Colón y Dr. Ortega Este</v>
      </c>
      <c r="H2873" s="36" t="str">
        <f>IFERROR(__xludf.DUMMYFUNCTION("""COMPUTED_VALUE"""),"")</f>
        <v/>
      </c>
    </row>
    <row r="2874">
      <c r="A2874" s="36" t="str">
        <f>IFERROR(__xludf.DUMMYFUNCTION("""COMPUTED_VALUE"""),"04-30-14-130")</f>
        <v>04-30-14-130</v>
      </c>
      <c r="B2874" s="36" t="str">
        <f>IFERROR(__xludf.DUMMYFUNCTION("""COMPUTED_VALUE"""),"")</f>
        <v/>
      </c>
      <c r="C2874" s="36" t="str">
        <f>IFERROR(__xludf.DUMMYFUNCTION("""COMPUTED_VALUE"""),"")</f>
        <v/>
      </c>
      <c r="D2874" s="36" t="str">
        <f>IFERROR(__xludf.DUMMYFUNCTION("""COMPUTED_VALUE"""),"")</f>
        <v/>
      </c>
      <c r="E2874" s="36" t="str">
        <f>IFERROR(__xludf.DUMMYFUNCTION("""COMPUTED_VALUE"""),"04-44-12-66")</f>
        <v>04-44-12-66</v>
      </c>
      <c r="F2874" s="36"/>
      <c r="G2874" s="36" t="str">
        <f>IFERROR(__xludf.DUMMYFUNCTION("""COMPUTED_VALUE"""),"Vidart e/ Colón y Dr. Ortega Oeste")</f>
        <v>Vidart e/ Colón y Dr. Ortega Oeste</v>
      </c>
      <c r="H2874" s="36" t="str">
        <f>IFERROR(__xludf.DUMMYFUNCTION("""COMPUTED_VALUE"""),"")</f>
        <v/>
      </c>
    </row>
    <row r="2875">
      <c r="A2875" s="36" t="str">
        <f>IFERROR(__xludf.DUMMYFUNCTION("""COMPUTED_VALUE"""),"04-30-14-132")</f>
        <v>04-30-14-132</v>
      </c>
      <c r="B2875" s="36" t="str">
        <f>IFERROR(__xludf.DUMMYFUNCTION("""COMPUTED_VALUE"""),"")</f>
        <v/>
      </c>
      <c r="C2875" s="36" t="str">
        <f>IFERROR(__xludf.DUMMYFUNCTION("""COMPUTED_VALUE"""),"")</f>
        <v/>
      </c>
      <c r="D2875" s="36" t="str">
        <f>IFERROR(__xludf.DUMMYFUNCTION("""COMPUTED_VALUE"""),"")</f>
        <v/>
      </c>
      <c r="E2875" s="36" t="str">
        <f>IFERROR(__xludf.DUMMYFUNCTION("""COMPUTED_VALUE"""),"04-35-12-68")</f>
        <v>04-35-12-68</v>
      </c>
      <c r="F2875" s="36"/>
      <c r="G2875" s="36" t="str">
        <f>IFERROR(__xludf.DUMMYFUNCTION("""COMPUTED_VALUE"""),"Vidart Oeste y Dr. Ortega")</f>
        <v>Vidart Oeste y Dr. Ortega</v>
      </c>
      <c r="H2875" s="36" t="str">
        <f>IFERROR(__xludf.DUMMYFUNCTION("""COMPUTED_VALUE"""),"")</f>
        <v/>
      </c>
    </row>
    <row r="2876">
      <c r="A2876" s="36" t="str">
        <f>IFERROR(__xludf.DUMMYFUNCTION("""COMPUTED_VALUE"""),"04-30-14-134")</f>
        <v>04-30-14-134</v>
      </c>
      <c r="B2876" s="36" t="str">
        <f>IFERROR(__xludf.DUMMYFUNCTION("""COMPUTED_VALUE"""),"")</f>
        <v/>
      </c>
      <c r="C2876" s="36" t="str">
        <f>IFERROR(__xludf.DUMMYFUNCTION("""COMPUTED_VALUE"""),"")</f>
        <v/>
      </c>
      <c r="D2876" s="36" t="str">
        <f>IFERROR(__xludf.DUMMYFUNCTION("""COMPUTED_VALUE"""),"")</f>
        <v/>
      </c>
      <c r="E2876" s="36" t="str">
        <f>IFERROR(__xludf.DUMMYFUNCTION("""COMPUTED_VALUE"""),"04-35-12-108")</f>
        <v>04-35-12-108</v>
      </c>
      <c r="F2876" s="36"/>
      <c r="G2876" s="36" t="str">
        <f>IFERROR(__xludf.DUMMYFUNCTION("""COMPUTED_VALUE"""),"Vidart Oeste y Gob. Castro")</f>
        <v>Vidart Oeste y Gob. Castro</v>
      </c>
      <c r="H2876" s="36" t="str">
        <f>IFERROR(__xludf.DUMMYFUNCTION("""COMPUTED_VALUE"""),"")</f>
        <v/>
      </c>
    </row>
    <row r="2877">
      <c r="A2877" s="36" t="str">
        <f>IFERROR(__xludf.DUMMYFUNCTION("""COMPUTED_VALUE"""),"04-30-14-134A")</f>
        <v>04-30-14-134A</v>
      </c>
      <c r="B2877" s="36" t="str">
        <f>IFERROR(__xludf.DUMMYFUNCTION("""COMPUTED_VALUE"""),"")</f>
        <v/>
      </c>
      <c r="C2877" s="36" t="str">
        <f>IFERROR(__xludf.DUMMYFUNCTION("""COMPUTED_VALUE"""),"")</f>
        <v/>
      </c>
      <c r="D2877" s="36" t="str">
        <f>IFERROR(__xludf.DUMMYFUNCTION("""COMPUTED_VALUE"""),"")</f>
        <v/>
      </c>
      <c r="E2877" s="36" t="str">
        <f>IFERROR(__xludf.DUMMYFUNCTION("""COMPUTED_VALUE"""),"04-44-12-55")</f>
        <v>04-44-12-55</v>
      </c>
      <c r="F2877" s="36"/>
      <c r="G2877" s="36" t="str">
        <f>IFERROR(__xludf.DUMMYFUNCTION("""COMPUTED_VALUE"""),"Vidart y Agustín Gomez Oeste")</f>
        <v>Vidart y Agustín Gomez Oeste</v>
      </c>
      <c r="H2877" s="36" t="str">
        <f>IFERROR(__xludf.DUMMYFUNCTION("""COMPUTED_VALUE"""),"")</f>
        <v/>
      </c>
    </row>
    <row r="2878">
      <c r="A2878" s="36" t="str">
        <f>IFERROR(__xludf.DUMMYFUNCTION("""COMPUTED_VALUE"""),"04-30-14-134B")</f>
        <v>04-30-14-134B</v>
      </c>
      <c r="B2878" s="36" t="str">
        <f>IFERROR(__xludf.DUMMYFUNCTION("""COMPUTED_VALUE"""),"")</f>
        <v/>
      </c>
      <c r="C2878" s="36" t="str">
        <f>IFERROR(__xludf.DUMMYFUNCTION("""COMPUTED_VALUE"""),"")</f>
        <v/>
      </c>
      <c r="D2878" s="36" t="str">
        <f>IFERROR(__xludf.DUMMYFUNCTION("""COMPUTED_VALUE"""),"")</f>
        <v/>
      </c>
      <c r="E2878" s="36" t="str">
        <f>IFERROR(__xludf.DUMMYFUNCTION("""COMPUTED_VALUE"""),"04-35-12-10")</f>
        <v>04-35-12-10</v>
      </c>
      <c r="F2878" s="36"/>
      <c r="G2878" s="36" t="str">
        <f>IFERROR(__xludf.DUMMYFUNCTION("""COMPUTED_VALUE"""),"Vidart y Alfredo Rizo")</f>
        <v>Vidart y Alfredo Rizo</v>
      </c>
      <c r="H2878" s="36" t="str">
        <f>IFERROR(__xludf.DUMMYFUNCTION("""COMPUTED_VALUE"""),"")</f>
        <v/>
      </c>
    </row>
    <row r="2879">
      <c r="A2879" s="36" t="str">
        <f>IFERROR(__xludf.DUMMYFUNCTION("""COMPUTED_VALUE"""),"04-30-14-135")</f>
        <v>04-30-14-135</v>
      </c>
      <c r="B2879" s="36" t="str">
        <f>IFERROR(__xludf.DUMMYFUNCTION("""COMPUTED_VALUE"""),"")</f>
        <v/>
      </c>
      <c r="C2879" s="36" t="str">
        <f>IFERROR(__xludf.DUMMYFUNCTION("""COMPUTED_VALUE"""),"")</f>
        <v/>
      </c>
      <c r="D2879" s="36" t="str">
        <f>IFERROR(__xludf.DUMMYFUNCTION("""COMPUTED_VALUE"""),"")</f>
        <v/>
      </c>
      <c r="E2879" s="36" t="str">
        <f>IFERROR(__xludf.DUMMYFUNCTION("""COMPUTED_VALUE"""),"04-34-12-11")</f>
        <v>04-34-12-11</v>
      </c>
      <c r="F2879" s="36"/>
      <c r="G2879" s="36" t="str">
        <f>IFERROR(__xludf.DUMMYFUNCTION("""COMPUTED_VALUE"""),"Vidart y Alfredo Rizo Este")</f>
        <v>Vidart y Alfredo Rizo Este</v>
      </c>
      <c r="H2879" s="36" t="str">
        <f>IFERROR(__xludf.DUMMYFUNCTION("""COMPUTED_VALUE"""),"")</f>
        <v/>
      </c>
    </row>
    <row r="2880">
      <c r="A2880" s="36" t="str">
        <f>IFERROR(__xludf.DUMMYFUNCTION("""COMPUTED_VALUE"""),"04-30-14-135A")</f>
        <v>04-30-14-135A</v>
      </c>
      <c r="B2880" s="36" t="str">
        <f>IFERROR(__xludf.DUMMYFUNCTION("""COMPUTED_VALUE"""),"")</f>
        <v/>
      </c>
      <c r="C2880" s="36" t="str">
        <f>IFERROR(__xludf.DUMMYFUNCTION("""COMPUTED_VALUE"""),"")</f>
        <v/>
      </c>
      <c r="D2880" s="36" t="str">
        <f>IFERROR(__xludf.DUMMYFUNCTION("""COMPUTED_VALUE"""),"")</f>
        <v/>
      </c>
      <c r="E2880" s="36" t="str">
        <f>IFERROR(__xludf.DUMMYFUNCTION("""COMPUTED_VALUE"""),"04-45-12-61")</f>
        <v>04-45-12-61</v>
      </c>
      <c r="F2880" s="36"/>
      <c r="G2880" s="36" t="str">
        <f>IFERROR(__xludf.DUMMYFUNCTION("""COMPUTED_VALUE"""),"Vidart y Bv. Sarmiento Este")</f>
        <v>Vidart y Bv. Sarmiento Este</v>
      </c>
      <c r="H2880" s="36" t="str">
        <f>IFERROR(__xludf.DUMMYFUNCTION("""COMPUTED_VALUE"""),"")</f>
        <v/>
      </c>
    </row>
    <row r="2881">
      <c r="A2881" s="36" t="str">
        <f>IFERROR(__xludf.DUMMYFUNCTION("""COMPUTED_VALUE"""),"04-30-14-135B")</f>
        <v>04-30-14-135B</v>
      </c>
      <c r="B2881" s="36" t="str">
        <f>IFERROR(__xludf.DUMMYFUNCTION("""COMPUTED_VALUE"""),"")</f>
        <v/>
      </c>
      <c r="C2881" s="36" t="str">
        <f>IFERROR(__xludf.DUMMYFUNCTION("""COMPUTED_VALUE"""),"")</f>
        <v/>
      </c>
      <c r="D2881" s="36" t="str">
        <f>IFERROR(__xludf.DUMMYFUNCTION("""COMPUTED_VALUE"""),"")</f>
        <v/>
      </c>
      <c r="E2881" s="36" t="str">
        <f>IFERROR(__xludf.DUMMYFUNCTION("""COMPUTED_VALUE"""),"04-44-12-62")</f>
        <v>04-44-12-62</v>
      </c>
      <c r="F2881" s="36"/>
      <c r="G2881" s="36" t="str">
        <f>IFERROR(__xludf.DUMMYFUNCTION("""COMPUTED_VALUE"""),"Vidart y Bv. Sarmiento Oeste")</f>
        <v>Vidart y Bv. Sarmiento Oeste</v>
      </c>
      <c r="H2881" s="36" t="str">
        <f>IFERROR(__xludf.DUMMYFUNCTION("""COMPUTED_VALUE"""),"")</f>
        <v/>
      </c>
    </row>
    <row r="2882">
      <c r="A2882" s="36" t="str">
        <f>IFERROR(__xludf.DUMMYFUNCTION("""COMPUTED_VALUE"""),"04-30-14-136")</f>
        <v>04-30-14-136</v>
      </c>
      <c r="B2882" s="36" t="str">
        <f>IFERROR(__xludf.DUMMYFUNCTION("""COMPUTED_VALUE"""),"")</f>
        <v/>
      </c>
      <c r="C2882" s="36" t="str">
        <f>IFERROR(__xludf.DUMMYFUNCTION("""COMPUTED_VALUE"""),"")</f>
        <v/>
      </c>
      <c r="D2882" s="36" t="str">
        <f>IFERROR(__xludf.DUMMYFUNCTION("""COMPUTED_VALUE"""),"")</f>
        <v/>
      </c>
      <c r="E2882" s="36" t="str">
        <f>IFERROR(__xludf.DUMMYFUNCTION("""COMPUTED_VALUE"""),"04-45-12-63")</f>
        <v>04-45-12-63</v>
      </c>
      <c r="F2882" s="36"/>
      <c r="G2882" s="36" t="str">
        <f>IFERROR(__xludf.DUMMYFUNCTION("""COMPUTED_VALUE"""),"Vidart y Colón Este")</f>
        <v>Vidart y Colón Este</v>
      </c>
      <c r="H2882" s="36" t="str">
        <f>IFERROR(__xludf.DUMMYFUNCTION("""COMPUTED_VALUE"""),"")</f>
        <v/>
      </c>
    </row>
    <row r="2883">
      <c r="A2883" s="36" t="str">
        <f>IFERROR(__xludf.DUMMYFUNCTION("""COMPUTED_VALUE"""),"04-30-14-137")</f>
        <v>04-30-14-137</v>
      </c>
      <c r="B2883" s="36" t="str">
        <f>IFERROR(__xludf.DUMMYFUNCTION("""COMPUTED_VALUE"""),"")</f>
        <v/>
      </c>
      <c r="C2883" s="36" t="str">
        <f>IFERROR(__xludf.DUMMYFUNCTION("""COMPUTED_VALUE"""),"")</f>
        <v/>
      </c>
      <c r="D2883" s="36" t="str">
        <f>IFERROR(__xludf.DUMMYFUNCTION("""COMPUTED_VALUE"""),"")</f>
        <v/>
      </c>
      <c r="E2883" s="36" t="str">
        <f>IFERROR(__xludf.DUMMYFUNCTION("""COMPUTED_VALUE"""),"04-44-12-64")</f>
        <v>04-44-12-64</v>
      </c>
      <c r="F2883" s="36"/>
      <c r="G2883" s="36" t="str">
        <f>IFERROR(__xludf.DUMMYFUNCTION("""COMPUTED_VALUE"""),"Vidart y Colón Oeste")</f>
        <v>Vidart y Colón Oeste</v>
      </c>
      <c r="H2883" s="36" t="str">
        <f>IFERROR(__xludf.DUMMYFUNCTION("""COMPUTED_VALUE"""),"")</f>
        <v/>
      </c>
    </row>
    <row r="2884">
      <c r="A2884" s="36" t="str">
        <f>IFERROR(__xludf.DUMMYFUNCTION("""COMPUTED_VALUE"""),"04-30-14-139")</f>
        <v>04-30-14-139</v>
      </c>
      <c r="B2884" s="36" t="str">
        <f>IFERROR(__xludf.DUMMYFUNCTION("""COMPUTED_VALUE"""),"")</f>
        <v/>
      </c>
      <c r="C2884" s="36" t="str">
        <f>IFERROR(__xludf.DUMMYFUNCTION("""COMPUTED_VALUE"""),"")</f>
        <v/>
      </c>
      <c r="D2884" s="36" t="str">
        <f>IFERROR(__xludf.DUMMYFUNCTION("""COMPUTED_VALUE"""),"")</f>
        <v/>
      </c>
      <c r="E2884" s="36" t="str">
        <f>IFERROR(__xludf.DUMMYFUNCTION("""COMPUTED_VALUE"""),"04-45-12-67")</f>
        <v>04-45-12-67</v>
      </c>
      <c r="F2884" s="36"/>
      <c r="G2884" s="36" t="str">
        <f>IFERROR(__xludf.DUMMYFUNCTION("""COMPUTED_VALUE"""),"Vidart y Dr. Ortega")</f>
        <v>Vidart y Dr. Ortega</v>
      </c>
      <c r="H2884" s="36" t="str">
        <f>IFERROR(__xludf.DUMMYFUNCTION("""COMPUTED_VALUE"""),"")</f>
        <v/>
      </c>
    </row>
    <row r="2885">
      <c r="A2885" s="36" t="str">
        <f>IFERROR(__xludf.DUMMYFUNCTION("""COMPUTED_VALUE"""),"04-30-14-145")</f>
        <v>04-30-14-145</v>
      </c>
      <c r="B2885" s="36" t="str">
        <f>IFERROR(__xludf.DUMMYFUNCTION("""COMPUTED_VALUE"""),"")</f>
        <v/>
      </c>
      <c r="C2885" s="36" t="str">
        <f>IFERROR(__xludf.DUMMYFUNCTION("""COMPUTED_VALUE"""),"")</f>
        <v/>
      </c>
      <c r="D2885" s="36" t="str">
        <f>IFERROR(__xludf.DUMMYFUNCTION("""COMPUTED_VALUE"""),"")</f>
        <v/>
      </c>
      <c r="E2885" s="36" t="str">
        <f>IFERROR(__xludf.DUMMYFUNCTION("""COMPUTED_VALUE"""),"04-45-12-53")</f>
        <v>04-45-12-53</v>
      </c>
      <c r="F2885" s="36"/>
      <c r="G2885" s="36" t="str">
        <f>IFERROR(__xludf.DUMMYFUNCTION("""COMPUTED_VALUE"""),"Vidart y Felix Aguilar Este")</f>
        <v>Vidart y Felix Aguilar Este</v>
      </c>
      <c r="H2885" s="36" t="str">
        <f>IFERROR(__xludf.DUMMYFUNCTION("""COMPUTED_VALUE"""),"")</f>
        <v/>
      </c>
    </row>
    <row r="2886">
      <c r="A2886" s="36" t="str">
        <f>IFERROR(__xludf.DUMMYFUNCTION("""COMPUTED_VALUE"""),"04-30-14-147")</f>
        <v>04-30-14-147</v>
      </c>
      <c r="B2886" s="36" t="str">
        <f>IFERROR(__xludf.DUMMYFUNCTION("""COMPUTED_VALUE"""),"")</f>
        <v/>
      </c>
      <c r="C2886" s="36" t="str">
        <f>IFERROR(__xludf.DUMMYFUNCTION("""COMPUTED_VALUE"""),"")</f>
        <v/>
      </c>
      <c r="D2886" s="36" t="str">
        <f>IFERROR(__xludf.DUMMYFUNCTION("""COMPUTED_VALUE"""),"")</f>
        <v/>
      </c>
      <c r="E2886" s="36" t="str">
        <f>IFERROR(__xludf.DUMMYFUNCTION("""COMPUTED_VALUE"""),"04-44-12-54")</f>
        <v>04-44-12-54</v>
      </c>
      <c r="F2886" s="36"/>
      <c r="G2886" s="36" t="str">
        <f>IFERROR(__xludf.DUMMYFUNCTION("""COMPUTED_VALUE"""),"Vidart y Felix Aguilar Oeste")</f>
        <v>Vidart y Felix Aguilar Oeste</v>
      </c>
      <c r="H2886" s="36" t="str">
        <f>IFERROR(__xludf.DUMMYFUNCTION("""COMPUTED_VALUE"""),"")</f>
        <v/>
      </c>
    </row>
    <row r="2887">
      <c r="A2887" s="36" t="str">
        <f>IFERROR(__xludf.DUMMYFUNCTION("""COMPUTED_VALUE"""),"04-30-14-148")</f>
        <v>04-30-14-148</v>
      </c>
      <c r="B2887" s="36" t="str">
        <f>IFERROR(__xludf.DUMMYFUNCTION("""COMPUTED_VALUE"""),"")</f>
        <v/>
      </c>
      <c r="C2887" s="36" t="str">
        <f>IFERROR(__xludf.DUMMYFUNCTION("""COMPUTED_VALUE"""),"")</f>
        <v/>
      </c>
      <c r="D2887" s="36" t="str">
        <f>IFERROR(__xludf.DUMMYFUNCTION("""COMPUTED_VALUE"""),"")</f>
        <v/>
      </c>
      <c r="E2887" s="36" t="str">
        <f>IFERROR(__xludf.DUMMYFUNCTION("""COMPUTED_VALUE"""),"04-35-12-22")</f>
        <v>04-35-12-22</v>
      </c>
      <c r="F2887" s="36"/>
      <c r="G2887" s="36" t="str">
        <f>IFERROR(__xludf.DUMMYFUNCTION("""COMPUTED_VALUE"""),"Vidart y Florida Oeste")</f>
        <v>Vidart y Florida Oeste</v>
      </c>
      <c r="H2887" s="36" t="str">
        <f>IFERROR(__xludf.DUMMYFUNCTION("""COMPUTED_VALUE"""),"")</f>
        <v/>
      </c>
    </row>
    <row r="2888">
      <c r="A2888" s="36" t="str">
        <f>IFERROR(__xludf.DUMMYFUNCTION("""COMPUTED_VALUE"""),"04-30-14-68")</f>
        <v>04-30-14-68</v>
      </c>
      <c r="B2888" s="36" t="str">
        <f>IFERROR(__xludf.DUMMYFUNCTION("""COMPUTED_VALUE"""),"")</f>
        <v/>
      </c>
      <c r="C2888" s="36" t="str">
        <f>IFERROR(__xludf.DUMMYFUNCTION("""COMPUTED_VALUE"""),"")</f>
        <v/>
      </c>
      <c r="D2888" s="36" t="str">
        <f>IFERROR(__xludf.DUMMYFUNCTION("""COMPUTED_VALUE"""),"")</f>
        <v/>
      </c>
      <c r="E2888" s="36" t="str">
        <f>IFERROR(__xludf.DUMMYFUNCTION("""COMPUTED_VALUE"""),"04-34-12-109")</f>
        <v>04-34-12-109</v>
      </c>
      <c r="F2888" s="36"/>
      <c r="G2888" s="36" t="str">
        <f>IFERROR(__xludf.DUMMYFUNCTION("""COMPUTED_VALUE"""),"Vidart y Gobernador Castro Este")</f>
        <v>Vidart y Gobernador Castro Este</v>
      </c>
      <c r="H2888" s="36" t="str">
        <f>IFERROR(__xludf.DUMMYFUNCTION("""COMPUTED_VALUE"""),"")</f>
        <v/>
      </c>
    </row>
    <row r="2889">
      <c r="A2889" s="36" t="str">
        <f>IFERROR(__xludf.DUMMYFUNCTION("""COMPUTED_VALUE"""),"04-30-14-69")</f>
        <v>04-30-14-69</v>
      </c>
      <c r="B2889" s="36" t="str">
        <f>IFERROR(__xludf.DUMMYFUNCTION("""COMPUTED_VALUE"""),"")</f>
        <v/>
      </c>
      <c r="C2889" s="36" t="str">
        <f>IFERROR(__xludf.DUMMYFUNCTION("""COMPUTED_VALUE"""),"")</f>
        <v/>
      </c>
      <c r="D2889" s="36" t="str">
        <f>IFERROR(__xludf.DUMMYFUNCTION("""COMPUTED_VALUE"""),"")</f>
        <v/>
      </c>
      <c r="E2889" s="36" t="str">
        <f>IFERROR(__xludf.DUMMYFUNCTION("""COMPUTED_VALUE"""),"04-34-12-23")</f>
        <v>04-34-12-23</v>
      </c>
      <c r="F2889" s="36"/>
      <c r="G2889" s="36" t="str">
        <f>IFERROR(__xludf.DUMMYFUNCTION("""COMPUTED_VALUE"""),"Vidart y Godoy Cruz Este")</f>
        <v>Vidart y Godoy Cruz Este</v>
      </c>
      <c r="H2889" s="36" t="str">
        <f>IFERROR(__xludf.DUMMYFUNCTION("""COMPUTED_VALUE"""),"")</f>
        <v/>
      </c>
    </row>
    <row r="2890">
      <c r="A2890" s="36" t="str">
        <f>IFERROR(__xludf.DUMMYFUNCTION("""COMPUTED_VALUE"""),"04-30-14-70")</f>
        <v>04-30-14-70</v>
      </c>
      <c r="B2890" s="36" t="str">
        <f>IFERROR(__xludf.DUMMYFUNCTION("""COMPUTED_VALUE"""),"")</f>
        <v/>
      </c>
      <c r="C2890" s="36" t="str">
        <f>IFERROR(__xludf.DUMMYFUNCTION("""COMPUTED_VALUE"""),"")</f>
        <v/>
      </c>
      <c r="D2890" s="36" t="str">
        <f>IFERROR(__xludf.DUMMYFUNCTION("""COMPUTED_VALUE"""),"")</f>
        <v/>
      </c>
      <c r="E2890" s="36" t="str">
        <f>IFERROR(__xludf.DUMMYFUNCTION("""COMPUTED_VALUE"""),"04-34-12-14")</f>
        <v>04-34-12-14</v>
      </c>
      <c r="F2890" s="36"/>
      <c r="G2890" s="36" t="str">
        <f>IFERROR(__xludf.DUMMYFUNCTION("""COMPUTED_VALUE"""),"Vidart y Guayaquil Este")</f>
        <v>Vidart y Guayaquil Este</v>
      </c>
      <c r="H2890" s="36" t="str">
        <f>IFERROR(__xludf.DUMMYFUNCTION("""COMPUTED_VALUE"""),"")</f>
        <v/>
      </c>
    </row>
    <row r="2891">
      <c r="A2891" s="36" t="str">
        <f>IFERROR(__xludf.DUMMYFUNCTION("""COMPUTED_VALUE"""),"04-30-14-71")</f>
        <v>04-30-14-71</v>
      </c>
      <c r="B2891" s="36" t="str">
        <f>IFERROR(__xludf.DUMMYFUNCTION("""COMPUTED_VALUE"""),"")</f>
        <v/>
      </c>
      <c r="C2891" s="36" t="str">
        <f>IFERROR(__xludf.DUMMYFUNCTION("""COMPUTED_VALUE"""),"")</f>
        <v/>
      </c>
      <c r="D2891" s="36" t="str">
        <f>IFERROR(__xludf.DUMMYFUNCTION("""COMPUTED_VALUE"""),"")</f>
        <v/>
      </c>
      <c r="E2891" s="36" t="str">
        <f>IFERROR(__xludf.DUMMYFUNCTION("""COMPUTED_VALUE"""),"04-35-12-15")</f>
        <v>04-35-12-15</v>
      </c>
      <c r="F2891" s="36"/>
      <c r="G2891" s="36" t="str">
        <f>IFERROR(__xludf.DUMMYFUNCTION("""COMPUTED_VALUE"""),"Vidart y Guayaquil Oeste")</f>
        <v>Vidart y Guayaquil Oeste</v>
      </c>
      <c r="H2891" s="36" t="str">
        <f>IFERROR(__xludf.DUMMYFUNCTION("""COMPUTED_VALUE"""),"")</f>
        <v/>
      </c>
    </row>
    <row r="2892">
      <c r="A2892" s="36" t="str">
        <f>IFERROR(__xludf.DUMMYFUNCTION("""COMPUTED_VALUE"""),"04-30-14-72")</f>
        <v>04-30-14-72</v>
      </c>
      <c r="B2892" s="36" t="str">
        <f>IFERROR(__xludf.DUMMYFUNCTION("""COMPUTED_VALUE"""),"")</f>
        <v/>
      </c>
      <c r="C2892" s="36" t="str">
        <f>IFERROR(__xludf.DUMMYFUNCTION("""COMPUTED_VALUE"""),"")</f>
        <v/>
      </c>
      <c r="D2892" s="36" t="str">
        <f>IFERROR(__xludf.DUMMYFUNCTION("""COMPUTED_VALUE"""),"")</f>
        <v/>
      </c>
      <c r="E2892" s="36" t="str">
        <f>IFERROR(__xludf.DUMMYFUNCTION("""COMPUTED_VALUE"""),"04-34-12-17")</f>
        <v>04-34-12-17</v>
      </c>
      <c r="F2892" s="36"/>
      <c r="G2892" s="36" t="str">
        <f>IFERROR(__xludf.DUMMYFUNCTION("""COMPUTED_VALUE"""),"Vidart y Manuel Quintana Este")</f>
        <v>Vidart y Manuel Quintana Este</v>
      </c>
      <c r="H2892" s="36" t="str">
        <f>IFERROR(__xludf.DUMMYFUNCTION("""COMPUTED_VALUE"""),"")</f>
        <v/>
      </c>
    </row>
    <row r="2893">
      <c r="A2893" s="36" t="str">
        <f>IFERROR(__xludf.DUMMYFUNCTION("""COMPUTED_VALUE"""),"04-30-14-73")</f>
        <v>04-30-14-73</v>
      </c>
      <c r="B2893" s="36" t="str">
        <f>IFERROR(__xludf.DUMMYFUNCTION("""COMPUTED_VALUE"""),"")</f>
        <v/>
      </c>
      <c r="C2893" s="36" t="str">
        <f>IFERROR(__xludf.DUMMYFUNCTION("""COMPUTED_VALUE"""),"")</f>
        <v/>
      </c>
      <c r="D2893" s="36" t="str">
        <f>IFERROR(__xludf.DUMMYFUNCTION("""COMPUTED_VALUE"""),"")</f>
        <v/>
      </c>
      <c r="E2893" s="36" t="str">
        <f>IFERROR(__xludf.DUMMYFUNCTION("""COMPUTED_VALUE"""),"04-35-12-16")</f>
        <v>04-35-12-16</v>
      </c>
      <c r="F2893" s="36"/>
      <c r="G2893" s="36" t="str">
        <f>IFERROR(__xludf.DUMMYFUNCTION("""COMPUTED_VALUE"""),"Vidart y Monseñor Caggiano")</f>
        <v>Vidart y Monseñor Caggiano</v>
      </c>
      <c r="H2893" s="36" t="str">
        <f>IFERROR(__xludf.DUMMYFUNCTION("""COMPUTED_VALUE"""),"")</f>
        <v/>
      </c>
    </row>
    <row r="2894">
      <c r="A2894" s="36" t="str">
        <f>IFERROR(__xludf.DUMMYFUNCTION("""COMPUTED_VALUE"""),"04-30-14-74")</f>
        <v>04-30-14-74</v>
      </c>
      <c r="B2894" s="36" t="str">
        <f>IFERROR(__xludf.DUMMYFUNCTION("""COMPUTED_VALUE"""),"")</f>
        <v/>
      </c>
      <c r="C2894" s="36" t="str">
        <f>IFERROR(__xludf.DUMMYFUNCTION("""COMPUTED_VALUE"""),"")</f>
        <v/>
      </c>
      <c r="D2894" s="36" t="str">
        <f>IFERROR(__xludf.DUMMYFUNCTION("""COMPUTED_VALUE"""),"")</f>
        <v/>
      </c>
      <c r="E2894" s="36" t="str">
        <f>IFERROR(__xludf.DUMMYFUNCTION("""COMPUTED_VALUE"""),"04-34-12-21")</f>
        <v>04-34-12-21</v>
      </c>
      <c r="F2894" s="36"/>
      <c r="G2894" s="36" t="str">
        <f>IFERROR(__xludf.DUMMYFUNCTION("""COMPUTED_VALUE"""),"Vidart y Moreno Este")</f>
        <v>Vidart y Moreno Este</v>
      </c>
      <c r="H2894" s="36" t="str">
        <f>IFERROR(__xludf.DUMMYFUNCTION("""COMPUTED_VALUE"""),"")</f>
        <v/>
      </c>
    </row>
    <row r="2895">
      <c r="A2895" s="36" t="str">
        <f>IFERROR(__xludf.DUMMYFUNCTION("""COMPUTED_VALUE"""),"04-30-14-75")</f>
        <v>04-30-14-75</v>
      </c>
      <c r="B2895" s="36" t="str">
        <f>IFERROR(__xludf.DUMMYFUNCTION("""COMPUTED_VALUE"""),"")</f>
        <v/>
      </c>
      <c r="C2895" s="36" t="str">
        <f>IFERROR(__xludf.DUMMYFUNCTION("""COMPUTED_VALUE"""),"")</f>
        <v/>
      </c>
      <c r="D2895" s="36" t="str">
        <f>IFERROR(__xludf.DUMMYFUNCTION("""COMPUTED_VALUE"""),"")</f>
        <v/>
      </c>
      <c r="E2895" s="36" t="str">
        <f>IFERROR(__xludf.DUMMYFUNCTION("""COMPUTED_VALUE"""),"04-34-12-19")</f>
        <v>04-34-12-19</v>
      </c>
      <c r="F2895" s="36"/>
      <c r="G2895" s="36" t="str">
        <f>IFERROR(__xludf.DUMMYFUNCTION("""COMPUTED_VALUE"""),"Vidart y O'Higgins Este")</f>
        <v>Vidart y O'Higgins Este</v>
      </c>
      <c r="H2895" s="36" t="str">
        <f>IFERROR(__xludf.DUMMYFUNCTION("""COMPUTED_VALUE"""),"")</f>
        <v/>
      </c>
    </row>
    <row r="2896">
      <c r="A2896" s="36" t="str">
        <f>IFERROR(__xludf.DUMMYFUNCTION("""COMPUTED_VALUE"""),"04-30-14-76")</f>
        <v>04-30-14-76</v>
      </c>
      <c r="B2896" s="36" t="str">
        <f>IFERROR(__xludf.DUMMYFUNCTION("""COMPUTED_VALUE"""),"")</f>
        <v/>
      </c>
      <c r="C2896" s="36" t="str">
        <f>IFERROR(__xludf.DUMMYFUNCTION("""COMPUTED_VALUE"""),"")</f>
        <v/>
      </c>
      <c r="D2896" s="36" t="str">
        <f>IFERROR(__xludf.DUMMYFUNCTION("""COMPUTED_VALUE"""),"")</f>
        <v/>
      </c>
      <c r="E2896" s="36" t="str">
        <f>IFERROR(__xludf.DUMMYFUNCTION("""COMPUTED_VALUE"""),"04-45-12-59")</f>
        <v>04-45-12-59</v>
      </c>
      <c r="F2896" s="36"/>
      <c r="G2896" s="36" t="str">
        <f>IFERROR(__xludf.DUMMYFUNCTION("""COMPUTED_VALUE"""),"Vidart y Quiroga Este")</f>
        <v>Vidart y Quiroga Este</v>
      </c>
      <c r="H2896" s="36" t="str">
        <f>IFERROR(__xludf.DUMMYFUNCTION("""COMPUTED_VALUE"""),"")</f>
        <v/>
      </c>
    </row>
    <row r="2897">
      <c r="A2897" s="36" t="str">
        <f>IFERROR(__xludf.DUMMYFUNCTION("""COMPUTED_VALUE"""),"04-30-14-77")</f>
        <v>04-30-14-77</v>
      </c>
      <c r="B2897" s="36" t="str">
        <f>IFERROR(__xludf.DUMMYFUNCTION("""COMPUTED_VALUE"""),"")</f>
        <v/>
      </c>
      <c r="C2897" s="36" t="str">
        <f>IFERROR(__xludf.DUMMYFUNCTION("""COMPUTED_VALUE"""),"")</f>
        <v/>
      </c>
      <c r="D2897" s="36" t="str">
        <f>IFERROR(__xludf.DUMMYFUNCTION("""COMPUTED_VALUE"""),"")</f>
        <v/>
      </c>
      <c r="E2897" s="36" t="str">
        <f>IFERROR(__xludf.DUMMYFUNCTION("""COMPUTED_VALUE"""),"04-44-12-60")</f>
        <v>04-44-12-60</v>
      </c>
      <c r="F2897" s="36"/>
      <c r="G2897" s="36" t="str">
        <f>IFERROR(__xludf.DUMMYFUNCTION("""COMPUTED_VALUE"""),"Vidart y Quiroga Oeste")</f>
        <v>Vidart y Quiroga Oeste</v>
      </c>
      <c r="H2897" s="36" t="str">
        <f>IFERROR(__xludf.DUMMYFUNCTION("""COMPUTED_VALUE"""),"")</f>
        <v/>
      </c>
    </row>
    <row r="2898">
      <c r="A2898" s="36" t="str">
        <f>IFERROR(__xludf.DUMMYFUNCTION("""COMPUTED_VALUE"""),"04-30-14-78")</f>
        <v>04-30-14-78</v>
      </c>
      <c r="B2898" s="36" t="str">
        <f>IFERROR(__xludf.DUMMYFUNCTION("""COMPUTED_VALUE"""),"")</f>
        <v/>
      </c>
      <c r="C2898" s="36" t="str">
        <f>IFERROR(__xludf.DUMMYFUNCTION("""COMPUTED_VALUE"""),"")</f>
        <v/>
      </c>
      <c r="D2898" s="36" t="str">
        <f>IFERROR(__xludf.DUMMYFUNCTION("""COMPUTED_VALUE"""),"")</f>
        <v/>
      </c>
      <c r="E2898" s="36" t="str">
        <f>IFERROR(__xludf.DUMMYFUNCTION("""COMPUTED_VALUE"""),"04-34-12-13")</f>
        <v>04-34-12-13</v>
      </c>
      <c r="F2898" s="36"/>
      <c r="G2898" s="36" t="str">
        <f>IFERROR(__xludf.DUMMYFUNCTION("""COMPUTED_VALUE"""),"Vidart y Recabarren Este")</f>
        <v>Vidart y Recabarren Este</v>
      </c>
      <c r="H2898" s="36" t="str">
        <f>IFERROR(__xludf.DUMMYFUNCTION("""COMPUTED_VALUE"""),"")</f>
        <v/>
      </c>
    </row>
    <row r="2899">
      <c r="A2899" s="36" t="str">
        <f>IFERROR(__xludf.DUMMYFUNCTION("""COMPUTED_VALUE"""),"04-30-14-80")</f>
        <v>04-30-14-80</v>
      </c>
      <c r="B2899" s="36" t="str">
        <f>IFERROR(__xludf.DUMMYFUNCTION("""COMPUTED_VALUE"""),"")</f>
        <v/>
      </c>
      <c r="C2899" s="36" t="str">
        <f>IFERROR(__xludf.DUMMYFUNCTION("""COMPUTED_VALUE"""),"")</f>
        <v/>
      </c>
      <c r="D2899" s="36" t="str">
        <f>IFERROR(__xludf.DUMMYFUNCTION("""COMPUTED_VALUE"""),"")</f>
        <v/>
      </c>
      <c r="E2899" s="36" t="str">
        <f>IFERROR(__xludf.DUMMYFUNCTION("""COMPUTED_VALUE"""),"04-35-12-12")</f>
        <v>04-35-12-12</v>
      </c>
      <c r="F2899" s="36"/>
      <c r="G2899" s="36" t="str">
        <f>IFERROR(__xludf.DUMMYFUNCTION("""COMPUTED_VALUE"""),"Vidart y Recabarrren")</f>
        <v>Vidart y Recabarrren</v>
      </c>
      <c r="H2899" s="36" t="str">
        <f>IFERROR(__xludf.DUMMYFUNCTION("""COMPUTED_VALUE"""),"")</f>
        <v/>
      </c>
    </row>
    <row r="2900">
      <c r="A2900" s="36" t="str">
        <f>IFERROR(__xludf.DUMMYFUNCTION("""COMPUTED_VALUE"""),"04-30-14-82")</f>
        <v>04-30-14-82</v>
      </c>
      <c r="B2900" s="36" t="str">
        <f>IFERROR(__xludf.DUMMYFUNCTION("""COMPUTED_VALUE"""),"")</f>
        <v/>
      </c>
      <c r="C2900" s="36" t="str">
        <f>IFERROR(__xludf.DUMMYFUNCTION("""COMPUTED_VALUE"""),"")</f>
        <v/>
      </c>
      <c r="D2900" s="36" t="str">
        <f>IFERROR(__xludf.DUMMYFUNCTION("""COMPUTED_VALUE"""),"")</f>
        <v/>
      </c>
      <c r="E2900" s="36" t="str">
        <f>IFERROR(__xludf.DUMMYFUNCTION("""COMPUTED_VALUE"""),"04-34-12-25")</f>
        <v>04-34-12-25</v>
      </c>
      <c r="F2900" s="36"/>
      <c r="G2900" s="36" t="str">
        <f>IFERROR(__xludf.DUMMYFUNCTION("""COMPUTED_VALUE"""),"Vidart y República del Libano")</f>
        <v>Vidart y República del Libano</v>
      </c>
      <c r="H2900" s="36" t="str">
        <f>IFERROR(__xludf.DUMMYFUNCTION("""COMPUTED_VALUE"""),"")</f>
        <v/>
      </c>
    </row>
    <row r="2901">
      <c r="A2901" s="36" t="str">
        <f>IFERROR(__xludf.DUMMYFUNCTION("""COMPUTED_VALUE"""),"04-30-14-85")</f>
        <v>04-30-14-85</v>
      </c>
      <c r="B2901" s="36" t="str">
        <f>IFERROR(__xludf.DUMMYFUNCTION("""COMPUTED_VALUE"""),"")</f>
        <v/>
      </c>
      <c r="C2901" s="36" t="str">
        <f>IFERROR(__xludf.DUMMYFUNCTION("""COMPUTED_VALUE"""),"")</f>
        <v/>
      </c>
      <c r="D2901" s="36" t="str">
        <f>IFERROR(__xludf.DUMMYFUNCTION("""COMPUTED_VALUE"""),"")</f>
        <v/>
      </c>
      <c r="E2901" s="36" t="str">
        <f>IFERROR(__xludf.DUMMYFUNCTION("""COMPUTED_VALUE"""),"04-35-12-24")</f>
        <v>04-35-12-24</v>
      </c>
      <c r="F2901" s="36"/>
      <c r="G2901" s="36" t="str">
        <f>IFERROR(__xludf.DUMMYFUNCTION("""COMPUTED_VALUE"""),"Vidart y Vélez Sarsfield")</f>
        <v>Vidart y Vélez Sarsfield</v>
      </c>
      <c r="H2901" s="36" t="str">
        <f>IFERROR(__xludf.DUMMYFUNCTION("""COMPUTED_VALUE"""),"")</f>
        <v/>
      </c>
    </row>
    <row r="2902">
      <c r="A2902" s="36" t="str">
        <f>IFERROR(__xludf.DUMMYFUNCTION("""COMPUTED_VALUE"""),"04-30-14-86")</f>
        <v>04-30-14-86</v>
      </c>
      <c r="B2902" s="36" t="str">
        <f>IFERROR(__xludf.DUMMYFUNCTION("""COMPUTED_VALUE"""),"")</f>
        <v/>
      </c>
      <c r="C2902" s="36" t="str">
        <f>IFERROR(__xludf.DUMMYFUNCTION("""COMPUTED_VALUE"""),"")</f>
        <v/>
      </c>
      <c r="D2902" s="36" t="str">
        <f>IFERROR(__xludf.DUMMYFUNCTION("""COMPUTED_VALUE"""),"")</f>
        <v/>
      </c>
      <c r="E2902" s="36" t="str">
        <f>IFERROR(__xludf.DUMMYFUNCTION("""COMPUTED_VALUE"""),"03-33-10-51")</f>
        <v>03-33-10-51</v>
      </c>
      <c r="F2902" s="36"/>
      <c r="G2902" s="36" t="str">
        <f>IFERROR(__xludf.DUMMYFUNCTION("""COMPUTED_VALUE"""),"Villa Marini")</f>
        <v>Villa Marini</v>
      </c>
      <c r="H2902" s="36" t="str">
        <f>IFERROR(__xludf.DUMMYFUNCTION("""COMPUTED_VALUE"""),"")</f>
        <v/>
      </c>
    </row>
    <row r="2903">
      <c r="A2903" s="36" t="str">
        <f>IFERROR(__xludf.DUMMYFUNCTION("""COMPUTED_VALUE"""),"04-30-14-88")</f>
        <v>04-30-14-88</v>
      </c>
      <c r="B2903" s="36" t="str">
        <f>IFERROR(__xludf.DUMMYFUNCTION("""COMPUTED_VALUE"""),"")</f>
        <v/>
      </c>
      <c r="C2903" s="36" t="str">
        <f>IFERROR(__xludf.DUMMYFUNCTION("""COMPUTED_VALUE"""),"")</f>
        <v/>
      </c>
      <c r="D2903" s="36" t="str">
        <f>IFERROR(__xludf.DUMMYFUNCTION("""COMPUTED_VALUE"""),"")</f>
        <v/>
      </c>
      <c r="E2903" s="36" t="str">
        <f>IFERROR(__xludf.DUMMYFUNCTION("""COMPUTED_VALUE"""),"08-23-04-22")</f>
        <v>08-23-04-22</v>
      </c>
      <c r="F2903" s="36"/>
      <c r="G2903" s="36" t="str">
        <f>IFERROR(__xludf.DUMMYFUNCTION("""COMPUTED_VALUE"""),"Villa Videla 1 N")</f>
        <v>Villa Videla 1 N</v>
      </c>
      <c r="H2903" s="36" t="str">
        <f>IFERROR(__xludf.DUMMYFUNCTION("""COMPUTED_VALUE"""),"")</f>
        <v/>
      </c>
    </row>
    <row r="2904">
      <c r="A2904" s="36" t="str">
        <f>IFERROR(__xludf.DUMMYFUNCTION("""COMPUTED_VALUE"""),"04-30-14-89")</f>
        <v>04-30-14-89</v>
      </c>
      <c r="B2904" s="36" t="str">
        <f>IFERROR(__xludf.DUMMYFUNCTION("""COMPUTED_VALUE"""),"")</f>
        <v/>
      </c>
      <c r="C2904" s="36" t="str">
        <f>IFERROR(__xludf.DUMMYFUNCTION("""COMPUTED_VALUE"""),"")</f>
        <v/>
      </c>
      <c r="D2904" s="36" t="str">
        <f>IFERROR(__xludf.DUMMYFUNCTION("""COMPUTED_VALUE"""),"")</f>
        <v/>
      </c>
      <c r="E2904" s="36" t="str">
        <f>IFERROR(__xludf.DUMMYFUNCTION("""COMPUTED_VALUE"""),"08-23-04-23")</f>
        <v>08-23-04-23</v>
      </c>
      <c r="F2904" s="36"/>
      <c r="G2904" s="36" t="str">
        <f>IFERROR(__xludf.DUMMYFUNCTION("""COMPUTED_VALUE"""),"Villa Videla 1 S")</f>
        <v>Villa Videla 1 S</v>
      </c>
      <c r="H2904" s="36" t="str">
        <f>IFERROR(__xludf.DUMMYFUNCTION("""COMPUTED_VALUE"""),"")</f>
        <v/>
      </c>
    </row>
    <row r="2905">
      <c r="A2905" s="36" t="str">
        <f>IFERROR(__xludf.DUMMYFUNCTION("""COMPUTED_VALUE"""),"04-30-14-89A")</f>
        <v>04-30-14-89A</v>
      </c>
      <c r="B2905" s="36" t="str">
        <f>IFERROR(__xludf.DUMMYFUNCTION("""COMPUTED_VALUE"""),"")</f>
        <v/>
      </c>
      <c r="C2905" s="36" t="str">
        <f>IFERROR(__xludf.DUMMYFUNCTION("""COMPUTED_VALUE"""),"")</f>
        <v/>
      </c>
      <c r="D2905" s="36" t="str">
        <f>IFERROR(__xludf.DUMMYFUNCTION("""COMPUTED_VALUE"""),"")</f>
        <v/>
      </c>
      <c r="E2905" s="36" t="str">
        <f>IFERROR(__xludf.DUMMYFUNCTION("""COMPUTED_VALUE"""),"08-23-04-20")</f>
        <v>08-23-04-20</v>
      </c>
      <c r="F2905" s="36"/>
      <c r="G2905" s="36" t="str">
        <f>IFERROR(__xludf.DUMMYFUNCTION("""COMPUTED_VALUE"""),"Villa Videla 2 N")</f>
        <v>Villa Videla 2 N</v>
      </c>
      <c r="H2905" s="36" t="str">
        <f>IFERROR(__xludf.DUMMYFUNCTION("""COMPUTED_VALUE"""),"")</f>
        <v/>
      </c>
    </row>
    <row r="2906">
      <c r="A2906" s="36" t="str">
        <f>IFERROR(__xludf.DUMMYFUNCTION("""COMPUTED_VALUE"""),"04-30-14-90")</f>
        <v>04-30-14-90</v>
      </c>
      <c r="B2906" s="36" t="str">
        <f>IFERROR(__xludf.DUMMYFUNCTION("""COMPUTED_VALUE"""),"")</f>
        <v/>
      </c>
      <c r="C2906" s="36" t="str">
        <f>IFERROR(__xludf.DUMMYFUNCTION("""COMPUTED_VALUE"""),"")</f>
        <v/>
      </c>
      <c r="D2906" s="36" t="str">
        <f>IFERROR(__xludf.DUMMYFUNCTION("""COMPUTED_VALUE"""),"")</f>
        <v/>
      </c>
      <c r="E2906" s="36" t="str">
        <f>IFERROR(__xludf.DUMMYFUNCTION("""COMPUTED_VALUE"""),"08-23-04-21")</f>
        <v>08-23-04-21</v>
      </c>
      <c r="F2906" s="36"/>
      <c r="G2906" s="36" t="str">
        <f>IFERROR(__xludf.DUMMYFUNCTION("""COMPUTED_VALUE"""),"Villa Videla 2 S")</f>
        <v>Villa Videla 2 S</v>
      </c>
      <c r="H2906" s="36"/>
    </row>
    <row r="2907">
      <c r="A2907" s="36" t="str">
        <f>IFERROR(__xludf.DUMMYFUNCTION("""COMPUTED_VALUE"""),"04-30-14-91")</f>
        <v>04-30-14-91</v>
      </c>
      <c r="B2907" s="36" t="str">
        <f>IFERROR(__xludf.DUMMYFUNCTION("""COMPUTED_VALUE"""),"")</f>
        <v/>
      </c>
      <c r="C2907" s="36" t="str">
        <f>IFERROR(__xludf.DUMMYFUNCTION("""COMPUTED_VALUE"""),"")</f>
        <v/>
      </c>
      <c r="D2907" s="36" t="str">
        <f>IFERROR(__xludf.DUMMYFUNCTION("""COMPUTED_VALUE"""),"")</f>
        <v/>
      </c>
      <c r="E2907" s="36" t="str">
        <f>IFERROR(__xludf.DUMMYFUNCTION("""COMPUTED_VALUE"""),"08-23-04-18")</f>
        <v>08-23-04-18</v>
      </c>
      <c r="F2907" s="36"/>
      <c r="G2907" s="36" t="str">
        <f>IFERROR(__xludf.DUMMYFUNCTION("""COMPUTED_VALUE"""),"Villa Videla 3 N")</f>
        <v>Villa Videla 3 N</v>
      </c>
      <c r="H2907" s="36"/>
    </row>
    <row r="2908">
      <c r="A2908" s="36" t="str">
        <f>IFERROR(__xludf.DUMMYFUNCTION("""COMPUTED_VALUE"""),"04-30-14-92")</f>
        <v>04-30-14-92</v>
      </c>
      <c r="B2908" s="36" t="str">
        <f>IFERROR(__xludf.DUMMYFUNCTION("""COMPUTED_VALUE"""),"")</f>
        <v/>
      </c>
      <c r="C2908" s="36" t="str">
        <f>IFERROR(__xludf.DUMMYFUNCTION("""COMPUTED_VALUE"""),"")</f>
        <v/>
      </c>
      <c r="D2908" s="36" t="str">
        <f>IFERROR(__xludf.DUMMYFUNCTION("""COMPUTED_VALUE"""),"")</f>
        <v/>
      </c>
      <c r="E2908" s="36" t="str">
        <f>IFERROR(__xludf.DUMMYFUNCTION("""COMPUTED_VALUE"""),"08-23-04-19")</f>
        <v>08-23-04-19</v>
      </c>
      <c r="F2908" s="36"/>
      <c r="G2908" s="36" t="str">
        <f>IFERROR(__xludf.DUMMYFUNCTION("""COMPUTED_VALUE"""),"Villa Videla 3 S")</f>
        <v>Villa Videla 3 S</v>
      </c>
      <c r="H2908" s="36"/>
    </row>
    <row r="2909">
      <c r="A2909" s="36" t="str">
        <f>IFERROR(__xludf.DUMMYFUNCTION("""COMPUTED_VALUE"""),"04-30-14-93")</f>
        <v>04-30-14-93</v>
      </c>
      <c r="B2909" s="36" t="str">
        <f>IFERROR(__xludf.DUMMYFUNCTION("""COMPUTED_VALUE"""),"")</f>
        <v/>
      </c>
      <c r="C2909" s="36" t="str">
        <f>IFERROR(__xludf.DUMMYFUNCTION("""COMPUTED_VALUE"""),"")</f>
        <v/>
      </c>
      <c r="D2909" s="36" t="str">
        <f>IFERROR(__xludf.DUMMYFUNCTION("""COMPUTED_VALUE"""),"")</f>
        <v/>
      </c>
      <c r="E2909" s="36" t="str">
        <f>IFERROR(__xludf.DUMMYFUNCTION("""COMPUTED_VALUE"""),"01-64-14-24")</f>
        <v>01-64-14-24</v>
      </c>
      <c r="F2909" s="36"/>
      <c r="G2909" s="36" t="str">
        <f>IFERROR(__xludf.DUMMYFUNCTION("""COMPUTED_VALUE"""),"Villagra y Abraham Tapia")</f>
        <v>Villagra y Abraham Tapia</v>
      </c>
      <c r="H2909" s="36"/>
    </row>
    <row r="2910">
      <c r="A2910" s="36" t="str">
        <f>IFERROR(__xludf.DUMMYFUNCTION("""COMPUTED_VALUE"""),"04-30-14-94")</f>
        <v>04-30-14-94</v>
      </c>
      <c r="B2910" s="36" t="str">
        <f>IFERROR(__xludf.DUMMYFUNCTION("""COMPUTED_VALUE"""),"")</f>
        <v/>
      </c>
      <c r="C2910" s="36" t="str">
        <f>IFERROR(__xludf.DUMMYFUNCTION("""COMPUTED_VALUE"""),"")</f>
        <v/>
      </c>
      <c r="D2910" s="36" t="str">
        <f>IFERROR(__xludf.DUMMYFUNCTION("""COMPUTED_VALUE"""),"")</f>
        <v/>
      </c>
      <c r="E2910" s="36" t="str">
        <f>IFERROR(__xludf.DUMMYFUNCTION("""COMPUTED_VALUE"""),"04-22-14-25")</f>
        <v>04-22-14-25</v>
      </c>
      <c r="F2910" s="36"/>
      <c r="G2910" s="36" t="str">
        <f>IFERROR(__xludf.DUMMYFUNCTION("""COMPUTED_VALUE"""),"Villagra y Estados Unidos")</f>
        <v>Villagra y Estados Unidos</v>
      </c>
      <c r="H2910" s="36"/>
    </row>
    <row r="2911">
      <c r="A2911" s="36" t="str">
        <f>IFERROR(__xludf.DUMMYFUNCTION("""COMPUTED_VALUE"""),"04-30-14-95")</f>
        <v>04-30-14-95</v>
      </c>
      <c r="B2911" s="36" t="str">
        <f>IFERROR(__xludf.DUMMYFUNCTION("""COMPUTED_VALUE"""),"")</f>
        <v/>
      </c>
      <c r="C2911" s="36" t="str">
        <f>IFERROR(__xludf.DUMMYFUNCTION("""COMPUTED_VALUE"""),"")</f>
        <v/>
      </c>
      <c r="D2911" s="36" t="str">
        <f>IFERROR(__xludf.DUMMYFUNCTION("""COMPUTED_VALUE"""),"")</f>
        <v/>
      </c>
      <c r="E2911" s="36" t="str">
        <f>IFERROR(__xludf.DUMMYFUNCTION("""COMPUTED_VALUE"""),"04-22-14-27")</f>
        <v>04-22-14-27</v>
      </c>
      <c r="F2911" s="36"/>
      <c r="G2911" s="36" t="str">
        <f>IFERROR(__xludf.DUMMYFUNCTION("""COMPUTED_VALUE"""),"Villagra y Rufino Martínez")</f>
        <v>Villagra y Rufino Martínez</v>
      </c>
      <c r="H2911" s="36"/>
    </row>
    <row r="2912">
      <c r="A2912" s="36" t="str">
        <f>IFERROR(__xludf.DUMMYFUNCTION("""COMPUTED_VALUE"""),"04-30-14-96")</f>
        <v>04-30-14-96</v>
      </c>
      <c r="B2912" s="36" t="str">
        <f>IFERROR(__xludf.DUMMYFUNCTION("""COMPUTED_VALUE"""),"")</f>
        <v/>
      </c>
      <c r="C2912" s="36" t="str">
        <f>IFERROR(__xludf.DUMMYFUNCTION("""COMPUTED_VALUE"""),"")</f>
        <v/>
      </c>
      <c r="D2912" s="36" t="str">
        <f>IFERROR(__xludf.DUMMYFUNCTION("""COMPUTED_VALUE"""),"")</f>
        <v/>
      </c>
      <c r="E2912" s="36" t="str">
        <f>IFERROR(__xludf.DUMMYFUNCTION("""COMPUTED_VALUE"""),"01-20-07-214")</f>
        <v>01-20-07-214</v>
      </c>
      <c r="F2912" s="36"/>
      <c r="G2912" s="36" t="str">
        <f>IFERROR(__xludf.DUMMYFUNCTION("""COMPUTED_VALUE"""),"Virgen de Lourdes y Cristobal Colón")</f>
        <v>Virgen de Lourdes y Cristobal Colón</v>
      </c>
      <c r="H2912" s="36"/>
    </row>
    <row r="2913">
      <c r="A2913" s="36" t="str">
        <f>IFERROR(__xludf.DUMMYFUNCTION("""COMPUTED_VALUE"""),"04-30-14-97")</f>
        <v>04-30-14-97</v>
      </c>
      <c r="B2913" s="36" t="str">
        <f>IFERROR(__xludf.DUMMYFUNCTION("""COMPUTED_VALUE"""),"")</f>
        <v/>
      </c>
      <c r="C2913" s="36" t="str">
        <f>IFERROR(__xludf.DUMMYFUNCTION("""COMPUTED_VALUE"""),"")</f>
        <v/>
      </c>
      <c r="D2913" s="36" t="str">
        <f>IFERROR(__xludf.DUMMYFUNCTION("""COMPUTED_VALUE"""),"")</f>
        <v/>
      </c>
      <c r="E2913" s="36" t="str">
        <f>IFERROR(__xludf.DUMMYFUNCTION("""COMPUTED_VALUE"""),"02-29-07-108A")</f>
        <v>02-29-07-108A</v>
      </c>
      <c r="F2913" s="36"/>
      <c r="G2913" s="36" t="str">
        <f>IFERROR(__xludf.DUMMYFUNCTION("""COMPUTED_VALUE"""),"Virgen de Lourdes y Dorrego Vereda Norte")</f>
        <v>Virgen de Lourdes y Dorrego Vereda Norte</v>
      </c>
      <c r="H2913" s="36"/>
    </row>
    <row r="2914">
      <c r="A2914" s="36" t="str">
        <f>IFERROR(__xludf.DUMMYFUNCTION("""COMPUTED_VALUE"""),"04-30-14-98")</f>
        <v>04-30-14-98</v>
      </c>
      <c r="B2914" s="36" t="str">
        <f>IFERROR(__xludf.DUMMYFUNCTION("""COMPUTED_VALUE"""),"")</f>
        <v/>
      </c>
      <c r="C2914" s="36" t="str">
        <f>IFERROR(__xludf.DUMMYFUNCTION("""COMPUTED_VALUE"""),"")</f>
        <v/>
      </c>
      <c r="D2914" s="36" t="str">
        <f>IFERROR(__xludf.DUMMYFUNCTION("""COMPUTED_VALUE"""),"")</f>
        <v/>
      </c>
      <c r="E2914" s="36" t="str">
        <f>IFERROR(__xludf.DUMMYFUNCTION("""COMPUTED_VALUE"""),"02-29-07-108")</f>
        <v>02-29-07-108</v>
      </c>
      <c r="F2914" s="36"/>
      <c r="G2914" s="36" t="str">
        <f>IFERROR(__xludf.DUMMYFUNCTION("""COMPUTED_VALUE"""),"Virgen de Lourdes y Dorrego Vereda Sur")</f>
        <v>Virgen de Lourdes y Dorrego Vereda Sur</v>
      </c>
      <c r="H2914" s="36"/>
    </row>
    <row r="2915">
      <c r="A2915" s="36" t="str">
        <f>IFERROR(__xludf.DUMMYFUNCTION("""COMPUTED_VALUE"""),"04-30-14-98A")</f>
        <v>04-30-14-98A</v>
      </c>
      <c r="B2915" s="36" t="str">
        <f>IFERROR(__xludf.DUMMYFUNCTION("""COMPUTED_VALUE"""),"")</f>
        <v/>
      </c>
      <c r="C2915" s="36" t="str">
        <f>IFERROR(__xludf.DUMMYFUNCTION("""COMPUTED_VALUE"""),"")</f>
        <v/>
      </c>
      <c r="D2915" s="36" t="str">
        <f>IFERROR(__xludf.DUMMYFUNCTION("""COMPUTED_VALUE"""),"")</f>
        <v/>
      </c>
      <c r="E2915" s="36" t="str">
        <f>IFERROR(__xludf.DUMMYFUNCTION("""COMPUTED_VALUE"""),"01-20-07-215")</f>
        <v>01-20-07-215</v>
      </c>
      <c r="F2915" s="36"/>
      <c r="G2915" s="36" t="str">
        <f>IFERROR(__xludf.DUMMYFUNCTION("""COMPUTED_VALUE"""),"Virgen de Lourdes y Laguna Blanca")</f>
        <v>Virgen de Lourdes y Laguna Blanca</v>
      </c>
      <c r="H2915" s="36"/>
    </row>
    <row r="2916">
      <c r="A2916" s="36" t="str">
        <f>IFERROR(__xludf.DUMMYFUNCTION("""COMPUTED_VALUE"""),"04-30-14-99")</f>
        <v>04-30-14-99</v>
      </c>
      <c r="B2916" s="36" t="str">
        <f>IFERROR(__xludf.DUMMYFUNCTION("""COMPUTED_VALUE"""),"")</f>
        <v/>
      </c>
      <c r="C2916" s="36" t="str">
        <f>IFERROR(__xludf.DUMMYFUNCTION("""COMPUTED_VALUE"""),"")</f>
        <v/>
      </c>
      <c r="D2916" s="36" t="str">
        <f>IFERROR(__xludf.DUMMYFUNCTION("""COMPUTED_VALUE"""),"")</f>
        <v/>
      </c>
      <c r="E2916" s="36" t="str">
        <f>IFERROR(__xludf.DUMMYFUNCTION("""COMPUTED_VALUE"""),"01-20-07-218")</f>
        <v>01-20-07-218</v>
      </c>
      <c r="F2916" s="36"/>
      <c r="G2916" s="36" t="str">
        <f>IFERROR(__xludf.DUMMYFUNCTION("""COMPUTED_VALUE"""),"Virgen de Lourdes y Los Tilos")</f>
        <v>Virgen de Lourdes y Los Tilos</v>
      </c>
      <c r="H2916" s="36"/>
    </row>
    <row r="2917">
      <c r="A2917" s="36" t="str">
        <f>IFERROR(__xludf.DUMMYFUNCTION("""COMPUTED_VALUE"""),"04-32-14-99A")</f>
        <v>04-32-14-99A</v>
      </c>
      <c r="B2917" s="36" t="str">
        <f>IFERROR(__xludf.DUMMYFUNCTION("""COMPUTED_VALUE"""),"")</f>
        <v/>
      </c>
      <c r="C2917" s="36" t="str">
        <f>IFERROR(__xludf.DUMMYFUNCTION("""COMPUTED_VALUE"""),"")</f>
        <v/>
      </c>
      <c r="D2917" s="36" t="str">
        <f>IFERROR(__xludf.DUMMYFUNCTION("""COMPUTED_VALUE"""),"")</f>
        <v/>
      </c>
      <c r="E2917" s="36" t="str">
        <f>IFERROR(__xludf.DUMMYFUNCTION("""COMPUTED_VALUE"""),"04-30-14-124B")</f>
        <v>04-30-14-124B</v>
      </c>
      <c r="F2917" s="36"/>
      <c r="G2917" s="36" t="str">
        <f>IFERROR(__xludf.DUMMYFUNCTION("""COMPUTED_VALUE"""),"Virgen de Lourdes y Manuel Quiroga E")</f>
        <v>Virgen de Lourdes y Manuel Quiroga E</v>
      </c>
      <c r="H2917" s="36"/>
    </row>
    <row r="2918">
      <c r="A2918" s="36" t="str">
        <f>IFERROR(__xludf.DUMMYFUNCTION("""COMPUTED_VALUE"""),"04-32-14-99B")</f>
        <v>04-32-14-99B</v>
      </c>
      <c r="B2918" s="36" t="str">
        <f>IFERROR(__xludf.DUMMYFUNCTION("""COMPUTED_VALUE"""),"")</f>
        <v/>
      </c>
      <c r="C2918" s="36" t="str">
        <f>IFERROR(__xludf.DUMMYFUNCTION("""COMPUTED_VALUE"""),"")</f>
        <v/>
      </c>
      <c r="D2918" s="36" t="str">
        <f>IFERROR(__xludf.DUMMYFUNCTION("""COMPUTED_VALUE"""),"")</f>
        <v/>
      </c>
      <c r="E2918" s="36" t="str">
        <f>IFERROR(__xludf.DUMMYFUNCTION("""COMPUTED_VALUE"""),"04-30-14-125B")</f>
        <v>04-30-14-125B</v>
      </c>
      <c r="F2918" s="36"/>
      <c r="G2918" s="36" t="str">
        <f>IFERROR(__xludf.DUMMYFUNCTION("""COMPUTED_VALUE"""),"Virgen de Lourdes y Manuel Quiroga O")</f>
        <v>Virgen de Lourdes y Manuel Quiroga O</v>
      </c>
      <c r="H2918" s="36"/>
    </row>
    <row r="2919">
      <c r="A2919" s="36" t="str">
        <f>IFERROR(__xludf.DUMMYFUNCTION("""COMPUTED_VALUE"""),"04-47-14-99C")</f>
        <v>04-47-14-99C</v>
      </c>
      <c r="B2919" s="36" t="str">
        <f>IFERROR(__xludf.DUMMYFUNCTION("""COMPUTED_VALUE"""),"")</f>
        <v/>
      </c>
      <c r="C2919" s="36" t="str">
        <f>IFERROR(__xludf.DUMMYFUNCTION("""COMPUTED_VALUE"""),"")</f>
        <v/>
      </c>
      <c r="D2919" s="36" t="str">
        <f>IFERROR(__xludf.DUMMYFUNCTION("""COMPUTED_VALUE"""),"")</f>
        <v/>
      </c>
      <c r="E2919" s="36" t="str">
        <f>IFERROR(__xludf.DUMMYFUNCTION("""COMPUTED_VALUE"""),"01-20-07-219")</f>
        <v>01-20-07-219</v>
      </c>
      <c r="F2919" s="36"/>
      <c r="G2919" s="36" t="str">
        <f>IFERROR(__xludf.DUMMYFUNCTION("""COMPUTED_VALUE"""),"Virgen de Lourdes y Matías Zavalla")</f>
        <v>Virgen de Lourdes y Matías Zavalla</v>
      </c>
      <c r="H2919" s="36"/>
    </row>
    <row r="2920">
      <c r="A2920" s="36" t="str">
        <f>IFERROR(__xludf.DUMMYFUNCTION("""COMPUTED_VALUE"""),"04-48-14-100")</f>
        <v>04-48-14-100</v>
      </c>
      <c r="B2920" s="36" t="str">
        <f>IFERROR(__xludf.DUMMYFUNCTION("""COMPUTED_VALUE"""),"")</f>
        <v/>
      </c>
      <c r="C2920" s="36" t="str">
        <f>IFERROR(__xludf.DUMMYFUNCTION("""COMPUTED_VALUE"""),"")</f>
        <v/>
      </c>
      <c r="D2920" s="36" t="str">
        <f>IFERROR(__xludf.DUMMYFUNCTION("""COMPUTED_VALUE"""),"")</f>
        <v/>
      </c>
      <c r="E2920" s="36" t="str">
        <f>IFERROR(__xludf.DUMMYFUNCTION("""COMPUTED_VALUE"""),"01-20-07-216")</f>
        <v>01-20-07-216</v>
      </c>
      <c r="F2920" s="36"/>
      <c r="G2920" s="36" t="str">
        <f>IFERROR(__xludf.DUMMYFUNCTION("""COMPUTED_VALUE"""),"Virgen de Lourdes y Mercedarios")</f>
        <v>Virgen de Lourdes y Mercedarios</v>
      </c>
      <c r="H2920" s="36"/>
    </row>
    <row r="2921">
      <c r="A2921" s="36" t="str">
        <f>IFERROR(__xludf.DUMMYFUNCTION("""COMPUTED_VALUE"""),"04-48-14-105")</f>
        <v>04-48-14-105</v>
      </c>
      <c r="B2921" s="36" t="str">
        <f>IFERROR(__xludf.DUMMYFUNCTION("""COMPUTED_VALUE"""),"")</f>
        <v/>
      </c>
      <c r="C2921" s="36" t="str">
        <f>IFERROR(__xludf.DUMMYFUNCTION("""COMPUTED_VALUE"""),"")</f>
        <v/>
      </c>
      <c r="D2921" s="36" t="str">
        <f>IFERROR(__xludf.DUMMYFUNCTION("""COMPUTED_VALUE"""),"")</f>
        <v/>
      </c>
      <c r="E2921" s="36" t="str">
        <f>IFERROR(__xludf.DUMMYFUNCTION("""COMPUTED_VALUE"""),"02-29-07-107A")</f>
        <v>02-29-07-107A</v>
      </c>
      <c r="F2921" s="36"/>
      <c r="G2921" s="36" t="str">
        <f>IFERROR(__xludf.DUMMYFUNCTION("""COMPUTED_VALUE"""),"Virgen de Lourdes y Músicos RIM 22")</f>
        <v>Virgen de Lourdes y Músicos RIM 22</v>
      </c>
      <c r="H2921" s="36"/>
    </row>
    <row r="2922">
      <c r="A2922" s="36" t="str">
        <f>IFERROR(__xludf.DUMMYFUNCTION("""COMPUTED_VALUE"""),"04-48-14-108")</f>
        <v>04-48-14-108</v>
      </c>
      <c r="B2922" s="36" t="str">
        <f>IFERROR(__xludf.DUMMYFUNCTION("""COMPUTED_VALUE"""),"")</f>
        <v/>
      </c>
      <c r="C2922" s="36" t="str">
        <f>IFERROR(__xludf.DUMMYFUNCTION("""COMPUTED_VALUE"""),"")</f>
        <v/>
      </c>
      <c r="D2922" s="36" t="str">
        <f>IFERROR(__xludf.DUMMYFUNCTION("""COMPUTED_VALUE"""),"")</f>
        <v/>
      </c>
      <c r="E2922" s="36" t="str">
        <f>IFERROR(__xludf.DUMMYFUNCTION("""COMPUTED_VALUE"""),"01-20-07-217")</f>
        <v>01-20-07-217</v>
      </c>
      <c r="F2922" s="36"/>
      <c r="G2922" s="36" t="str">
        <f>IFERROR(__xludf.DUMMYFUNCTION("""COMPUTED_VALUE"""),"Virgen de Lourdes y Río Colorado")</f>
        <v>Virgen de Lourdes y Río Colorado</v>
      </c>
      <c r="H2922" s="36"/>
    </row>
    <row r="2923">
      <c r="A2923" s="36" t="str">
        <f>IFERROR(__xludf.DUMMYFUNCTION("""COMPUTED_VALUE"""),"04-48-14-112")</f>
        <v>04-48-14-112</v>
      </c>
      <c r="B2923" s="36" t="str">
        <f>IFERROR(__xludf.DUMMYFUNCTION("""COMPUTED_VALUE"""),"")</f>
        <v/>
      </c>
      <c r="C2923" s="36" t="str">
        <f>IFERROR(__xludf.DUMMYFUNCTION("""COMPUTED_VALUE"""),"")</f>
        <v/>
      </c>
      <c r="D2923" s="36" t="str">
        <f>IFERROR(__xludf.DUMMYFUNCTION("""COMPUTED_VALUE"""),"")</f>
        <v/>
      </c>
      <c r="E2923" s="36" t="str">
        <f>IFERROR(__xludf.DUMMYFUNCTION("""COMPUTED_VALUE"""),"08-40-02-126")</f>
        <v>08-40-02-126</v>
      </c>
      <c r="F2923" s="36"/>
      <c r="G2923" s="36" t="str">
        <f>IFERROR(__xludf.DUMMYFUNCTION("""COMPUTED_VALUE"""),"Vitaz y Neuquén E")</f>
        <v>Vitaz y Neuquén E</v>
      </c>
      <c r="H2923" s="36"/>
    </row>
    <row r="2924">
      <c r="A2924" s="36" t="str">
        <f>IFERROR(__xludf.DUMMYFUNCTION("""COMPUTED_VALUE"""),"04-48-14-114")</f>
        <v>04-48-14-114</v>
      </c>
      <c r="B2924" s="36" t="str">
        <f>IFERROR(__xludf.DUMMYFUNCTION("""COMPUTED_VALUE"""),"")</f>
        <v/>
      </c>
      <c r="C2924" s="36" t="str">
        <f>IFERROR(__xludf.DUMMYFUNCTION("""COMPUTED_VALUE"""),"")</f>
        <v/>
      </c>
      <c r="D2924" s="36" t="str">
        <f>IFERROR(__xludf.DUMMYFUNCTION("""COMPUTED_VALUE"""),"")</f>
        <v/>
      </c>
      <c r="E2924" s="36" t="str">
        <f>IFERROR(__xludf.DUMMYFUNCTION("""COMPUTED_VALUE"""),"08-40-02-125")</f>
        <v>08-40-02-125</v>
      </c>
      <c r="F2924" s="36"/>
      <c r="G2924" s="36" t="str">
        <f>IFERROR(__xludf.DUMMYFUNCTION("""COMPUTED_VALUE"""),"Vitaz y Neuquén O")</f>
        <v>Vitaz y Neuquén O</v>
      </c>
      <c r="H2924" s="36"/>
    </row>
    <row r="2925">
      <c r="A2925" s="36" t="str">
        <f>IFERROR(__xludf.DUMMYFUNCTION("""COMPUTED_VALUE"""),"04-48-14-116A")</f>
        <v>04-48-14-116A</v>
      </c>
      <c r="B2925" s="36" t="str">
        <f>IFERROR(__xludf.DUMMYFUNCTION("""COMPUTED_VALUE"""),"")</f>
        <v/>
      </c>
      <c r="C2925" s="36" t="str">
        <f>IFERROR(__xludf.DUMMYFUNCTION("""COMPUTED_VALUE"""),"")</f>
        <v/>
      </c>
      <c r="D2925" s="36" t="str">
        <f>IFERROR(__xludf.DUMMYFUNCTION("""COMPUTED_VALUE"""),"")</f>
        <v/>
      </c>
      <c r="E2925" s="36" t="str">
        <f>IFERROR(__xludf.DUMMYFUNCTION("""COMPUTED_VALUE"""),"08-40-02-124")</f>
        <v>08-40-02-124</v>
      </c>
      <c r="F2925" s="36"/>
      <c r="G2925" s="36" t="str">
        <f>IFERROR(__xludf.DUMMYFUNCTION("""COMPUTED_VALUE"""),"Vitaz y Sta. Cruz E")</f>
        <v>Vitaz y Sta. Cruz E</v>
      </c>
      <c r="H2925" s="36"/>
    </row>
    <row r="2926">
      <c r="A2926" s="36" t="str">
        <f>IFERROR(__xludf.DUMMYFUNCTION("""COMPUTED_VALUE"""),"04-48-14-131")</f>
        <v>04-48-14-131</v>
      </c>
      <c r="B2926" s="36" t="str">
        <f>IFERROR(__xludf.DUMMYFUNCTION("""COMPUTED_VALUE"""),"")</f>
        <v/>
      </c>
      <c r="C2926" s="36" t="str">
        <f>IFERROR(__xludf.DUMMYFUNCTION("""COMPUTED_VALUE"""),"")</f>
        <v/>
      </c>
      <c r="D2926" s="36" t="str">
        <f>IFERROR(__xludf.DUMMYFUNCTION("""COMPUTED_VALUE"""),"")</f>
        <v/>
      </c>
      <c r="E2926" s="36" t="str">
        <f>IFERROR(__xludf.DUMMYFUNCTION("""COMPUTED_VALUE"""),"08-40-02-123")</f>
        <v>08-40-02-123</v>
      </c>
      <c r="F2926" s="36"/>
      <c r="G2926" s="36" t="str">
        <f>IFERROR(__xludf.DUMMYFUNCTION("""COMPUTED_VALUE"""),"Vitaz y Sta. Cruz O")</f>
        <v>Vitaz y Sta. Cruz O</v>
      </c>
      <c r="H2926" s="36"/>
    </row>
    <row r="2927">
      <c r="A2927" s="36" t="str">
        <f>IFERROR(__xludf.DUMMYFUNCTION("""COMPUTED_VALUE"""),"04-48-14-133")</f>
        <v>04-48-14-133</v>
      </c>
      <c r="B2927" s="36" t="str">
        <f>IFERROR(__xludf.DUMMYFUNCTION("""COMPUTED_VALUE"""),"")</f>
        <v/>
      </c>
      <c r="C2927" s="36" t="str">
        <f>IFERROR(__xludf.DUMMYFUNCTION("""COMPUTED_VALUE"""),"")</f>
        <v/>
      </c>
      <c r="D2927" s="36" t="str">
        <f>IFERROR(__xludf.DUMMYFUNCTION("""COMPUTED_VALUE"""),"")</f>
        <v/>
      </c>
      <c r="E2927" s="36" t="str">
        <f>IFERROR(__xludf.DUMMYFUNCTION("""COMPUTED_VALUE"""),"08-30-01-9B")</f>
        <v>08-30-01-9B</v>
      </c>
      <c r="F2927" s="36"/>
      <c r="G2927" s="36" t="str">
        <f>IFERROR(__xludf.DUMMYFUNCTION("""COMPUTED_VALUE"""),"Vº Pueyrredón S")</f>
        <v>Vº Pueyrredón S</v>
      </c>
      <c r="H2927" s="36"/>
    </row>
    <row r="2928">
      <c r="A2928" s="36" t="str">
        <f>IFERROR(__xludf.DUMMYFUNCTION("""COMPUTED_VALUE"""),"04-48-14-99D")</f>
        <v>04-48-14-99D</v>
      </c>
      <c r="B2928" s="36" t="str">
        <f>IFERROR(__xludf.DUMMYFUNCTION("""COMPUTED_VALUE"""),"")</f>
        <v/>
      </c>
      <c r="C2928" s="36" t="str">
        <f>IFERROR(__xludf.DUMMYFUNCTION("""COMPUTED_VALUE"""),"")</f>
        <v/>
      </c>
      <c r="D2928" s="36" t="str">
        <f>IFERROR(__xludf.DUMMYFUNCTION("""COMPUTED_VALUE"""),"")</f>
        <v/>
      </c>
      <c r="E2928" s="36" t="str">
        <f>IFERROR(__xludf.DUMMYFUNCTION("""COMPUTED_VALUE"""),"02-42-11-30A")</f>
        <v>02-42-11-30A</v>
      </c>
      <c r="F2928" s="36"/>
      <c r="G2928" s="36" t="str">
        <f>IFERROR(__xludf.DUMMYFUNCTION("""COMPUTED_VALUE"""),"Yornet Norte  y Proyectada III")</f>
        <v>Yornet Norte  y Proyectada III</v>
      </c>
      <c r="H2928" s="36"/>
    </row>
    <row r="2929">
      <c r="A2929" s="36" t="str">
        <f>IFERROR(__xludf.DUMMYFUNCTION("""COMPUTED_VALUE"""),"04-50-14-109")</f>
        <v>04-50-14-109</v>
      </c>
      <c r="B2929" s="36" t="str">
        <f>IFERROR(__xludf.DUMMYFUNCTION("""COMPUTED_VALUE"""),"")</f>
        <v/>
      </c>
      <c r="C2929" s="36" t="str">
        <f>IFERROR(__xludf.DUMMYFUNCTION("""COMPUTED_VALUE"""),"")</f>
        <v/>
      </c>
      <c r="D2929" s="36" t="str">
        <f>IFERROR(__xludf.DUMMYFUNCTION("""COMPUTED_VALUE"""),"")</f>
        <v/>
      </c>
      <c r="E2929" s="36" t="str">
        <f>IFERROR(__xludf.DUMMYFUNCTION("""COMPUTED_VALUE"""),"02-42-11-33")</f>
        <v>02-42-11-33</v>
      </c>
      <c r="F2929" s="36"/>
      <c r="G2929" s="36" t="str">
        <f>IFERROR(__xludf.DUMMYFUNCTION("""COMPUTED_VALUE"""),"Yornet Sur")</f>
        <v>Yornet Sur</v>
      </c>
      <c r="H2929" s="36"/>
    </row>
    <row r="2930">
      <c r="A2930" s="36" t="str">
        <f>IFERROR(__xludf.DUMMYFUNCTION("""COMPUTED_VALUE"""),"04-50-14-110")</f>
        <v>04-50-14-110</v>
      </c>
      <c r="B2930" s="36" t="str">
        <f>IFERROR(__xludf.DUMMYFUNCTION("""COMPUTED_VALUE"""),"")</f>
        <v/>
      </c>
      <c r="C2930" s="36" t="str">
        <f>IFERROR(__xludf.DUMMYFUNCTION("""COMPUTED_VALUE"""),"")</f>
        <v/>
      </c>
      <c r="D2930" s="36" t="str">
        <f>IFERROR(__xludf.DUMMYFUNCTION("""COMPUTED_VALUE"""),"")</f>
        <v/>
      </c>
      <c r="E2930" s="36" t="str">
        <f>IFERROR(__xludf.DUMMYFUNCTION("""COMPUTED_VALUE"""),"02-42-11-30")</f>
        <v>02-42-11-30</v>
      </c>
      <c r="F2930" s="36"/>
      <c r="G2930" s="36" t="str">
        <f>IFERROR(__xludf.DUMMYFUNCTION("""COMPUTED_VALUE"""),"Yornet Sur  y Proyectada III")</f>
        <v>Yornet Sur  y Proyectada III</v>
      </c>
      <c r="H2930" s="36"/>
    </row>
    <row r="2931">
      <c r="A2931" s="36" t="str">
        <f>IFERROR(__xludf.DUMMYFUNCTION("""COMPUTED_VALUE"""),"04-50-14-138")</f>
        <v>04-50-14-138</v>
      </c>
      <c r="B2931" s="36" t="str">
        <f>IFERROR(__xludf.DUMMYFUNCTION("""COMPUTED_VALUE"""),"")</f>
        <v/>
      </c>
      <c r="C2931" s="36" t="str">
        <f>IFERROR(__xludf.DUMMYFUNCTION("""COMPUTED_VALUE"""),"")</f>
        <v/>
      </c>
      <c r="D2931" s="36" t="str">
        <f>IFERROR(__xludf.DUMMYFUNCTION("""COMPUTED_VALUE"""),"")</f>
        <v/>
      </c>
      <c r="E2931" s="36" t="str">
        <f>IFERROR(__xludf.DUMMYFUNCTION("""COMPUTED_VALUE"""),"02-42-11-33A")</f>
        <v>02-42-11-33A</v>
      </c>
      <c r="F2931" s="36"/>
      <c r="G2931" s="36" t="str">
        <f>IFERROR(__xludf.DUMMYFUNCTION("""COMPUTED_VALUE"""),"Yornet y Calle Nueva")</f>
        <v>Yornet y Calle Nueva</v>
      </c>
      <c r="H2931" s="36"/>
    </row>
    <row r="2932">
      <c r="A2932" s="36" t="str">
        <f>IFERROR(__xludf.DUMMYFUNCTION("""COMPUTED_VALUE"""),"04-52-14-160")</f>
        <v>04-52-14-160</v>
      </c>
      <c r="B2932" s="36" t="str">
        <f>IFERROR(__xludf.DUMMYFUNCTION("""COMPUTED_VALUE"""),"")</f>
        <v/>
      </c>
      <c r="C2932" s="36" t="str">
        <f>IFERROR(__xludf.DUMMYFUNCTION("""COMPUTED_VALUE"""),"")</f>
        <v/>
      </c>
      <c r="D2932" s="36" t="str">
        <f>IFERROR(__xludf.DUMMYFUNCTION("""COMPUTED_VALUE"""),"")</f>
        <v/>
      </c>
      <c r="E2932" s="36" t="str">
        <f>IFERROR(__xludf.DUMMYFUNCTION("""COMPUTED_VALUE"""),"04-34-12-36A")</f>
        <v>04-34-12-36A</v>
      </c>
      <c r="F2932" s="36"/>
      <c r="G2932" s="36" t="str">
        <f>IFERROR(__xludf.DUMMYFUNCTION("""COMPUTED_VALUE"""),"Zapiola y Moreno Este")</f>
        <v>Zapiola y Moreno Este</v>
      </c>
      <c r="H2932" s="36"/>
    </row>
    <row r="2933">
      <c r="A2933" s="36" t="str">
        <f>IFERROR(__xludf.DUMMYFUNCTION("""COMPUTED_VALUE"""),"05-28-14-106")</f>
        <v>05-28-14-106</v>
      </c>
      <c r="B2933" s="36" t="str">
        <f>IFERROR(__xludf.DUMMYFUNCTION("""COMPUTED_VALUE"""),"")</f>
        <v/>
      </c>
      <c r="C2933" s="36" t="str">
        <f>IFERROR(__xludf.DUMMYFUNCTION("""COMPUTED_VALUE"""),"")</f>
        <v/>
      </c>
      <c r="D2933" s="36" t="str">
        <f>IFERROR(__xludf.DUMMYFUNCTION("""COMPUTED_VALUE"""),"")</f>
        <v/>
      </c>
      <c r="E2933" s="36" t="str">
        <f>IFERROR(__xludf.DUMMYFUNCTION("""COMPUTED_VALUE"""),"04-34-12-35D")</f>
        <v>04-34-12-35D</v>
      </c>
      <c r="F2933" s="36"/>
      <c r="G2933" s="36" t="str">
        <f>IFERROR(__xludf.DUMMYFUNCTION("""COMPUTED_VALUE"""),"Zapiola y Moreno Oeste")</f>
        <v>Zapiola y Moreno Oeste</v>
      </c>
      <c r="H2933" s="36"/>
    </row>
    <row r="2934">
      <c r="A2934" s="36" t="str">
        <f>IFERROR(__xludf.DUMMYFUNCTION("""COMPUTED_VALUE"""),"05-28-14-107")</f>
        <v>05-28-14-107</v>
      </c>
      <c r="B2934" s="36" t="str">
        <f>IFERROR(__xludf.DUMMYFUNCTION("""COMPUTED_VALUE"""),"")</f>
        <v/>
      </c>
      <c r="C2934" s="36" t="str">
        <f>IFERROR(__xludf.DUMMYFUNCTION("""COMPUTED_VALUE"""),"")</f>
        <v/>
      </c>
      <c r="D2934" s="36" t="str">
        <f>IFERROR(__xludf.DUMMYFUNCTION("""COMPUTED_VALUE"""),"")</f>
        <v/>
      </c>
      <c r="E2934" s="36" t="str">
        <f>IFERROR(__xludf.DUMMYFUNCTION("""COMPUTED_VALUE"""),"04-34-12-37A")</f>
        <v>04-34-12-37A</v>
      </c>
      <c r="F2934" s="36"/>
      <c r="G2934" s="36" t="str">
        <f>IFERROR(__xludf.DUMMYFUNCTION("""COMPUTED_VALUE"""),"Zapiola y O'Higgins")</f>
        <v>Zapiola y O'Higgins</v>
      </c>
      <c r="H2934" s="36"/>
    </row>
    <row r="2935">
      <c r="A2935" s="36" t="str">
        <f>IFERROR(__xludf.DUMMYFUNCTION("""COMPUTED_VALUE"""),"05-20-25-82")</f>
        <v>05-20-25-82</v>
      </c>
      <c r="B2935" s="36" t="str">
        <f>IFERROR(__xludf.DUMMYFUNCTION("""COMPUTED_VALUE"""),"")</f>
        <v/>
      </c>
      <c r="C2935" s="36" t="str">
        <f>IFERROR(__xludf.DUMMYFUNCTION("""COMPUTED_VALUE"""),"")</f>
        <v/>
      </c>
      <c r="D2935" s="36" t="str">
        <f>IFERROR(__xludf.DUMMYFUNCTION("""COMPUTED_VALUE"""),"")</f>
        <v/>
      </c>
      <c r="E2935" s="36" t="str">
        <f>IFERROR(__xludf.DUMMYFUNCTION("""COMPUTED_VALUE"""),"04-34-12-31A")</f>
        <v>04-34-12-31A</v>
      </c>
      <c r="F2935" s="36"/>
      <c r="G2935" s="36" t="str">
        <f>IFERROR(__xludf.DUMMYFUNCTION("""COMPUTED_VALUE"""),"Zapiola y República del Libano")</f>
        <v>Zapiola y República del Libano</v>
      </c>
      <c r="H2935" s="36"/>
    </row>
    <row r="2936">
      <c r="A2936" s="36" t="str">
        <f>IFERROR(__xludf.DUMMYFUNCTION("""COMPUTED_VALUE"""),"01-58-07-56")</f>
        <v>01-58-07-56</v>
      </c>
      <c r="B2936" s="36" t="str">
        <f>IFERROR(__xludf.DUMMYFUNCTION("""COMPUTED_VALUE"""),"LATITUD")</f>
        <v>LATITUD</v>
      </c>
      <c r="C2936" s="36" t="str">
        <f>IFERROR(__xludf.DUMMYFUNCTION("""COMPUTED_VALUE"""),"LONGITUD")</f>
        <v>LONGITUD</v>
      </c>
      <c r="D2936" s="36" t="str">
        <f>IFERROR(__xludf.DUMMYFUNCTION("""COMPUTED_VALUE"""),"")</f>
        <v/>
      </c>
      <c r="E2936" s="36" t="str">
        <f>IFERROR(__xludf.DUMMYFUNCTION("""COMPUTED_VALUE"""),"02-29-07-102")</f>
        <v>02-29-07-102</v>
      </c>
      <c r="F2936" s="36"/>
      <c r="G2936" s="36" t="str">
        <f>IFERROR(__xludf.DUMMYFUNCTION("""COMPUTED_VALUE"""),"Zuluaga y Bolívar")</f>
        <v>Zuluaga y Bolívar</v>
      </c>
      <c r="H2936" s="36"/>
    </row>
    <row r="2937">
      <c r="A2937" s="36"/>
      <c r="B2937" s="36" t="str">
        <f>IFERROR(__xludf.DUMMYFUNCTION("""COMPUTED_VALUE"""),"LATITUD")</f>
        <v>LATITUD</v>
      </c>
      <c r="C2937" s="36" t="str">
        <f>IFERROR(__xludf.DUMMYFUNCTION("""COMPUTED_VALUE"""),"LONGITUD")</f>
        <v>LONGITUD</v>
      </c>
      <c r="D2937" s="36" t="str">
        <f>IFERROR(__xludf.DUMMYFUNCTION("""COMPUTED_VALUE"""),"ERROR DE ID")</f>
        <v>ERROR DE ID</v>
      </c>
      <c r="E2937" s="36"/>
      <c r="F2937" s="36"/>
      <c r="G2937" s="36"/>
      <c r="H2937" s="36"/>
    </row>
    <row r="2938">
      <c r="A2938" s="36"/>
      <c r="B2938" s="36" t="str">
        <f>IFERROR(__xludf.DUMMYFUNCTION("""COMPUTED_VALUE"""),"LATITUD")</f>
        <v>LATITUD</v>
      </c>
      <c r="C2938" s="36" t="str">
        <f>IFERROR(__xludf.DUMMYFUNCTION("""COMPUTED_VALUE"""),"LONGITUD")</f>
        <v>LONGITUD</v>
      </c>
      <c r="D2938" s="36" t="str">
        <f>IFERROR(__xludf.DUMMYFUNCTION("""COMPUTED_VALUE"""),"ERROR DE ID")</f>
        <v>ERROR DE ID</v>
      </c>
      <c r="E2938" s="36"/>
      <c r="F2938" s="36"/>
      <c r="G2938" s="36"/>
      <c r="H2938" s="36"/>
    </row>
    <row r="2939">
      <c r="A2939" s="36"/>
      <c r="B2939" s="36" t="str">
        <f>IFERROR(__xludf.DUMMYFUNCTION("""COMPUTED_VALUE"""),"LATITUD")</f>
        <v>LATITUD</v>
      </c>
      <c r="C2939" s="36" t="str">
        <f>IFERROR(__xludf.DUMMYFUNCTION("""COMPUTED_VALUE"""),"LONGITUD")</f>
        <v>LONGITUD</v>
      </c>
      <c r="D2939" s="36" t="str">
        <f>IFERROR(__xludf.DUMMYFUNCTION("""COMPUTED_VALUE"""),"ERROR DE ID")</f>
        <v>ERROR DE ID</v>
      </c>
      <c r="E2939" s="36"/>
      <c r="F2939" s="36"/>
      <c r="G2939" s="36"/>
      <c r="H2939" s="36"/>
    </row>
    <row r="2940">
      <c r="A2940" s="36"/>
      <c r="B2940" s="36" t="str">
        <f>IFERROR(__xludf.DUMMYFUNCTION("""COMPUTED_VALUE"""),"LATITUD")</f>
        <v>LATITUD</v>
      </c>
      <c r="C2940" s="36" t="str">
        <f>IFERROR(__xludf.DUMMYFUNCTION("""COMPUTED_VALUE"""),"LONGITUD")</f>
        <v>LONGITUD</v>
      </c>
      <c r="D2940" s="36" t="str">
        <f>IFERROR(__xludf.DUMMYFUNCTION("""COMPUTED_VALUE"""),"ERROR DE ID")</f>
        <v>ERROR DE ID</v>
      </c>
      <c r="E2940" s="36"/>
      <c r="F2940" s="36"/>
      <c r="G2940" s="36"/>
      <c r="H2940" s="36"/>
    </row>
    <row r="2941">
      <c r="A2941" s="36"/>
      <c r="B2941" s="36" t="str">
        <f>IFERROR(__xludf.DUMMYFUNCTION("""COMPUTED_VALUE"""),"LATITUD")</f>
        <v>LATITUD</v>
      </c>
      <c r="C2941" s="36" t="str">
        <f>IFERROR(__xludf.DUMMYFUNCTION("""COMPUTED_VALUE"""),"LONGITUD")</f>
        <v>LONGITUD</v>
      </c>
      <c r="D2941" s="36" t="str">
        <f>IFERROR(__xludf.DUMMYFUNCTION("""COMPUTED_VALUE"""),"ERROR DE ID")</f>
        <v>ERROR DE ID</v>
      </c>
      <c r="E2941" s="36"/>
      <c r="F2941" s="36"/>
      <c r="G2941" s="36"/>
      <c r="H2941" s="36"/>
    </row>
    <row r="2942">
      <c r="A2942" s="36"/>
      <c r="B2942" s="36" t="str">
        <f>IFERROR(__xludf.DUMMYFUNCTION("""COMPUTED_VALUE"""),"LATITUD")</f>
        <v>LATITUD</v>
      </c>
      <c r="C2942" s="36" t="str">
        <f>IFERROR(__xludf.DUMMYFUNCTION("""COMPUTED_VALUE"""),"LONGITUD")</f>
        <v>LONGITUD</v>
      </c>
      <c r="D2942" s="36" t="str">
        <f>IFERROR(__xludf.DUMMYFUNCTION("""COMPUTED_VALUE"""),"ERROR DE ID")</f>
        <v>ERROR DE ID</v>
      </c>
      <c r="E2942" s="36"/>
      <c r="F2942" s="36"/>
      <c r="G2942" s="36"/>
      <c r="H2942" s="36"/>
    </row>
    <row r="2943">
      <c r="A2943" s="36"/>
      <c r="B2943" s="36" t="str">
        <f>IFERROR(__xludf.DUMMYFUNCTION("""COMPUTED_VALUE"""),"LATITUD")</f>
        <v>LATITUD</v>
      </c>
      <c r="C2943" s="36" t="str">
        <f>IFERROR(__xludf.DUMMYFUNCTION("""COMPUTED_VALUE"""),"LONGITUD")</f>
        <v>LONGITUD</v>
      </c>
      <c r="D2943" s="36" t="str">
        <f>IFERROR(__xludf.DUMMYFUNCTION("""COMPUTED_VALUE"""),"ERROR DE ID")</f>
        <v>ERROR DE ID</v>
      </c>
      <c r="E2943" s="36"/>
      <c r="F2943" s="36"/>
      <c r="G2943" s="36"/>
      <c r="H2943" s="36"/>
    </row>
    <row r="2944">
      <c r="A2944" s="36"/>
      <c r="B2944" s="36" t="str">
        <f>IFERROR(__xludf.DUMMYFUNCTION("""COMPUTED_VALUE"""),"LATITUD")</f>
        <v>LATITUD</v>
      </c>
      <c r="C2944" s="36" t="str">
        <f>IFERROR(__xludf.DUMMYFUNCTION("""COMPUTED_VALUE"""),"LONGITUD")</f>
        <v>LONGITUD</v>
      </c>
      <c r="D2944" s="36" t="str">
        <f>IFERROR(__xludf.DUMMYFUNCTION("""COMPUTED_VALUE"""),"ERROR DE ID")</f>
        <v>ERROR DE ID</v>
      </c>
      <c r="E2944" s="36"/>
      <c r="F2944" s="36"/>
      <c r="G2944" s="36"/>
      <c r="H2944" s="36"/>
    </row>
    <row r="2945">
      <c r="A2945" s="36"/>
      <c r="B2945" s="36" t="str">
        <f>IFERROR(__xludf.DUMMYFUNCTION("""COMPUTED_VALUE"""),"LATITUD")</f>
        <v>LATITUD</v>
      </c>
      <c r="C2945" s="36" t="str">
        <f>IFERROR(__xludf.DUMMYFUNCTION("""COMPUTED_VALUE"""),"LONGITUD")</f>
        <v>LONGITUD</v>
      </c>
      <c r="D2945" s="36" t="str">
        <f>IFERROR(__xludf.DUMMYFUNCTION("""COMPUTED_VALUE"""),"ERROR DE ID")</f>
        <v>ERROR DE ID</v>
      </c>
      <c r="E2945" s="36"/>
      <c r="F2945" s="36"/>
      <c r="G2945" s="36"/>
      <c r="H2945" s="36"/>
    </row>
    <row r="2946">
      <c r="A2946" s="36"/>
      <c r="B2946" s="36" t="str">
        <f>IFERROR(__xludf.DUMMYFUNCTION("""COMPUTED_VALUE"""),"LATITUD")</f>
        <v>LATITUD</v>
      </c>
      <c r="C2946" s="36" t="str">
        <f>IFERROR(__xludf.DUMMYFUNCTION("""COMPUTED_VALUE"""),"LONGITUD")</f>
        <v>LONGITUD</v>
      </c>
      <c r="D2946" s="36" t="str">
        <f>IFERROR(__xludf.DUMMYFUNCTION("""COMPUTED_VALUE"""),"ERROR DE ID")</f>
        <v>ERROR DE ID</v>
      </c>
      <c r="E2946" s="36"/>
      <c r="F2946" s="36"/>
      <c r="G2946" s="36"/>
      <c r="H2946" s="36"/>
    </row>
    <row r="2947">
      <c r="A2947" s="36"/>
      <c r="B2947" s="36" t="str">
        <f>IFERROR(__xludf.DUMMYFUNCTION("""COMPUTED_VALUE"""),"LATITUD")</f>
        <v>LATITUD</v>
      </c>
      <c r="C2947" s="36" t="str">
        <f>IFERROR(__xludf.DUMMYFUNCTION("""COMPUTED_VALUE"""),"LONGITUD")</f>
        <v>LONGITUD</v>
      </c>
      <c r="D2947" s="36" t="str">
        <f>IFERROR(__xludf.DUMMYFUNCTION("""COMPUTED_VALUE"""),"ERROR DE ID")</f>
        <v>ERROR DE ID</v>
      </c>
      <c r="E2947" s="36"/>
      <c r="F2947" s="36"/>
      <c r="G2947" s="36"/>
      <c r="H2947" s="36"/>
    </row>
    <row r="2948">
      <c r="A2948" s="36"/>
      <c r="B2948" s="36" t="str">
        <f>IFERROR(__xludf.DUMMYFUNCTION("""COMPUTED_VALUE"""),"LATITUD")</f>
        <v>LATITUD</v>
      </c>
      <c r="C2948" s="36" t="str">
        <f>IFERROR(__xludf.DUMMYFUNCTION("""COMPUTED_VALUE"""),"LONGITUD")</f>
        <v>LONGITUD</v>
      </c>
      <c r="D2948" s="36" t="str">
        <f>IFERROR(__xludf.DUMMYFUNCTION("""COMPUTED_VALUE"""),"ERROR DE ID")</f>
        <v>ERROR DE ID</v>
      </c>
      <c r="E2948" s="36"/>
      <c r="F2948" s="36"/>
      <c r="G2948" s="36"/>
      <c r="H2948" s="36"/>
    </row>
    <row r="2949">
      <c r="A2949" s="36"/>
      <c r="B2949" s="36" t="str">
        <f>IFERROR(__xludf.DUMMYFUNCTION("""COMPUTED_VALUE"""),"LATITUD")</f>
        <v>LATITUD</v>
      </c>
      <c r="C2949" s="36" t="str">
        <f>IFERROR(__xludf.DUMMYFUNCTION("""COMPUTED_VALUE"""),"LONGITUD")</f>
        <v>LONGITUD</v>
      </c>
      <c r="D2949" s="36" t="str">
        <f>IFERROR(__xludf.DUMMYFUNCTION("""COMPUTED_VALUE"""),"ERROR DE ID")</f>
        <v>ERROR DE ID</v>
      </c>
      <c r="E2949" s="36"/>
      <c r="F2949" s="36"/>
      <c r="G2949" s="36"/>
      <c r="H2949" s="36"/>
    </row>
    <row r="2950">
      <c r="A2950" s="36"/>
      <c r="B2950" s="36" t="str">
        <f>IFERROR(__xludf.DUMMYFUNCTION("""COMPUTED_VALUE"""),"LATITUD")</f>
        <v>LATITUD</v>
      </c>
      <c r="C2950" s="36" t="str">
        <f>IFERROR(__xludf.DUMMYFUNCTION("""COMPUTED_VALUE"""),"LONGITUD")</f>
        <v>LONGITUD</v>
      </c>
      <c r="D2950" s="36" t="str">
        <f>IFERROR(__xludf.DUMMYFUNCTION("""COMPUTED_VALUE"""),"ERROR DE ID")</f>
        <v>ERROR DE ID</v>
      </c>
      <c r="E2950" s="36"/>
      <c r="F2950" s="36"/>
      <c r="G2950" s="36"/>
      <c r="H2950" s="36"/>
    </row>
    <row r="2951">
      <c r="A2951" s="36"/>
      <c r="B2951" s="36" t="str">
        <f>IFERROR(__xludf.DUMMYFUNCTION("""COMPUTED_VALUE"""),"LATITUD")</f>
        <v>LATITUD</v>
      </c>
      <c r="C2951" s="36" t="str">
        <f>IFERROR(__xludf.DUMMYFUNCTION("""COMPUTED_VALUE"""),"LONGITUD")</f>
        <v>LONGITUD</v>
      </c>
      <c r="D2951" s="36" t="str">
        <f>IFERROR(__xludf.DUMMYFUNCTION("""COMPUTED_VALUE"""),"ERROR DE ID")</f>
        <v>ERROR DE ID</v>
      </c>
      <c r="E2951" s="36"/>
      <c r="F2951" s="36"/>
      <c r="G2951" s="36"/>
      <c r="H2951" s="36"/>
    </row>
    <row r="2952">
      <c r="A2952" s="36"/>
      <c r="B2952" s="36" t="str">
        <f>IFERROR(__xludf.DUMMYFUNCTION("""COMPUTED_VALUE"""),"LATITUD")</f>
        <v>LATITUD</v>
      </c>
      <c r="C2952" s="36" t="str">
        <f>IFERROR(__xludf.DUMMYFUNCTION("""COMPUTED_VALUE"""),"LONGITUD")</f>
        <v>LONGITUD</v>
      </c>
      <c r="D2952" s="36" t="str">
        <f>IFERROR(__xludf.DUMMYFUNCTION("""COMPUTED_VALUE"""),"ERROR DE ID")</f>
        <v>ERROR DE ID</v>
      </c>
      <c r="E2952" s="36"/>
      <c r="F2952" s="36"/>
      <c r="G2952" s="36"/>
      <c r="H2952" s="36"/>
    </row>
    <row r="2953">
      <c r="A2953" s="36"/>
      <c r="B2953" s="36" t="str">
        <f>IFERROR(__xludf.DUMMYFUNCTION("""COMPUTED_VALUE"""),"LATITUD")</f>
        <v>LATITUD</v>
      </c>
      <c r="C2953" s="36" t="str">
        <f>IFERROR(__xludf.DUMMYFUNCTION("""COMPUTED_VALUE"""),"LONGITUD")</f>
        <v>LONGITUD</v>
      </c>
      <c r="D2953" s="36" t="str">
        <f>IFERROR(__xludf.DUMMYFUNCTION("""COMPUTED_VALUE"""),"ERROR DE ID")</f>
        <v>ERROR DE ID</v>
      </c>
      <c r="E2953" s="36"/>
      <c r="F2953" s="36"/>
      <c r="G2953" s="36"/>
      <c r="H2953" s="36"/>
    </row>
    <row r="2954">
      <c r="A2954" s="36"/>
      <c r="B2954" s="36" t="str">
        <f>IFERROR(__xludf.DUMMYFUNCTION("""COMPUTED_VALUE"""),"LATITUD")</f>
        <v>LATITUD</v>
      </c>
      <c r="C2954" s="36" t="str">
        <f>IFERROR(__xludf.DUMMYFUNCTION("""COMPUTED_VALUE"""),"LONGITUD")</f>
        <v>LONGITUD</v>
      </c>
      <c r="D2954" s="36" t="str">
        <f>IFERROR(__xludf.DUMMYFUNCTION("""COMPUTED_VALUE"""),"ERROR DE ID")</f>
        <v>ERROR DE ID</v>
      </c>
      <c r="E2954" s="36"/>
      <c r="F2954" s="36"/>
      <c r="G2954" s="36"/>
      <c r="H2954" s="36"/>
    </row>
    <row r="2955">
      <c r="A2955" s="36"/>
      <c r="B2955" s="36" t="str">
        <f>IFERROR(__xludf.DUMMYFUNCTION("""COMPUTED_VALUE"""),"LATITUD")</f>
        <v>LATITUD</v>
      </c>
      <c r="C2955" s="36" t="str">
        <f>IFERROR(__xludf.DUMMYFUNCTION("""COMPUTED_VALUE"""),"LONGITUD")</f>
        <v>LONGITUD</v>
      </c>
      <c r="D2955" s="36" t="str">
        <f>IFERROR(__xludf.DUMMYFUNCTION("""COMPUTED_VALUE"""),"ERROR DE ID")</f>
        <v>ERROR DE ID</v>
      </c>
      <c r="E2955" s="36"/>
      <c r="F2955" s="36"/>
      <c r="G2955" s="36"/>
      <c r="H2955" s="36"/>
    </row>
    <row r="2956">
      <c r="A2956" s="36"/>
      <c r="B2956" s="36" t="str">
        <f>IFERROR(__xludf.DUMMYFUNCTION("""COMPUTED_VALUE"""),"LATITUD")</f>
        <v>LATITUD</v>
      </c>
      <c r="C2956" s="36" t="str">
        <f>IFERROR(__xludf.DUMMYFUNCTION("""COMPUTED_VALUE"""),"LONGITUD")</f>
        <v>LONGITUD</v>
      </c>
      <c r="D2956" s="36" t="str">
        <f>IFERROR(__xludf.DUMMYFUNCTION("""COMPUTED_VALUE"""),"ERROR DE ID")</f>
        <v>ERROR DE ID</v>
      </c>
      <c r="E2956" s="36"/>
      <c r="F2956" s="36"/>
      <c r="G2956" s="36"/>
      <c r="H2956" s="36"/>
    </row>
    <row r="2957">
      <c r="A2957" s="36"/>
      <c r="B2957" s="36" t="str">
        <f>IFERROR(__xludf.DUMMYFUNCTION("""COMPUTED_VALUE"""),"LATITUD")</f>
        <v>LATITUD</v>
      </c>
      <c r="C2957" s="36" t="str">
        <f>IFERROR(__xludf.DUMMYFUNCTION("""COMPUTED_VALUE"""),"LONGITUD")</f>
        <v>LONGITUD</v>
      </c>
      <c r="D2957" s="36" t="str">
        <f>IFERROR(__xludf.DUMMYFUNCTION("""COMPUTED_VALUE"""),"ERROR DE ID")</f>
        <v>ERROR DE ID</v>
      </c>
      <c r="E2957" s="36"/>
      <c r="F2957" s="36"/>
      <c r="G2957" s="36"/>
      <c r="H2957" s="36"/>
    </row>
    <row r="2958">
      <c r="A2958" s="36"/>
      <c r="B2958" s="36" t="str">
        <f>IFERROR(__xludf.DUMMYFUNCTION("""COMPUTED_VALUE"""),"LATITUD")</f>
        <v>LATITUD</v>
      </c>
      <c r="C2958" s="36" t="str">
        <f>IFERROR(__xludf.DUMMYFUNCTION("""COMPUTED_VALUE"""),"LONGITUD")</f>
        <v>LONGITUD</v>
      </c>
      <c r="D2958" s="36" t="str">
        <f>IFERROR(__xludf.DUMMYFUNCTION("""COMPUTED_VALUE"""),"ERROR DE ID")</f>
        <v>ERROR DE ID</v>
      </c>
      <c r="E2958" s="36"/>
      <c r="F2958" s="36"/>
      <c r="G2958" s="36"/>
      <c r="H2958" s="36"/>
    </row>
    <row r="2959">
      <c r="A2959" s="36"/>
      <c r="B2959" s="36" t="str">
        <f>IFERROR(__xludf.DUMMYFUNCTION("""COMPUTED_VALUE"""),"LATITUD")</f>
        <v>LATITUD</v>
      </c>
      <c r="C2959" s="36" t="str">
        <f>IFERROR(__xludf.DUMMYFUNCTION("""COMPUTED_VALUE"""),"LONGITUD")</f>
        <v>LONGITUD</v>
      </c>
      <c r="D2959" s="36" t="str">
        <f>IFERROR(__xludf.DUMMYFUNCTION("""COMPUTED_VALUE"""),"ERROR DE ID")</f>
        <v>ERROR DE ID</v>
      </c>
      <c r="E2959" s="36"/>
      <c r="F2959" s="36"/>
      <c r="G2959" s="36"/>
      <c r="H2959" s="36"/>
    </row>
    <row r="2960">
      <c r="A2960" s="36"/>
      <c r="B2960" s="36" t="str">
        <f>IFERROR(__xludf.DUMMYFUNCTION("""COMPUTED_VALUE"""),"LATITUD")</f>
        <v>LATITUD</v>
      </c>
      <c r="C2960" s="36" t="str">
        <f>IFERROR(__xludf.DUMMYFUNCTION("""COMPUTED_VALUE"""),"LONGITUD")</f>
        <v>LONGITUD</v>
      </c>
      <c r="D2960" s="36" t="str">
        <f>IFERROR(__xludf.DUMMYFUNCTION("""COMPUTED_VALUE"""),"ERROR DE ID")</f>
        <v>ERROR DE ID</v>
      </c>
      <c r="E2960" s="36"/>
      <c r="F2960" s="36"/>
      <c r="G2960" s="36"/>
      <c r="H2960" s="36"/>
    </row>
    <row r="2961">
      <c r="A2961" s="36"/>
      <c r="B2961" s="36" t="str">
        <f>IFERROR(__xludf.DUMMYFUNCTION("""COMPUTED_VALUE"""),"LATITUD")</f>
        <v>LATITUD</v>
      </c>
      <c r="C2961" s="36" t="str">
        <f>IFERROR(__xludf.DUMMYFUNCTION("""COMPUTED_VALUE"""),"LONGITUD")</f>
        <v>LONGITUD</v>
      </c>
      <c r="D2961" s="36" t="str">
        <f>IFERROR(__xludf.DUMMYFUNCTION("""COMPUTED_VALUE"""),"ERROR DE ID")</f>
        <v>ERROR DE ID</v>
      </c>
      <c r="E2961" s="36"/>
      <c r="F2961" s="36"/>
      <c r="G2961" s="36"/>
      <c r="H2961" s="36"/>
    </row>
    <row r="2962">
      <c r="A2962" s="36"/>
      <c r="B2962" s="36" t="str">
        <f>IFERROR(__xludf.DUMMYFUNCTION("""COMPUTED_VALUE"""),"LATITUD")</f>
        <v>LATITUD</v>
      </c>
      <c r="C2962" s="36" t="str">
        <f>IFERROR(__xludf.DUMMYFUNCTION("""COMPUTED_VALUE"""),"LONGITUD")</f>
        <v>LONGITUD</v>
      </c>
      <c r="D2962" s="36" t="str">
        <f>IFERROR(__xludf.DUMMYFUNCTION("""COMPUTED_VALUE"""),"ERROR DE ID")</f>
        <v>ERROR DE ID</v>
      </c>
      <c r="E2962" s="36"/>
      <c r="F2962" s="36"/>
      <c r="G2962" s="36"/>
      <c r="H2962" s="36"/>
    </row>
    <row r="2963">
      <c r="A2963" s="36"/>
      <c r="B2963" s="36" t="str">
        <f>IFERROR(__xludf.DUMMYFUNCTION("""COMPUTED_VALUE"""),"LATITUD")</f>
        <v>LATITUD</v>
      </c>
      <c r="C2963" s="36" t="str">
        <f>IFERROR(__xludf.DUMMYFUNCTION("""COMPUTED_VALUE"""),"LONGITUD")</f>
        <v>LONGITUD</v>
      </c>
      <c r="D2963" s="36" t="str">
        <f>IFERROR(__xludf.DUMMYFUNCTION("""COMPUTED_VALUE"""),"ERROR DE ID")</f>
        <v>ERROR DE ID</v>
      </c>
      <c r="E2963" s="36"/>
      <c r="F2963" s="36"/>
      <c r="G2963" s="36"/>
      <c r="H2963" s="36"/>
    </row>
    <row r="2964">
      <c r="A2964" s="36"/>
      <c r="B2964" s="36" t="str">
        <f>IFERROR(__xludf.DUMMYFUNCTION("""COMPUTED_VALUE"""),"LATITUD")</f>
        <v>LATITUD</v>
      </c>
      <c r="C2964" s="36" t="str">
        <f>IFERROR(__xludf.DUMMYFUNCTION("""COMPUTED_VALUE"""),"LONGITUD")</f>
        <v>LONGITUD</v>
      </c>
      <c r="D2964" s="36" t="str">
        <f>IFERROR(__xludf.DUMMYFUNCTION("""COMPUTED_VALUE"""),"ERROR DE ID")</f>
        <v>ERROR DE ID</v>
      </c>
      <c r="E2964" s="36"/>
      <c r="F2964" s="36"/>
      <c r="G2964" s="36"/>
      <c r="H2964" s="36"/>
    </row>
    <row r="2965">
      <c r="A2965" s="36"/>
      <c r="B2965" s="36" t="str">
        <f>IFERROR(__xludf.DUMMYFUNCTION("""COMPUTED_VALUE"""),"LATITUD")</f>
        <v>LATITUD</v>
      </c>
      <c r="C2965" s="36" t="str">
        <f>IFERROR(__xludf.DUMMYFUNCTION("""COMPUTED_VALUE"""),"LONGITUD")</f>
        <v>LONGITUD</v>
      </c>
      <c r="D2965" s="36" t="str">
        <f>IFERROR(__xludf.DUMMYFUNCTION("""COMPUTED_VALUE"""),"ERROR DE ID")</f>
        <v>ERROR DE ID</v>
      </c>
      <c r="E2965" s="36"/>
      <c r="F2965" s="36"/>
      <c r="G2965" s="36"/>
      <c r="H2965" s="36"/>
    </row>
    <row r="2966">
      <c r="A2966" s="36"/>
      <c r="B2966" s="36" t="str">
        <f>IFERROR(__xludf.DUMMYFUNCTION("""COMPUTED_VALUE"""),"LATITUD")</f>
        <v>LATITUD</v>
      </c>
      <c r="C2966" s="36" t="str">
        <f>IFERROR(__xludf.DUMMYFUNCTION("""COMPUTED_VALUE"""),"LONGITUD")</f>
        <v>LONGITUD</v>
      </c>
      <c r="D2966" s="36" t="str">
        <f>IFERROR(__xludf.DUMMYFUNCTION("""COMPUTED_VALUE"""),"ERROR DE ID")</f>
        <v>ERROR DE ID</v>
      </c>
      <c r="E2966" s="36"/>
      <c r="F2966" s="36"/>
      <c r="G2966" s="36"/>
      <c r="H2966" s="36"/>
    </row>
    <row r="2967">
      <c r="A2967" s="36"/>
      <c r="B2967" s="36" t="str">
        <f>IFERROR(__xludf.DUMMYFUNCTION("""COMPUTED_VALUE"""),"LATITUD")</f>
        <v>LATITUD</v>
      </c>
      <c r="C2967" s="36" t="str">
        <f>IFERROR(__xludf.DUMMYFUNCTION("""COMPUTED_VALUE"""),"LONGITUD")</f>
        <v>LONGITUD</v>
      </c>
      <c r="D2967" s="36" t="str">
        <f>IFERROR(__xludf.DUMMYFUNCTION("""COMPUTED_VALUE"""),"ERROR DE ID")</f>
        <v>ERROR DE ID</v>
      </c>
      <c r="E2967" s="36"/>
      <c r="F2967" s="36"/>
      <c r="G2967" s="36"/>
      <c r="H2967" s="36"/>
    </row>
    <row r="2968">
      <c r="A2968" s="36"/>
      <c r="B2968" s="36" t="str">
        <f>IFERROR(__xludf.DUMMYFUNCTION("""COMPUTED_VALUE"""),"LATITUD")</f>
        <v>LATITUD</v>
      </c>
      <c r="C2968" s="36" t="str">
        <f>IFERROR(__xludf.DUMMYFUNCTION("""COMPUTED_VALUE"""),"LONGITUD")</f>
        <v>LONGITUD</v>
      </c>
      <c r="D2968" s="36" t="str">
        <f>IFERROR(__xludf.DUMMYFUNCTION("""COMPUTED_VALUE"""),"ERROR DE ID")</f>
        <v>ERROR DE ID</v>
      </c>
      <c r="E2968" s="36"/>
      <c r="F2968" s="36"/>
      <c r="G2968" s="36"/>
      <c r="H2968" s="36"/>
    </row>
    <row r="2969">
      <c r="A2969" s="36"/>
      <c r="B2969" s="36" t="str">
        <f>IFERROR(__xludf.DUMMYFUNCTION("""COMPUTED_VALUE"""),"LATITUD")</f>
        <v>LATITUD</v>
      </c>
      <c r="C2969" s="36" t="str">
        <f>IFERROR(__xludf.DUMMYFUNCTION("""COMPUTED_VALUE"""),"LONGITUD")</f>
        <v>LONGITUD</v>
      </c>
      <c r="D2969" s="36" t="str">
        <f>IFERROR(__xludf.DUMMYFUNCTION("""COMPUTED_VALUE"""),"ERROR DE ID")</f>
        <v>ERROR DE ID</v>
      </c>
      <c r="E2969" s="36"/>
      <c r="F2969" s="36"/>
      <c r="G2969" s="36"/>
      <c r="H2969" s="36"/>
    </row>
    <row r="2970">
      <c r="A2970" s="36"/>
      <c r="B2970" s="36" t="str">
        <f>IFERROR(__xludf.DUMMYFUNCTION("""COMPUTED_VALUE"""),"LATITUD")</f>
        <v>LATITUD</v>
      </c>
      <c r="C2970" s="36" t="str">
        <f>IFERROR(__xludf.DUMMYFUNCTION("""COMPUTED_VALUE"""),"LONGITUD")</f>
        <v>LONGITUD</v>
      </c>
      <c r="D2970" s="36" t="str">
        <f>IFERROR(__xludf.DUMMYFUNCTION("""COMPUTED_VALUE"""),"ERROR DE ID")</f>
        <v>ERROR DE ID</v>
      </c>
      <c r="E2970" s="36"/>
      <c r="F2970" s="36"/>
      <c r="G2970" s="36"/>
      <c r="H2970" s="36"/>
    </row>
    <row r="2971">
      <c r="A2971" s="36"/>
      <c r="B2971" s="36" t="str">
        <f>IFERROR(__xludf.DUMMYFUNCTION("""COMPUTED_VALUE"""),"LATITUD")</f>
        <v>LATITUD</v>
      </c>
      <c r="C2971" s="36" t="str">
        <f>IFERROR(__xludf.DUMMYFUNCTION("""COMPUTED_VALUE"""),"LONGITUD")</f>
        <v>LONGITUD</v>
      </c>
      <c r="D2971" s="36" t="str">
        <f>IFERROR(__xludf.DUMMYFUNCTION("""COMPUTED_VALUE"""),"ERROR DE ID")</f>
        <v>ERROR DE ID</v>
      </c>
      <c r="E2971" s="36"/>
      <c r="F2971" s="36"/>
      <c r="G2971" s="36"/>
      <c r="H2971" s="36"/>
    </row>
    <row r="2972">
      <c r="A2972" s="36"/>
      <c r="B2972" s="36" t="str">
        <f>IFERROR(__xludf.DUMMYFUNCTION("""COMPUTED_VALUE"""),"LATITUD")</f>
        <v>LATITUD</v>
      </c>
      <c r="C2972" s="36" t="str">
        <f>IFERROR(__xludf.DUMMYFUNCTION("""COMPUTED_VALUE"""),"LONGITUD")</f>
        <v>LONGITUD</v>
      </c>
      <c r="D2972" s="36" t="str">
        <f>IFERROR(__xludf.DUMMYFUNCTION("""COMPUTED_VALUE"""),"ERROR DE ID")</f>
        <v>ERROR DE ID</v>
      </c>
      <c r="E2972" s="36"/>
      <c r="F2972" s="36"/>
      <c r="G2972" s="36"/>
      <c r="H2972" s="36"/>
    </row>
    <row r="2973">
      <c r="A2973" s="36"/>
      <c r="B2973" s="36" t="str">
        <f>IFERROR(__xludf.DUMMYFUNCTION("""COMPUTED_VALUE"""),"LATITUD")</f>
        <v>LATITUD</v>
      </c>
      <c r="C2973" s="36" t="str">
        <f>IFERROR(__xludf.DUMMYFUNCTION("""COMPUTED_VALUE"""),"LONGITUD")</f>
        <v>LONGITUD</v>
      </c>
      <c r="D2973" s="36" t="str">
        <f>IFERROR(__xludf.DUMMYFUNCTION("""COMPUTED_VALUE"""),"ERROR DE ID")</f>
        <v>ERROR DE ID</v>
      </c>
      <c r="E2973" s="36"/>
      <c r="F2973" s="36"/>
      <c r="G2973" s="36"/>
      <c r="H2973" s="36"/>
    </row>
    <row r="2974">
      <c r="A2974" s="36"/>
      <c r="B2974" s="36" t="str">
        <f>IFERROR(__xludf.DUMMYFUNCTION("""COMPUTED_VALUE"""),"LATITUD")</f>
        <v>LATITUD</v>
      </c>
      <c r="C2974" s="36" t="str">
        <f>IFERROR(__xludf.DUMMYFUNCTION("""COMPUTED_VALUE"""),"LONGITUD")</f>
        <v>LONGITUD</v>
      </c>
      <c r="D2974" s="36" t="str">
        <f>IFERROR(__xludf.DUMMYFUNCTION("""COMPUTED_VALUE"""),"ERROR DE ID")</f>
        <v>ERROR DE ID</v>
      </c>
      <c r="E2974" s="36"/>
      <c r="F2974" s="36"/>
      <c r="G2974" s="36"/>
      <c r="H2974" s="36"/>
    </row>
    <row r="2975">
      <c r="A2975" s="36"/>
      <c r="B2975" s="36" t="str">
        <f>IFERROR(__xludf.DUMMYFUNCTION("""COMPUTED_VALUE"""),"LATITUD")</f>
        <v>LATITUD</v>
      </c>
      <c r="C2975" s="36" t="str">
        <f>IFERROR(__xludf.DUMMYFUNCTION("""COMPUTED_VALUE"""),"LONGITUD")</f>
        <v>LONGITUD</v>
      </c>
      <c r="D2975" s="36" t="str">
        <f>IFERROR(__xludf.DUMMYFUNCTION("""COMPUTED_VALUE"""),"ERROR DE ID")</f>
        <v>ERROR DE ID</v>
      </c>
      <c r="E2975" s="36"/>
      <c r="F2975" s="36"/>
      <c r="G2975" s="36"/>
      <c r="H2975" s="36"/>
    </row>
    <row r="2976">
      <c r="A2976" s="36"/>
      <c r="B2976" s="36" t="str">
        <f>IFERROR(__xludf.DUMMYFUNCTION("""COMPUTED_VALUE"""),"LATITUD")</f>
        <v>LATITUD</v>
      </c>
      <c r="C2976" s="36" t="str">
        <f>IFERROR(__xludf.DUMMYFUNCTION("""COMPUTED_VALUE"""),"LONGITUD")</f>
        <v>LONGITUD</v>
      </c>
      <c r="D2976" s="36" t="str">
        <f>IFERROR(__xludf.DUMMYFUNCTION("""COMPUTED_VALUE"""),"ERROR DE ID")</f>
        <v>ERROR DE ID</v>
      </c>
      <c r="E2976" s="36"/>
      <c r="F2976" s="36"/>
      <c r="G2976" s="36"/>
      <c r="H2976" s="36"/>
    </row>
    <row r="2977">
      <c r="A2977" s="36"/>
      <c r="B2977" s="36" t="str">
        <f>IFERROR(__xludf.DUMMYFUNCTION("""COMPUTED_VALUE"""),"LATITUD")</f>
        <v>LATITUD</v>
      </c>
      <c r="C2977" s="36" t="str">
        <f>IFERROR(__xludf.DUMMYFUNCTION("""COMPUTED_VALUE"""),"LONGITUD")</f>
        <v>LONGITUD</v>
      </c>
      <c r="D2977" s="36" t="str">
        <f>IFERROR(__xludf.DUMMYFUNCTION("""COMPUTED_VALUE"""),"ERROR DE ID")</f>
        <v>ERROR DE ID</v>
      </c>
      <c r="E2977" s="36"/>
      <c r="F2977" s="36"/>
      <c r="G2977" s="36"/>
      <c r="H2977" s="36"/>
    </row>
    <row r="2978">
      <c r="A2978" s="36"/>
      <c r="B2978" s="36" t="str">
        <f>IFERROR(__xludf.DUMMYFUNCTION("""COMPUTED_VALUE"""),"LATITUD")</f>
        <v>LATITUD</v>
      </c>
      <c r="C2978" s="36" t="str">
        <f>IFERROR(__xludf.DUMMYFUNCTION("""COMPUTED_VALUE"""),"LONGITUD")</f>
        <v>LONGITUD</v>
      </c>
      <c r="D2978" s="36" t="str">
        <f>IFERROR(__xludf.DUMMYFUNCTION("""COMPUTED_VALUE"""),"ERROR DE ID")</f>
        <v>ERROR DE ID</v>
      </c>
      <c r="E2978" s="36"/>
      <c r="F2978" s="36"/>
      <c r="G2978" s="36"/>
      <c r="H2978" s="36"/>
    </row>
    <row r="2979">
      <c r="A2979" s="36"/>
      <c r="B2979" s="36" t="str">
        <f>IFERROR(__xludf.DUMMYFUNCTION("""COMPUTED_VALUE"""),"LATITUD")</f>
        <v>LATITUD</v>
      </c>
      <c r="C2979" s="36" t="str">
        <f>IFERROR(__xludf.DUMMYFUNCTION("""COMPUTED_VALUE"""),"LONGITUD")</f>
        <v>LONGITUD</v>
      </c>
      <c r="D2979" s="36" t="str">
        <f>IFERROR(__xludf.DUMMYFUNCTION("""COMPUTED_VALUE"""),"ERROR DE ID")</f>
        <v>ERROR DE ID</v>
      </c>
      <c r="E2979" s="36"/>
      <c r="F2979" s="36"/>
      <c r="G2979" s="36"/>
      <c r="H2979" s="36"/>
    </row>
    <row r="2980">
      <c r="A2980" s="36"/>
      <c r="B2980" s="36" t="str">
        <f>IFERROR(__xludf.DUMMYFUNCTION("""COMPUTED_VALUE"""),"LATITUD")</f>
        <v>LATITUD</v>
      </c>
      <c r="C2980" s="36" t="str">
        <f>IFERROR(__xludf.DUMMYFUNCTION("""COMPUTED_VALUE"""),"LONGITUD")</f>
        <v>LONGITUD</v>
      </c>
      <c r="D2980" s="36" t="str">
        <f>IFERROR(__xludf.DUMMYFUNCTION("""COMPUTED_VALUE"""),"ERROR DE ID")</f>
        <v>ERROR DE ID</v>
      </c>
      <c r="E2980" s="36"/>
      <c r="F2980" s="36"/>
      <c r="G2980" s="36"/>
      <c r="H2980" s="36"/>
    </row>
    <row r="2981">
      <c r="A2981" s="36"/>
      <c r="B2981" s="36" t="str">
        <f>IFERROR(__xludf.DUMMYFUNCTION("""COMPUTED_VALUE"""),"LATITUD")</f>
        <v>LATITUD</v>
      </c>
      <c r="C2981" s="36" t="str">
        <f>IFERROR(__xludf.DUMMYFUNCTION("""COMPUTED_VALUE"""),"LONGITUD")</f>
        <v>LONGITUD</v>
      </c>
      <c r="D2981" s="36" t="str">
        <f>IFERROR(__xludf.DUMMYFUNCTION("""COMPUTED_VALUE"""),"ERROR DE ID")</f>
        <v>ERROR DE ID</v>
      </c>
      <c r="E2981" s="36"/>
      <c r="F2981" s="36"/>
      <c r="G2981" s="36"/>
      <c r="H2981" s="36"/>
    </row>
    <row r="2982">
      <c r="A2982" s="36"/>
      <c r="B2982" s="36" t="str">
        <f>IFERROR(__xludf.DUMMYFUNCTION("""COMPUTED_VALUE"""),"LATITUD")</f>
        <v>LATITUD</v>
      </c>
      <c r="C2982" s="36" t="str">
        <f>IFERROR(__xludf.DUMMYFUNCTION("""COMPUTED_VALUE"""),"LONGITUD")</f>
        <v>LONGITUD</v>
      </c>
      <c r="D2982" s="36" t="str">
        <f>IFERROR(__xludf.DUMMYFUNCTION("""COMPUTED_VALUE"""),"ERROR DE ID")</f>
        <v>ERROR DE ID</v>
      </c>
      <c r="E2982" s="36"/>
      <c r="F2982" s="36"/>
      <c r="G2982" s="36"/>
      <c r="H2982" s="36"/>
    </row>
    <row r="2983">
      <c r="A2983" s="36"/>
      <c r="B2983" s="36" t="str">
        <f>IFERROR(__xludf.DUMMYFUNCTION("""COMPUTED_VALUE"""),"LATITUD")</f>
        <v>LATITUD</v>
      </c>
      <c r="C2983" s="36" t="str">
        <f>IFERROR(__xludf.DUMMYFUNCTION("""COMPUTED_VALUE"""),"LONGITUD")</f>
        <v>LONGITUD</v>
      </c>
      <c r="D2983" s="36" t="str">
        <f>IFERROR(__xludf.DUMMYFUNCTION("""COMPUTED_VALUE"""),"ERROR DE ID")</f>
        <v>ERROR DE ID</v>
      </c>
      <c r="E2983" s="36"/>
      <c r="F2983" s="36"/>
      <c r="G2983" s="36"/>
      <c r="H2983" s="36"/>
    </row>
    <row r="2984">
      <c r="A2984" s="36"/>
      <c r="B2984" s="36" t="str">
        <f>IFERROR(__xludf.DUMMYFUNCTION("""COMPUTED_VALUE"""),"LATITUD")</f>
        <v>LATITUD</v>
      </c>
      <c r="C2984" s="36" t="str">
        <f>IFERROR(__xludf.DUMMYFUNCTION("""COMPUTED_VALUE"""),"LONGITUD")</f>
        <v>LONGITUD</v>
      </c>
      <c r="D2984" s="36" t="str">
        <f>IFERROR(__xludf.DUMMYFUNCTION("""COMPUTED_VALUE"""),"ERROR DE ID")</f>
        <v>ERROR DE ID</v>
      </c>
      <c r="E2984" s="36"/>
      <c r="F2984" s="36"/>
      <c r="G2984" s="36"/>
      <c r="H2984" s="36"/>
    </row>
    <row r="2985">
      <c r="A2985" s="36"/>
      <c r="B2985" s="36" t="str">
        <f>IFERROR(__xludf.DUMMYFUNCTION("""COMPUTED_VALUE"""),"LATITUD")</f>
        <v>LATITUD</v>
      </c>
      <c r="C2985" s="36" t="str">
        <f>IFERROR(__xludf.DUMMYFUNCTION("""COMPUTED_VALUE"""),"LONGITUD")</f>
        <v>LONGITUD</v>
      </c>
      <c r="D2985" s="36" t="str">
        <f>IFERROR(__xludf.DUMMYFUNCTION("""COMPUTED_VALUE"""),"ERROR DE ID")</f>
        <v>ERROR DE ID</v>
      </c>
      <c r="E2985" s="36"/>
      <c r="F2985" s="36"/>
      <c r="G2985" s="36"/>
      <c r="H2985" s="36"/>
    </row>
    <row r="2986">
      <c r="A2986" s="36"/>
      <c r="B2986" s="36" t="str">
        <f>IFERROR(__xludf.DUMMYFUNCTION("""COMPUTED_VALUE"""),"LATITUD")</f>
        <v>LATITUD</v>
      </c>
      <c r="C2986" s="36" t="str">
        <f>IFERROR(__xludf.DUMMYFUNCTION("""COMPUTED_VALUE"""),"LONGITUD")</f>
        <v>LONGITUD</v>
      </c>
      <c r="D2986" s="36" t="str">
        <f>IFERROR(__xludf.DUMMYFUNCTION("""COMPUTED_VALUE"""),"ERROR DE ID")</f>
        <v>ERROR DE ID</v>
      </c>
      <c r="E2986" s="36"/>
      <c r="F2986" s="36"/>
      <c r="G2986" s="36"/>
      <c r="H2986" s="36"/>
    </row>
    <row r="2987">
      <c r="A2987" s="36"/>
      <c r="B2987" s="36" t="str">
        <f>IFERROR(__xludf.DUMMYFUNCTION("""COMPUTED_VALUE"""),"LATITUD")</f>
        <v>LATITUD</v>
      </c>
      <c r="C2987" s="36" t="str">
        <f>IFERROR(__xludf.DUMMYFUNCTION("""COMPUTED_VALUE"""),"LONGITUD")</f>
        <v>LONGITUD</v>
      </c>
      <c r="D2987" s="36" t="str">
        <f>IFERROR(__xludf.DUMMYFUNCTION("""COMPUTED_VALUE"""),"ERROR DE ID")</f>
        <v>ERROR DE ID</v>
      </c>
      <c r="E2987" s="36"/>
      <c r="F2987" s="36"/>
      <c r="G2987" s="36"/>
      <c r="H2987" s="36"/>
    </row>
    <row r="2988">
      <c r="A2988" s="36"/>
      <c r="B2988" s="36" t="str">
        <f>IFERROR(__xludf.DUMMYFUNCTION("""COMPUTED_VALUE"""),"LATITUD")</f>
        <v>LATITUD</v>
      </c>
      <c r="C2988" s="36" t="str">
        <f>IFERROR(__xludf.DUMMYFUNCTION("""COMPUTED_VALUE"""),"LONGITUD")</f>
        <v>LONGITUD</v>
      </c>
      <c r="D2988" s="36" t="str">
        <f>IFERROR(__xludf.DUMMYFUNCTION("""COMPUTED_VALUE"""),"ERROR DE ID")</f>
        <v>ERROR DE ID</v>
      </c>
      <c r="E2988" s="36"/>
      <c r="F2988" s="36"/>
      <c r="G2988" s="36"/>
      <c r="H2988" s="36"/>
    </row>
    <row r="2989">
      <c r="A2989" s="36"/>
      <c r="B2989" s="36" t="str">
        <f>IFERROR(__xludf.DUMMYFUNCTION("""COMPUTED_VALUE"""),"LATITUD")</f>
        <v>LATITUD</v>
      </c>
      <c r="C2989" s="36" t="str">
        <f>IFERROR(__xludf.DUMMYFUNCTION("""COMPUTED_VALUE"""),"LONGITUD")</f>
        <v>LONGITUD</v>
      </c>
      <c r="D2989" s="36" t="str">
        <f>IFERROR(__xludf.DUMMYFUNCTION("""COMPUTED_VALUE"""),"ERROR DE ID")</f>
        <v>ERROR DE ID</v>
      </c>
      <c r="E2989" s="36"/>
      <c r="F2989" s="36"/>
      <c r="G2989" s="36"/>
      <c r="H2989" s="36"/>
    </row>
    <row r="2990">
      <c r="A2990" s="36"/>
      <c r="B2990" s="36" t="str">
        <f>IFERROR(__xludf.DUMMYFUNCTION("""COMPUTED_VALUE"""),"LATITUD")</f>
        <v>LATITUD</v>
      </c>
      <c r="C2990" s="36" t="str">
        <f>IFERROR(__xludf.DUMMYFUNCTION("""COMPUTED_VALUE"""),"LONGITUD")</f>
        <v>LONGITUD</v>
      </c>
      <c r="D2990" s="36" t="str">
        <f>IFERROR(__xludf.DUMMYFUNCTION("""COMPUTED_VALUE"""),"ERROR DE ID")</f>
        <v>ERROR DE ID</v>
      </c>
      <c r="E2990" s="36"/>
      <c r="F2990" s="36"/>
      <c r="G2990" s="36"/>
      <c r="H2990" s="36"/>
    </row>
    <row r="2991">
      <c r="A2991" s="36"/>
      <c r="B2991" s="36" t="str">
        <f>IFERROR(__xludf.DUMMYFUNCTION("""COMPUTED_VALUE"""),"LATITUD")</f>
        <v>LATITUD</v>
      </c>
      <c r="C2991" s="36" t="str">
        <f>IFERROR(__xludf.DUMMYFUNCTION("""COMPUTED_VALUE"""),"LONGITUD")</f>
        <v>LONGITUD</v>
      </c>
      <c r="D2991" s="36" t="str">
        <f>IFERROR(__xludf.DUMMYFUNCTION("""COMPUTED_VALUE"""),"ERROR DE ID")</f>
        <v>ERROR DE ID</v>
      </c>
      <c r="E2991" s="36"/>
      <c r="F2991" s="36"/>
      <c r="G2991" s="36"/>
      <c r="H2991" s="36"/>
    </row>
    <row r="2992">
      <c r="A2992" s="36"/>
      <c r="B2992" s="36" t="str">
        <f>IFERROR(__xludf.DUMMYFUNCTION("""COMPUTED_VALUE"""),"LATITUD")</f>
        <v>LATITUD</v>
      </c>
      <c r="C2992" s="36" t="str">
        <f>IFERROR(__xludf.DUMMYFUNCTION("""COMPUTED_VALUE"""),"LONGITUD")</f>
        <v>LONGITUD</v>
      </c>
      <c r="D2992" s="36" t="str">
        <f>IFERROR(__xludf.DUMMYFUNCTION("""COMPUTED_VALUE"""),"ERROR DE ID")</f>
        <v>ERROR DE ID</v>
      </c>
      <c r="E2992" s="36"/>
      <c r="F2992" s="36"/>
      <c r="G2992" s="36"/>
      <c r="H2992" s="36"/>
    </row>
    <row r="2993">
      <c r="A2993" s="36"/>
      <c r="B2993" s="36" t="str">
        <f>IFERROR(__xludf.DUMMYFUNCTION("""COMPUTED_VALUE"""),"LATITUD")</f>
        <v>LATITUD</v>
      </c>
      <c r="C2993" s="36" t="str">
        <f>IFERROR(__xludf.DUMMYFUNCTION("""COMPUTED_VALUE"""),"LONGITUD")</f>
        <v>LONGITUD</v>
      </c>
      <c r="D2993" s="36" t="str">
        <f>IFERROR(__xludf.DUMMYFUNCTION("""COMPUTED_VALUE"""),"ERROR DE ID")</f>
        <v>ERROR DE ID</v>
      </c>
      <c r="E2993" s="36"/>
      <c r="F2993" s="36"/>
      <c r="G2993" s="36"/>
      <c r="H2993" s="36"/>
    </row>
    <row r="2994">
      <c r="A2994" s="36"/>
      <c r="B2994" s="36" t="str">
        <f>IFERROR(__xludf.DUMMYFUNCTION("""COMPUTED_VALUE"""),"LATITUD")</f>
        <v>LATITUD</v>
      </c>
      <c r="C2994" s="36" t="str">
        <f>IFERROR(__xludf.DUMMYFUNCTION("""COMPUTED_VALUE"""),"LONGITUD")</f>
        <v>LONGITUD</v>
      </c>
      <c r="D2994" s="36" t="str">
        <f>IFERROR(__xludf.DUMMYFUNCTION("""COMPUTED_VALUE"""),"ERROR DE ID")</f>
        <v>ERROR DE ID</v>
      </c>
      <c r="E2994" s="36"/>
      <c r="F2994" s="36"/>
      <c r="G2994" s="36"/>
      <c r="H2994" s="36"/>
    </row>
    <row r="2995">
      <c r="A2995" s="36"/>
      <c r="B2995" s="36" t="str">
        <f>IFERROR(__xludf.DUMMYFUNCTION("""COMPUTED_VALUE"""),"LATITUD")</f>
        <v>LATITUD</v>
      </c>
      <c r="C2995" s="36" t="str">
        <f>IFERROR(__xludf.DUMMYFUNCTION("""COMPUTED_VALUE"""),"LONGITUD")</f>
        <v>LONGITUD</v>
      </c>
      <c r="D2995" s="36" t="str">
        <f>IFERROR(__xludf.DUMMYFUNCTION("""COMPUTED_VALUE"""),"ERROR DE ID")</f>
        <v>ERROR DE ID</v>
      </c>
      <c r="E2995" s="36"/>
      <c r="F2995" s="36"/>
      <c r="G2995" s="36"/>
      <c r="H2995" s="36"/>
    </row>
    <row r="2996">
      <c r="A2996" s="36"/>
      <c r="B2996" s="36" t="str">
        <f>IFERROR(__xludf.DUMMYFUNCTION("""COMPUTED_VALUE"""),"LATITUD")</f>
        <v>LATITUD</v>
      </c>
      <c r="C2996" s="36" t="str">
        <f>IFERROR(__xludf.DUMMYFUNCTION("""COMPUTED_VALUE"""),"LONGITUD")</f>
        <v>LONGITUD</v>
      </c>
      <c r="D2996" s="36" t="str">
        <f>IFERROR(__xludf.DUMMYFUNCTION("""COMPUTED_VALUE"""),"ERROR DE ID")</f>
        <v>ERROR DE ID</v>
      </c>
      <c r="E2996" s="36"/>
      <c r="F2996" s="36"/>
      <c r="G2996" s="36"/>
      <c r="H2996" s="36"/>
    </row>
    <row r="2997">
      <c r="A2997" s="36"/>
      <c r="B2997" s="36" t="str">
        <f>IFERROR(__xludf.DUMMYFUNCTION("""COMPUTED_VALUE"""),"LATITUD")</f>
        <v>LATITUD</v>
      </c>
      <c r="C2997" s="36" t="str">
        <f>IFERROR(__xludf.DUMMYFUNCTION("""COMPUTED_VALUE"""),"LONGITUD")</f>
        <v>LONGITUD</v>
      </c>
      <c r="D2997" s="36" t="str">
        <f>IFERROR(__xludf.DUMMYFUNCTION("""COMPUTED_VALUE"""),"ERROR DE ID")</f>
        <v>ERROR DE ID</v>
      </c>
      <c r="E2997" s="36"/>
      <c r="F2997" s="36"/>
      <c r="G2997" s="36"/>
      <c r="H2997" s="36"/>
    </row>
    <row r="2998">
      <c r="A2998" s="36"/>
      <c r="B2998" s="36" t="str">
        <f>IFERROR(__xludf.DUMMYFUNCTION("""COMPUTED_VALUE"""),"LATITUD")</f>
        <v>LATITUD</v>
      </c>
      <c r="C2998" s="36" t="str">
        <f>IFERROR(__xludf.DUMMYFUNCTION("""COMPUTED_VALUE"""),"LONGITUD")</f>
        <v>LONGITUD</v>
      </c>
      <c r="D2998" s="36" t="str">
        <f>IFERROR(__xludf.DUMMYFUNCTION("""COMPUTED_VALUE"""),"ERROR DE ID")</f>
        <v>ERROR DE ID</v>
      </c>
      <c r="E2998" s="36"/>
      <c r="F2998" s="36"/>
      <c r="G2998" s="36"/>
      <c r="H2998" s="36"/>
    </row>
    <row r="2999">
      <c r="A2999" s="36"/>
      <c r="B2999" s="36" t="str">
        <f>IFERROR(__xludf.DUMMYFUNCTION("""COMPUTED_VALUE"""),"LATITUD")</f>
        <v>LATITUD</v>
      </c>
      <c r="C2999" s="36" t="str">
        <f>IFERROR(__xludf.DUMMYFUNCTION("""COMPUTED_VALUE"""),"LONGITUD")</f>
        <v>LONGITUD</v>
      </c>
      <c r="D2999" s="36" t="str">
        <f>IFERROR(__xludf.DUMMYFUNCTION("""COMPUTED_VALUE"""),"ERROR DE ID")</f>
        <v>ERROR DE ID</v>
      </c>
      <c r="E2999" s="36"/>
      <c r="F2999" s="36"/>
      <c r="G2999" s="36"/>
      <c r="H2999" s="36"/>
    </row>
    <row r="3000">
      <c r="A3000" s="36"/>
      <c r="B3000" s="36" t="str">
        <f>IFERROR(__xludf.DUMMYFUNCTION("""COMPUTED_VALUE"""),"LATITUD")</f>
        <v>LATITUD</v>
      </c>
      <c r="C3000" s="36" t="str">
        <f>IFERROR(__xludf.DUMMYFUNCTION("""COMPUTED_VALUE"""),"LONGITUD")</f>
        <v>LONGITUD</v>
      </c>
      <c r="D3000" s="36" t="str">
        <f>IFERROR(__xludf.DUMMYFUNCTION("""COMPUTED_VALUE"""),"ERROR DE ID")</f>
        <v>ERROR DE ID</v>
      </c>
      <c r="E3000" s="36"/>
      <c r="F3000" s="36"/>
      <c r="G3000" s="36"/>
      <c r="H3000" s="36"/>
    </row>
    <row r="3001">
      <c r="A3001" s="36"/>
      <c r="B3001" s="36" t="str">
        <f>IFERROR(__xludf.DUMMYFUNCTION("""COMPUTED_VALUE"""),"LATITUD")</f>
        <v>LATITUD</v>
      </c>
      <c r="C3001" s="36" t="str">
        <f>IFERROR(__xludf.DUMMYFUNCTION("""COMPUTED_VALUE"""),"LONGITUD")</f>
        <v>LONGITUD</v>
      </c>
      <c r="D3001" s="36" t="str">
        <f>IFERROR(__xludf.DUMMYFUNCTION("""COMPUTED_VALUE"""),"ERROR DE ID")</f>
        <v>ERROR DE ID</v>
      </c>
      <c r="E3001" s="36"/>
      <c r="F3001" s="36"/>
      <c r="G3001" s="36"/>
      <c r="H3001" s="36"/>
    </row>
    <row r="3002">
      <c r="A3002" s="36"/>
      <c r="B3002" s="36" t="str">
        <f>IFERROR(__xludf.DUMMYFUNCTION("""COMPUTED_VALUE"""),"LATITUD")</f>
        <v>LATITUD</v>
      </c>
      <c r="C3002" s="36" t="str">
        <f>IFERROR(__xludf.DUMMYFUNCTION("""COMPUTED_VALUE"""),"LONGITUD")</f>
        <v>LONGITUD</v>
      </c>
      <c r="D3002" s="36" t="str">
        <f>IFERROR(__xludf.DUMMYFUNCTION("""COMPUTED_VALUE"""),"ERROR DE ID")</f>
        <v>ERROR DE ID</v>
      </c>
      <c r="E3002" s="36"/>
      <c r="F3002" s="36"/>
      <c r="G3002" s="36"/>
      <c r="H3002" s="36"/>
    </row>
    <row r="3003">
      <c r="A3003" s="36"/>
      <c r="B3003" s="36" t="str">
        <f>IFERROR(__xludf.DUMMYFUNCTION("""COMPUTED_VALUE"""),"LATITUD")</f>
        <v>LATITUD</v>
      </c>
      <c r="C3003" s="36" t="str">
        <f>IFERROR(__xludf.DUMMYFUNCTION("""COMPUTED_VALUE"""),"LONGITUD")</f>
        <v>LONGITUD</v>
      </c>
      <c r="D3003" s="36" t="str">
        <f>IFERROR(__xludf.DUMMYFUNCTION("""COMPUTED_VALUE"""),"ERROR DE ID")</f>
        <v>ERROR DE ID</v>
      </c>
      <c r="E3003" s="36"/>
      <c r="F3003" s="36"/>
      <c r="G3003" s="36"/>
      <c r="H3003" s="36"/>
    </row>
    <row r="3004">
      <c r="A3004" s="36"/>
      <c r="B3004" s="36" t="str">
        <f>IFERROR(__xludf.DUMMYFUNCTION("""COMPUTED_VALUE"""),"LATITUD")</f>
        <v>LATITUD</v>
      </c>
      <c r="C3004" s="36" t="str">
        <f>IFERROR(__xludf.DUMMYFUNCTION("""COMPUTED_VALUE"""),"LONGITUD")</f>
        <v>LONGITUD</v>
      </c>
      <c r="D3004" s="36" t="str">
        <f>IFERROR(__xludf.DUMMYFUNCTION("""COMPUTED_VALUE"""),"ERROR DE ID")</f>
        <v>ERROR DE ID</v>
      </c>
      <c r="E3004" s="36"/>
      <c r="F3004" s="36"/>
      <c r="G3004" s="36"/>
      <c r="H3004" s="36"/>
    </row>
    <row r="3005">
      <c r="A3005" s="36"/>
      <c r="B3005" s="36" t="str">
        <f>IFERROR(__xludf.DUMMYFUNCTION("""COMPUTED_VALUE"""),"LATITUD")</f>
        <v>LATITUD</v>
      </c>
      <c r="C3005" s="36" t="str">
        <f>IFERROR(__xludf.DUMMYFUNCTION("""COMPUTED_VALUE"""),"LONGITUD")</f>
        <v>LONGITUD</v>
      </c>
      <c r="D3005" s="36" t="str">
        <f>IFERROR(__xludf.DUMMYFUNCTION("""COMPUTED_VALUE"""),"ERROR DE ID")</f>
        <v>ERROR DE ID</v>
      </c>
      <c r="E3005" s="36"/>
      <c r="F3005" s="36"/>
      <c r="G3005" s="36"/>
      <c r="H3005" s="36"/>
    </row>
    <row r="3006">
      <c r="A3006" s="36"/>
      <c r="B3006" s="36" t="str">
        <f>IFERROR(__xludf.DUMMYFUNCTION("""COMPUTED_VALUE"""),"LATITUD")</f>
        <v>LATITUD</v>
      </c>
      <c r="C3006" s="36" t="str">
        <f>IFERROR(__xludf.DUMMYFUNCTION("""COMPUTED_VALUE"""),"LONGITUD")</f>
        <v>LONGITUD</v>
      </c>
      <c r="D3006" s="36" t="str">
        <f>IFERROR(__xludf.DUMMYFUNCTION("""COMPUTED_VALUE"""),"ERROR DE ID")</f>
        <v>ERROR DE ID</v>
      </c>
      <c r="E3006" s="36"/>
      <c r="F3006" s="36"/>
      <c r="G3006" s="36"/>
      <c r="H3006" s="36"/>
    </row>
    <row r="3007">
      <c r="A3007" s="36"/>
      <c r="B3007" s="36" t="str">
        <f>IFERROR(__xludf.DUMMYFUNCTION("""COMPUTED_VALUE"""),"LATITUD")</f>
        <v>LATITUD</v>
      </c>
      <c r="C3007" s="36" t="str">
        <f>IFERROR(__xludf.DUMMYFUNCTION("""COMPUTED_VALUE"""),"LONGITUD")</f>
        <v>LONGITUD</v>
      </c>
      <c r="D3007" s="36" t="str">
        <f>IFERROR(__xludf.DUMMYFUNCTION("""COMPUTED_VALUE"""),"ERROR DE ID")</f>
        <v>ERROR DE ID</v>
      </c>
      <c r="E3007" s="36"/>
      <c r="F3007" s="36"/>
      <c r="G3007" s="36"/>
      <c r="H3007" s="36"/>
    </row>
    <row r="3008">
      <c r="A3008" s="36"/>
      <c r="B3008" s="36" t="str">
        <f>IFERROR(__xludf.DUMMYFUNCTION("""COMPUTED_VALUE"""),"LATITUD")</f>
        <v>LATITUD</v>
      </c>
      <c r="C3008" s="36" t="str">
        <f>IFERROR(__xludf.DUMMYFUNCTION("""COMPUTED_VALUE"""),"LONGITUD")</f>
        <v>LONGITUD</v>
      </c>
      <c r="D3008" s="36" t="str">
        <f>IFERROR(__xludf.DUMMYFUNCTION("""COMPUTED_VALUE"""),"ERROR DE ID")</f>
        <v>ERROR DE ID</v>
      </c>
      <c r="E3008" s="36"/>
      <c r="F3008" s="36"/>
      <c r="G3008" s="36"/>
      <c r="H3008" s="36"/>
    </row>
    <row r="3009">
      <c r="A3009" s="36"/>
      <c r="B3009" s="36" t="str">
        <f>IFERROR(__xludf.DUMMYFUNCTION("""COMPUTED_VALUE"""),"LATITUD")</f>
        <v>LATITUD</v>
      </c>
      <c r="C3009" s="36" t="str">
        <f>IFERROR(__xludf.DUMMYFUNCTION("""COMPUTED_VALUE"""),"LONGITUD")</f>
        <v>LONGITUD</v>
      </c>
      <c r="D3009" s="36" t="str">
        <f>IFERROR(__xludf.DUMMYFUNCTION("""COMPUTED_VALUE"""),"ERROR DE ID")</f>
        <v>ERROR DE ID</v>
      </c>
      <c r="E3009" s="36"/>
      <c r="F3009" s="36"/>
      <c r="G3009" s="36"/>
      <c r="H3009" s="36"/>
    </row>
    <row r="3010">
      <c r="A3010" s="36"/>
      <c r="B3010" s="36" t="str">
        <f>IFERROR(__xludf.DUMMYFUNCTION("""COMPUTED_VALUE"""),"LATITUD")</f>
        <v>LATITUD</v>
      </c>
      <c r="C3010" s="36" t="str">
        <f>IFERROR(__xludf.DUMMYFUNCTION("""COMPUTED_VALUE"""),"LONGITUD")</f>
        <v>LONGITUD</v>
      </c>
      <c r="D3010" s="36" t="str">
        <f>IFERROR(__xludf.DUMMYFUNCTION("""COMPUTED_VALUE"""),"ERROR DE ID")</f>
        <v>ERROR DE ID</v>
      </c>
      <c r="E3010" s="36"/>
      <c r="F3010" s="36"/>
      <c r="G3010" s="36"/>
      <c r="H3010" s="36"/>
    </row>
    <row r="3011">
      <c r="A3011" s="36"/>
      <c r="B3011" s="36" t="str">
        <f>IFERROR(__xludf.DUMMYFUNCTION("""COMPUTED_VALUE"""),"LATITUD")</f>
        <v>LATITUD</v>
      </c>
      <c r="C3011" s="36" t="str">
        <f>IFERROR(__xludf.DUMMYFUNCTION("""COMPUTED_VALUE"""),"LONGITUD")</f>
        <v>LONGITUD</v>
      </c>
      <c r="D3011" s="36" t="str">
        <f>IFERROR(__xludf.DUMMYFUNCTION("""COMPUTED_VALUE"""),"ERROR DE ID")</f>
        <v>ERROR DE ID</v>
      </c>
      <c r="E3011" s="36"/>
      <c r="F3011" s="36"/>
      <c r="G3011" s="36"/>
      <c r="H3011" s="36"/>
    </row>
    <row r="3012">
      <c r="A3012" s="36"/>
      <c r="B3012" s="36" t="str">
        <f>IFERROR(__xludf.DUMMYFUNCTION("""COMPUTED_VALUE"""),"LATITUD")</f>
        <v>LATITUD</v>
      </c>
      <c r="C3012" s="36" t="str">
        <f>IFERROR(__xludf.DUMMYFUNCTION("""COMPUTED_VALUE"""),"LONGITUD")</f>
        <v>LONGITUD</v>
      </c>
      <c r="D3012" s="36" t="str">
        <f>IFERROR(__xludf.DUMMYFUNCTION("""COMPUTED_VALUE"""),"ERROR DE ID")</f>
        <v>ERROR DE ID</v>
      </c>
      <c r="E3012" s="36"/>
      <c r="F3012" s="36"/>
      <c r="G3012" s="36"/>
      <c r="H3012" s="36"/>
    </row>
    <row r="3013">
      <c r="A3013" s="36"/>
      <c r="B3013" s="36" t="str">
        <f>IFERROR(__xludf.DUMMYFUNCTION("""COMPUTED_VALUE"""),"LATITUD")</f>
        <v>LATITUD</v>
      </c>
      <c r="C3013" s="36" t="str">
        <f>IFERROR(__xludf.DUMMYFUNCTION("""COMPUTED_VALUE"""),"LONGITUD")</f>
        <v>LONGITUD</v>
      </c>
      <c r="D3013" s="36" t="str">
        <f>IFERROR(__xludf.DUMMYFUNCTION("""COMPUTED_VALUE"""),"ERROR DE ID")</f>
        <v>ERROR DE ID</v>
      </c>
      <c r="E3013" s="36"/>
      <c r="F3013" s="36"/>
      <c r="G3013" s="36"/>
      <c r="H3013" s="36"/>
    </row>
    <row r="3014">
      <c r="A3014" s="36"/>
      <c r="B3014" s="36" t="str">
        <f>IFERROR(__xludf.DUMMYFUNCTION("""COMPUTED_VALUE"""),"LATITUD")</f>
        <v>LATITUD</v>
      </c>
      <c r="C3014" s="36" t="str">
        <f>IFERROR(__xludf.DUMMYFUNCTION("""COMPUTED_VALUE"""),"LONGITUD")</f>
        <v>LONGITUD</v>
      </c>
      <c r="D3014" s="36" t="str">
        <f>IFERROR(__xludf.DUMMYFUNCTION("""COMPUTED_VALUE"""),"ERROR DE ID")</f>
        <v>ERROR DE ID</v>
      </c>
      <c r="E3014" s="36"/>
      <c r="F3014" s="36"/>
      <c r="G3014" s="36"/>
      <c r="H3014" s="36"/>
    </row>
    <row r="3015">
      <c r="A3015" s="36"/>
      <c r="B3015" s="36" t="str">
        <f>IFERROR(__xludf.DUMMYFUNCTION("""COMPUTED_VALUE"""),"LATITUD")</f>
        <v>LATITUD</v>
      </c>
      <c r="C3015" s="36" t="str">
        <f>IFERROR(__xludf.DUMMYFUNCTION("""COMPUTED_VALUE"""),"LONGITUD")</f>
        <v>LONGITUD</v>
      </c>
      <c r="D3015" s="36" t="str">
        <f>IFERROR(__xludf.DUMMYFUNCTION("""COMPUTED_VALUE"""),"ERROR DE ID")</f>
        <v>ERROR DE ID</v>
      </c>
      <c r="E3015" s="36"/>
      <c r="F3015" s="36"/>
      <c r="G3015" s="36"/>
      <c r="H3015" s="36"/>
    </row>
    <row r="3016">
      <c r="A3016" s="36"/>
      <c r="B3016" s="36" t="str">
        <f>IFERROR(__xludf.DUMMYFUNCTION("""COMPUTED_VALUE"""),"LATITUD")</f>
        <v>LATITUD</v>
      </c>
      <c r="C3016" s="36" t="str">
        <f>IFERROR(__xludf.DUMMYFUNCTION("""COMPUTED_VALUE"""),"LONGITUD")</f>
        <v>LONGITUD</v>
      </c>
      <c r="D3016" s="36" t="str">
        <f>IFERROR(__xludf.DUMMYFUNCTION("""COMPUTED_VALUE"""),"ERROR DE ID")</f>
        <v>ERROR DE ID</v>
      </c>
      <c r="E3016" s="36"/>
      <c r="F3016" s="36"/>
      <c r="G3016" s="36"/>
      <c r="H3016" s="36"/>
    </row>
    <row r="3017">
      <c r="A3017" s="36"/>
      <c r="B3017" s="36" t="str">
        <f>IFERROR(__xludf.DUMMYFUNCTION("""COMPUTED_VALUE"""),"LATITUD")</f>
        <v>LATITUD</v>
      </c>
      <c r="C3017" s="36" t="str">
        <f>IFERROR(__xludf.DUMMYFUNCTION("""COMPUTED_VALUE"""),"LONGITUD")</f>
        <v>LONGITUD</v>
      </c>
      <c r="D3017" s="36" t="str">
        <f>IFERROR(__xludf.DUMMYFUNCTION("""COMPUTED_VALUE"""),"ERROR DE ID")</f>
        <v>ERROR DE ID</v>
      </c>
      <c r="E3017" s="36"/>
      <c r="F3017" s="36"/>
      <c r="G3017" s="36"/>
      <c r="H3017" s="36"/>
    </row>
    <row r="3018">
      <c r="A3018" s="36"/>
      <c r="B3018" s="36" t="str">
        <f>IFERROR(__xludf.DUMMYFUNCTION("""COMPUTED_VALUE"""),"LATITUD")</f>
        <v>LATITUD</v>
      </c>
      <c r="C3018" s="36" t="str">
        <f>IFERROR(__xludf.DUMMYFUNCTION("""COMPUTED_VALUE"""),"LONGITUD")</f>
        <v>LONGITUD</v>
      </c>
      <c r="D3018" s="36" t="str">
        <f>IFERROR(__xludf.DUMMYFUNCTION("""COMPUTED_VALUE"""),"ERROR DE ID")</f>
        <v>ERROR DE ID</v>
      </c>
      <c r="E3018" s="36"/>
      <c r="F3018" s="36"/>
      <c r="G3018" s="36"/>
      <c r="H3018" s="36"/>
    </row>
    <row r="3019">
      <c r="A3019" s="36"/>
      <c r="B3019" s="36" t="str">
        <f>IFERROR(__xludf.DUMMYFUNCTION("""COMPUTED_VALUE"""),"LATITUD")</f>
        <v>LATITUD</v>
      </c>
      <c r="C3019" s="36" t="str">
        <f>IFERROR(__xludf.DUMMYFUNCTION("""COMPUTED_VALUE"""),"LONGITUD")</f>
        <v>LONGITUD</v>
      </c>
      <c r="D3019" s="36" t="str">
        <f>IFERROR(__xludf.DUMMYFUNCTION("""COMPUTED_VALUE"""),"ERROR DE ID")</f>
        <v>ERROR DE ID</v>
      </c>
      <c r="E3019" s="36"/>
      <c r="F3019" s="36"/>
      <c r="G3019" s="36"/>
      <c r="H3019" s="36"/>
    </row>
    <row r="3020">
      <c r="A3020" s="36"/>
      <c r="B3020" s="36" t="str">
        <f>IFERROR(__xludf.DUMMYFUNCTION("""COMPUTED_VALUE"""),"LATITUD")</f>
        <v>LATITUD</v>
      </c>
      <c r="C3020" s="36" t="str">
        <f>IFERROR(__xludf.DUMMYFUNCTION("""COMPUTED_VALUE"""),"LONGITUD")</f>
        <v>LONGITUD</v>
      </c>
      <c r="D3020" s="36" t="str">
        <f>IFERROR(__xludf.DUMMYFUNCTION("""COMPUTED_VALUE"""),"ERROR DE ID")</f>
        <v>ERROR DE ID</v>
      </c>
      <c r="E3020" s="36"/>
      <c r="F3020" s="36"/>
      <c r="G3020" s="36"/>
      <c r="H3020" s="36"/>
    </row>
    <row r="3021">
      <c r="A3021" s="36"/>
      <c r="B3021" s="36" t="str">
        <f>IFERROR(__xludf.DUMMYFUNCTION("""COMPUTED_VALUE"""),"LATITUD")</f>
        <v>LATITUD</v>
      </c>
      <c r="C3021" s="36" t="str">
        <f>IFERROR(__xludf.DUMMYFUNCTION("""COMPUTED_VALUE"""),"LONGITUD")</f>
        <v>LONGITUD</v>
      </c>
      <c r="D3021" s="36" t="str">
        <f>IFERROR(__xludf.DUMMYFUNCTION("""COMPUTED_VALUE"""),"ERROR DE ID")</f>
        <v>ERROR DE ID</v>
      </c>
      <c r="E3021" s="36"/>
      <c r="F3021" s="36"/>
      <c r="G3021" s="36"/>
      <c r="H3021" s="36"/>
    </row>
    <row r="3022">
      <c r="A3022" s="36"/>
      <c r="B3022" s="36" t="str">
        <f>IFERROR(__xludf.DUMMYFUNCTION("""COMPUTED_VALUE"""),"LATITUD")</f>
        <v>LATITUD</v>
      </c>
      <c r="C3022" s="36" t="str">
        <f>IFERROR(__xludf.DUMMYFUNCTION("""COMPUTED_VALUE"""),"LONGITUD")</f>
        <v>LONGITUD</v>
      </c>
      <c r="D3022" s="36" t="str">
        <f>IFERROR(__xludf.DUMMYFUNCTION("""COMPUTED_VALUE"""),"ERROR DE ID")</f>
        <v>ERROR DE ID</v>
      </c>
      <c r="E3022" s="36"/>
      <c r="F3022" s="36"/>
      <c r="G3022" s="36"/>
      <c r="H3022" s="36"/>
    </row>
    <row r="3023">
      <c r="A3023" s="36"/>
      <c r="B3023" s="36" t="str">
        <f>IFERROR(__xludf.DUMMYFUNCTION("""COMPUTED_VALUE"""),"LATITUD")</f>
        <v>LATITUD</v>
      </c>
      <c r="C3023" s="36" t="str">
        <f>IFERROR(__xludf.DUMMYFUNCTION("""COMPUTED_VALUE"""),"LONGITUD")</f>
        <v>LONGITUD</v>
      </c>
      <c r="D3023" s="36" t="str">
        <f>IFERROR(__xludf.DUMMYFUNCTION("""COMPUTED_VALUE"""),"ERROR DE ID")</f>
        <v>ERROR DE ID</v>
      </c>
      <c r="E3023" s="36"/>
      <c r="F3023" s="36"/>
      <c r="G3023" s="36"/>
      <c r="H3023" s="36"/>
    </row>
    <row r="3024">
      <c r="A3024" s="36"/>
      <c r="B3024" s="36" t="str">
        <f>IFERROR(__xludf.DUMMYFUNCTION("""COMPUTED_VALUE"""),"LATITUD")</f>
        <v>LATITUD</v>
      </c>
      <c r="C3024" s="36" t="str">
        <f>IFERROR(__xludf.DUMMYFUNCTION("""COMPUTED_VALUE"""),"LONGITUD")</f>
        <v>LONGITUD</v>
      </c>
      <c r="D3024" s="36" t="str">
        <f>IFERROR(__xludf.DUMMYFUNCTION("""COMPUTED_VALUE"""),"ERROR DE ID")</f>
        <v>ERROR DE ID</v>
      </c>
      <c r="E3024" s="36"/>
      <c r="F3024" s="36"/>
      <c r="G3024" s="36"/>
      <c r="H3024" s="36"/>
    </row>
    <row r="3025">
      <c r="A3025" s="36"/>
      <c r="B3025" s="36" t="str">
        <f>IFERROR(__xludf.DUMMYFUNCTION("""COMPUTED_VALUE"""),"LATITUD")</f>
        <v>LATITUD</v>
      </c>
      <c r="C3025" s="36" t="str">
        <f>IFERROR(__xludf.DUMMYFUNCTION("""COMPUTED_VALUE"""),"LONGITUD")</f>
        <v>LONGITUD</v>
      </c>
      <c r="D3025" s="36" t="str">
        <f>IFERROR(__xludf.DUMMYFUNCTION("""COMPUTED_VALUE"""),"ERROR DE ID")</f>
        <v>ERROR DE ID</v>
      </c>
      <c r="E3025" s="36"/>
      <c r="F3025" s="36"/>
      <c r="G3025" s="36"/>
      <c r="H3025" s="36"/>
    </row>
    <row r="3026">
      <c r="A3026" s="36"/>
      <c r="B3026" s="36" t="str">
        <f>IFERROR(__xludf.DUMMYFUNCTION("""COMPUTED_VALUE"""),"LATITUD")</f>
        <v>LATITUD</v>
      </c>
      <c r="C3026" s="36" t="str">
        <f>IFERROR(__xludf.DUMMYFUNCTION("""COMPUTED_VALUE"""),"LONGITUD")</f>
        <v>LONGITUD</v>
      </c>
      <c r="D3026" s="36" t="str">
        <f>IFERROR(__xludf.DUMMYFUNCTION("""COMPUTED_VALUE"""),"ERROR DE ID")</f>
        <v>ERROR DE ID</v>
      </c>
      <c r="E3026" s="36"/>
      <c r="F3026" s="36"/>
      <c r="G3026" s="36"/>
      <c r="H3026" s="36"/>
    </row>
    <row r="3027">
      <c r="A3027" s="36"/>
      <c r="B3027" s="36" t="str">
        <f>IFERROR(__xludf.DUMMYFUNCTION("""COMPUTED_VALUE"""),"LATITUD")</f>
        <v>LATITUD</v>
      </c>
      <c r="C3027" s="36" t="str">
        <f>IFERROR(__xludf.DUMMYFUNCTION("""COMPUTED_VALUE"""),"LONGITUD")</f>
        <v>LONGITUD</v>
      </c>
      <c r="D3027" s="36" t="str">
        <f>IFERROR(__xludf.DUMMYFUNCTION("""COMPUTED_VALUE"""),"ERROR DE ID")</f>
        <v>ERROR DE ID</v>
      </c>
      <c r="E3027" s="36"/>
      <c r="F3027" s="36"/>
      <c r="G3027" s="36"/>
      <c r="H3027" s="36"/>
    </row>
    <row r="3028">
      <c r="A3028" s="36"/>
      <c r="B3028" s="36" t="str">
        <f>IFERROR(__xludf.DUMMYFUNCTION("""COMPUTED_VALUE"""),"LATITUD")</f>
        <v>LATITUD</v>
      </c>
      <c r="C3028" s="36" t="str">
        <f>IFERROR(__xludf.DUMMYFUNCTION("""COMPUTED_VALUE"""),"LONGITUD")</f>
        <v>LONGITUD</v>
      </c>
      <c r="D3028" s="36" t="str">
        <f>IFERROR(__xludf.DUMMYFUNCTION("""COMPUTED_VALUE"""),"ERROR DE ID")</f>
        <v>ERROR DE ID</v>
      </c>
      <c r="E3028" s="36"/>
      <c r="F3028" s="36"/>
      <c r="G3028" s="36"/>
      <c r="H3028" s="36"/>
    </row>
    <row r="3029">
      <c r="A3029" s="36"/>
      <c r="B3029" s="36" t="str">
        <f>IFERROR(__xludf.DUMMYFUNCTION("""COMPUTED_VALUE"""),"LATITUD")</f>
        <v>LATITUD</v>
      </c>
      <c r="C3029" s="36" t="str">
        <f>IFERROR(__xludf.DUMMYFUNCTION("""COMPUTED_VALUE"""),"LONGITUD")</f>
        <v>LONGITUD</v>
      </c>
      <c r="D3029" s="36" t="str">
        <f>IFERROR(__xludf.DUMMYFUNCTION("""COMPUTED_VALUE"""),"ERROR DE ID")</f>
        <v>ERROR DE ID</v>
      </c>
      <c r="E3029" s="36"/>
      <c r="F3029" s="36"/>
      <c r="G3029" s="36"/>
      <c r="H3029" s="36"/>
    </row>
    <row r="3030">
      <c r="A3030" s="36"/>
      <c r="B3030" s="36" t="str">
        <f>IFERROR(__xludf.DUMMYFUNCTION("""COMPUTED_VALUE"""),"LATITUD")</f>
        <v>LATITUD</v>
      </c>
      <c r="C3030" s="36" t="str">
        <f>IFERROR(__xludf.DUMMYFUNCTION("""COMPUTED_VALUE"""),"LONGITUD")</f>
        <v>LONGITUD</v>
      </c>
      <c r="D3030" s="36" t="str">
        <f>IFERROR(__xludf.DUMMYFUNCTION("""COMPUTED_VALUE"""),"ERROR DE ID")</f>
        <v>ERROR DE ID</v>
      </c>
      <c r="E3030" s="36"/>
      <c r="F3030" s="36"/>
      <c r="G3030" s="36"/>
      <c r="H3030" s="36"/>
    </row>
    <row r="3031">
      <c r="A3031" s="36"/>
      <c r="B3031" s="36" t="str">
        <f>IFERROR(__xludf.DUMMYFUNCTION("""COMPUTED_VALUE"""),"LATITUD")</f>
        <v>LATITUD</v>
      </c>
      <c r="C3031" s="36" t="str">
        <f>IFERROR(__xludf.DUMMYFUNCTION("""COMPUTED_VALUE"""),"LONGITUD")</f>
        <v>LONGITUD</v>
      </c>
      <c r="D3031" s="36" t="str">
        <f>IFERROR(__xludf.DUMMYFUNCTION("""COMPUTED_VALUE"""),"ERROR DE ID")</f>
        <v>ERROR DE ID</v>
      </c>
      <c r="E3031" s="36"/>
      <c r="F3031" s="36"/>
      <c r="G3031" s="36"/>
      <c r="H3031" s="36"/>
    </row>
    <row r="3032">
      <c r="A3032" s="36"/>
      <c r="B3032" s="36" t="str">
        <f>IFERROR(__xludf.DUMMYFUNCTION("""COMPUTED_VALUE"""),"LATITUD")</f>
        <v>LATITUD</v>
      </c>
      <c r="C3032" s="36" t="str">
        <f>IFERROR(__xludf.DUMMYFUNCTION("""COMPUTED_VALUE"""),"LONGITUD")</f>
        <v>LONGITUD</v>
      </c>
      <c r="D3032" s="36" t="str">
        <f>IFERROR(__xludf.DUMMYFUNCTION("""COMPUTED_VALUE"""),"ERROR DE ID")</f>
        <v>ERROR DE ID</v>
      </c>
      <c r="E3032" s="36"/>
      <c r="F3032" s="36"/>
      <c r="G3032" s="36"/>
      <c r="H3032" s="36"/>
    </row>
    <row r="3033">
      <c r="A3033" s="36"/>
      <c r="B3033" s="36" t="str">
        <f>IFERROR(__xludf.DUMMYFUNCTION("""COMPUTED_VALUE"""),"LATITUD")</f>
        <v>LATITUD</v>
      </c>
      <c r="C3033" s="36" t="str">
        <f>IFERROR(__xludf.DUMMYFUNCTION("""COMPUTED_VALUE"""),"LONGITUD")</f>
        <v>LONGITUD</v>
      </c>
      <c r="D3033" s="36" t="str">
        <f>IFERROR(__xludf.DUMMYFUNCTION("""COMPUTED_VALUE"""),"ERROR DE ID")</f>
        <v>ERROR DE ID</v>
      </c>
      <c r="E3033" s="36"/>
      <c r="F3033" s="36"/>
      <c r="G3033" s="36"/>
      <c r="H3033" s="36"/>
    </row>
    <row r="3034">
      <c r="A3034" s="36"/>
      <c r="B3034" s="36" t="str">
        <f>IFERROR(__xludf.DUMMYFUNCTION("""COMPUTED_VALUE"""),"LATITUD")</f>
        <v>LATITUD</v>
      </c>
      <c r="C3034" s="36" t="str">
        <f>IFERROR(__xludf.DUMMYFUNCTION("""COMPUTED_VALUE"""),"LONGITUD")</f>
        <v>LONGITUD</v>
      </c>
      <c r="D3034" s="36" t="str">
        <f>IFERROR(__xludf.DUMMYFUNCTION("""COMPUTED_VALUE"""),"ERROR DE ID")</f>
        <v>ERROR DE ID</v>
      </c>
      <c r="E3034" s="36"/>
      <c r="F3034" s="36"/>
      <c r="G3034" s="36"/>
      <c r="H3034" s="36"/>
    </row>
    <row r="3035">
      <c r="A3035" s="36"/>
      <c r="B3035" s="36" t="str">
        <f>IFERROR(__xludf.DUMMYFUNCTION("""COMPUTED_VALUE"""),"LATITUD")</f>
        <v>LATITUD</v>
      </c>
      <c r="C3035" s="36" t="str">
        <f>IFERROR(__xludf.DUMMYFUNCTION("""COMPUTED_VALUE"""),"LONGITUD")</f>
        <v>LONGITUD</v>
      </c>
      <c r="D3035" s="36" t="str">
        <f>IFERROR(__xludf.DUMMYFUNCTION("""COMPUTED_VALUE"""),"ERROR DE ID")</f>
        <v>ERROR DE ID</v>
      </c>
      <c r="E3035" s="36"/>
      <c r="F3035" s="36"/>
      <c r="G3035" s="36"/>
      <c r="H3035" s="36"/>
    </row>
    <row r="3036">
      <c r="A3036" s="36"/>
      <c r="B3036" s="36" t="str">
        <f>IFERROR(__xludf.DUMMYFUNCTION("""COMPUTED_VALUE"""),"LATITUD")</f>
        <v>LATITUD</v>
      </c>
      <c r="C3036" s="36" t="str">
        <f>IFERROR(__xludf.DUMMYFUNCTION("""COMPUTED_VALUE"""),"LONGITUD")</f>
        <v>LONGITUD</v>
      </c>
      <c r="D3036" s="36" t="str">
        <f>IFERROR(__xludf.DUMMYFUNCTION("""COMPUTED_VALUE"""),"ERROR DE ID")</f>
        <v>ERROR DE ID</v>
      </c>
      <c r="E3036" s="36"/>
      <c r="F3036" s="36"/>
      <c r="G3036" s="36"/>
      <c r="H3036" s="36"/>
    </row>
    <row r="3037">
      <c r="A3037" s="36"/>
      <c r="B3037" s="36" t="str">
        <f>IFERROR(__xludf.DUMMYFUNCTION("""COMPUTED_VALUE"""),"LATITUD")</f>
        <v>LATITUD</v>
      </c>
      <c r="C3037" s="36" t="str">
        <f>IFERROR(__xludf.DUMMYFUNCTION("""COMPUTED_VALUE"""),"LONGITUD")</f>
        <v>LONGITUD</v>
      </c>
      <c r="D3037" s="36" t="str">
        <f>IFERROR(__xludf.DUMMYFUNCTION("""COMPUTED_VALUE"""),"ERROR DE ID")</f>
        <v>ERROR DE ID</v>
      </c>
      <c r="E3037" s="36"/>
      <c r="F3037" s="36"/>
      <c r="G3037" s="36"/>
      <c r="H3037" s="36"/>
    </row>
    <row r="3038">
      <c r="A3038" s="36"/>
      <c r="B3038" s="36" t="str">
        <f>IFERROR(__xludf.DUMMYFUNCTION("""COMPUTED_VALUE"""),"LATITUD")</f>
        <v>LATITUD</v>
      </c>
      <c r="C3038" s="36" t="str">
        <f>IFERROR(__xludf.DUMMYFUNCTION("""COMPUTED_VALUE"""),"LONGITUD")</f>
        <v>LONGITUD</v>
      </c>
      <c r="D3038" s="36" t="str">
        <f>IFERROR(__xludf.DUMMYFUNCTION("""COMPUTED_VALUE"""),"ERROR DE ID")</f>
        <v>ERROR DE ID</v>
      </c>
      <c r="E3038" s="36"/>
      <c r="F3038" s="36"/>
      <c r="G3038" s="36"/>
      <c r="H3038" s="36"/>
    </row>
    <row r="3039">
      <c r="A3039" s="36"/>
      <c r="B3039" s="36" t="str">
        <f>IFERROR(__xludf.DUMMYFUNCTION("""COMPUTED_VALUE"""),"LATITUD")</f>
        <v>LATITUD</v>
      </c>
      <c r="C3039" s="36" t="str">
        <f>IFERROR(__xludf.DUMMYFUNCTION("""COMPUTED_VALUE"""),"LONGITUD")</f>
        <v>LONGITUD</v>
      </c>
      <c r="D3039" s="36" t="str">
        <f>IFERROR(__xludf.DUMMYFUNCTION("""COMPUTED_VALUE"""),"ERROR DE ID")</f>
        <v>ERROR DE ID</v>
      </c>
      <c r="E3039" s="36"/>
      <c r="F3039" s="36"/>
      <c r="G3039" s="36"/>
      <c r="H3039" s="36"/>
    </row>
    <row r="3040">
      <c r="A3040" s="36"/>
      <c r="B3040" s="36" t="str">
        <f>IFERROR(__xludf.DUMMYFUNCTION("""COMPUTED_VALUE"""),"LATITUD")</f>
        <v>LATITUD</v>
      </c>
      <c r="C3040" s="36" t="str">
        <f>IFERROR(__xludf.DUMMYFUNCTION("""COMPUTED_VALUE"""),"LONGITUD")</f>
        <v>LONGITUD</v>
      </c>
      <c r="D3040" s="36" t="str">
        <f>IFERROR(__xludf.DUMMYFUNCTION("""COMPUTED_VALUE"""),"ERROR DE ID")</f>
        <v>ERROR DE ID</v>
      </c>
      <c r="E3040" s="36"/>
      <c r="F3040" s="36"/>
      <c r="G3040" s="36"/>
      <c r="H3040" s="36"/>
    </row>
    <row r="3041">
      <c r="A3041" s="36"/>
      <c r="B3041" s="36" t="str">
        <f>IFERROR(__xludf.DUMMYFUNCTION("""COMPUTED_VALUE"""),"LATITUD")</f>
        <v>LATITUD</v>
      </c>
      <c r="C3041" s="36" t="str">
        <f>IFERROR(__xludf.DUMMYFUNCTION("""COMPUTED_VALUE"""),"LONGITUD")</f>
        <v>LONGITUD</v>
      </c>
      <c r="D3041" s="36" t="str">
        <f>IFERROR(__xludf.DUMMYFUNCTION("""COMPUTED_VALUE"""),"ERROR DE ID")</f>
        <v>ERROR DE ID</v>
      </c>
      <c r="E3041" s="36"/>
      <c r="F3041" s="36"/>
      <c r="G3041" s="36"/>
      <c r="H3041" s="36"/>
    </row>
    <row r="3042">
      <c r="A3042" s="36"/>
      <c r="B3042" s="36" t="str">
        <f>IFERROR(__xludf.DUMMYFUNCTION("""COMPUTED_VALUE"""),"LATITUD")</f>
        <v>LATITUD</v>
      </c>
      <c r="C3042" s="36" t="str">
        <f>IFERROR(__xludf.DUMMYFUNCTION("""COMPUTED_VALUE"""),"LONGITUD")</f>
        <v>LONGITUD</v>
      </c>
      <c r="D3042" s="36" t="str">
        <f>IFERROR(__xludf.DUMMYFUNCTION("""COMPUTED_VALUE"""),"ERROR DE ID")</f>
        <v>ERROR DE ID</v>
      </c>
      <c r="E3042" s="36"/>
      <c r="F3042" s="36"/>
      <c r="G3042" s="36"/>
      <c r="H3042" s="36"/>
    </row>
    <row r="3043">
      <c r="A3043" s="36"/>
      <c r="B3043" s="36" t="str">
        <f>IFERROR(__xludf.DUMMYFUNCTION("""COMPUTED_VALUE"""),"LATITUD")</f>
        <v>LATITUD</v>
      </c>
      <c r="C3043" s="36" t="str">
        <f>IFERROR(__xludf.DUMMYFUNCTION("""COMPUTED_VALUE"""),"LONGITUD")</f>
        <v>LONGITUD</v>
      </c>
      <c r="D3043" s="36" t="str">
        <f>IFERROR(__xludf.DUMMYFUNCTION("""COMPUTED_VALUE"""),"ERROR DE ID")</f>
        <v>ERROR DE ID</v>
      </c>
      <c r="E3043" s="36"/>
      <c r="F3043" s="36"/>
      <c r="G3043" s="36"/>
      <c r="H3043" s="36"/>
    </row>
    <row r="3044">
      <c r="A3044" s="36"/>
      <c r="B3044" s="36" t="str">
        <f>IFERROR(__xludf.DUMMYFUNCTION("""COMPUTED_VALUE"""),"LATITUD")</f>
        <v>LATITUD</v>
      </c>
      <c r="C3044" s="36" t="str">
        <f>IFERROR(__xludf.DUMMYFUNCTION("""COMPUTED_VALUE"""),"LONGITUD")</f>
        <v>LONGITUD</v>
      </c>
      <c r="D3044" s="36" t="str">
        <f>IFERROR(__xludf.DUMMYFUNCTION("""COMPUTED_VALUE"""),"ERROR DE ID")</f>
        <v>ERROR DE ID</v>
      </c>
      <c r="E3044" s="36"/>
      <c r="F3044" s="36"/>
      <c r="G3044" s="36"/>
      <c r="H3044" s="36"/>
    </row>
    <row r="3045">
      <c r="A3045" s="36"/>
      <c r="B3045" s="36" t="str">
        <f>IFERROR(__xludf.DUMMYFUNCTION("""COMPUTED_VALUE"""),"LATITUD")</f>
        <v>LATITUD</v>
      </c>
      <c r="C3045" s="36" t="str">
        <f>IFERROR(__xludf.DUMMYFUNCTION("""COMPUTED_VALUE"""),"LONGITUD")</f>
        <v>LONGITUD</v>
      </c>
      <c r="D3045" s="36" t="str">
        <f>IFERROR(__xludf.DUMMYFUNCTION("""COMPUTED_VALUE"""),"ERROR DE ID")</f>
        <v>ERROR DE ID</v>
      </c>
      <c r="E3045" s="36"/>
      <c r="F3045" s="36"/>
      <c r="G3045" s="36"/>
      <c r="H3045" s="36"/>
    </row>
    <row r="3046">
      <c r="A3046" s="36"/>
      <c r="B3046" s="36" t="str">
        <f>IFERROR(__xludf.DUMMYFUNCTION("""COMPUTED_VALUE"""),"LATITUD")</f>
        <v>LATITUD</v>
      </c>
      <c r="C3046" s="36" t="str">
        <f>IFERROR(__xludf.DUMMYFUNCTION("""COMPUTED_VALUE"""),"LONGITUD")</f>
        <v>LONGITUD</v>
      </c>
      <c r="D3046" s="36" t="str">
        <f>IFERROR(__xludf.DUMMYFUNCTION("""COMPUTED_VALUE"""),"ERROR DE ID")</f>
        <v>ERROR DE ID</v>
      </c>
      <c r="E3046" s="36"/>
      <c r="F3046" s="36"/>
      <c r="G3046" s="36"/>
      <c r="H3046" s="36"/>
    </row>
    <row r="3047">
      <c r="A3047" s="36"/>
      <c r="B3047" s="36" t="str">
        <f>IFERROR(__xludf.DUMMYFUNCTION("""COMPUTED_VALUE"""),"LATITUD")</f>
        <v>LATITUD</v>
      </c>
      <c r="C3047" s="36" t="str">
        <f>IFERROR(__xludf.DUMMYFUNCTION("""COMPUTED_VALUE"""),"LONGITUD")</f>
        <v>LONGITUD</v>
      </c>
      <c r="D3047" s="36" t="str">
        <f>IFERROR(__xludf.DUMMYFUNCTION("""COMPUTED_VALUE"""),"ERROR DE ID")</f>
        <v>ERROR DE ID</v>
      </c>
      <c r="E3047" s="36"/>
      <c r="F3047" s="36"/>
      <c r="G3047" s="36"/>
      <c r="H3047" s="36"/>
    </row>
    <row r="3048">
      <c r="A3048" s="36"/>
      <c r="B3048" s="36" t="str">
        <f>IFERROR(__xludf.DUMMYFUNCTION("""COMPUTED_VALUE"""),"LATITUD")</f>
        <v>LATITUD</v>
      </c>
      <c r="C3048" s="36" t="str">
        <f>IFERROR(__xludf.DUMMYFUNCTION("""COMPUTED_VALUE"""),"LONGITUD")</f>
        <v>LONGITUD</v>
      </c>
      <c r="D3048" s="36" t="str">
        <f>IFERROR(__xludf.DUMMYFUNCTION("""COMPUTED_VALUE"""),"ERROR DE ID")</f>
        <v>ERROR DE ID</v>
      </c>
      <c r="E3048" s="36"/>
      <c r="F3048" s="36"/>
      <c r="G3048" s="36"/>
      <c r="H3048" s="36"/>
    </row>
    <row r="3049">
      <c r="A3049" s="36"/>
      <c r="B3049" s="36" t="str">
        <f>IFERROR(__xludf.DUMMYFUNCTION("""COMPUTED_VALUE"""),"LATITUD")</f>
        <v>LATITUD</v>
      </c>
      <c r="C3049" s="36" t="str">
        <f>IFERROR(__xludf.DUMMYFUNCTION("""COMPUTED_VALUE"""),"LONGITUD")</f>
        <v>LONGITUD</v>
      </c>
      <c r="D3049" s="36" t="str">
        <f>IFERROR(__xludf.DUMMYFUNCTION("""COMPUTED_VALUE"""),"ERROR DE ID")</f>
        <v>ERROR DE ID</v>
      </c>
      <c r="E3049" s="36"/>
      <c r="F3049" s="36"/>
      <c r="G3049" s="36"/>
      <c r="H3049" s="36"/>
    </row>
    <row r="3050">
      <c r="A3050" s="36"/>
      <c r="B3050" s="36" t="str">
        <f>IFERROR(__xludf.DUMMYFUNCTION("""COMPUTED_VALUE"""),"LATITUD")</f>
        <v>LATITUD</v>
      </c>
      <c r="C3050" s="36" t="str">
        <f>IFERROR(__xludf.DUMMYFUNCTION("""COMPUTED_VALUE"""),"LONGITUD")</f>
        <v>LONGITUD</v>
      </c>
      <c r="D3050" s="36" t="str">
        <f>IFERROR(__xludf.DUMMYFUNCTION("""COMPUTED_VALUE"""),"ERROR DE ID")</f>
        <v>ERROR DE ID</v>
      </c>
      <c r="E3050" s="36"/>
      <c r="F3050" s="36"/>
      <c r="G3050" s="36"/>
      <c r="H3050" s="36"/>
    </row>
    <row r="3051">
      <c r="A3051" s="36"/>
      <c r="B3051" s="36" t="str">
        <f>IFERROR(__xludf.DUMMYFUNCTION("""COMPUTED_VALUE"""),"LATITUD")</f>
        <v>LATITUD</v>
      </c>
      <c r="C3051" s="36" t="str">
        <f>IFERROR(__xludf.DUMMYFUNCTION("""COMPUTED_VALUE"""),"LONGITUD")</f>
        <v>LONGITUD</v>
      </c>
      <c r="D3051" s="36" t="str">
        <f>IFERROR(__xludf.DUMMYFUNCTION("""COMPUTED_VALUE"""),"ERROR DE ID")</f>
        <v>ERROR DE ID</v>
      </c>
      <c r="E3051" s="36"/>
      <c r="F3051" s="36"/>
      <c r="G3051" s="36"/>
      <c r="H3051" s="36"/>
    </row>
    <row r="3052">
      <c r="A3052" s="36"/>
      <c r="B3052" s="36" t="str">
        <f>IFERROR(__xludf.DUMMYFUNCTION("""COMPUTED_VALUE"""),"LATITUD")</f>
        <v>LATITUD</v>
      </c>
      <c r="C3052" s="36" t="str">
        <f>IFERROR(__xludf.DUMMYFUNCTION("""COMPUTED_VALUE"""),"LONGITUD")</f>
        <v>LONGITUD</v>
      </c>
      <c r="D3052" s="36" t="str">
        <f>IFERROR(__xludf.DUMMYFUNCTION("""COMPUTED_VALUE"""),"ERROR DE ID")</f>
        <v>ERROR DE ID</v>
      </c>
      <c r="E3052" s="36"/>
      <c r="F3052" s="36"/>
      <c r="G3052" s="36"/>
      <c r="H3052" s="36"/>
    </row>
    <row r="3053">
      <c r="A3053" s="36"/>
      <c r="B3053" s="36" t="str">
        <f>IFERROR(__xludf.DUMMYFUNCTION("""COMPUTED_VALUE"""),"LATITUD")</f>
        <v>LATITUD</v>
      </c>
      <c r="C3053" s="36" t="str">
        <f>IFERROR(__xludf.DUMMYFUNCTION("""COMPUTED_VALUE"""),"LONGITUD")</f>
        <v>LONGITUD</v>
      </c>
      <c r="D3053" s="36" t="str">
        <f>IFERROR(__xludf.DUMMYFUNCTION("""COMPUTED_VALUE"""),"ERROR DE ID")</f>
        <v>ERROR DE ID</v>
      </c>
      <c r="E3053" s="36"/>
      <c r="F3053" s="36"/>
      <c r="G3053" s="36"/>
      <c r="H3053" s="36"/>
    </row>
    <row r="3054">
      <c r="A3054" s="36"/>
      <c r="B3054" s="36" t="str">
        <f>IFERROR(__xludf.DUMMYFUNCTION("""COMPUTED_VALUE"""),"LATITUD")</f>
        <v>LATITUD</v>
      </c>
      <c r="C3054" s="36" t="str">
        <f>IFERROR(__xludf.DUMMYFUNCTION("""COMPUTED_VALUE"""),"LONGITUD")</f>
        <v>LONGITUD</v>
      </c>
      <c r="D3054" s="36" t="str">
        <f>IFERROR(__xludf.DUMMYFUNCTION("""COMPUTED_VALUE"""),"ERROR DE ID")</f>
        <v>ERROR DE ID</v>
      </c>
      <c r="E3054" s="36"/>
      <c r="F3054" s="36"/>
      <c r="G3054" s="36"/>
      <c r="H3054" s="36"/>
    </row>
    <row r="3055">
      <c r="A3055" s="36"/>
      <c r="B3055" s="36" t="str">
        <f>IFERROR(__xludf.DUMMYFUNCTION("""COMPUTED_VALUE"""),"LATITUD")</f>
        <v>LATITUD</v>
      </c>
      <c r="C3055" s="36" t="str">
        <f>IFERROR(__xludf.DUMMYFUNCTION("""COMPUTED_VALUE"""),"LONGITUD")</f>
        <v>LONGITUD</v>
      </c>
      <c r="D3055" s="36" t="str">
        <f>IFERROR(__xludf.DUMMYFUNCTION("""COMPUTED_VALUE"""),"ERROR DE ID")</f>
        <v>ERROR DE ID</v>
      </c>
      <c r="E3055" s="36"/>
      <c r="F3055" s="36"/>
      <c r="G3055" s="36"/>
      <c r="H3055" s="36"/>
    </row>
    <row r="3056">
      <c r="A3056" s="36"/>
      <c r="B3056" s="36" t="str">
        <f>IFERROR(__xludf.DUMMYFUNCTION("""COMPUTED_VALUE"""),"LATITUD")</f>
        <v>LATITUD</v>
      </c>
      <c r="C3056" s="36" t="str">
        <f>IFERROR(__xludf.DUMMYFUNCTION("""COMPUTED_VALUE"""),"LONGITUD")</f>
        <v>LONGITUD</v>
      </c>
      <c r="D3056" s="36" t="str">
        <f>IFERROR(__xludf.DUMMYFUNCTION("""COMPUTED_VALUE"""),"ERROR DE ID")</f>
        <v>ERROR DE ID</v>
      </c>
      <c r="E3056" s="36"/>
      <c r="F3056" s="36"/>
      <c r="G3056" s="36"/>
      <c r="H3056" s="36"/>
    </row>
    <row r="3057">
      <c r="A3057" s="36"/>
      <c r="B3057" s="36" t="str">
        <f>IFERROR(__xludf.DUMMYFUNCTION("""COMPUTED_VALUE"""),"LATITUD")</f>
        <v>LATITUD</v>
      </c>
      <c r="C3057" s="36" t="str">
        <f>IFERROR(__xludf.DUMMYFUNCTION("""COMPUTED_VALUE"""),"LONGITUD")</f>
        <v>LONGITUD</v>
      </c>
      <c r="D3057" s="36" t="str">
        <f>IFERROR(__xludf.DUMMYFUNCTION("""COMPUTED_VALUE"""),"ERROR DE ID")</f>
        <v>ERROR DE ID</v>
      </c>
      <c r="E3057" s="36"/>
      <c r="F3057" s="36"/>
      <c r="G3057" s="36"/>
      <c r="H3057" s="36"/>
    </row>
    <row r="3058">
      <c r="A3058" s="36"/>
      <c r="B3058" s="36" t="str">
        <f>IFERROR(__xludf.DUMMYFUNCTION("""COMPUTED_VALUE"""),"LATITUD")</f>
        <v>LATITUD</v>
      </c>
      <c r="C3058" s="36" t="str">
        <f>IFERROR(__xludf.DUMMYFUNCTION("""COMPUTED_VALUE"""),"LONGITUD")</f>
        <v>LONGITUD</v>
      </c>
      <c r="D3058" s="36" t="str">
        <f>IFERROR(__xludf.DUMMYFUNCTION("""COMPUTED_VALUE"""),"ERROR DE ID")</f>
        <v>ERROR DE ID</v>
      </c>
      <c r="E3058" s="36"/>
      <c r="F3058" s="36"/>
      <c r="G3058" s="36"/>
      <c r="H3058" s="36"/>
    </row>
    <row r="3059">
      <c r="A3059" s="36"/>
      <c r="B3059" s="36" t="str">
        <f>IFERROR(__xludf.DUMMYFUNCTION("""COMPUTED_VALUE"""),"LATITUD")</f>
        <v>LATITUD</v>
      </c>
      <c r="C3059" s="36" t="str">
        <f>IFERROR(__xludf.DUMMYFUNCTION("""COMPUTED_VALUE"""),"LONGITUD")</f>
        <v>LONGITUD</v>
      </c>
      <c r="D3059" s="36" t="str">
        <f>IFERROR(__xludf.DUMMYFUNCTION("""COMPUTED_VALUE"""),"ERROR DE ID")</f>
        <v>ERROR DE ID</v>
      </c>
      <c r="E3059" s="36"/>
      <c r="F3059" s="36"/>
      <c r="G3059" s="36"/>
      <c r="H3059" s="36"/>
    </row>
    <row r="3060">
      <c r="A3060" s="36"/>
      <c r="B3060" s="36" t="str">
        <f>IFERROR(__xludf.DUMMYFUNCTION("""COMPUTED_VALUE"""),"LATITUD")</f>
        <v>LATITUD</v>
      </c>
      <c r="C3060" s="36" t="str">
        <f>IFERROR(__xludf.DUMMYFUNCTION("""COMPUTED_VALUE"""),"LONGITUD")</f>
        <v>LONGITUD</v>
      </c>
      <c r="D3060" s="36" t="str">
        <f>IFERROR(__xludf.DUMMYFUNCTION("""COMPUTED_VALUE"""),"ERROR DE ID")</f>
        <v>ERROR DE ID</v>
      </c>
      <c r="E3060" s="36"/>
      <c r="F3060" s="36"/>
      <c r="G3060" s="36"/>
      <c r="H3060" s="36"/>
    </row>
    <row r="3061">
      <c r="A3061" s="36"/>
      <c r="B3061" s="36" t="str">
        <f>IFERROR(__xludf.DUMMYFUNCTION("""COMPUTED_VALUE"""),"LATITUD")</f>
        <v>LATITUD</v>
      </c>
      <c r="C3061" s="36" t="str">
        <f>IFERROR(__xludf.DUMMYFUNCTION("""COMPUTED_VALUE"""),"LONGITUD")</f>
        <v>LONGITUD</v>
      </c>
      <c r="D3061" s="36" t="str">
        <f>IFERROR(__xludf.DUMMYFUNCTION("""COMPUTED_VALUE"""),"ERROR DE ID")</f>
        <v>ERROR DE ID</v>
      </c>
      <c r="E3061" s="36"/>
      <c r="F3061" s="36"/>
      <c r="G3061" s="36"/>
      <c r="H3061" s="36"/>
    </row>
    <row r="3062">
      <c r="A3062" s="36"/>
      <c r="B3062" s="36" t="str">
        <f>IFERROR(__xludf.DUMMYFUNCTION("""COMPUTED_VALUE"""),"LATITUD")</f>
        <v>LATITUD</v>
      </c>
      <c r="C3062" s="36" t="str">
        <f>IFERROR(__xludf.DUMMYFUNCTION("""COMPUTED_VALUE"""),"LONGITUD")</f>
        <v>LONGITUD</v>
      </c>
      <c r="D3062" s="36" t="str">
        <f>IFERROR(__xludf.DUMMYFUNCTION("""COMPUTED_VALUE"""),"ERROR DE ID")</f>
        <v>ERROR DE ID</v>
      </c>
      <c r="E3062" s="36"/>
      <c r="F3062" s="36"/>
      <c r="G3062" s="36"/>
      <c r="H3062" s="36"/>
    </row>
    <row r="3063">
      <c r="A3063" s="36"/>
      <c r="B3063" s="36" t="str">
        <f>IFERROR(__xludf.DUMMYFUNCTION("""COMPUTED_VALUE"""),"LATITUD")</f>
        <v>LATITUD</v>
      </c>
      <c r="C3063" s="36" t="str">
        <f>IFERROR(__xludf.DUMMYFUNCTION("""COMPUTED_VALUE"""),"LONGITUD")</f>
        <v>LONGITUD</v>
      </c>
      <c r="D3063" s="36" t="str">
        <f>IFERROR(__xludf.DUMMYFUNCTION("""COMPUTED_VALUE"""),"ERROR DE ID")</f>
        <v>ERROR DE ID</v>
      </c>
      <c r="E3063" s="36"/>
      <c r="F3063" s="36"/>
      <c r="G3063" s="36"/>
      <c r="H3063" s="36"/>
    </row>
    <row r="3064">
      <c r="A3064" s="36"/>
      <c r="B3064" s="36" t="str">
        <f>IFERROR(__xludf.DUMMYFUNCTION("""COMPUTED_VALUE"""),"LATITUD")</f>
        <v>LATITUD</v>
      </c>
      <c r="C3064" s="36" t="str">
        <f>IFERROR(__xludf.DUMMYFUNCTION("""COMPUTED_VALUE"""),"LONGITUD")</f>
        <v>LONGITUD</v>
      </c>
      <c r="D3064" s="36" t="str">
        <f>IFERROR(__xludf.DUMMYFUNCTION("""COMPUTED_VALUE"""),"ERROR DE ID")</f>
        <v>ERROR DE ID</v>
      </c>
      <c r="E3064" s="36"/>
      <c r="F3064" s="36"/>
      <c r="G3064" s="36"/>
      <c r="H3064" s="36"/>
    </row>
    <row r="3065">
      <c r="A3065" s="36"/>
      <c r="B3065" s="36" t="str">
        <f>IFERROR(__xludf.DUMMYFUNCTION("""COMPUTED_VALUE"""),"LATITUD")</f>
        <v>LATITUD</v>
      </c>
      <c r="C3065" s="36" t="str">
        <f>IFERROR(__xludf.DUMMYFUNCTION("""COMPUTED_VALUE"""),"LONGITUD")</f>
        <v>LONGITUD</v>
      </c>
      <c r="D3065" s="36" t="str">
        <f>IFERROR(__xludf.DUMMYFUNCTION("""COMPUTED_VALUE"""),"ERROR DE ID")</f>
        <v>ERROR DE ID</v>
      </c>
      <c r="E3065" s="36"/>
      <c r="F3065" s="36"/>
      <c r="G3065" s="36"/>
      <c r="H3065" s="36"/>
    </row>
    <row r="3066">
      <c r="A3066" s="36"/>
      <c r="B3066" s="36" t="str">
        <f>IFERROR(__xludf.DUMMYFUNCTION("""COMPUTED_VALUE"""),"LATITUD")</f>
        <v>LATITUD</v>
      </c>
      <c r="C3066" s="36" t="str">
        <f>IFERROR(__xludf.DUMMYFUNCTION("""COMPUTED_VALUE"""),"LONGITUD")</f>
        <v>LONGITUD</v>
      </c>
      <c r="D3066" s="36" t="str">
        <f>IFERROR(__xludf.DUMMYFUNCTION("""COMPUTED_VALUE"""),"ERROR DE ID")</f>
        <v>ERROR DE ID</v>
      </c>
      <c r="E3066" s="36"/>
      <c r="F3066" s="36"/>
      <c r="G3066" s="36"/>
      <c r="H3066" s="36"/>
    </row>
    <row r="3067">
      <c r="A3067" s="36"/>
      <c r="B3067" s="36" t="str">
        <f>IFERROR(__xludf.DUMMYFUNCTION("""COMPUTED_VALUE"""),"LATITUD")</f>
        <v>LATITUD</v>
      </c>
      <c r="C3067" s="36" t="str">
        <f>IFERROR(__xludf.DUMMYFUNCTION("""COMPUTED_VALUE"""),"LONGITUD")</f>
        <v>LONGITUD</v>
      </c>
      <c r="D3067" s="36" t="str">
        <f>IFERROR(__xludf.DUMMYFUNCTION("""COMPUTED_VALUE"""),"ERROR DE ID")</f>
        <v>ERROR DE ID</v>
      </c>
      <c r="E3067" s="36"/>
      <c r="F3067" s="36"/>
      <c r="G3067" s="36"/>
      <c r="H3067" s="36"/>
    </row>
    <row r="3068">
      <c r="A3068" s="36"/>
      <c r="B3068" s="36" t="str">
        <f>IFERROR(__xludf.DUMMYFUNCTION("""COMPUTED_VALUE"""),"LATITUD")</f>
        <v>LATITUD</v>
      </c>
      <c r="C3068" s="36" t="str">
        <f>IFERROR(__xludf.DUMMYFUNCTION("""COMPUTED_VALUE"""),"LONGITUD")</f>
        <v>LONGITUD</v>
      </c>
      <c r="D3068" s="36" t="str">
        <f>IFERROR(__xludf.DUMMYFUNCTION("""COMPUTED_VALUE"""),"ERROR DE ID")</f>
        <v>ERROR DE ID</v>
      </c>
      <c r="E3068" s="36"/>
      <c r="F3068" s="36"/>
      <c r="G3068" s="36"/>
      <c r="H3068" s="36"/>
    </row>
    <row r="3069">
      <c r="A3069" s="36"/>
      <c r="B3069" s="36" t="str">
        <f>IFERROR(__xludf.DUMMYFUNCTION("""COMPUTED_VALUE"""),"LATITUD")</f>
        <v>LATITUD</v>
      </c>
      <c r="C3069" s="36" t="str">
        <f>IFERROR(__xludf.DUMMYFUNCTION("""COMPUTED_VALUE"""),"LONGITUD")</f>
        <v>LONGITUD</v>
      </c>
      <c r="D3069" s="36" t="str">
        <f>IFERROR(__xludf.DUMMYFUNCTION("""COMPUTED_VALUE"""),"ERROR DE ID")</f>
        <v>ERROR DE ID</v>
      </c>
      <c r="E3069" s="36"/>
      <c r="F3069" s="36"/>
      <c r="G3069" s="36"/>
      <c r="H3069" s="36"/>
    </row>
    <row r="3070">
      <c r="A3070" s="36"/>
      <c r="B3070" s="36" t="str">
        <f>IFERROR(__xludf.DUMMYFUNCTION("""COMPUTED_VALUE"""),"LATITUD")</f>
        <v>LATITUD</v>
      </c>
      <c r="C3070" s="36" t="str">
        <f>IFERROR(__xludf.DUMMYFUNCTION("""COMPUTED_VALUE"""),"LONGITUD")</f>
        <v>LONGITUD</v>
      </c>
      <c r="D3070" s="36" t="str">
        <f>IFERROR(__xludf.DUMMYFUNCTION("""COMPUTED_VALUE"""),"ERROR DE ID")</f>
        <v>ERROR DE ID</v>
      </c>
      <c r="E3070" s="36"/>
      <c r="F3070" s="36"/>
      <c r="G3070" s="36"/>
      <c r="H3070" s="36"/>
    </row>
    <row r="3071">
      <c r="A3071" s="36"/>
      <c r="B3071" s="36" t="str">
        <f>IFERROR(__xludf.DUMMYFUNCTION("""COMPUTED_VALUE"""),"LATITUD")</f>
        <v>LATITUD</v>
      </c>
      <c r="C3071" s="36" t="str">
        <f>IFERROR(__xludf.DUMMYFUNCTION("""COMPUTED_VALUE"""),"LONGITUD")</f>
        <v>LONGITUD</v>
      </c>
      <c r="D3071" s="36" t="str">
        <f>IFERROR(__xludf.DUMMYFUNCTION("""COMPUTED_VALUE"""),"ERROR DE ID")</f>
        <v>ERROR DE ID</v>
      </c>
      <c r="E3071" s="36"/>
      <c r="F3071" s="36"/>
      <c r="G3071" s="36"/>
      <c r="H3071" s="36"/>
    </row>
    <row r="3072">
      <c r="A3072" s="36"/>
      <c r="B3072" s="36" t="str">
        <f>IFERROR(__xludf.DUMMYFUNCTION("""COMPUTED_VALUE"""),"LATITUD")</f>
        <v>LATITUD</v>
      </c>
      <c r="C3072" s="36" t="str">
        <f>IFERROR(__xludf.DUMMYFUNCTION("""COMPUTED_VALUE"""),"LONGITUD")</f>
        <v>LONGITUD</v>
      </c>
      <c r="D3072" s="36" t="str">
        <f>IFERROR(__xludf.DUMMYFUNCTION("""COMPUTED_VALUE"""),"ERROR DE ID")</f>
        <v>ERROR DE ID</v>
      </c>
      <c r="E3072" s="36"/>
      <c r="F3072" s="36"/>
      <c r="G3072" s="36"/>
      <c r="H3072" s="36"/>
    </row>
    <row r="3073">
      <c r="A3073" s="36"/>
      <c r="B3073" s="36" t="str">
        <f>IFERROR(__xludf.DUMMYFUNCTION("""COMPUTED_VALUE"""),"LATITUD")</f>
        <v>LATITUD</v>
      </c>
      <c r="C3073" s="36" t="str">
        <f>IFERROR(__xludf.DUMMYFUNCTION("""COMPUTED_VALUE"""),"LONGITUD")</f>
        <v>LONGITUD</v>
      </c>
      <c r="D3073" s="36" t="str">
        <f>IFERROR(__xludf.DUMMYFUNCTION("""COMPUTED_VALUE"""),"ERROR DE ID")</f>
        <v>ERROR DE ID</v>
      </c>
      <c r="E3073" s="36"/>
      <c r="F3073" s="36"/>
      <c r="G3073" s="36"/>
      <c r="H3073" s="36"/>
    </row>
    <row r="3074">
      <c r="A3074" s="36"/>
      <c r="B3074" s="36" t="str">
        <f>IFERROR(__xludf.DUMMYFUNCTION("""COMPUTED_VALUE"""),"LATITUD")</f>
        <v>LATITUD</v>
      </c>
      <c r="C3074" s="36" t="str">
        <f>IFERROR(__xludf.DUMMYFUNCTION("""COMPUTED_VALUE"""),"LONGITUD")</f>
        <v>LONGITUD</v>
      </c>
      <c r="D3074" s="36" t="str">
        <f>IFERROR(__xludf.DUMMYFUNCTION("""COMPUTED_VALUE"""),"ERROR DE ID")</f>
        <v>ERROR DE ID</v>
      </c>
      <c r="E3074" s="36"/>
      <c r="F3074" s="36"/>
      <c r="G3074" s="36"/>
      <c r="H3074" s="36"/>
    </row>
    <row r="3075">
      <c r="A3075" s="36"/>
      <c r="B3075" s="36" t="str">
        <f>IFERROR(__xludf.DUMMYFUNCTION("""COMPUTED_VALUE"""),"LATITUD")</f>
        <v>LATITUD</v>
      </c>
      <c r="C3075" s="36" t="str">
        <f>IFERROR(__xludf.DUMMYFUNCTION("""COMPUTED_VALUE"""),"LONGITUD")</f>
        <v>LONGITUD</v>
      </c>
      <c r="D3075" s="36" t="str">
        <f>IFERROR(__xludf.DUMMYFUNCTION("""COMPUTED_VALUE"""),"ERROR DE ID")</f>
        <v>ERROR DE ID</v>
      </c>
      <c r="E3075" s="36"/>
      <c r="F3075" s="36"/>
      <c r="G3075" s="36"/>
      <c r="H3075" s="36"/>
    </row>
    <row r="3076">
      <c r="A3076" s="36"/>
      <c r="B3076" s="36" t="str">
        <f>IFERROR(__xludf.DUMMYFUNCTION("""COMPUTED_VALUE"""),"LATITUD")</f>
        <v>LATITUD</v>
      </c>
      <c r="C3076" s="36" t="str">
        <f>IFERROR(__xludf.DUMMYFUNCTION("""COMPUTED_VALUE"""),"LONGITUD")</f>
        <v>LONGITUD</v>
      </c>
      <c r="D3076" s="36" t="str">
        <f>IFERROR(__xludf.DUMMYFUNCTION("""COMPUTED_VALUE"""),"ERROR DE ID")</f>
        <v>ERROR DE ID</v>
      </c>
      <c r="E3076" s="36"/>
      <c r="F3076" s="36"/>
      <c r="G3076" s="36"/>
      <c r="H3076" s="36"/>
    </row>
    <row r="3077">
      <c r="A3077" s="36"/>
      <c r="B3077" s="36" t="str">
        <f>IFERROR(__xludf.DUMMYFUNCTION("""COMPUTED_VALUE"""),"LATITUD")</f>
        <v>LATITUD</v>
      </c>
      <c r="C3077" s="36" t="str">
        <f>IFERROR(__xludf.DUMMYFUNCTION("""COMPUTED_VALUE"""),"LONGITUD")</f>
        <v>LONGITUD</v>
      </c>
      <c r="D3077" s="36" t="str">
        <f>IFERROR(__xludf.DUMMYFUNCTION("""COMPUTED_VALUE"""),"ERROR DE ID")</f>
        <v>ERROR DE ID</v>
      </c>
      <c r="E3077" s="36"/>
      <c r="F3077" s="36"/>
      <c r="G3077" s="36"/>
      <c r="H3077" s="36"/>
    </row>
    <row r="3078">
      <c r="A3078" s="36"/>
      <c r="B3078" s="36" t="str">
        <f>IFERROR(__xludf.DUMMYFUNCTION("""COMPUTED_VALUE"""),"LATITUD")</f>
        <v>LATITUD</v>
      </c>
      <c r="C3078" s="36" t="str">
        <f>IFERROR(__xludf.DUMMYFUNCTION("""COMPUTED_VALUE"""),"LONGITUD")</f>
        <v>LONGITUD</v>
      </c>
      <c r="D3078" s="36" t="str">
        <f>IFERROR(__xludf.DUMMYFUNCTION("""COMPUTED_VALUE"""),"ERROR DE ID")</f>
        <v>ERROR DE ID</v>
      </c>
      <c r="E3078" s="36"/>
      <c r="F3078" s="36"/>
      <c r="G3078" s="36"/>
      <c r="H3078" s="36"/>
    </row>
    <row r="3079">
      <c r="A3079" s="36"/>
      <c r="B3079" s="36" t="str">
        <f>IFERROR(__xludf.DUMMYFUNCTION("""COMPUTED_VALUE"""),"LATITUD")</f>
        <v>LATITUD</v>
      </c>
      <c r="C3079" s="36" t="str">
        <f>IFERROR(__xludf.DUMMYFUNCTION("""COMPUTED_VALUE"""),"LONGITUD")</f>
        <v>LONGITUD</v>
      </c>
      <c r="D3079" s="36" t="str">
        <f>IFERROR(__xludf.DUMMYFUNCTION("""COMPUTED_VALUE"""),"ERROR DE ID")</f>
        <v>ERROR DE ID</v>
      </c>
      <c r="E3079" s="36"/>
      <c r="F3079" s="36"/>
      <c r="G3079" s="36"/>
      <c r="H3079" s="36"/>
    </row>
    <row r="3080">
      <c r="A3080" s="36"/>
      <c r="B3080" s="36" t="str">
        <f>IFERROR(__xludf.DUMMYFUNCTION("""COMPUTED_VALUE"""),"LATITUD")</f>
        <v>LATITUD</v>
      </c>
      <c r="C3080" s="36" t="str">
        <f>IFERROR(__xludf.DUMMYFUNCTION("""COMPUTED_VALUE"""),"LONGITUD")</f>
        <v>LONGITUD</v>
      </c>
      <c r="D3080" s="36" t="str">
        <f>IFERROR(__xludf.DUMMYFUNCTION("""COMPUTED_VALUE"""),"ERROR DE ID")</f>
        <v>ERROR DE ID</v>
      </c>
      <c r="E3080" s="36"/>
      <c r="F3080" s="36"/>
      <c r="G3080" s="36"/>
      <c r="H3080" s="36"/>
    </row>
    <row r="3081">
      <c r="A3081" s="36"/>
      <c r="B3081" s="36" t="str">
        <f>IFERROR(__xludf.DUMMYFUNCTION("""COMPUTED_VALUE"""),"LATITUD")</f>
        <v>LATITUD</v>
      </c>
      <c r="C3081" s="36" t="str">
        <f>IFERROR(__xludf.DUMMYFUNCTION("""COMPUTED_VALUE"""),"LONGITUD")</f>
        <v>LONGITUD</v>
      </c>
      <c r="D3081" s="36" t="str">
        <f>IFERROR(__xludf.DUMMYFUNCTION("""COMPUTED_VALUE"""),"ERROR DE ID")</f>
        <v>ERROR DE ID</v>
      </c>
      <c r="E3081" s="36"/>
      <c r="F3081" s="36"/>
      <c r="G3081" s="36"/>
      <c r="H3081" s="36"/>
    </row>
    <row r="3082">
      <c r="A3082" s="36"/>
      <c r="B3082" s="36" t="str">
        <f>IFERROR(__xludf.DUMMYFUNCTION("""COMPUTED_VALUE"""),"LATITUD")</f>
        <v>LATITUD</v>
      </c>
      <c r="C3082" s="36" t="str">
        <f>IFERROR(__xludf.DUMMYFUNCTION("""COMPUTED_VALUE"""),"LONGITUD")</f>
        <v>LONGITUD</v>
      </c>
      <c r="D3082" s="36" t="str">
        <f>IFERROR(__xludf.DUMMYFUNCTION("""COMPUTED_VALUE"""),"ERROR DE ID")</f>
        <v>ERROR DE ID</v>
      </c>
      <c r="E3082" s="36"/>
      <c r="F3082" s="36"/>
      <c r="G3082" s="36"/>
      <c r="H3082" s="36"/>
    </row>
    <row r="3083">
      <c r="A3083" s="36"/>
      <c r="B3083" s="36" t="str">
        <f>IFERROR(__xludf.DUMMYFUNCTION("""COMPUTED_VALUE"""),"LATITUD")</f>
        <v>LATITUD</v>
      </c>
      <c r="C3083" s="36" t="str">
        <f>IFERROR(__xludf.DUMMYFUNCTION("""COMPUTED_VALUE"""),"LONGITUD")</f>
        <v>LONGITUD</v>
      </c>
      <c r="D3083" s="36" t="str">
        <f>IFERROR(__xludf.DUMMYFUNCTION("""COMPUTED_VALUE"""),"ERROR DE ID")</f>
        <v>ERROR DE ID</v>
      </c>
      <c r="E3083" s="36"/>
      <c r="F3083" s="36"/>
      <c r="G3083" s="36"/>
      <c r="H3083" s="36"/>
    </row>
    <row r="3084">
      <c r="A3084" s="36"/>
      <c r="B3084" s="36" t="str">
        <f>IFERROR(__xludf.DUMMYFUNCTION("""COMPUTED_VALUE"""),"LATITUD")</f>
        <v>LATITUD</v>
      </c>
      <c r="C3084" s="36" t="str">
        <f>IFERROR(__xludf.DUMMYFUNCTION("""COMPUTED_VALUE"""),"LONGITUD")</f>
        <v>LONGITUD</v>
      </c>
      <c r="D3084" s="36" t="str">
        <f>IFERROR(__xludf.DUMMYFUNCTION("""COMPUTED_VALUE"""),"ERROR DE ID")</f>
        <v>ERROR DE ID</v>
      </c>
      <c r="E3084" s="36"/>
      <c r="F3084" s="36"/>
      <c r="G3084" s="36"/>
      <c r="H3084" s="36"/>
    </row>
    <row r="3085">
      <c r="A3085" s="36"/>
      <c r="B3085" s="36" t="str">
        <f>IFERROR(__xludf.DUMMYFUNCTION("""COMPUTED_VALUE"""),"LATITUD")</f>
        <v>LATITUD</v>
      </c>
      <c r="C3085" s="36" t="str">
        <f>IFERROR(__xludf.DUMMYFUNCTION("""COMPUTED_VALUE"""),"LONGITUD")</f>
        <v>LONGITUD</v>
      </c>
      <c r="D3085" s="36" t="str">
        <f>IFERROR(__xludf.DUMMYFUNCTION("""COMPUTED_VALUE"""),"ERROR DE ID")</f>
        <v>ERROR DE ID</v>
      </c>
      <c r="E3085" s="36"/>
      <c r="F3085" s="36"/>
      <c r="G3085" s="36"/>
      <c r="H3085" s="36"/>
    </row>
    <row r="3086">
      <c r="A3086" s="36"/>
      <c r="B3086" s="36" t="str">
        <f>IFERROR(__xludf.DUMMYFUNCTION("""COMPUTED_VALUE"""),"LATITUD")</f>
        <v>LATITUD</v>
      </c>
      <c r="C3086" s="36" t="str">
        <f>IFERROR(__xludf.DUMMYFUNCTION("""COMPUTED_VALUE"""),"LONGITUD")</f>
        <v>LONGITUD</v>
      </c>
      <c r="D3086" s="36" t="str">
        <f>IFERROR(__xludf.DUMMYFUNCTION("""COMPUTED_VALUE"""),"ERROR DE ID")</f>
        <v>ERROR DE ID</v>
      </c>
      <c r="E3086" s="36"/>
      <c r="F3086" s="36"/>
      <c r="G3086" s="36"/>
      <c r="H3086" s="36"/>
    </row>
    <row r="3087">
      <c r="A3087" s="36"/>
      <c r="B3087" s="36" t="str">
        <f>IFERROR(__xludf.DUMMYFUNCTION("""COMPUTED_VALUE"""),"LATITUD")</f>
        <v>LATITUD</v>
      </c>
      <c r="C3087" s="36" t="str">
        <f>IFERROR(__xludf.DUMMYFUNCTION("""COMPUTED_VALUE"""),"LONGITUD")</f>
        <v>LONGITUD</v>
      </c>
      <c r="D3087" s="36" t="str">
        <f>IFERROR(__xludf.DUMMYFUNCTION("""COMPUTED_VALUE"""),"ERROR DE ID")</f>
        <v>ERROR DE ID</v>
      </c>
      <c r="E3087" s="36"/>
      <c r="F3087" s="36"/>
      <c r="G3087" s="36"/>
      <c r="H3087" s="36"/>
    </row>
    <row r="3088">
      <c r="A3088" s="36"/>
      <c r="B3088" s="36" t="str">
        <f>IFERROR(__xludf.DUMMYFUNCTION("""COMPUTED_VALUE"""),"LATITUD")</f>
        <v>LATITUD</v>
      </c>
      <c r="C3088" s="36" t="str">
        <f>IFERROR(__xludf.DUMMYFUNCTION("""COMPUTED_VALUE"""),"LONGITUD")</f>
        <v>LONGITUD</v>
      </c>
      <c r="D3088" s="36" t="str">
        <f>IFERROR(__xludf.DUMMYFUNCTION("""COMPUTED_VALUE"""),"ERROR DE ID")</f>
        <v>ERROR DE ID</v>
      </c>
      <c r="E3088" s="36"/>
      <c r="F3088" s="36"/>
      <c r="G3088" s="36"/>
      <c r="H3088" s="36"/>
    </row>
    <row r="3089">
      <c r="A3089" s="36"/>
      <c r="B3089" s="36" t="str">
        <f>IFERROR(__xludf.DUMMYFUNCTION("""COMPUTED_VALUE"""),"LATITUD")</f>
        <v>LATITUD</v>
      </c>
      <c r="C3089" s="36" t="str">
        <f>IFERROR(__xludf.DUMMYFUNCTION("""COMPUTED_VALUE"""),"LONGITUD")</f>
        <v>LONGITUD</v>
      </c>
      <c r="D3089" s="36" t="str">
        <f>IFERROR(__xludf.DUMMYFUNCTION("""COMPUTED_VALUE"""),"ERROR DE ID")</f>
        <v>ERROR DE ID</v>
      </c>
      <c r="E3089" s="36"/>
      <c r="F3089" s="36"/>
      <c r="G3089" s="36"/>
      <c r="H3089" s="36"/>
    </row>
    <row r="3090">
      <c r="A3090" s="36"/>
      <c r="B3090" s="36" t="str">
        <f>IFERROR(__xludf.DUMMYFUNCTION("""COMPUTED_VALUE"""),"LATITUD")</f>
        <v>LATITUD</v>
      </c>
      <c r="C3090" s="36" t="str">
        <f>IFERROR(__xludf.DUMMYFUNCTION("""COMPUTED_VALUE"""),"LONGITUD")</f>
        <v>LONGITUD</v>
      </c>
      <c r="D3090" s="36" t="str">
        <f>IFERROR(__xludf.DUMMYFUNCTION("""COMPUTED_VALUE"""),"ERROR DE ID")</f>
        <v>ERROR DE ID</v>
      </c>
      <c r="E3090" s="36"/>
      <c r="F3090" s="36"/>
      <c r="G3090" s="36"/>
      <c r="H3090" s="36"/>
    </row>
    <row r="3091">
      <c r="A3091" s="36"/>
      <c r="B3091" s="36" t="str">
        <f>IFERROR(__xludf.DUMMYFUNCTION("""COMPUTED_VALUE"""),"LATITUD")</f>
        <v>LATITUD</v>
      </c>
      <c r="C3091" s="36" t="str">
        <f>IFERROR(__xludf.DUMMYFUNCTION("""COMPUTED_VALUE"""),"LONGITUD")</f>
        <v>LONGITUD</v>
      </c>
      <c r="D3091" s="36" t="str">
        <f>IFERROR(__xludf.DUMMYFUNCTION("""COMPUTED_VALUE"""),"ERROR DE ID")</f>
        <v>ERROR DE ID</v>
      </c>
      <c r="E3091" s="36"/>
      <c r="F3091" s="36"/>
      <c r="G3091" s="36"/>
      <c r="H3091" s="36"/>
    </row>
    <row r="3092">
      <c r="A3092" s="36"/>
      <c r="B3092" s="36" t="str">
        <f>IFERROR(__xludf.DUMMYFUNCTION("""COMPUTED_VALUE"""),"LATITUD")</f>
        <v>LATITUD</v>
      </c>
      <c r="C3092" s="36" t="str">
        <f>IFERROR(__xludf.DUMMYFUNCTION("""COMPUTED_VALUE"""),"LONGITUD")</f>
        <v>LONGITUD</v>
      </c>
      <c r="D3092" s="36" t="str">
        <f>IFERROR(__xludf.DUMMYFUNCTION("""COMPUTED_VALUE"""),"ERROR DE ID")</f>
        <v>ERROR DE ID</v>
      </c>
      <c r="E3092" s="36"/>
      <c r="F3092" s="36"/>
      <c r="G3092" s="36"/>
      <c r="H3092" s="36"/>
    </row>
    <row r="3093">
      <c r="A3093" s="36"/>
      <c r="B3093" s="36" t="str">
        <f>IFERROR(__xludf.DUMMYFUNCTION("""COMPUTED_VALUE"""),"LATITUD")</f>
        <v>LATITUD</v>
      </c>
      <c r="C3093" s="36" t="str">
        <f>IFERROR(__xludf.DUMMYFUNCTION("""COMPUTED_VALUE"""),"LONGITUD")</f>
        <v>LONGITUD</v>
      </c>
      <c r="D3093" s="36" t="str">
        <f>IFERROR(__xludf.DUMMYFUNCTION("""COMPUTED_VALUE"""),"ERROR DE ID")</f>
        <v>ERROR DE ID</v>
      </c>
      <c r="E3093" s="36"/>
      <c r="F3093" s="36"/>
      <c r="G3093" s="36"/>
      <c r="H3093" s="36"/>
    </row>
    <row r="3094">
      <c r="A3094" s="36"/>
      <c r="B3094" s="36" t="str">
        <f>IFERROR(__xludf.DUMMYFUNCTION("""COMPUTED_VALUE"""),"LATITUD")</f>
        <v>LATITUD</v>
      </c>
      <c r="C3094" s="36" t="str">
        <f>IFERROR(__xludf.DUMMYFUNCTION("""COMPUTED_VALUE"""),"LONGITUD")</f>
        <v>LONGITUD</v>
      </c>
      <c r="D3094" s="36" t="str">
        <f>IFERROR(__xludf.DUMMYFUNCTION("""COMPUTED_VALUE"""),"ERROR DE ID")</f>
        <v>ERROR DE ID</v>
      </c>
      <c r="E3094" s="36"/>
      <c r="F3094" s="36"/>
      <c r="G3094" s="36"/>
      <c r="H3094" s="36"/>
    </row>
    <row r="3095">
      <c r="A3095" s="36"/>
      <c r="B3095" s="36" t="str">
        <f>IFERROR(__xludf.DUMMYFUNCTION("""COMPUTED_VALUE"""),"LATITUD")</f>
        <v>LATITUD</v>
      </c>
      <c r="C3095" s="36" t="str">
        <f>IFERROR(__xludf.DUMMYFUNCTION("""COMPUTED_VALUE"""),"LONGITUD")</f>
        <v>LONGITUD</v>
      </c>
      <c r="D3095" s="36" t="str">
        <f>IFERROR(__xludf.DUMMYFUNCTION("""COMPUTED_VALUE"""),"ERROR DE ID")</f>
        <v>ERROR DE ID</v>
      </c>
      <c r="E3095" s="36"/>
      <c r="F3095" s="36"/>
      <c r="G3095" s="36"/>
      <c r="H3095" s="36"/>
    </row>
    <row r="3096">
      <c r="A3096" s="36"/>
      <c r="B3096" s="36" t="str">
        <f>IFERROR(__xludf.DUMMYFUNCTION("""COMPUTED_VALUE"""),"LATITUD")</f>
        <v>LATITUD</v>
      </c>
      <c r="C3096" s="36" t="str">
        <f>IFERROR(__xludf.DUMMYFUNCTION("""COMPUTED_VALUE"""),"LONGITUD")</f>
        <v>LONGITUD</v>
      </c>
      <c r="D3096" s="36" t="str">
        <f>IFERROR(__xludf.DUMMYFUNCTION("""COMPUTED_VALUE"""),"ERROR DE ID")</f>
        <v>ERROR DE ID</v>
      </c>
      <c r="E3096" s="36"/>
      <c r="F3096" s="36"/>
      <c r="G3096" s="36"/>
      <c r="H3096" s="36"/>
    </row>
    <row r="3097">
      <c r="A3097" s="36"/>
      <c r="B3097" s="36" t="str">
        <f>IFERROR(__xludf.DUMMYFUNCTION("""COMPUTED_VALUE"""),"LATITUD")</f>
        <v>LATITUD</v>
      </c>
      <c r="C3097" s="36" t="str">
        <f>IFERROR(__xludf.DUMMYFUNCTION("""COMPUTED_VALUE"""),"LONGITUD")</f>
        <v>LONGITUD</v>
      </c>
      <c r="D3097" s="36" t="str">
        <f>IFERROR(__xludf.DUMMYFUNCTION("""COMPUTED_VALUE"""),"ERROR DE ID")</f>
        <v>ERROR DE ID</v>
      </c>
      <c r="E3097" s="36"/>
      <c r="F3097" s="36"/>
      <c r="G3097" s="36"/>
      <c r="H3097" s="36"/>
    </row>
    <row r="3098">
      <c r="A3098" s="36"/>
      <c r="B3098" s="36" t="str">
        <f>IFERROR(__xludf.DUMMYFUNCTION("""COMPUTED_VALUE"""),"LATITUD")</f>
        <v>LATITUD</v>
      </c>
      <c r="C3098" s="36" t="str">
        <f>IFERROR(__xludf.DUMMYFUNCTION("""COMPUTED_VALUE"""),"LONGITUD")</f>
        <v>LONGITUD</v>
      </c>
      <c r="D3098" s="36" t="str">
        <f>IFERROR(__xludf.DUMMYFUNCTION("""COMPUTED_VALUE"""),"ERROR DE ID")</f>
        <v>ERROR DE ID</v>
      </c>
      <c r="E3098" s="36"/>
      <c r="F3098" s="36"/>
      <c r="G3098" s="36"/>
      <c r="H3098" s="36"/>
    </row>
    <row r="3099">
      <c r="A3099" s="36"/>
      <c r="B3099" s="36" t="str">
        <f>IFERROR(__xludf.DUMMYFUNCTION("""COMPUTED_VALUE"""),"LATITUD")</f>
        <v>LATITUD</v>
      </c>
      <c r="C3099" s="36" t="str">
        <f>IFERROR(__xludf.DUMMYFUNCTION("""COMPUTED_VALUE"""),"LONGITUD")</f>
        <v>LONGITUD</v>
      </c>
      <c r="D3099" s="36" t="str">
        <f>IFERROR(__xludf.DUMMYFUNCTION("""COMPUTED_VALUE"""),"ERROR DE ID")</f>
        <v>ERROR DE ID</v>
      </c>
      <c r="E3099" s="36"/>
      <c r="F3099" s="36"/>
      <c r="G3099" s="36"/>
      <c r="H3099" s="36"/>
    </row>
    <row r="3100">
      <c r="A3100" s="36"/>
      <c r="B3100" s="36" t="str">
        <f>IFERROR(__xludf.DUMMYFUNCTION("""COMPUTED_VALUE"""),"LATITUD")</f>
        <v>LATITUD</v>
      </c>
      <c r="C3100" s="36" t="str">
        <f>IFERROR(__xludf.DUMMYFUNCTION("""COMPUTED_VALUE"""),"LONGITUD")</f>
        <v>LONGITUD</v>
      </c>
      <c r="D3100" s="36" t="str">
        <f>IFERROR(__xludf.DUMMYFUNCTION("""COMPUTED_VALUE"""),"ERROR DE ID")</f>
        <v>ERROR DE ID</v>
      </c>
      <c r="E3100" s="36"/>
      <c r="F3100" s="36"/>
      <c r="G3100" s="36"/>
      <c r="H3100" s="36"/>
    </row>
    <row r="3101">
      <c r="A3101" s="36"/>
      <c r="B3101" s="36" t="str">
        <f>IFERROR(__xludf.DUMMYFUNCTION("""COMPUTED_VALUE"""),"LATITUD")</f>
        <v>LATITUD</v>
      </c>
      <c r="C3101" s="36" t="str">
        <f>IFERROR(__xludf.DUMMYFUNCTION("""COMPUTED_VALUE"""),"LONGITUD")</f>
        <v>LONGITUD</v>
      </c>
      <c r="D3101" s="36" t="str">
        <f>IFERROR(__xludf.DUMMYFUNCTION("""COMPUTED_VALUE"""),"ERROR DE ID")</f>
        <v>ERROR DE ID</v>
      </c>
      <c r="E3101" s="36"/>
      <c r="F3101" s="36"/>
      <c r="G3101" s="36"/>
      <c r="H3101" s="36"/>
    </row>
    <row r="3102">
      <c r="A3102" s="36"/>
      <c r="B3102" s="36" t="str">
        <f>IFERROR(__xludf.DUMMYFUNCTION("""COMPUTED_VALUE"""),"LATITUD")</f>
        <v>LATITUD</v>
      </c>
      <c r="C3102" s="36" t="str">
        <f>IFERROR(__xludf.DUMMYFUNCTION("""COMPUTED_VALUE"""),"LONGITUD")</f>
        <v>LONGITUD</v>
      </c>
      <c r="D3102" s="36" t="str">
        <f>IFERROR(__xludf.DUMMYFUNCTION("""COMPUTED_VALUE"""),"ERROR DE ID")</f>
        <v>ERROR DE ID</v>
      </c>
      <c r="E3102" s="36"/>
      <c r="F3102" s="36"/>
      <c r="G3102" s="36"/>
      <c r="H3102" s="36"/>
    </row>
    <row r="3103">
      <c r="A3103" s="36"/>
      <c r="B3103" s="36" t="str">
        <f>IFERROR(__xludf.DUMMYFUNCTION("""COMPUTED_VALUE"""),"LATITUD")</f>
        <v>LATITUD</v>
      </c>
      <c r="C3103" s="36" t="str">
        <f>IFERROR(__xludf.DUMMYFUNCTION("""COMPUTED_VALUE"""),"LONGITUD")</f>
        <v>LONGITUD</v>
      </c>
      <c r="D3103" s="36" t="str">
        <f>IFERROR(__xludf.DUMMYFUNCTION("""COMPUTED_VALUE"""),"ERROR DE ID")</f>
        <v>ERROR DE ID</v>
      </c>
      <c r="E3103" s="36"/>
      <c r="F3103" s="36"/>
      <c r="G3103" s="36"/>
      <c r="H3103" s="36"/>
    </row>
    <row r="3104">
      <c r="A3104" s="36"/>
      <c r="B3104" s="36" t="str">
        <f>IFERROR(__xludf.DUMMYFUNCTION("""COMPUTED_VALUE"""),"LATITUD")</f>
        <v>LATITUD</v>
      </c>
      <c r="C3104" s="36" t="str">
        <f>IFERROR(__xludf.DUMMYFUNCTION("""COMPUTED_VALUE"""),"LONGITUD")</f>
        <v>LONGITUD</v>
      </c>
      <c r="D3104" s="36" t="str">
        <f>IFERROR(__xludf.DUMMYFUNCTION("""COMPUTED_VALUE"""),"ERROR DE ID")</f>
        <v>ERROR DE ID</v>
      </c>
      <c r="E3104" s="36"/>
      <c r="F3104" s="36"/>
      <c r="G3104" s="36"/>
      <c r="H3104" s="36"/>
    </row>
    <row r="3105">
      <c r="A3105" s="36"/>
      <c r="B3105" s="36" t="str">
        <f>IFERROR(__xludf.DUMMYFUNCTION("""COMPUTED_VALUE"""),"LATITUD")</f>
        <v>LATITUD</v>
      </c>
      <c r="C3105" s="36" t="str">
        <f>IFERROR(__xludf.DUMMYFUNCTION("""COMPUTED_VALUE"""),"LONGITUD")</f>
        <v>LONGITUD</v>
      </c>
      <c r="D3105" s="36" t="str">
        <f>IFERROR(__xludf.DUMMYFUNCTION("""COMPUTED_VALUE"""),"ERROR DE ID")</f>
        <v>ERROR DE ID</v>
      </c>
      <c r="E3105" s="36"/>
      <c r="F3105" s="36"/>
      <c r="G3105" s="36"/>
      <c r="H3105" s="36"/>
    </row>
    <row r="3106">
      <c r="A3106" s="36"/>
      <c r="B3106" s="36" t="str">
        <f>IFERROR(__xludf.DUMMYFUNCTION("""COMPUTED_VALUE"""),"LATITUD")</f>
        <v>LATITUD</v>
      </c>
      <c r="C3106" s="36" t="str">
        <f>IFERROR(__xludf.DUMMYFUNCTION("""COMPUTED_VALUE"""),"LONGITUD")</f>
        <v>LONGITUD</v>
      </c>
      <c r="D3106" s="36" t="str">
        <f>IFERROR(__xludf.DUMMYFUNCTION("""COMPUTED_VALUE"""),"ERROR DE ID")</f>
        <v>ERROR DE ID</v>
      </c>
      <c r="E3106" s="36"/>
      <c r="F3106" s="36"/>
      <c r="G3106" s="36"/>
      <c r="H3106" s="36"/>
    </row>
    <row r="3107">
      <c r="A3107" s="36"/>
      <c r="B3107" s="36" t="str">
        <f>IFERROR(__xludf.DUMMYFUNCTION("""COMPUTED_VALUE"""),"LATITUD")</f>
        <v>LATITUD</v>
      </c>
      <c r="C3107" s="36" t="str">
        <f>IFERROR(__xludf.DUMMYFUNCTION("""COMPUTED_VALUE"""),"LONGITUD")</f>
        <v>LONGITUD</v>
      </c>
      <c r="D3107" s="36" t="str">
        <f>IFERROR(__xludf.DUMMYFUNCTION("""COMPUTED_VALUE"""),"ERROR DE ID")</f>
        <v>ERROR DE ID</v>
      </c>
      <c r="E3107" s="36"/>
      <c r="F3107" s="36"/>
      <c r="G3107" s="36"/>
      <c r="H3107" s="36"/>
    </row>
    <row r="3108">
      <c r="A3108" s="36"/>
      <c r="B3108" s="36" t="str">
        <f>IFERROR(__xludf.DUMMYFUNCTION("""COMPUTED_VALUE"""),"LATITUD")</f>
        <v>LATITUD</v>
      </c>
      <c r="C3108" s="36" t="str">
        <f>IFERROR(__xludf.DUMMYFUNCTION("""COMPUTED_VALUE"""),"LONGITUD")</f>
        <v>LONGITUD</v>
      </c>
      <c r="D3108" s="36" t="str">
        <f>IFERROR(__xludf.DUMMYFUNCTION("""COMPUTED_VALUE"""),"ERROR DE ID")</f>
        <v>ERROR DE ID</v>
      </c>
      <c r="E3108" s="36"/>
      <c r="F3108" s="36"/>
      <c r="G3108" s="36"/>
      <c r="H3108" s="36"/>
    </row>
    <row r="3109">
      <c r="A3109" s="36"/>
      <c r="B3109" s="36" t="str">
        <f>IFERROR(__xludf.DUMMYFUNCTION("""COMPUTED_VALUE"""),"LATITUD")</f>
        <v>LATITUD</v>
      </c>
      <c r="C3109" s="36" t="str">
        <f>IFERROR(__xludf.DUMMYFUNCTION("""COMPUTED_VALUE"""),"LONGITUD")</f>
        <v>LONGITUD</v>
      </c>
      <c r="D3109" s="36" t="str">
        <f>IFERROR(__xludf.DUMMYFUNCTION("""COMPUTED_VALUE"""),"ERROR DE ID")</f>
        <v>ERROR DE ID</v>
      </c>
      <c r="E3109" s="36"/>
      <c r="F3109" s="36"/>
      <c r="G3109" s="36"/>
      <c r="H3109" s="36"/>
    </row>
    <row r="3110">
      <c r="A3110" s="36"/>
      <c r="B3110" s="36" t="str">
        <f>IFERROR(__xludf.DUMMYFUNCTION("""COMPUTED_VALUE"""),"LATITUD")</f>
        <v>LATITUD</v>
      </c>
      <c r="C3110" s="36" t="str">
        <f>IFERROR(__xludf.DUMMYFUNCTION("""COMPUTED_VALUE"""),"LONGITUD")</f>
        <v>LONGITUD</v>
      </c>
      <c r="D3110" s="36" t="str">
        <f>IFERROR(__xludf.DUMMYFUNCTION("""COMPUTED_VALUE"""),"ERROR DE ID")</f>
        <v>ERROR DE ID</v>
      </c>
      <c r="E3110" s="36"/>
      <c r="F3110" s="36"/>
      <c r="G3110" s="36"/>
      <c r="H3110" s="36"/>
    </row>
    <row r="3111">
      <c r="A3111" s="36"/>
      <c r="B3111" s="36" t="str">
        <f>IFERROR(__xludf.DUMMYFUNCTION("""COMPUTED_VALUE"""),"LATITUD")</f>
        <v>LATITUD</v>
      </c>
      <c r="C3111" s="36" t="str">
        <f>IFERROR(__xludf.DUMMYFUNCTION("""COMPUTED_VALUE"""),"LONGITUD")</f>
        <v>LONGITUD</v>
      </c>
      <c r="D3111" s="36" t="str">
        <f>IFERROR(__xludf.DUMMYFUNCTION("""COMPUTED_VALUE"""),"ERROR DE ID")</f>
        <v>ERROR DE ID</v>
      </c>
      <c r="E3111" s="36"/>
      <c r="F3111" s="36"/>
      <c r="G3111" s="36"/>
      <c r="H3111" s="36"/>
    </row>
    <row r="3112">
      <c r="A3112" s="36"/>
      <c r="B3112" s="36" t="str">
        <f>IFERROR(__xludf.DUMMYFUNCTION("""COMPUTED_VALUE"""),"LATITUD")</f>
        <v>LATITUD</v>
      </c>
      <c r="C3112" s="36" t="str">
        <f>IFERROR(__xludf.DUMMYFUNCTION("""COMPUTED_VALUE"""),"LONGITUD")</f>
        <v>LONGITUD</v>
      </c>
      <c r="D3112" s="36" t="str">
        <f>IFERROR(__xludf.DUMMYFUNCTION("""COMPUTED_VALUE"""),"ERROR DE ID")</f>
        <v>ERROR DE ID</v>
      </c>
      <c r="E3112" s="36"/>
      <c r="F3112" s="36"/>
      <c r="G3112" s="36"/>
      <c r="H3112" s="36"/>
    </row>
    <row r="3113">
      <c r="A3113" s="36"/>
      <c r="B3113" s="36" t="str">
        <f>IFERROR(__xludf.DUMMYFUNCTION("""COMPUTED_VALUE"""),"LATITUD")</f>
        <v>LATITUD</v>
      </c>
      <c r="C3113" s="36" t="str">
        <f>IFERROR(__xludf.DUMMYFUNCTION("""COMPUTED_VALUE"""),"LONGITUD")</f>
        <v>LONGITUD</v>
      </c>
      <c r="D3113" s="36" t="str">
        <f>IFERROR(__xludf.DUMMYFUNCTION("""COMPUTED_VALUE"""),"ERROR DE ID")</f>
        <v>ERROR DE ID</v>
      </c>
      <c r="E3113" s="36"/>
      <c r="F3113" s="36"/>
      <c r="G3113" s="36"/>
      <c r="H3113" s="36"/>
    </row>
    <row r="3114">
      <c r="A3114" s="36"/>
      <c r="B3114" s="36" t="str">
        <f>IFERROR(__xludf.DUMMYFUNCTION("""COMPUTED_VALUE"""),"LATITUD")</f>
        <v>LATITUD</v>
      </c>
      <c r="C3114" s="36" t="str">
        <f>IFERROR(__xludf.DUMMYFUNCTION("""COMPUTED_VALUE"""),"LONGITUD")</f>
        <v>LONGITUD</v>
      </c>
      <c r="D3114" s="36" t="str">
        <f>IFERROR(__xludf.DUMMYFUNCTION("""COMPUTED_VALUE"""),"ERROR DE ID")</f>
        <v>ERROR DE ID</v>
      </c>
      <c r="E3114" s="36"/>
      <c r="F3114" s="36"/>
      <c r="G3114" s="36"/>
      <c r="H3114" s="36"/>
    </row>
    <row r="3115">
      <c r="A3115" s="36"/>
      <c r="B3115" s="36" t="str">
        <f>IFERROR(__xludf.DUMMYFUNCTION("""COMPUTED_VALUE"""),"LATITUD")</f>
        <v>LATITUD</v>
      </c>
      <c r="C3115" s="36" t="str">
        <f>IFERROR(__xludf.DUMMYFUNCTION("""COMPUTED_VALUE"""),"LONGITUD")</f>
        <v>LONGITUD</v>
      </c>
      <c r="D3115" s="36" t="str">
        <f>IFERROR(__xludf.DUMMYFUNCTION("""COMPUTED_VALUE"""),"ERROR DE ID")</f>
        <v>ERROR DE ID</v>
      </c>
      <c r="E3115" s="36"/>
      <c r="F3115" s="36"/>
      <c r="G3115" s="36"/>
      <c r="H3115" s="36"/>
    </row>
    <row r="3116">
      <c r="A3116" s="36"/>
      <c r="B3116" s="36" t="str">
        <f>IFERROR(__xludf.DUMMYFUNCTION("""COMPUTED_VALUE"""),"LATITUD")</f>
        <v>LATITUD</v>
      </c>
      <c r="C3116" s="36" t="str">
        <f>IFERROR(__xludf.DUMMYFUNCTION("""COMPUTED_VALUE"""),"LONGITUD")</f>
        <v>LONGITUD</v>
      </c>
      <c r="D3116" s="36" t="str">
        <f>IFERROR(__xludf.DUMMYFUNCTION("""COMPUTED_VALUE"""),"ERROR DE ID")</f>
        <v>ERROR DE ID</v>
      </c>
      <c r="E3116" s="36"/>
      <c r="F3116" s="36"/>
      <c r="G3116" s="36"/>
      <c r="H3116" s="36"/>
    </row>
    <row r="3117">
      <c r="A3117" s="36"/>
      <c r="B3117" s="36" t="str">
        <f>IFERROR(__xludf.DUMMYFUNCTION("""COMPUTED_VALUE"""),"LATITUD")</f>
        <v>LATITUD</v>
      </c>
      <c r="C3117" s="36" t="str">
        <f>IFERROR(__xludf.DUMMYFUNCTION("""COMPUTED_VALUE"""),"LONGITUD")</f>
        <v>LONGITUD</v>
      </c>
      <c r="D3117" s="36" t="str">
        <f>IFERROR(__xludf.DUMMYFUNCTION("""COMPUTED_VALUE"""),"ERROR DE ID")</f>
        <v>ERROR DE ID</v>
      </c>
      <c r="E3117" s="36"/>
      <c r="F3117" s="36"/>
      <c r="G3117" s="36"/>
      <c r="H3117" s="36"/>
    </row>
    <row r="3118">
      <c r="A3118" s="36"/>
      <c r="B3118" s="36" t="str">
        <f>IFERROR(__xludf.DUMMYFUNCTION("""COMPUTED_VALUE"""),"LATITUD")</f>
        <v>LATITUD</v>
      </c>
      <c r="C3118" s="36" t="str">
        <f>IFERROR(__xludf.DUMMYFUNCTION("""COMPUTED_VALUE"""),"LONGITUD")</f>
        <v>LONGITUD</v>
      </c>
      <c r="D3118" s="36" t="str">
        <f>IFERROR(__xludf.DUMMYFUNCTION("""COMPUTED_VALUE"""),"ERROR DE ID")</f>
        <v>ERROR DE ID</v>
      </c>
      <c r="E3118" s="36"/>
      <c r="F3118" s="36"/>
      <c r="G3118" s="36"/>
      <c r="H3118" s="36"/>
    </row>
    <row r="3119">
      <c r="A3119" s="36"/>
      <c r="B3119" s="36" t="str">
        <f>IFERROR(__xludf.DUMMYFUNCTION("""COMPUTED_VALUE"""),"LATITUD")</f>
        <v>LATITUD</v>
      </c>
      <c r="C3119" s="36" t="str">
        <f>IFERROR(__xludf.DUMMYFUNCTION("""COMPUTED_VALUE"""),"LONGITUD")</f>
        <v>LONGITUD</v>
      </c>
      <c r="D3119" s="36" t="str">
        <f>IFERROR(__xludf.DUMMYFUNCTION("""COMPUTED_VALUE"""),"ERROR DE ID")</f>
        <v>ERROR DE ID</v>
      </c>
      <c r="E3119" s="36"/>
      <c r="F3119" s="36"/>
      <c r="G3119" s="36"/>
      <c r="H3119" s="36"/>
    </row>
    <row r="3120">
      <c r="A3120" s="36"/>
      <c r="B3120" s="36" t="str">
        <f>IFERROR(__xludf.DUMMYFUNCTION("""COMPUTED_VALUE"""),"LATITUD")</f>
        <v>LATITUD</v>
      </c>
      <c r="C3120" s="36" t="str">
        <f>IFERROR(__xludf.DUMMYFUNCTION("""COMPUTED_VALUE"""),"LONGITUD")</f>
        <v>LONGITUD</v>
      </c>
      <c r="D3120" s="36" t="str">
        <f>IFERROR(__xludf.DUMMYFUNCTION("""COMPUTED_VALUE"""),"ERROR DE ID")</f>
        <v>ERROR DE ID</v>
      </c>
      <c r="E3120" s="36"/>
      <c r="F3120" s="36"/>
      <c r="G3120" s="36"/>
      <c r="H3120" s="36"/>
    </row>
    <row r="3121">
      <c r="A3121" s="36"/>
      <c r="B3121" s="36" t="str">
        <f>IFERROR(__xludf.DUMMYFUNCTION("""COMPUTED_VALUE"""),"LATITUD")</f>
        <v>LATITUD</v>
      </c>
      <c r="C3121" s="36" t="str">
        <f>IFERROR(__xludf.DUMMYFUNCTION("""COMPUTED_VALUE"""),"LONGITUD")</f>
        <v>LONGITUD</v>
      </c>
      <c r="D3121" s="36" t="str">
        <f>IFERROR(__xludf.DUMMYFUNCTION("""COMPUTED_VALUE"""),"ERROR DE ID")</f>
        <v>ERROR DE ID</v>
      </c>
      <c r="E3121" s="36"/>
      <c r="F3121" s="36"/>
      <c r="G3121" s="36"/>
      <c r="H3121" s="36"/>
    </row>
    <row r="3122">
      <c r="A3122" s="36"/>
      <c r="B3122" s="36" t="str">
        <f>IFERROR(__xludf.DUMMYFUNCTION("""COMPUTED_VALUE"""),"LATITUD")</f>
        <v>LATITUD</v>
      </c>
      <c r="C3122" s="36" t="str">
        <f>IFERROR(__xludf.DUMMYFUNCTION("""COMPUTED_VALUE"""),"LONGITUD")</f>
        <v>LONGITUD</v>
      </c>
      <c r="D3122" s="36" t="str">
        <f>IFERROR(__xludf.DUMMYFUNCTION("""COMPUTED_VALUE"""),"ERROR DE ID")</f>
        <v>ERROR DE ID</v>
      </c>
      <c r="E3122" s="36"/>
      <c r="F3122" s="36"/>
      <c r="G3122" s="36"/>
      <c r="H3122" s="36"/>
    </row>
    <row r="3123">
      <c r="A3123" s="36"/>
      <c r="B3123" s="36" t="str">
        <f>IFERROR(__xludf.DUMMYFUNCTION("""COMPUTED_VALUE"""),"LATITUD")</f>
        <v>LATITUD</v>
      </c>
      <c r="C3123" s="36" t="str">
        <f>IFERROR(__xludf.DUMMYFUNCTION("""COMPUTED_VALUE"""),"LONGITUD")</f>
        <v>LONGITUD</v>
      </c>
      <c r="D3123" s="36" t="str">
        <f>IFERROR(__xludf.DUMMYFUNCTION("""COMPUTED_VALUE"""),"ERROR DE ID")</f>
        <v>ERROR DE ID</v>
      </c>
      <c r="E3123" s="36"/>
      <c r="F3123" s="36"/>
      <c r="G3123" s="36"/>
      <c r="H3123" s="36"/>
    </row>
    <row r="3124">
      <c r="A3124" s="36"/>
      <c r="B3124" s="36" t="str">
        <f>IFERROR(__xludf.DUMMYFUNCTION("""COMPUTED_VALUE"""),"LATITUD")</f>
        <v>LATITUD</v>
      </c>
      <c r="C3124" s="36" t="str">
        <f>IFERROR(__xludf.DUMMYFUNCTION("""COMPUTED_VALUE"""),"LONGITUD")</f>
        <v>LONGITUD</v>
      </c>
      <c r="D3124" s="36" t="str">
        <f>IFERROR(__xludf.DUMMYFUNCTION("""COMPUTED_VALUE"""),"ERROR DE ID")</f>
        <v>ERROR DE ID</v>
      </c>
      <c r="E3124" s="36"/>
      <c r="F3124" s="36"/>
      <c r="G3124" s="36"/>
      <c r="H3124" s="36"/>
    </row>
    <row r="3125">
      <c r="A3125" s="36"/>
      <c r="B3125" s="36" t="str">
        <f>IFERROR(__xludf.DUMMYFUNCTION("""COMPUTED_VALUE"""),"LATITUD")</f>
        <v>LATITUD</v>
      </c>
      <c r="C3125" s="36" t="str">
        <f>IFERROR(__xludf.DUMMYFUNCTION("""COMPUTED_VALUE"""),"LONGITUD")</f>
        <v>LONGITUD</v>
      </c>
      <c r="D3125" s="36" t="str">
        <f>IFERROR(__xludf.DUMMYFUNCTION("""COMPUTED_VALUE"""),"ERROR DE ID")</f>
        <v>ERROR DE ID</v>
      </c>
      <c r="E3125" s="36"/>
      <c r="F3125" s="36"/>
      <c r="G3125" s="36"/>
      <c r="H3125" s="36"/>
    </row>
    <row r="3126">
      <c r="A3126" s="36"/>
      <c r="B3126" s="36" t="str">
        <f>IFERROR(__xludf.DUMMYFUNCTION("""COMPUTED_VALUE"""),"LATITUD")</f>
        <v>LATITUD</v>
      </c>
      <c r="C3126" s="36" t="str">
        <f>IFERROR(__xludf.DUMMYFUNCTION("""COMPUTED_VALUE"""),"LONGITUD")</f>
        <v>LONGITUD</v>
      </c>
      <c r="D3126" s="36" t="str">
        <f>IFERROR(__xludf.DUMMYFUNCTION("""COMPUTED_VALUE"""),"ERROR DE ID")</f>
        <v>ERROR DE ID</v>
      </c>
      <c r="E3126" s="36"/>
      <c r="F3126" s="36"/>
      <c r="G3126" s="36"/>
      <c r="H3126" s="36"/>
    </row>
    <row r="3127">
      <c r="A3127" s="36"/>
      <c r="B3127" s="36" t="str">
        <f>IFERROR(__xludf.DUMMYFUNCTION("""COMPUTED_VALUE"""),"LATITUD")</f>
        <v>LATITUD</v>
      </c>
      <c r="C3127" s="36" t="str">
        <f>IFERROR(__xludf.DUMMYFUNCTION("""COMPUTED_VALUE"""),"LONGITUD")</f>
        <v>LONGITUD</v>
      </c>
      <c r="D3127" s="36" t="str">
        <f>IFERROR(__xludf.DUMMYFUNCTION("""COMPUTED_VALUE"""),"ERROR DE ID")</f>
        <v>ERROR DE ID</v>
      </c>
      <c r="E3127" s="36"/>
      <c r="F3127" s="36"/>
      <c r="G3127" s="36"/>
      <c r="H3127" s="36"/>
    </row>
    <row r="3128">
      <c r="A3128" s="36"/>
      <c r="B3128" s="36" t="str">
        <f>IFERROR(__xludf.DUMMYFUNCTION("""COMPUTED_VALUE"""),"LATITUD")</f>
        <v>LATITUD</v>
      </c>
      <c r="C3128" s="36" t="str">
        <f>IFERROR(__xludf.DUMMYFUNCTION("""COMPUTED_VALUE"""),"LONGITUD")</f>
        <v>LONGITUD</v>
      </c>
      <c r="D3128" s="36" t="str">
        <f>IFERROR(__xludf.DUMMYFUNCTION("""COMPUTED_VALUE"""),"ERROR DE ID")</f>
        <v>ERROR DE ID</v>
      </c>
      <c r="E3128" s="36"/>
      <c r="F3128" s="36"/>
      <c r="G3128" s="36"/>
      <c r="H3128" s="36"/>
    </row>
    <row r="3129">
      <c r="A3129" s="36"/>
      <c r="B3129" s="36" t="str">
        <f>IFERROR(__xludf.DUMMYFUNCTION("""COMPUTED_VALUE"""),"LATITUD")</f>
        <v>LATITUD</v>
      </c>
      <c r="C3129" s="36" t="str">
        <f>IFERROR(__xludf.DUMMYFUNCTION("""COMPUTED_VALUE"""),"LONGITUD")</f>
        <v>LONGITUD</v>
      </c>
      <c r="D3129" s="36" t="str">
        <f>IFERROR(__xludf.DUMMYFUNCTION("""COMPUTED_VALUE"""),"ERROR DE ID")</f>
        <v>ERROR DE ID</v>
      </c>
      <c r="E3129" s="36"/>
      <c r="F3129" s="36"/>
      <c r="G3129" s="36"/>
      <c r="H3129" s="36"/>
    </row>
    <row r="3130">
      <c r="A3130" s="36"/>
      <c r="B3130" s="36" t="str">
        <f>IFERROR(__xludf.DUMMYFUNCTION("""COMPUTED_VALUE"""),"LATITUD")</f>
        <v>LATITUD</v>
      </c>
      <c r="C3130" s="36" t="str">
        <f>IFERROR(__xludf.DUMMYFUNCTION("""COMPUTED_VALUE"""),"LONGITUD")</f>
        <v>LONGITUD</v>
      </c>
      <c r="D3130" s="36" t="str">
        <f>IFERROR(__xludf.DUMMYFUNCTION("""COMPUTED_VALUE"""),"ERROR DE ID")</f>
        <v>ERROR DE ID</v>
      </c>
      <c r="E3130" s="36"/>
      <c r="F3130" s="36"/>
      <c r="G3130" s="36"/>
      <c r="H3130" s="36"/>
    </row>
    <row r="3131">
      <c r="A3131" s="36"/>
      <c r="B3131" s="36" t="str">
        <f>IFERROR(__xludf.DUMMYFUNCTION("""COMPUTED_VALUE"""),"LATITUD")</f>
        <v>LATITUD</v>
      </c>
      <c r="C3131" s="36" t="str">
        <f>IFERROR(__xludf.DUMMYFUNCTION("""COMPUTED_VALUE"""),"LONGITUD")</f>
        <v>LONGITUD</v>
      </c>
      <c r="D3131" s="36" t="str">
        <f>IFERROR(__xludf.DUMMYFUNCTION("""COMPUTED_VALUE"""),"ERROR DE ID")</f>
        <v>ERROR DE ID</v>
      </c>
      <c r="E3131" s="36"/>
      <c r="F3131" s="36"/>
      <c r="G3131" s="36"/>
      <c r="H3131" s="36"/>
    </row>
    <row r="3132">
      <c r="A3132" s="36"/>
      <c r="B3132" s="36" t="str">
        <f>IFERROR(__xludf.DUMMYFUNCTION("""COMPUTED_VALUE"""),"LATITUD")</f>
        <v>LATITUD</v>
      </c>
      <c r="C3132" s="36" t="str">
        <f>IFERROR(__xludf.DUMMYFUNCTION("""COMPUTED_VALUE"""),"LONGITUD")</f>
        <v>LONGITUD</v>
      </c>
      <c r="D3132" s="36" t="str">
        <f>IFERROR(__xludf.DUMMYFUNCTION("""COMPUTED_VALUE"""),"ERROR DE ID")</f>
        <v>ERROR DE ID</v>
      </c>
      <c r="E3132" s="36"/>
      <c r="F3132" s="36"/>
      <c r="G3132" s="36"/>
      <c r="H3132" s="36"/>
    </row>
    <row r="3133">
      <c r="A3133" s="36"/>
      <c r="B3133" s="36" t="str">
        <f>IFERROR(__xludf.DUMMYFUNCTION("""COMPUTED_VALUE"""),"LATITUD")</f>
        <v>LATITUD</v>
      </c>
      <c r="C3133" s="36" t="str">
        <f>IFERROR(__xludf.DUMMYFUNCTION("""COMPUTED_VALUE"""),"LONGITUD")</f>
        <v>LONGITUD</v>
      </c>
      <c r="D3133" s="36" t="str">
        <f>IFERROR(__xludf.DUMMYFUNCTION("""COMPUTED_VALUE"""),"ERROR DE ID")</f>
        <v>ERROR DE ID</v>
      </c>
      <c r="E3133" s="36"/>
      <c r="F3133" s="36"/>
      <c r="G3133" s="36"/>
      <c r="H3133" s="36"/>
    </row>
    <row r="3134">
      <c r="A3134" s="36"/>
      <c r="B3134" s="36" t="str">
        <f>IFERROR(__xludf.DUMMYFUNCTION("""COMPUTED_VALUE"""),"LATITUD")</f>
        <v>LATITUD</v>
      </c>
      <c r="C3134" s="36" t="str">
        <f>IFERROR(__xludf.DUMMYFUNCTION("""COMPUTED_VALUE"""),"LONGITUD")</f>
        <v>LONGITUD</v>
      </c>
      <c r="D3134" s="36" t="str">
        <f>IFERROR(__xludf.DUMMYFUNCTION("""COMPUTED_VALUE"""),"ERROR DE ID")</f>
        <v>ERROR DE ID</v>
      </c>
      <c r="E3134" s="36"/>
      <c r="F3134" s="36"/>
      <c r="G3134" s="36"/>
      <c r="H3134" s="36"/>
    </row>
    <row r="3135">
      <c r="A3135" s="36"/>
      <c r="B3135" s="36" t="str">
        <f>IFERROR(__xludf.DUMMYFUNCTION("""COMPUTED_VALUE"""),"LATITUD")</f>
        <v>LATITUD</v>
      </c>
      <c r="C3135" s="36" t="str">
        <f>IFERROR(__xludf.DUMMYFUNCTION("""COMPUTED_VALUE"""),"LONGITUD")</f>
        <v>LONGITUD</v>
      </c>
      <c r="D3135" s="36" t="str">
        <f>IFERROR(__xludf.DUMMYFUNCTION("""COMPUTED_VALUE"""),"ERROR DE ID")</f>
        <v>ERROR DE ID</v>
      </c>
      <c r="E3135" s="36"/>
      <c r="F3135" s="36"/>
      <c r="G3135" s="36"/>
      <c r="H3135" s="36"/>
    </row>
    <row r="3136">
      <c r="A3136" s="36"/>
      <c r="B3136" s="36" t="str">
        <f>IFERROR(__xludf.DUMMYFUNCTION("""COMPUTED_VALUE"""),"LATITUD")</f>
        <v>LATITUD</v>
      </c>
      <c r="C3136" s="36" t="str">
        <f>IFERROR(__xludf.DUMMYFUNCTION("""COMPUTED_VALUE"""),"LONGITUD")</f>
        <v>LONGITUD</v>
      </c>
      <c r="D3136" s="36" t="str">
        <f>IFERROR(__xludf.DUMMYFUNCTION("""COMPUTED_VALUE"""),"ERROR DE ID")</f>
        <v>ERROR DE ID</v>
      </c>
      <c r="E3136" s="36"/>
      <c r="F3136" s="36"/>
      <c r="G3136" s="36"/>
      <c r="H3136" s="36"/>
    </row>
    <row r="3137">
      <c r="A3137" s="36"/>
      <c r="B3137" s="36" t="str">
        <f>IFERROR(__xludf.DUMMYFUNCTION("""COMPUTED_VALUE"""),"LATITUD")</f>
        <v>LATITUD</v>
      </c>
      <c r="C3137" s="36" t="str">
        <f>IFERROR(__xludf.DUMMYFUNCTION("""COMPUTED_VALUE"""),"LONGITUD")</f>
        <v>LONGITUD</v>
      </c>
      <c r="D3137" s="36" t="str">
        <f>IFERROR(__xludf.DUMMYFUNCTION("""COMPUTED_VALUE"""),"ERROR DE ID")</f>
        <v>ERROR DE ID</v>
      </c>
      <c r="E3137" s="36"/>
      <c r="F3137" s="36"/>
      <c r="G3137" s="36"/>
      <c r="H3137" s="36"/>
    </row>
    <row r="3138">
      <c r="A3138" s="36"/>
      <c r="B3138" s="36" t="str">
        <f>IFERROR(__xludf.DUMMYFUNCTION("""COMPUTED_VALUE"""),"LATITUD")</f>
        <v>LATITUD</v>
      </c>
      <c r="C3138" s="36" t="str">
        <f>IFERROR(__xludf.DUMMYFUNCTION("""COMPUTED_VALUE"""),"LONGITUD")</f>
        <v>LONGITUD</v>
      </c>
      <c r="D3138" s="36" t="str">
        <f>IFERROR(__xludf.DUMMYFUNCTION("""COMPUTED_VALUE"""),"ERROR DE ID")</f>
        <v>ERROR DE ID</v>
      </c>
      <c r="E3138" s="36"/>
      <c r="F3138" s="36"/>
      <c r="G3138" s="36"/>
      <c r="H3138" s="36"/>
    </row>
    <row r="3139">
      <c r="A3139" s="36"/>
      <c r="B3139" s="36" t="str">
        <f>IFERROR(__xludf.DUMMYFUNCTION("""COMPUTED_VALUE"""),"LATITUD")</f>
        <v>LATITUD</v>
      </c>
      <c r="C3139" s="36" t="str">
        <f>IFERROR(__xludf.DUMMYFUNCTION("""COMPUTED_VALUE"""),"LONGITUD")</f>
        <v>LONGITUD</v>
      </c>
      <c r="D3139" s="36" t="str">
        <f>IFERROR(__xludf.DUMMYFUNCTION("""COMPUTED_VALUE"""),"ERROR DE ID")</f>
        <v>ERROR DE ID</v>
      </c>
      <c r="E3139" s="36"/>
      <c r="F3139" s="36"/>
      <c r="G3139" s="36"/>
      <c r="H3139" s="36"/>
    </row>
    <row r="3140">
      <c r="A3140" s="36"/>
      <c r="B3140" s="36" t="str">
        <f>IFERROR(__xludf.DUMMYFUNCTION("""COMPUTED_VALUE"""),"LATITUD")</f>
        <v>LATITUD</v>
      </c>
      <c r="C3140" s="36" t="str">
        <f>IFERROR(__xludf.DUMMYFUNCTION("""COMPUTED_VALUE"""),"LONGITUD")</f>
        <v>LONGITUD</v>
      </c>
      <c r="D3140" s="36" t="str">
        <f>IFERROR(__xludf.DUMMYFUNCTION("""COMPUTED_VALUE"""),"ERROR DE ID")</f>
        <v>ERROR DE ID</v>
      </c>
      <c r="E3140" s="36"/>
      <c r="F3140" s="36"/>
      <c r="G3140" s="36"/>
      <c r="H3140" s="36"/>
    </row>
    <row r="3141">
      <c r="A3141" s="36"/>
      <c r="B3141" s="36" t="str">
        <f>IFERROR(__xludf.DUMMYFUNCTION("""COMPUTED_VALUE"""),"LATITUD")</f>
        <v>LATITUD</v>
      </c>
      <c r="C3141" s="36" t="str">
        <f>IFERROR(__xludf.DUMMYFUNCTION("""COMPUTED_VALUE"""),"LONGITUD")</f>
        <v>LONGITUD</v>
      </c>
      <c r="D3141" s="36" t="str">
        <f>IFERROR(__xludf.DUMMYFUNCTION("""COMPUTED_VALUE"""),"ERROR DE ID")</f>
        <v>ERROR DE ID</v>
      </c>
      <c r="E3141" s="36"/>
      <c r="F3141" s="36"/>
      <c r="G3141" s="36"/>
      <c r="H3141" s="36"/>
    </row>
    <row r="3142">
      <c r="A3142" s="36"/>
      <c r="B3142" s="36" t="str">
        <f>IFERROR(__xludf.DUMMYFUNCTION("""COMPUTED_VALUE"""),"LATITUD")</f>
        <v>LATITUD</v>
      </c>
      <c r="C3142" s="36" t="str">
        <f>IFERROR(__xludf.DUMMYFUNCTION("""COMPUTED_VALUE"""),"LONGITUD")</f>
        <v>LONGITUD</v>
      </c>
      <c r="D3142" s="36" t="str">
        <f>IFERROR(__xludf.DUMMYFUNCTION("""COMPUTED_VALUE"""),"ERROR DE ID")</f>
        <v>ERROR DE ID</v>
      </c>
      <c r="E3142" s="36"/>
      <c r="F3142" s="36"/>
      <c r="G3142" s="36"/>
      <c r="H3142" s="36"/>
    </row>
    <row r="3143">
      <c r="A3143" s="36"/>
      <c r="B3143" s="36" t="str">
        <f>IFERROR(__xludf.DUMMYFUNCTION("""COMPUTED_VALUE"""),"LATITUD")</f>
        <v>LATITUD</v>
      </c>
      <c r="C3143" s="36" t="str">
        <f>IFERROR(__xludf.DUMMYFUNCTION("""COMPUTED_VALUE"""),"LONGITUD")</f>
        <v>LONGITUD</v>
      </c>
      <c r="D3143" s="36" t="str">
        <f>IFERROR(__xludf.DUMMYFUNCTION("""COMPUTED_VALUE"""),"ERROR DE ID")</f>
        <v>ERROR DE ID</v>
      </c>
      <c r="E3143" s="36"/>
      <c r="F3143" s="36"/>
      <c r="G3143" s="36"/>
      <c r="H3143" s="36"/>
    </row>
    <row r="3144">
      <c r="A3144" s="36"/>
      <c r="B3144" s="36" t="str">
        <f>IFERROR(__xludf.DUMMYFUNCTION("""COMPUTED_VALUE"""),"LATITUD")</f>
        <v>LATITUD</v>
      </c>
      <c r="C3144" s="36" t="str">
        <f>IFERROR(__xludf.DUMMYFUNCTION("""COMPUTED_VALUE"""),"LONGITUD")</f>
        <v>LONGITUD</v>
      </c>
      <c r="D3144" s="36" t="str">
        <f>IFERROR(__xludf.DUMMYFUNCTION("""COMPUTED_VALUE"""),"ERROR DE ID")</f>
        <v>ERROR DE ID</v>
      </c>
      <c r="E3144" s="36"/>
      <c r="F3144" s="36"/>
      <c r="G3144" s="36"/>
      <c r="H3144" s="36"/>
    </row>
    <row r="3145">
      <c r="A3145" s="36"/>
      <c r="B3145" s="36" t="str">
        <f>IFERROR(__xludf.DUMMYFUNCTION("""COMPUTED_VALUE"""),"LATITUD")</f>
        <v>LATITUD</v>
      </c>
      <c r="C3145" s="36" t="str">
        <f>IFERROR(__xludf.DUMMYFUNCTION("""COMPUTED_VALUE"""),"LONGITUD")</f>
        <v>LONGITUD</v>
      </c>
      <c r="D3145" s="36" t="str">
        <f>IFERROR(__xludf.DUMMYFUNCTION("""COMPUTED_VALUE"""),"ERROR DE ID")</f>
        <v>ERROR DE ID</v>
      </c>
      <c r="E3145" s="36"/>
      <c r="F3145" s="36"/>
      <c r="G3145" s="36"/>
      <c r="H3145" s="36"/>
    </row>
    <row r="3146">
      <c r="A3146" s="36"/>
      <c r="B3146" s="36" t="str">
        <f>IFERROR(__xludf.DUMMYFUNCTION("""COMPUTED_VALUE"""),"LATITUD")</f>
        <v>LATITUD</v>
      </c>
      <c r="C3146" s="36" t="str">
        <f>IFERROR(__xludf.DUMMYFUNCTION("""COMPUTED_VALUE"""),"LONGITUD")</f>
        <v>LONGITUD</v>
      </c>
      <c r="D3146" s="36" t="str">
        <f>IFERROR(__xludf.DUMMYFUNCTION("""COMPUTED_VALUE"""),"ERROR DE ID")</f>
        <v>ERROR DE ID</v>
      </c>
      <c r="E3146" s="36"/>
      <c r="F3146" s="36"/>
      <c r="G3146" s="36"/>
      <c r="H3146" s="36"/>
    </row>
    <row r="3147">
      <c r="A3147" s="36"/>
      <c r="B3147" s="36" t="str">
        <f>IFERROR(__xludf.DUMMYFUNCTION("""COMPUTED_VALUE"""),"LATITUD")</f>
        <v>LATITUD</v>
      </c>
      <c r="C3147" s="36" t="str">
        <f>IFERROR(__xludf.DUMMYFUNCTION("""COMPUTED_VALUE"""),"LONGITUD")</f>
        <v>LONGITUD</v>
      </c>
      <c r="D3147" s="36" t="str">
        <f>IFERROR(__xludf.DUMMYFUNCTION("""COMPUTED_VALUE"""),"ERROR DE ID")</f>
        <v>ERROR DE ID</v>
      </c>
      <c r="E3147" s="36"/>
      <c r="F3147" s="36"/>
      <c r="G3147" s="36"/>
      <c r="H3147" s="36"/>
    </row>
    <row r="3148">
      <c r="A3148" s="36"/>
      <c r="B3148" s="36" t="str">
        <f>IFERROR(__xludf.DUMMYFUNCTION("""COMPUTED_VALUE"""),"LATITUD")</f>
        <v>LATITUD</v>
      </c>
      <c r="C3148" s="36" t="str">
        <f>IFERROR(__xludf.DUMMYFUNCTION("""COMPUTED_VALUE"""),"LONGITUD")</f>
        <v>LONGITUD</v>
      </c>
      <c r="D3148" s="36" t="str">
        <f>IFERROR(__xludf.DUMMYFUNCTION("""COMPUTED_VALUE"""),"ERROR DE ID")</f>
        <v>ERROR DE ID</v>
      </c>
      <c r="E3148" s="36"/>
      <c r="F3148" s="36"/>
      <c r="G3148" s="36"/>
      <c r="H3148" s="36"/>
    </row>
    <row r="3149">
      <c r="A3149" s="36"/>
      <c r="B3149" s="36" t="str">
        <f>IFERROR(__xludf.DUMMYFUNCTION("""COMPUTED_VALUE"""),"LATITUD")</f>
        <v>LATITUD</v>
      </c>
      <c r="C3149" s="36" t="str">
        <f>IFERROR(__xludf.DUMMYFUNCTION("""COMPUTED_VALUE"""),"LONGITUD")</f>
        <v>LONGITUD</v>
      </c>
      <c r="D3149" s="36" t="str">
        <f>IFERROR(__xludf.DUMMYFUNCTION("""COMPUTED_VALUE"""),"ERROR DE ID")</f>
        <v>ERROR DE ID</v>
      </c>
      <c r="E3149" s="36"/>
      <c r="F3149" s="36"/>
      <c r="G3149" s="36"/>
      <c r="H3149" s="36"/>
    </row>
    <row r="3150">
      <c r="A3150" s="36"/>
      <c r="B3150" s="36" t="str">
        <f>IFERROR(__xludf.DUMMYFUNCTION("""COMPUTED_VALUE"""),"LATITUD")</f>
        <v>LATITUD</v>
      </c>
      <c r="C3150" s="36" t="str">
        <f>IFERROR(__xludf.DUMMYFUNCTION("""COMPUTED_VALUE"""),"LONGITUD")</f>
        <v>LONGITUD</v>
      </c>
      <c r="D3150" s="36" t="str">
        <f>IFERROR(__xludf.DUMMYFUNCTION("""COMPUTED_VALUE"""),"ERROR DE ID")</f>
        <v>ERROR DE ID</v>
      </c>
      <c r="E3150" s="36"/>
      <c r="F3150" s="36"/>
      <c r="G3150" s="36"/>
      <c r="H3150" s="36"/>
    </row>
    <row r="3151">
      <c r="A3151" s="36"/>
      <c r="B3151" s="36" t="str">
        <f>IFERROR(__xludf.DUMMYFUNCTION("""COMPUTED_VALUE"""),"LATITUD")</f>
        <v>LATITUD</v>
      </c>
      <c r="C3151" s="36" t="str">
        <f>IFERROR(__xludf.DUMMYFUNCTION("""COMPUTED_VALUE"""),"LONGITUD")</f>
        <v>LONGITUD</v>
      </c>
      <c r="D3151" s="36" t="str">
        <f>IFERROR(__xludf.DUMMYFUNCTION("""COMPUTED_VALUE"""),"ERROR DE ID")</f>
        <v>ERROR DE ID</v>
      </c>
      <c r="E3151" s="36"/>
      <c r="F3151" s="36"/>
      <c r="G3151" s="36"/>
      <c r="H3151" s="36"/>
    </row>
    <row r="3152">
      <c r="A3152" s="36"/>
      <c r="B3152" s="36" t="str">
        <f>IFERROR(__xludf.DUMMYFUNCTION("""COMPUTED_VALUE"""),"LATITUD")</f>
        <v>LATITUD</v>
      </c>
      <c r="C3152" s="36" t="str">
        <f>IFERROR(__xludf.DUMMYFUNCTION("""COMPUTED_VALUE"""),"LONGITUD")</f>
        <v>LONGITUD</v>
      </c>
      <c r="D3152" s="36" t="str">
        <f>IFERROR(__xludf.DUMMYFUNCTION("""COMPUTED_VALUE"""),"ERROR DE ID")</f>
        <v>ERROR DE ID</v>
      </c>
      <c r="E3152" s="36"/>
      <c r="F3152" s="36"/>
      <c r="G3152" s="36"/>
      <c r="H3152" s="36"/>
    </row>
    <row r="3153">
      <c r="A3153" s="36"/>
      <c r="B3153" s="36" t="str">
        <f>IFERROR(__xludf.DUMMYFUNCTION("""COMPUTED_VALUE"""),"LATITUD")</f>
        <v>LATITUD</v>
      </c>
      <c r="C3153" s="36" t="str">
        <f>IFERROR(__xludf.DUMMYFUNCTION("""COMPUTED_VALUE"""),"LONGITUD")</f>
        <v>LONGITUD</v>
      </c>
      <c r="D3153" s="36" t="str">
        <f>IFERROR(__xludf.DUMMYFUNCTION("""COMPUTED_VALUE"""),"ERROR DE ID")</f>
        <v>ERROR DE ID</v>
      </c>
      <c r="E3153" s="36"/>
      <c r="F3153" s="36"/>
      <c r="G3153" s="36"/>
      <c r="H3153" s="36"/>
    </row>
    <row r="3154">
      <c r="A3154" s="36"/>
      <c r="B3154" s="36" t="str">
        <f>IFERROR(__xludf.DUMMYFUNCTION("""COMPUTED_VALUE"""),"LATITUD")</f>
        <v>LATITUD</v>
      </c>
      <c r="C3154" s="36" t="str">
        <f>IFERROR(__xludf.DUMMYFUNCTION("""COMPUTED_VALUE"""),"LONGITUD")</f>
        <v>LONGITUD</v>
      </c>
      <c r="D3154" s="36" t="str">
        <f>IFERROR(__xludf.DUMMYFUNCTION("""COMPUTED_VALUE"""),"ERROR DE ID")</f>
        <v>ERROR DE ID</v>
      </c>
      <c r="E3154" s="36"/>
      <c r="F3154" s="36"/>
      <c r="G3154" s="36"/>
      <c r="H3154" s="36"/>
    </row>
    <row r="3155">
      <c r="A3155" s="36"/>
      <c r="B3155" s="36" t="str">
        <f>IFERROR(__xludf.DUMMYFUNCTION("""COMPUTED_VALUE"""),"LATITUD")</f>
        <v>LATITUD</v>
      </c>
      <c r="C3155" s="36" t="str">
        <f>IFERROR(__xludf.DUMMYFUNCTION("""COMPUTED_VALUE"""),"LONGITUD")</f>
        <v>LONGITUD</v>
      </c>
      <c r="D3155" s="36" t="str">
        <f>IFERROR(__xludf.DUMMYFUNCTION("""COMPUTED_VALUE"""),"ERROR DE ID")</f>
        <v>ERROR DE ID</v>
      </c>
      <c r="E3155" s="36"/>
      <c r="F3155" s="36"/>
      <c r="G3155" s="36"/>
      <c r="H3155" s="36"/>
    </row>
    <row r="3156">
      <c r="A3156" s="36"/>
      <c r="B3156" s="36" t="str">
        <f>IFERROR(__xludf.DUMMYFUNCTION("""COMPUTED_VALUE"""),"LATITUD")</f>
        <v>LATITUD</v>
      </c>
      <c r="C3156" s="36" t="str">
        <f>IFERROR(__xludf.DUMMYFUNCTION("""COMPUTED_VALUE"""),"LONGITUD")</f>
        <v>LONGITUD</v>
      </c>
      <c r="D3156" s="36" t="str">
        <f>IFERROR(__xludf.DUMMYFUNCTION("""COMPUTED_VALUE"""),"ERROR DE ID")</f>
        <v>ERROR DE ID</v>
      </c>
      <c r="E3156" s="36"/>
      <c r="F3156" s="36"/>
      <c r="G3156" s="36"/>
      <c r="H3156" s="36"/>
    </row>
    <row r="3157">
      <c r="A3157" s="36"/>
      <c r="B3157" s="36" t="str">
        <f>IFERROR(__xludf.DUMMYFUNCTION("""COMPUTED_VALUE"""),"LATITUD")</f>
        <v>LATITUD</v>
      </c>
      <c r="C3157" s="36" t="str">
        <f>IFERROR(__xludf.DUMMYFUNCTION("""COMPUTED_VALUE"""),"LONGITUD")</f>
        <v>LONGITUD</v>
      </c>
      <c r="D3157" s="36" t="str">
        <f>IFERROR(__xludf.DUMMYFUNCTION("""COMPUTED_VALUE"""),"ERROR DE ID")</f>
        <v>ERROR DE ID</v>
      </c>
      <c r="E3157" s="36"/>
      <c r="F3157" s="36"/>
      <c r="G3157" s="36"/>
      <c r="H3157" s="36"/>
    </row>
    <row r="3158">
      <c r="A3158" s="36"/>
      <c r="B3158" s="36" t="str">
        <f>IFERROR(__xludf.DUMMYFUNCTION("""COMPUTED_VALUE"""),"LATITUD")</f>
        <v>LATITUD</v>
      </c>
      <c r="C3158" s="36" t="str">
        <f>IFERROR(__xludf.DUMMYFUNCTION("""COMPUTED_VALUE"""),"LONGITUD")</f>
        <v>LONGITUD</v>
      </c>
      <c r="D3158" s="36" t="str">
        <f>IFERROR(__xludf.DUMMYFUNCTION("""COMPUTED_VALUE"""),"ERROR DE ID")</f>
        <v>ERROR DE ID</v>
      </c>
      <c r="E3158" s="36"/>
      <c r="F3158" s="36"/>
      <c r="G3158" s="36"/>
      <c r="H3158" s="36"/>
    </row>
    <row r="3159">
      <c r="A3159" s="36"/>
      <c r="B3159" s="36" t="str">
        <f>IFERROR(__xludf.DUMMYFUNCTION("""COMPUTED_VALUE"""),"LATITUD")</f>
        <v>LATITUD</v>
      </c>
      <c r="C3159" s="36" t="str">
        <f>IFERROR(__xludf.DUMMYFUNCTION("""COMPUTED_VALUE"""),"LONGITUD")</f>
        <v>LONGITUD</v>
      </c>
      <c r="D3159" s="36" t="str">
        <f>IFERROR(__xludf.DUMMYFUNCTION("""COMPUTED_VALUE"""),"ERROR DE ID")</f>
        <v>ERROR DE ID</v>
      </c>
      <c r="E3159" s="36"/>
      <c r="F3159" s="36"/>
      <c r="G3159" s="36"/>
      <c r="H3159" s="36"/>
    </row>
    <row r="3160">
      <c r="A3160" s="36"/>
      <c r="B3160" s="36" t="str">
        <f>IFERROR(__xludf.DUMMYFUNCTION("""COMPUTED_VALUE"""),"LATITUD")</f>
        <v>LATITUD</v>
      </c>
      <c r="C3160" s="36" t="str">
        <f>IFERROR(__xludf.DUMMYFUNCTION("""COMPUTED_VALUE"""),"LONGITUD")</f>
        <v>LONGITUD</v>
      </c>
      <c r="D3160" s="36" t="str">
        <f>IFERROR(__xludf.DUMMYFUNCTION("""COMPUTED_VALUE"""),"ERROR DE ID")</f>
        <v>ERROR DE ID</v>
      </c>
      <c r="E3160" s="36"/>
      <c r="F3160" s="36"/>
      <c r="G3160" s="36"/>
      <c r="H3160" s="36"/>
    </row>
    <row r="3161">
      <c r="A3161" s="36"/>
      <c r="B3161" s="36" t="str">
        <f>IFERROR(__xludf.DUMMYFUNCTION("""COMPUTED_VALUE"""),"LATITUD")</f>
        <v>LATITUD</v>
      </c>
      <c r="C3161" s="36" t="str">
        <f>IFERROR(__xludf.DUMMYFUNCTION("""COMPUTED_VALUE"""),"LONGITUD")</f>
        <v>LONGITUD</v>
      </c>
      <c r="D3161" s="36" t="str">
        <f>IFERROR(__xludf.DUMMYFUNCTION("""COMPUTED_VALUE"""),"ERROR DE ID")</f>
        <v>ERROR DE ID</v>
      </c>
      <c r="E3161" s="36"/>
      <c r="F3161" s="36"/>
      <c r="G3161" s="36"/>
      <c r="H3161" s="36"/>
    </row>
    <row r="3162">
      <c r="A3162" s="36"/>
      <c r="B3162" s="36" t="str">
        <f>IFERROR(__xludf.DUMMYFUNCTION("""COMPUTED_VALUE"""),"LATITUD")</f>
        <v>LATITUD</v>
      </c>
      <c r="C3162" s="36" t="str">
        <f>IFERROR(__xludf.DUMMYFUNCTION("""COMPUTED_VALUE"""),"LONGITUD")</f>
        <v>LONGITUD</v>
      </c>
      <c r="D3162" s="36" t="str">
        <f>IFERROR(__xludf.DUMMYFUNCTION("""COMPUTED_VALUE"""),"ERROR DE ID")</f>
        <v>ERROR DE ID</v>
      </c>
      <c r="E3162" s="36"/>
      <c r="F3162" s="36"/>
      <c r="G3162" s="36"/>
      <c r="H3162" s="36"/>
    </row>
    <row r="3163">
      <c r="A3163" s="36"/>
      <c r="B3163" s="36" t="str">
        <f>IFERROR(__xludf.DUMMYFUNCTION("""COMPUTED_VALUE"""),"LATITUD")</f>
        <v>LATITUD</v>
      </c>
      <c r="C3163" s="36" t="str">
        <f>IFERROR(__xludf.DUMMYFUNCTION("""COMPUTED_VALUE"""),"LONGITUD")</f>
        <v>LONGITUD</v>
      </c>
      <c r="D3163" s="36" t="str">
        <f>IFERROR(__xludf.DUMMYFUNCTION("""COMPUTED_VALUE"""),"ERROR DE ID")</f>
        <v>ERROR DE ID</v>
      </c>
      <c r="E3163" s="36"/>
      <c r="F3163" s="36"/>
      <c r="G3163" s="36"/>
      <c r="H3163" s="36"/>
    </row>
    <row r="3164">
      <c r="A3164" s="36"/>
      <c r="B3164" s="36" t="str">
        <f>IFERROR(__xludf.DUMMYFUNCTION("""COMPUTED_VALUE"""),"LATITUD")</f>
        <v>LATITUD</v>
      </c>
      <c r="C3164" s="36" t="str">
        <f>IFERROR(__xludf.DUMMYFUNCTION("""COMPUTED_VALUE"""),"LONGITUD")</f>
        <v>LONGITUD</v>
      </c>
      <c r="D3164" s="36" t="str">
        <f>IFERROR(__xludf.DUMMYFUNCTION("""COMPUTED_VALUE"""),"ERROR DE ID")</f>
        <v>ERROR DE ID</v>
      </c>
      <c r="E3164" s="36"/>
      <c r="F3164" s="36"/>
      <c r="G3164" s="36"/>
      <c r="H3164" s="36"/>
    </row>
    <row r="3165">
      <c r="A3165" s="36"/>
      <c r="B3165" s="36" t="str">
        <f>IFERROR(__xludf.DUMMYFUNCTION("""COMPUTED_VALUE"""),"LATITUD")</f>
        <v>LATITUD</v>
      </c>
      <c r="C3165" s="36" t="str">
        <f>IFERROR(__xludf.DUMMYFUNCTION("""COMPUTED_VALUE"""),"LONGITUD")</f>
        <v>LONGITUD</v>
      </c>
      <c r="D3165" s="36" t="str">
        <f>IFERROR(__xludf.DUMMYFUNCTION("""COMPUTED_VALUE"""),"ERROR DE ID")</f>
        <v>ERROR DE ID</v>
      </c>
      <c r="E3165" s="36"/>
      <c r="F3165" s="36"/>
      <c r="G3165" s="36"/>
      <c r="H3165" s="36"/>
    </row>
    <row r="3166">
      <c r="A3166" s="36"/>
      <c r="B3166" s="36" t="str">
        <f>IFERROR(__xludf.DUMMYFUNCTION("""COMPUTED_VALUE"""),"LATITUD")</f>
        <v>LATITUD</v>
      </c>
      <c r="C3166" s="36" t="str">
        <f>IFERROR(__xludf.DUMMYFUNCTION("""COMPUTED_VALUE"""),"LONGITUD")</f>
        <v>LONGITUD</v>
      </c>
      <c r="D3166" s="36" t="str">
        <f>IFERROR(__xludf.DUMMYFUNCTION("""COMPUTED_VALUE"""),"ERROR DE ID")</f>
        <v>ERROR DE ID</v>
      </c>
      <c r="E3166" s="36"/>
      <c r="F3166" s="36"/>
      <c r="G3166" s="36"/>
      <c r="H3166" s="36"/>
    </row>
    <row r="3167">
      <c r="A3167" s="36"/>
      <c r="B3167" s="36" t="str">
        <f>IFERROR(__xludf.DUMMYFUNCTION("""COMPUTED_VALUE"""),"LATITUD")</f>
        <v>LATITUD</v>
      </c>
      <c r="C3167" s="36" t="str">
        <f>IFERROR(__xludf.DUMMYFUNCTION("""COMPUTED_VALUE"""),"LONGITUD")</f>
        <v>LONGITUD</v>
      </c>
      <c r="D3167" s="36" t="str">
        <f>IFERROR(__xludf.DUMMYFUNCTION("""COMPUTED_VALUE"""),"ERROR DE ID")</f>
        <v>ERROR DE ID</v>
      </c>
      <c r="E3167" s="36"/>
      <c r="F3167" s="36"/>
      <c r="G3167" s="36"/>
      <c r="H3167" s="36"/>
    </row>
    <row r="3168">
      <c r="A3168" s="36"/>
      <c r="B3168" s="36" t="str">
        <f>IFERROR(__xludf.DUMMYFUNCTION("""COMPUTED_VALUE"""),"LATITUD")</f>
        <v>LATITUD</v>
      </c>
      <c r="C3168" s="36" t="str">
        <f>IFERROR(__xludf.DUMMYFUNCTION("""COMPUTED_VALUE"""),"LONGITUD")</f>
        <v>LONGITUD</v>
      </c>
      <c r="D3168" s="36" t="str">
        <f>IFERROR(__xludf.DUMMYFUNCTION("""COMPUTED_VALUE"""),"ERROR DE ID")</f>
        <v>ERROR DE ID</v>
      </c>
      <c r="E3168" s="36"/>
      <c r="F3168" s="36"/>
      <c r="G3168" s="36"/>
      <c r="H3168" s="36"/>
    </row>
    <row r="3169">
      <c r="A3169" s="36"/>
      <c r="B3169" s="36" t="str">
        <f>IFERROR(__xludf.DUMMYFUNCTION("""COMPUTED_VALUE"""),"LATITUD")</f>
        <v>LATITUD</v>
      </c>
      <c r="C3169" s="36" t="str">
        <f>IFERROR(__xludf.DUMMYFUNCTION("""COMPUTED_VALUE"""),"LONGITUD")</f>
        <v>LONGITUD</v>
      </c>
      <c r="D3169" s="36" t="str">
        <f>IFERROR(__xludf.DUMMYFUNCTION("""COMPUTED_VALUE"""),"ERROR DE ID")</f>
        <v>ERROR DE ID</v>
      </c>
      <c r="E3169" s="36"/>
      <c r="F3169" s="36"/>
      <c r="G3169" s="36"/>
      <c r="H3169" s="36"/>
    </row>
    <row r="3170">
      <c r="A3170" s="36"/>
      <c r="B3170" s="36" t="str">
        <f>IFERROR(__xludf.DUMMYFUNCTION("""COMPUTED_VALUE"""),"LATITUD")</f>
        <v>LATITUD</v>
      </c>
      <c r="C3170" s="36" t="str">
        <f>IFERROR(__xludf.DUMMYFUNCTION("""COMPUTED_VALUE"""),"LONGITUD")</f>
        <v>LONGITUD</v>
      </c>
      <c r="D3170" s="36" t="str">
        <f>IFERROR(__xludf.DUMMYFUNCTION("""COMPUTED_VALUE"""),"ERROR DE ID")</f>
        <v>ERROR DE ID</v>
      </c>
      <c r="E3170" s="36"/>
      <c r="F3170" s="36"/>
      <c r="G3170" s="36"/>
      <c r="H3170" s="36"/>
    </row>
    <row r="3171">
      <c r="A3171" s="36"/>
      <c r="B3171" s="36" t="str">
        <f>IFERROR(__xludf.DUMMYFUNCTION("""COMPUTED_VALUE"""),"LATITUD")</f>
        <v>LATITUD</v>
      </c>
      <c r="C3171" s="36" t="str">
        <f>IFERROR(__xludf.DUMMYFUNCTION("""COMPUTED_VALUE"""),"LONGITUD")</f>
        <v>LONGITUD</v>
      </c>
      <c r="D3171" s="36" t="str">
        <f>IFERROR(__xludf.DUMMYFUNCTION("""COMPUTED_VALUE"""),"ERROR DE ID")</f>
        <v>ERROR DE ID</v>
      </c>
      <c r="E3171" s="36"/>
      <c r="F3171" s="36"/>
      <c r="G3171" s="36"/>
      <c r="H3171" s="36"/>
    </row>
    <row r="3172">
      <c r="A3172" s="36"/>
      <c r="B3172" s="36" t="str">
        <f>IFERROR(__xludf.DUMMYFUNCTION("""COMPUTED_VALUE"""),"LATITUD")</f>
        <v>LATITUD</v>
      </c>
      <c r="C3172" s="36" t="str">
        <f>IFERROR(__xludf.DUMMYFUNCTION("""COMPUTED_VALUE"""),"LONGITUD")</f>
        <v>LONGITUD</v>
      </c>
      <c r="D3172" s="36" t="str">
        <f>IFERROR(__xludf.DUMMYFUNCTION("""COMPUTED_VALUE"""),"ERROR DE ID")</f>
        <v>ERROR DE ID</v>
      </c>
      <c r="E3172" s="36"/>
      <c r="F3172" s="36"/>
      <c r="G3172" s="36"/>
      <c r="H3172" s="36"/>
    </row>
    <row r="3173">
      <c r="A3173" s="36"/>
      <c r="B3173" s="36" t="str">
        <f>IFERROR(__xludf.DUMMYFUNCTION("""COMPUTED_VALUE"""),"LATITUD")</f>
        <v>LATITUD</v>
      </c>
      <c r="C3173" s="36" t="str">
        <f>IFERROR(__xludf.DUMMYFUNCTION("""COMPUTED_VALUE"""),"LONGITUD")</f>
        <v>LONGITUD</v>
      </c>
      <c r="D3173" s="36" t="str">
        <f>IFERROR(__xludf.DUMMYFUNCTION("""COMPUTED_VALUE"""),"ERROR DE ID")</f>
        <v>ERROR DE ID</v>
      </c>
      <c r="E3173" s="36"/>
      <c r="F3173" s="36"/>
      <c r="G3173" s="36"/>
      <c r="H3173" s="36"/>
    </row>
    <row r="3174">
      <c r="A3174" s="36"/>
      <c r="B3174" s="36" t="str">
        <f>IFERROR(__xludf.DUMMYFUNCTION("""COMPUTED_VALUE"""),"LATITUD")</f>
        <v>LATITUD</v>
      </c>
      <c r="C3174" s="36" t="str">
        <f>IFERROR(__xludf.DUMMYFUNCTION("""COMPUTED_VALUE"""),"LONGITUD")</f>
        <v>LONGITUD</v>
      </c>
      <c r="D3174" s="36" t="str">
        <f>IFERROR(__xludf.DUMMYFUNCTION("""COMPUTED_VALUE"""),"ERROR DE ID")</f>
        <v>ERROR DE ID</v>
      </c>
      <c r="E3174" s="36"/>
      <c r="F3174" s="36"/>
      <c r="G3174" s="36"/>
      <c r="H3174" s="36"/>
    </row>
    <row r="3175">
      <c r="A3175" s="36"/>
      <c r="B3175" s="36" t="str">
        <f>IFERROR(__xludf.DUMMYFUNCTION("""COMPUTED_VALUE"""),"LATITUD")</f>
        <v>LATITUD</v>
      </c>
      <c r="C3175" s="36" t="str">
        <f>IFERROR(__xludf.DUMMYFUNCTION("""COMPUTED_VALUE"""),"LONGITUD")</f>
        <v>LONGITUD</v>
      </c>
      <c r="D3175" s="36" t="str">
        <f>IFERROR(__xludf.DUMMYFUNCTION("""COMPUTED_VALUE"""),"ERROR DE ID")</f>
        <v>ERROR DE ID</v>
      </c>
      <c r="E3175" s="36"/>
      <c r="F3175" s="36"/>
      <c r="G3175" s="36"/>
      <c r="H3175" s="36"/>
    </row>
    <row r="3176">
      <c r="A3176" s="36"/>
      <c r="B3176" s="36" t="str">
        <f>IFERROR(__xludf.DUMMYFUNCTION("""COMPUTED_VALUE"""),"LATITUD")</f>
        <v>LATITUD</v>
      </c>
      <c r="C3176" s="36" t="str">
        <f>IFERROR(__xludf.DUMMYFUNCTION("""COMPUTED_VALUE"""),"LONGITUD")</f>
        <v>LONGITUD</v>
      </c>
      <c r="D3176" s="36" t="str">
        <f>IFERROR(__xludf.DUMMYFUNCTION("""COMPUTED_VALUE"""),"ERROR DE ID")</f>
        <v>ERROR DE ID</v>
      </c>
      <c r="E3176" s="36"/>
      <c r="F3176" s="36"/>
      <c r="G3176" s="36"/>
      <c r="H3176" s="36"/>
    </row>
    <row r="3177">
      <c r="A3177" s="36"/>
      <c r="B3177" s="36" t="str">
        <f>IFERROR(__xludf.DUMMYFUNCTION("""COMPUTED_VALUE"""),"LATITUD")</f>
        <v>LATITUD</v>
      </c>
      <c r="C3177" s="36" t="str">
        <f>IFERROR(__xludf.DUMMYFUNCTION("""COMPUTED_VALUE"""),"LONGITUD")</f>
        <v>LONGITUD</v>
      </c>
      <c r="D3177" s="36" t="str">
        <f>IFERROR(__xludf.DUMMYFUNCTION("""COMPUTED_VALUE"""),"ERROR DE ID")</f>
        <v>ERROR DE ID</v>
      </c>
      <c r="E3177" s="36"/>
      <c r="F3177" s="36"/>
      <c r="G3177" s="36"/>
      <c r="H3177" s="36"/>
    </row>
    <row r="3178">
      <c r="A3178" s="36"/>
      <c r="B3178" s="36" t="str">
        <f>IFERROR(__xludf.DUMMYFUNCTION("""COMPUTED_VALUE"""),"LATITUD")</f>
        <v>LATITUD</v>
      </c>
      <c r="C3178" s="36" t="str">
        <f>IFERROR(__xludf.DUMMYFUNCTION("""COMPUTED_VALUE"""),"LONGITUD")</f>
        <v>LONGITUD</v>
      </c>
      <c r="D3178" s="36" t="str">
        <f>IFERROR(__xludf.DUMMYFUNCTION("""COMPUTED_VALUE"""),"ERROR DE ID")</f>
        <v>ERROR DE ID</v>
      </c>
      <c r="E3178" s="36"/>
      <c r="F3178" s="36"/>
      <c r="G3178" s="36"/>
      <c r="H3178" s="36"/>
    </row>
    <row r="3179">
      <c r="A3179" s="36"/>
      <c r="B3179" s="36" t="str">
        <f>IFERROR(__xludf.DUMMYFUNCTION("""COMPUTED_VALUE"""),"LATITUD")</f>
        <v>LATITUD</v>
      </c>
      <c r="C3179" s="36" t="str">
        <f>IFERROR(__xludf.DUMMYFUNCTION("""COMPUTED_VALUE"""),"LONGITUD")</f>
        <v>LONGITUD</v>
      </c>
      <c r="D3179" s="36" t="str">
        <f>IFERROR(__xludf.DUMMYFUNCTION("""COMPUTED_VALUE"""),"ERROR DE ID")</f>
        <v>ERROR DE ID</v>
      </c>
      <c r="E3179" s="36"/>
      <c r="F3179" s="36"/>
      <c r="G3179" s="36"/>
      <c r="H3179" s="36"/>
    </row>
    <row r="3180">
      <c r="A3180" s="36"/>
      <c r="B3180" s="36" t="str">
        <f>IFERROR(__xludf.DUMMYFUNCTION("""COMPUTED_VALUE"""),"LATITUD")</f>
        <v>LATITUD</v>
      </c>
      <c r="C3180" s="36" t="str">
        <f>IFERROR(__xludf.DUMMYFUNCTION("""COMPUTED_VALUE"""),"LONGITUD")</f>
        <v>LONGITUD</v>
      </c>
      <c r="D3180" s="36" t="str">
        <f>IFERROR(__xludf.DUMMYFUNCTION("""COMPUTED_VALUE"""),"ERROR DE ID")</f>
        <v>ERROR DE ID</v>
      </c>
      <c r="E3180" s="36"/>
      <c r="F3180" s="36"/>
      <c r="G3180" s="36"/>
      <c r="H3180" s="36"/>
    </row>
    <row r="3181">
      <c r="A3181" s="36"/>
      <c r="B3181" s="36" t="str">
        <f>IFERROR(__xludf.DUMMYFUNCTION("""COMPUTED_VALUE"""),"LATITUD")</f>
        <v>LATITUD</v>
      </c>
      <c r="C3181" s="36" t="str">
        <f>IFERROR(__xludf.DUMMYFUNCTION("""COMPUTED_VALUE"""),"LONGITUD")</f>
        <v>LONGITUD</v>
      </c>
      <c r="D3181" s="36" t="str">
        <f>IFERROR(__xludf.DUMMYFUNCTION("""COMPUTED_VALUE"""),"ERROR DE ID")</f>
        <v>ERROR DE ID</v>
      </c>
      <c r="E3181" s="36"/>
      <c r="F3181" s="36"/>
      <c r="G3181" s="36"/>
      <c r="H3181" s="36"/>
    </row>
    <row r="3182">
      <c r="A3182" s="36"/>
      <c r="B3182" s="36" t="str">
        <f>IFERROR(__xludf.DUMMYFUNCTION("""COMPUTED_VALUE"""),"LATITUD")</f>
        <v>LATITUD</v>
      </c>
      <c r="C3182" s="36" t="str">
        <f>IFERROR(__xludf.DUMMYFUNCTION("""COMPUTED_VALUE"""),"LONGITUD")</f>
        <v>LONGITUD</v>
      </c>
      <c r="D3182" s="36" t="str">
        <f>IFERROR(__xludf.DUMMYFUNCTION("""COMPUTED_VALUE"""),"ERROR DE ID")</f>
        <v>ERROR DE ID</v>
      </c>
      <c r="E3182" s="36"/>
      <c r="F3182" s="36"/>
      <c r="G3182" s="36"/>
      <c r="H3182" s="36"/>
    </row>
    <row r="3183">
      <c r="A3183" s="36"/>
      <c r="B3183" s="36" t="str">
        <f>IFERROR(__xludf.DUMMYFUNCTION("""COMPUTED_VALUE"""),"LATITUD")</f>
        <v>LATITUD</v>
      </c>
      <c r="C3183" s="36" t="str">
        <f>IFERROR(__xludf.DUMMYFUNCTION("""COMPUTED_VALUE"""),"LONGITUD")</f>
        <v>LONGITUD</v>
      </c>
      <c r="D3183" s="36" t="str">
        <f>IFERROR(__xludf.DUMMYFUNCTION("""COMPUTED_VALUE"""),"ERROR DE ID")</f>
        <v>ERROR DE ID</v>
      </c>
      <c r="E3183" s="36"/>
      <c r="F3183" s="36"/>
      <c r="G3183" s="36"/>
      <c r="H3183" s="36"/>
    </row>
    <row r="3184">
      <c r="A3184" s="36"/>
      <c r="B3184" s="36" t="str">
        <f>IFERROR(__xludf.DUMMYFUNCTION("""COMPUTED_VALUE"""),"LATITUD")</f>
        <v>LATITUD</v>
      </c>
      <c r="C3184" s="36" t="str">
        <f>IFERROR(__xludf.DUMMYFUNCTION("""COMPUTED_VALUE"""),"LONGITUD")</f>
        <v>LONGITUD</v>
      </c>
      <c r="D3184" s="36" t="str">
        <f>IFERROR(__xludf.DUMMYFUNCTION("""COMPUTED_VALUE"""),"ERROR DE ID")</f>
        <v>ERROR DE ID</v>
      </c>
      <c r="E3184" s="36"/>
      <c r="F3184" s="36"/>
      <c r="G3184" s="36"/>
      <c r="H3184" s="36"/>
    </row>
    <row r="3185">
      <c r="A3185" s="36"/>
      <c r="B3185" s="36" t="str">
        <f>IFERROR(__xludf.DUMMYFUNCTION("""COMPUTED_VALUE"""),"LATITUD")</f>
        <v>LATITUD</v>
      </c>
      <c r="C3185" s="36" t="str">
        <f>IFERROR(__xludf.DUMMYFUNCTION("""COMPUTED_VALUE"""),"LONGITUD")</f>
        <v>LONGITUD</v>
      </c>
      <c r="D3185" s="36" t="str">
        <f>IFERROR(__xludf.DUMMYFUNCTION("""COMPUTED_VALUE"""),"ERROR DE ID")</f>
        <v>ERROR DE ID</v>
      </c>
      <c r="E3185" s="36"/>
      <c r="F3185" s="36"/>
      <c r="G3185" s="36"/>
      <c r="H3185" s="36"/>
    </row>
    <row r="3186">
      <c r="A3186" s="36"/>
      <c r="B3186" s="36" t="str">
        <f>IFERROR(__xludf.DUMMYFUNCTION("""COMPUTED_VALUE"""),"LATITUD")</f>
        <v>LATITUD</v>
      </c>
      <c r="C3186" s="36" t="str">
        <f>IFERROR(__xludf.DUMMYFUNCTION("""COMPUTED_VALUE"""),"LONGITUD")</f>
        <v>LONGITUD</v>
      </c>
      <c r="D3186" s="36" t="str">
        <f>IFERROR(__xludf.DUMMYFUNCTION("""COMPUTED_VALUE"""),"ERROR DE ID")</f>
        <v>ERROR DE ID</v>
      </c>
      <c r="E3186" s="36"/>
      <c r="F3186" s="36"/>
      <c r="G3186" s="36"/>
      <c r="H3186" s="36"/>
    </row>
    <row r="3187">
      <c r="A3187" s="36"/>
      <c r="B3187" s="36" t="str">
        <f>IFERROR(__xludf.DUMMYFUNCTION("""COMPUTED_VALUE"""),"LATITUD")</f>
        <v>LATITUD</v>
      </c>
      <c r="C3187" s="36" t="str">
        <f>IFERROR(__xludf.DUMMYFUNCTION("""COMPUTED_VALUE"""),"LONGITUD")</f>
        <v>LONGITUD</v>
      </c>
      <c r="D3187" s="36" t="str">
        <f>IFERROR(__xludf.DUMMYFUNCTION("""COMPUTED_VALUE"""),"ERROR DE ID")</f>
        <v>ERROR DE ID</v>
      </c>
      <c r="E3187" s="36"/>
      <c r="F3187" s="36"/>
      <c r="G3187" s="36"/>
      <c r="H3187" s="36"/>
    </row>
    <row r="3188">
      <c r="A3188" s="36"/>
      <c r="B3188" s="36" t="str">
        <f>IFERROR(__xludf.DUMMYFUNCTION("""COMPUTED_VALUE"""),"LATITUD")</f>
        <v>LATITUD</v>
      </c>
      <c r="C3188" s="36" t="str">
        <f>IFERROR(__xludf.DUMMYFUNCTION("""COMPUTED_VALUE"""),"LONGITUD")</f>
        <v>LONGITUD</v>
      </c>
      <c r="D3188" s="36" t="str">
        <f>IFERROR(__xludf.DUMMYFUNCTION("""COMPUTED_VALUE"""),"ERROR DE ID")</f>
        <v>ERROR DE ID</v>
      </c>
      <c r="E3188" s="36"/>
      <c r="F3188" s="36"/>
      <c r="G3188" s="36"/>
      <c r="H3188" s="36"/>
    </row>
    <row r="3189">
      <c r="A3189" s="36"/>
      <c r="B3189" s="36" t="str">
        <f>IFERROR(__xludf.DUMMYFUNCTION("""COMPUTED_VALUE"""),"LATITUD")</f>
        <v>LATITUD</v>
      </c>
      <c r="C3189" s="36" t="str">
        <f>IFERROR(__xludf.DUMMYFUNCTION("""COMPUTED_VALUE"""),"LONGITUD")</f>
        <v>LONGITUD</v>
      </c>
      <c r="D3189" s="36" t="str">
        <f>IFERROR(__xludf.DUMMYFUNCTION("""COMPUTED_VALUE"""),"ERROR DE ID")</f>
        <v>ERROR DE ID</v>
      </c>
      <c r="E3189" s="36"/>
      <c r="F3189" s="36"/>
      <c r="G3189" s="36"/>
      <c r="H3189" s="36"/>
    </row>
    <row r="3190">
      <c r="A3190" s="36"/>
      <c r="B3190" s="36" t="str">
        <f>IFERROR(__xludf.DUMMYFUNCTION("""COMPUTED_VALUE"""),"LATITUD")</f>
        <v>LATITUD</v>
      </c>
      <c r="C3190" s="36" t="str">
        <f>IFERROR(__xludf.DUMMYFUNCTION("""COMPUTED_VALUE"""),"LONGITUD")</f>
        <v>LONGITUD</v>
      </c>
      <c r="D3190" s="36" t="str">
        <f>IFERROR(__xludf.DUMMYFUNCTION("""COMPUTED_VALUE"""),"ERROR DE ID")</f>
        <v>ERROR DE ID</v>
      </c>
      <c r="E3190" s="36"/>
      <c r="F3190" s="36"/>
      <c r="G3190" s="36"/>
      <c r="H3190" s="36"/>
    </row>
    <row r="3191">
      <c r="A3191" s="36"/>
      <c r="B3191" s="36" t="str">
        <f>IFERROR(__xludf.DUMMYFUNCTION("""COMPUTED_VALUE"""),"LATITUD")</f>
        <v>LATITUD</v>
      </c>
      <c r="C3191" s="36" t="str">
        <f>IFERROR(__xludf.DUMMYFUNCTION("""COMPUTED_VALUE"""),"LONGITUD")</f>
        <v>LONGITUD</v>
      </c>
      <c r="D3191" s="36" t="str">
        <f>IFERROR(__xludf.DUMMYFUNCTION("""COMPUTED_VALUE"""),"ERROR DE ID")</f>
        <v>ERROR DE ID</v>
      </c>
      <c r="E3191" s="36"/>
      <c r="F3191" s="36"/>
      <c r="G3191" s="36"/>
      <c r="H3191" s="36"/>
    </row>
    <row r="3192">
      <c r="A3192" s="36"/>
      <c r="B3192" s="36" t="str">
        <f>IFERROR(__xludf.DUMMYFUNCTION("""COMPUTED_VALUE"""),"LATITUD")</f>
        <v>LATITUD</v>
      </c>
      <c r="C3192" s="36" t="str">
        <f>IFERROR(__xludf.DUMMYFUNCTION("""COMPUTED_VALUE"""),"LONGITUD")</f>
        <v>LONGITUD</v>
      </c>
      <c r="D3192" s="36" t="str">
        <f>IFERROR(__xludf.DUMMYFUNCTION("""COMPUTED_VALUE"""),"ERROR DE ID")</f>
        <v>ERROR DE ID</v>
      </c>
      <c r="E3192" s="36"/>
      <c r="F3192" s="36"/>
      <c r="G3192" s="36"/>
      <c r="H3192" s="36"/>
    </row>
    <row r="3193">
      <c r="A3193" s="36"/>
      <c r="B3193" s="36" t="str">
        <f>IFERROR(__xludf.DUMMYFUNCTION("""COMPUTED_VALUE"""),"LATITUD")</f>
        <v>LATITUD</v>
      </c>
      <c r="C3193" s="36" t="str">
        <f>IFERROR(__xludf.DUMMYFUNCTION("""COMPUTED_VALUE"""),"LONGITUD")</f>
        <v>LONGITUD</v>
      </c>
      <c r="D3193" s="36" t="str">
        <f>IFERROR(__xludf.DUMMYFUNCTION("""COMPUTED_VALUE"""),"ERROR DE ID")</f>
        <v>ERROR DE ID</v>
      </c>
      <c r="E3193" s="36"/>
      <c r="F3193" s="36"/>
      <c r="G3193" s="36"/>
      <c r="H3193" s="36"/>
    </row>
    <row r="3194">
      <c r="A3194" s="36"/>
      <c r="B3194" s="36" t="str">
        <f>IFERROR(__xludf.DUMMYFUNCTION("""COMPUTED_VALUE"""),"LATITUD")</f>
        <v>LATITUD</v>
      </c>
      <c r="C3194" s="36" t="str">
        <f>IFERROR(__xludf.DUMMYFUNCTION("""COMPUTED_VALUE"""),"LONGITUD")</f>
        <v>LONGITUD</v>
      </c>
      <c r="D3194" s="36" t="str">
        <f>IFERROR(__xludf.DUMMYFUNCTION("""COMPUTED_VALUE"""),"ERROR DE ID")</f>
        <v>ERROR DE ID</v>
      </c>
      <c r="E3194" s="36"/>
      <c r="F3194" s="36"/>
      <c r="G3194" s="36"/>
      <c r="H3194" s="36"/>
    </row>
    <row r="3195">
      <c r="A3195" s="36"/>
      <c r="B3195" s="36" t="str">
        <f>IFERROR(__xludf.DUMMYFUNCTION("""COMPUTED_VALUE"""),"LATITUD")</f>
        <v>LATITUD</v>
      </c>
      <c r="C3195" s="36" t="str">
        <f>IFERROR(__xludf.DUMMYFUNCTION("""COMPUTED_VALUE"""),"LONGITUD")</f>
        <v>LONGITUD</v>
      </c>
      <c r="D3195" s="36" t="str">
        <f>IFERROR(__xludf.DUMMYFUNCTION("""COMPUTED_VALUE"""),"ERROR DE ID")</f>
        <v>ERROR DE ID</v>
      </c>
      <c r="E3195" s="36"/>
      <c r="F3195" s="36"/>
      <c r="G3195" s="36"/>
      <c r="H3195" s="36"/>
    </row>
    <row r="3196">
      <c r="A3196" s="36"/>
      <c r="B3196" s="36" t="str">
        <f>IFERROR(__xludf.DUMMYFUNCTION("""COMPUTED_VALUE"""),"LATITUD")</f>
        <v>LATITUD</v>
      </c>
      <c r="C3196" s="36" t="str">
        <f>IFERROR(__xludf.DUMMYFUNCTION("""COMPUTED_VALUE"""),"LONGITUD")</f>
        <v>LONGITUD</v>
      </c>
      <c r="D3196" s="36" t="str">
        <f>IFERROR(__xludf.DUMMYFUNCTION("""COMPUTED_VALUE"""),"ERROR DE ID")</f>
        <v>ERROR DE ID</v>
      </c>
      <c r="E3196" s="36"/>
      <c r="F3196" s="36"/>
      <c r="G3196" s="36"/>
      <c r="H3196" s="36"/>
    </row>
    <row r="3197">
      <c r="A3197" s="36"/>
      <c r="B3197" s="36" t="str">
        <f>IFERROR(__xludf.DUMMYFUNCTION("""COMPUTED_VALUE"""),"LATITUD")</f>
        <v>LATITUD</v>
      </c>
      <c r="C3197" s="36" t="str">
        <f>IFERROR(__xludf.DUMMYFUNCTION("""COMPUTED_VALUE"""),"LONGITUD")</f>
        <v>LONGITUD</v>
      </c>
      <c r="D3197" s="36" t="str">
        <f>IFERROR(__xludf.DUMMYFUNCTION("""COMPUTED_VALUE"""),"ERROR DE ID")</f>
        <v>ERROR DE ID</v>
      </c>
      <c r="E3197" s="36"/>
      <c r="F3197" s="36"/>
      <c r="G3197" s="36"/>
      <c r="H3197" s="36"/>
    </row>
    <row r="3198">
      <c r="A3198" s="36"/>
      <c r="B3198" s="36" t="str">
        <f>IFERROR(__xludf.DUMMYFUNCTION("""COMPUTED_VALUE"""),"LATITUD")</f>
        <v>LATITUD</v>
      </c>
      <c r="C3198" s="36" t="str">
        <f>IFERROR(__xludf.DUMMYFUNCTION("""COMPUTED_VALUE"""),"LONGITUD")</f>
        <v>LONGITUD</v>
      </c>
      <c r="D3198" s="36" t="str">
        <f>IFERROR(__xludf.DUMMYFUNCTION("""COMPUTED_VALUE"""),"ERROR DE ID")</f>
        <v>ERROR DE ID</v>
      </c>
      <c r="E3198" s="36"/>
      <c r="F3198" s="36"/>
      <c r="G3198" s="36"/>
      <c r="H3198" s="36"/>
    </row>
    <row r="3199">
      <c r="A3199" s="36"/>
      <c r="B3199" s="36" t="str">
        <f>IFERROR(__xludf.DUMMYFUNCTION("""COMPUTED_VALUE"""),"LATITUD")</f>
        <v>LATITUD</v>
      </c>
      <c r="C3199" s="36" t="str">
        <f>IFERROR(__xludf.DUMMYFUNCTION("""COMPUTED_VALUE"""),"LONGITUD")</f>
        <v>LONGITUD</v>
      </c>
      <c r="D3199" s="36" t="str">
        <f>IFERROR(__xludf.DUMMYFUNCTION("""COMPUTED_VALUE"""),"ERROR DE ID")</f>
        <v>ERROR DE ID</v>
      </c>
      <c r="E3199" s="36"/>
      <c r="F3199" s="36"/>
      <c r="G3199" s="36"/>
      <c r="H3199" s="36"/>
    </row>
    <row r="3200">
      <c r="A3200" s="36"/>
      <c r="B3200" s="36" t="str">
        <f>IFERROR(__xludf.DUMMYFUNCTION("""COMPUTED_VALUE"""),"LATITUD")</f>
        <v>LATITUD</v>
      </c>
      <c r="C3200" s="36" t="str">
        <f>IFERROR(__xludf.DUMMYFUNCTION("""COMPUTED_VALUE"""),"LONGITUD")</f>
        <v>LONGITUD</v>
      </c>
      <c r="D3200" s="36" t="str">
        <f>IFERROR(__xludf.DUMMYFUNCTION("""COMPUTED_VALUE"""),"ERROR DE ID")</f>
        <v>ERROR DE ID</v>
      </c>
      <c r="E3200" s="36"/>
      <c r="F3200" s="36"/>
      <c r="G3200" s="36"/>
      <c r="H3200" s="36"/>
    </row>
    <row r="3201">
      <c r="A3201" s="36"/>
      <c r="B3201" s="36" t="str">
        <f>IFERROR(__xludf.DUMMYFUNCTION("""COMPUTED_VALUE"""),"LATITUD")</f>
        <v>LATITUD</v>
      </c>
      <c r="C3201" s="36" t="str">
        <f>IFERROR(__xludf.DUMMYFUNCTION("""COMPUTED_VALUE"""),"LONGITUD")</f>
        <v>LONGITUD</v>
      </c>
      <c r="D3201" s="36" t="str">
        <f>IFERROR(__xludf.DUMMYFUNCTION("""COMPUTED_VALUE"""),"ERROR DE ID")</f>
        <v>ERROR DE ID</v>
      </c>
      <c r="E3201" s="36"/>
      <c r="F3201" s="36"/>
      <c r="G3201" s="36"/>
      <c r="H3201" s="36"/>
    </row>
    <row r="3202">
      <c r="A3202" s="36"/>
      <c r="B3202" s="36" t="str">
        <f>IFERROR(__xludf.DUMMYFUNCTION("""COMPUTED_VALUE"""),"LATITUD")</f>
        <v>LATITUD</v>
      </c>
      <c r="C3202" s="36" t="str">
        <f>IFERROR(__xludf.DUMMYFUNCTION("""COMPUTED_VALUE"""),"LONGITUD")</f>
        <v>LONGITUD</v>
      </c>
      <c r="D3202" s="36" t="str">
        <f>IFERROR(__xludf.DUMMYFUNCTION("""COMPUTED_VALUE"""),"ERROR DE ID")</f>
        <v>ERROR DE ID</v>
      </c>
      <c r="E3202" s="36"/>
      <c r="F3202" s="36"/>
      <c r="G3202" s="36"/>
      <c r="H3202" s="36"/>
    </row>
    <row r="3203">
      <c r="A3203" s="36"/>
      <c r="B3203" s="36" t="str">
        <f>IFERROR(__xludf.DUMMYFUNCTION("""COMPUTED_VALUE"""),"LATITUD")</f>
        <v>LATITUD</v>
      </c>
      <c r="C3203" s="36" t="str">
        <f>IFERROR(__xludf.DUMMYFUNCTION("""COMPUTED_VALUE"""),"LONGITUD")</f>
        <v>LONGITUD</v>
      </c>
      <c r="D3203" s="36" t="str">
        <f>IFERROR(__xludf.DUMMYFUNCTION("""COMPUTED_VALUE"""),"ERROR DE ID")</f>
        <v>ERROR DE ID</v>
      </c>
      <c r="E3203" s="36"/>
      <c r="F3203" s="36"/>
      <c r="G3203" s="36"/>
      <c r="H3203" s="36"/>
    </row>
    <row r="3204">
      <c r="A3204" s="36"/>
      <c r="B3204" s="36" t="str">
        <f>IFERROR(__xludf.DUMMYFUNCTION("""COMPUTED_VALUE"""),"LATITUD")</f>
        <v>LATITUD</v>
      </c>
      <c r="C3204" s="36" t="str">
        <f>IFERROR(__xludf.DUMMYFUNCTION("""COMPUTED_VALUE"""),"LONGITUD")</f>
        <v>LONGITUD</v>
      </c>
      <c r="D3204" s="36" t="str">
        <f>IFERROR(__xludf.DUMMYFUNCTION("""COMPUTED_VALUE"""),"ERROR DE ID")</f>
        <v>ERROR DE ID</v>
      </c>
      <c r="E3204" s="36"/>
      <c r="F3204" s="36"/>
      <c r="G3204" s="36"/>
      <c r="H3204" s="36"/>
    </row>
    <row r="3205">
      <c r="A3205" s="36"/>
      <c r="B3205" s="36" t="str">
        <f>IFERROR(__xludf.DUMMYFUNCTION("""COMPUTED_VALUE"""),"LATITUD")</f>
        <v>LATITUD</v>
      </c>
      <c r="C3205" s="36" t="str">
        <f>IFERROR(__xludf.DUMMYFUNCTION("""COMPUTED_VALUE"""),"LONGITUD")</f>
        <v>LONGITUD</v>
      </c>
      <c r="D3205" s="36" t="str">
        <f>IFERROR(__xludf.DUMMYFUNCTION("""COMPUTED_VALUE"""),"ERROR DE ID")</f>
        <v>ERROR DE ID</v>
      </c>
      <c r="E3205" s="36"/>
      <c r="F3205" s="36"/>
      <c r="G3205" s="36"/>
      <c r="H3205" s="36"/>
    </row>
    <row r="3206">
      <c r="A3206" s="36"/>
      <c r="B3206" s="36" t="str">
        <f>IFERROR(__xludf.DUMMYFUNCTION("""COMPUTED_VALUE"""),"LATITUD")</f>
        <v>LATITUD</v>
      </c>
      <c r="C3206" s="36" t="str">
        <f>IFERROR(__xludf.DUMMYFUNCTION("""COMPUTED_VALUE"""),"LONGITUD")</f>
        <v>LONGITUD</v>
      </c>
      <c r="D3206" s="36" t="str">
        <f>IFERROR(__xludf.DUMMYFUNCTION("""COMPUTED_VALUE"""),"ERROR DE ID")</f>
        <v>ERROR DE ID</v>
      </c>
      <c r="E3206" s="36"/>
      <c r="F3206" s="36"/>
      <c r="G3206" s="36"/>
      <c r="H3206" s="36"/>
    </row>
    <row r="3207">
      <c r="A3207" s="36"/>
      <c r="B3207" s="36" t="str">
        <f>IFERROR(__xludf.DUMMYFUNCTION("""COMPUTED_VALUE"""),"LATITUD")</f>
        <v>LATITUD</v>
      </c>
      <c r="C3207" s="36" t="str">
        <f>IFERROR(__xludf.DUMMYFUNCTION("""COMPUTED_VALUE"""),"LONGITUD")</f>
        <v>LONGITUD</v>
      </c>
      <c r="D3207" s="36" t="str">
        <f>IFERROR(__xludf.DUMMYFUNCTION("""COMPUTED_VALUE"""),"ERROR DE ID")</f>
        <v>ERROR DE ID</v>
      </c>
      <c r="E3207" s="36"/>
      <c r="F3207" s="36"/>
      <c r="G3207" s="36"/>
      <c r="H3207" s="36"/>
    </row>
    <row r="3208">
      <c r="A3208" s="36"/>
      <c r="B3208" s="36" t="str">
        <f>IFERROR(__xludf.DUMMYFUNCTION("""COMPUTED_VALUE"""),"LATITUD")</f>
        <v>LATITUD</v>
      </c>
      <c r="C3208" s="36" t="str">
        <f>IFERROR(__xludf.DUMMYFUNCTION("""COMPUTED_VALUE"""),"LONGITUD")</f>
        <v>LONGITUD</v>
      </c>
      <c r="D3208" s="36" t="str">
        <f>IFERROR(__xludf.DUMMYFUNCTION("""COMPUTED_VALUE"""),"ERROR DE ID")</f>
        <v>ERROR DE ID</v>
      </c>
      <c r="E3208" s="36"/>
      <c r="F3208" s="36"/>
      <c r="G3208" s="36"/>
      <c r="H3208" s="36"/>
    </row>
    <row r="3209">
      <c r="A3209" s="36"/>
      <c r="B3209" s="36" t="str">
        <f>IFERROR(__xludf.DUMMYFUNCTION("""COMPUTED_VALUE"""),"LATITUD")</f>
        <v>LATITUD</v>
      </c>
      <c r="C3209" s="36" t="str">
        <f>IFERROR(__xludf.DUMMYFUNCTION("""COMPUTED_VALUE"""),"LONGITUD")</f>
        <v>LONGITUD</v>
      </c>
      <c r="D3209" s="36" t="str">
        <f>IFERROR(__xludf.DUMMYFUNCTION("""COMPUTED_VALUE"""),"ERROR DE ID")</f>
        <v>ERROR DE ID</v>
      </c>
      <c r="E3209" s="36"/>
      <c r="F3209" s="36"/>
      <c r="G3209" s="36"/>
      <c r="H3209" s="36"/>
    </row>
    <row r="3210">
      <c r="A3210" s="36"/>
      <c r="B3210" s="36" t="str">
        <f>IFERROR(__xludf.DUMMYFUNCTION("""COMPUTED_VALUE"""),"LATITUD")</f>
        <v>LATITUD</v>
      </c>
      <c r="C3210" s="36" t="str">
        <f>IFERROR(__xludf.DUMMYFUNCTION("""COMPUTED_VALUE"""),"LONGITUD")</f>
        <v>LONGITUD</v>
      </c>
      <c r="D3210" s="36" t="str">
        <f>IFERROR(__xludf.DUMMYFUNCTION("""COMPUTED_VALUE"""),"ERROR DE ID")</f>
        <v>ERROR DE ID</v>
      </c>
      <c r="E3210" s="36"/>
      <c r="F3210" s="36"/>
      <c r="G3210" s="36"/>
      <c r="H3210" s="36"/>
    </row>
    <row r="3211">
      <c r="A3211" s="36"/>
      <c r="B3211" s="36" t="str">
        <f>IFERROR(__xludf.DUMMYFUNCTION("""COMPUTED_VALUE"""),"LATITUD")</f>
        <v>LATITUD</v>
      </c>
      <c r="C3211" s="36" t="str">
        <f>IFERROR(__xludf.DUMMYFUNCTION("""COMPUTED_VALUE"""),"LONGITUD")</f>
        <v>LONGITUD</v>
      </c>
      <c r="D3211" s="36" t="str">
        <f>IFERROR(__xludf.DUMMYFUNCTION("""COMPUTED_VALUE"""),"ERROR DE ID")</f>
        <v>ERROR DE ID</v>
      </c>
      <c r="E3211" s="36"/>
      <c r="F3211" s="36"/>
      <c r="G3211" s="36"/>
      <c r="H3211" s="36"/>
    </row>
    <row r="3212">
      <c r="A3212" s="36"/>
      <c r="B3212" s="36" t="str">
        <f>IFERROR(__xludf.DUMMYFUNCTION("""COMPUTED_VALUE"""),"LATITUD")</f>
        <v>LATITUD</v>
      </c>
      <c r="C3212" s="36" t="str">
        <f>IFERROR(__xludf.DUMMYFUNCTION("""COMPUTED_VALUE"""),"LONGITUD")</f>
        <v>LONGITUD</v>
      </c>
      <c r="D3212" s="36" t="str">
        <f>IFERROR(__xludf.DUMMYFUNCTION("""COMPUTED_VALUE"""),"ERROR DE ID")</f>
        <v>ERROR DE ID</v>
      </c>
      <c r="E3212" s="36"/>
      <c r="F3212" s="36"/>
      <c r="G3212" s="36"/>
      <c r="H3212" s="36"/>
    </row>
    <row r="3213">
      <c r="A3213" s="36"/>
      <c r="B3213" s="36" t="str">
        <f>IFERROR(__xludf.DUMMYFUNCTION("""COMPUTED_VALUE"""),"LATITUD")</f>
        <v>LATITUD</v>
      </c>
      <c r="C3213" s="36" t="str">
        <f>IFERROR(__xludf.DUMMYFUNCTION("""COMPUTED_VALUE"""),"LONGITUD")</f>
        <v>LONGITUD</v>
      </c>
      <c r="D3213" s="36" t="str">
        <f>IFERROR(__xludf.DUMMYFUNCTION("""COMPUTED_VALUE"""),"ERROR DE ID")</f>
        <v>ERROR DE ID</v>
      </c>
      <c r="E3213" s="36"/>
      <c r="F3213" s="36"/>
      <c r="G3213" s="36"/>
      <c r="H3213" s="36"/>
    </row>
    <row r="3214">
      <c r="A3214" s="36"/>
      <c r="B3214" s="36" t="str">
        <f>IFERROR(__xludf.DUMMYFUNCTION("""COMPUTED_VALUE"""),"LATITUD")</f>
        <v>LATITUD</v>
      </c>
      <c r="C3214" s="36" t="str">
        <f>IFERROR(__xludf.DUMMYFUNCTION("""COMPUTED_VALUE"""),"LONGITUD")</f>
        <v>LONGITUD</v>
      </c>
      <c r="D3214" s="36" t="str">
        <f>IFERROR(__xludf.DUMMYFUNCTION("""COMPUTED_VALUE"""),"ERROR DE ID")</f>
        <v>ERROR DE ID</v>
      </c>
      <c r="E3214" s="36"/>
      <c r="F3214" s="36"/>
      <c r="G3214" s="36"/>
      <c r="H3214" s="36"/>
    </row>
    <row r="3215">
      <c r="A3215" s="36"/>
      <c r="B3215" s="36" t="str">
        <f>IFERROR(__xludf.DUMMYFUNCTION("""COMPUTED_VALUE"""),"LATITUD")</f>
        <v>LATITUD</v>
      </c>
      <c r="C3215" s="36" t="str">
        <f>IFERROR(__xludf.DUMMYFUNCTION("""COMPUTED_VALUE"""),"LONGITUD")</f>
        <v>LONGITUD</v>
      </c>
      <c r="D3215" s="36" t="str">
        <f>IFERROR(__xludf.DUMMYFUNCTION("""COMPUTED_VALUE"""),"ERROR DE ID")</f>
        <v>ERROR DE ID</v>
      </c>
      <c r="E3215" s="36"/>
      <c r="F3215" s="36"/>
      <c r="G3215" s="36"/>
      <c r="H3215" s="36"/>
    </row>
    <row r="3216">
      <c r="A3216" s="36"/>
      <c r="B3216" s="36" t="str">
        <f>IFERROR(__xludf.DUMMYFUNCTION("""COMPUTED_VALUE"""),"LATITUD")</f>
        <v>LATITUD</v>
      </c>
      <c r="C3216" s="36" t="str">
        <f>IFERROR(__xludf.DUMMYFUNCTION("""COMPUTED_VALUE"""),"LONGITUD")</f>
        <v>LONGITUD</v>
      </c>
      <c r="D3216" s="36" t="str">
        <f>IFERROR(__xludf.DUMMYFUNCTION("""COMPUTED_VALUE"""),"ERROR DE ID")</f>
        <v>ERROR DE ID</v>
      </c>
      <c r="E3216" s="36"/>
      <c r="F3216" s="36"/>
      <c r="G3216" s="36"/>
      <c r="H3216" s="36"/>
    </row>
    <row r="3217">
      <c r="A3217" s="36"/>
      <c r="B3217" s="36" t="str">
        <f>IFERROR(__xludf.DUMMYFUNCTION("""COMPUTED_VALUE"""),"LATITUD")</f>
        <v>LATITUD</v>
      </c>
      <c r="C3217" s="36" t="str">
        <f>IFERROR(__xludf.DUMMYFUNCTION("""COMPUTED_VALUE"""),"LONGITUD")</f>
        <v>LONGITUD</v>
      </c>
      <c r="D3217" s="36" t="str">
        <f>IFERROR(__xludf.DUMMYFUNCTION("""COMPUTED_VALUE"""),"ERROR DE ID")</f>
        <v>ERROR DE ID</v>
      </c>
      <c r="E3217" s="36"/>
      <c r="F3217" s="36"/>
      <c r="G3217" s="36"/>
      <c r="H3217" s="36"/>
    </row>
    <row r="3218">
      <c r="A3218" s="36"/>
      <c r="B3218" s="36" t="str">
        <f>IFERROR(__xludf.DUMMYFUNCTION("""COMPUTED_VALUE"""),"LATITUD")</f>
        <v>LATITUD</v>
      </c>
      <c r="C3218" s="36" t="str">
        <f>IFERROR(__xludf.DUMMYFUNCTION("""COMPUTED_VALUE"""),"LONGITUD")</f>
        <v>LONGITUD</v>
      </c>
      <c r="D3218" s="36" t="str">
        <f>IFERROR(__xludf.DUMMYFUNCTION("""COMPUTED_VALUE"""),"ERROR DE ID")</f>
        <v>ERROR DE ID</v>
      </c>
      <c r="E3218" s="36"/>
      <c r="F3218" s="36"/>
      <c r="G3218" s="36"/>
      <c r="H3218" s="36"/>
    </row>
    <row r="3219">
      <c r="A3219" s="36"/>
      <c r="B3219" s="36" t="str">
        <f>IFERROR(__xludf.DUMMYFUNCTION("""COMPUTED_VALUE"""),"LATITUD")</f>
        <v>LATITUD</v>
      </c>
      <c r="C3219" s="36" t="str">
        <f>IFERROR(__xludf.DUMMYFUNCTION("""COMPUTED_VALUE"""),"LONGITUD")</f>
        <v>LONGITUD</v>
      </c>
      <c r="D3219" s="36" t="str">
        <f>IFERROR(__xludf.DUMMYFUNCTION("""COMPUTED_VALUE"""),"ERROR DE ID")</f>
        <v>ERROR DE ID</v>
      </c>
      <c r="E3219" s="36"/>
      <c r="F3219" s="36"/>
      <c r="G3219" s="36"/>
      <c r="H3219" s="36"/>
    </row>
    <row r="3220">
      <c r="A3220" s="36"/>
      <c r="B3220" s="36" t="str">
        <f>IFERROR(__xludf.DUMMYFUNCTION("""COMPUTED_VALUE"""),"LATITUD")</f>
        <v>LATITUD</v>
      </c>
      <c r="C3220" s="36" t="str">
        <f>IFERROR(__xludf.DUMMYFUNCTION("""COMPUTED_VALUE"""),"LONGITUD")</f>
        <v>LONGITUD</v>
      </c>
      <c r="D3220" s="36" t="str">
        <f>IFERROR(__xludf.DUMMYFUNCTION("""COMPUTED_VALUE"""),"ERROR DE ID")</f>
        <v>ERROR DE ID</v>
      </c>
      <c r="E3220" s="36"/>
      <c r="F3220" s="36"/>
      <c r="G3220" s="36"/>
      <c r="H3220" s="36"/>
    </row>
    <row r="3221">
      <c r="A3221" s="36"/>
      <c r="B3221" s="36" t="str">
        <f>IFERROR(__xludf.DUMMYFUNCTION("""COMPUTED_VALUE"""),"LATITUD")</f>
        <v>LATITUD</v>
      </c>
      <c r="C3221" s="36" t="str">
        <f>IFERROR(__xludf.DUMMYFUNCTION("""COMPUTED_VALUE"""),"LONGITUD")</f>
        <v>LONGITUD</v>
      </c>
      <c r="D3221" s="36" t="str">
        <f>IFERROR(__xludf.DUMMYFUNCTION("""COMPUTED_VALUE"""),"ERROR DE ID")</f>
        <v>ERROR DE ID</v>
      </c>
      <c r="E3221" s="36"/>
      <c r="F3221" s="36"/>
      <c r="G3221" s="36"/>
      <c r="H3221" s="36"/>
    </row>
    <row r="3222">
      <c r="A3222" s="36"/>
      <c r="B3222" s="36" t="str">
        <f>IFERROR(__xludf.DUMMYFUNCTION("""COMPUTED_VALUE"""),"LATITUD")</f>
        <v>LATITUD</v>
      </c>
      <c r="C3222" s="36" t="str">
        <f>IFERROR(__xludf.DUMMYFUNCTION("""COMPUTED_VALUE"""),"LONGITUD")</f>
        <v>LONGITUD</v>
      </c>
      <c r="D3222" s="36" t="str">
        <f>IFERROR(__xludf.DUMMYFUNCTION("""COMPUTED_VALUE"""),"ERROR DE ID")</f>
        <v>ERROR DE ID</v>
      </c>
      <c r="E3222" s="36"/>
      <c r="F3222" s="36"/>
      <c r="G3222" s="36"/>
      <c r="H3222" s="36"/>
    </row>
    <row r="3223">
      <c r="A3223" s="36"/>
      <c r="B3223" s="36" t="str">
        <f>IFERROR(__xludf.DUMMYFUNCTION("""COMPUTED_VALUE"""),"LATITUD")</f>
        <v>LATITUD</v>
      </c>
      <c r="C3223" s="36" t="str">
        <f>IFERROR(__xludf.DUMMYFUNCTION("""COMPUTED_VALUE"""),"LONGITUD")</f>
        <v>LONGITUD</v>
      </c>
      <c r="D3223" s="36" t="str">
        <f>IFERROR(__xludf.DUMMYFUNCTION("""COMPUTED_VALUE"""),"ERROR DE ID")</f>
        <v>ERROR DE ID</v>
      </c>
      <c r="E3223" s="36"/>
      <c r="F3223" s="36"/>
      <c r="G3223" s="36"/>
      <c r="H3223" s="36"/>
    </row>
    <row r="3224">
      <c r="A3224" s="36"/>
      <c r="B3224" s="36" t="str">
        <f>IFERROR(__xludf.DUMMYFUNCTION("""COMPUTED_VALUE"""),"LATITUD")</f>
        <v>LATITUD</v>
      </c>
      <c r="C3224" s="36" t="str">
        <f>IFERROR(__xludf.DUMMYFUNCTION("""COMPUTED_VALUE"""),"LONGITUD")</f>
        <v>LONGITUD</v>
      </c>
      <c r="D3224" s="36" t="str">
        <f>IFERROR(__xludf.DUMMYFUNCTION("""COMPUTED_VALUE"""),"ERROR DE ID")</f>
        <v>ERROR DE ID</v>
      </c>
      <c r="E3224" s="36"/>
      <c r="F3224" s="36"/>
      <c r="G3224" s="36"/>
      <c r="H3224" s="36"/>
    </row>
    <row r="3225">
      <c r="A3225" s="36"/>
      <c r="B3225" s="36" t="str">
        <f>IFERROR(__xludf.DUMMYFUNCTION("""COMPUTED_VALUE"""),"LATITUD")</f>
        <v>LATITUD</v>
      </c>
      <c r="C3225" s="36" t="str">
        <f>IFERROR(__xludf.DUMMYFUNCTION("""COMPUTED_VALUE"""),"LONGITUD")</f>
        <v>LONGITUD</v>
      </c>
      <c r="D3225" s="36" t="str">
        <f>IFERROR(__xludf.DUMMYFUNCTION("""COMPUTED_VALUE"""),"ERROR DE ID")</f>
        <v>ERROR DE ID</v>
      </c>
      <c r="E3225" s="36"/>
      <c r="F3225" s="36"/>
      <c r="G3225" s="36"/>
      <c r="H3225" s="36"/>
    </row>
    <row r="3226">
      <c r="A3226" s="36"/>
      <c r="B3226" s="36" t="str">
        <f>IFERROR(__xludf.DUMMYFUNCTION("""COMPUTED_VALUE"""),"LATITUD")</f>
        <v>LATITUD</v>
      </c>
      <c r="C3226" s="36" t="str">
        <f>IFERROR(__xludf.DUMMYFUNCTION("""COMPUTED_VALUE"""),"LONGITUD")</f>
        <v>LONGITUD</v>
      </c>
      <c r="D3226" s="36" t="str">
        <f>IFERROR(__xludf.DUMMYFUNCTION("""COMPUTED_VALUE"""),"ERROR DE ID")</f>
        <v>ERROR DE ID</v>
      </c>
      <c r="E3226" s="36"/>
      <c r="F3226" s="36"/>
      <c r="G3226" s="36"/>
      <c r="H3226" s="36"/>
    </row>
    <row r="3227">
      <c r="A3227" s="36"/>
      <c r="B3227" s="36" t="str">
        <f>IFERROR(__xludf.DUMMYFUNCTION("""COMPUTED_VALUE"""),"LATITUD")</f>
        <v>LATITUD</v>
      </c>
      <c r="C3227" s="36" t="str">
        <f>IFERROR(__xludf.DUMMYFUNCTION("""COMPUTED_VALUE"""),"LONGITUD")</f>
        <v>LONGITUD</v>
      </c>
      <c r="D3227" s="36" t="str">
        <f>IFERROR(__xludf.DUMMYFUNCTION("""COMPUTED_VALUE"""),"ERROR DE ID")</f>
        <v>ERROR DE ID</v>
      </c>
      <c r="E3227" s="36"/>
      <c r="F3227" s="36"/>
      <c r="G3227" s="36"/>
      <c r="H3227" s="36"/>
    </row>
    <row r="3228">
      <c r="A3228" s="36"/>
      <c r="B3228" s="36" t="str">
        <f>IFERROR(__xludf.DUMMYFUNCTION("""COMPUTED_VALUE"""),"LATITUD")</f>
        <v>LATITUD</v>
      </c>
      <c r="C3228" s="36" t="str">
        <f>IFERROR(__xludf.DUMMYFUNCTION("""COMPUTED_VALUE"""),"LONGITUD")</f>
        <v>LONGITUD</v>
      </c>
      <c r="D3228" s="36" t="str">
        <f>IFERROR(__xludf.DUMMYFUNCTION("""COMPUTED_VALUE"""),"ERROR DE ID")</f>
        <v>ERROR DE ID</v>
      </c>
      <c r="E3228" s="36"/>
      <c r="F3228" s="36"/>
      <c r="G3228" s="36"/>
      <c r="H3228" s="36"/>
    </row>
    <row r="3229">
      <c r="A3229" s="36"/>
      <c r="B3229" s="36" t="str">
        <f>IFERROR(__xludf.DUMMYFUNCTION("""COMPUTED_VALUE"""),"LATITUD")</f>
        <v>LATITUD</v>
      </c>
      <c r="C3229" s="36" t="str">
        <f>IFERROR(__xludf.DUMMYFUNCTION("""COMPUTED_VALUE"""),"LONGITUD")</f>
        <v>LONGITUD</v>
      </c>
      <c r="D3229" s="36" t="str">
        <f>IFERROR(__xludf.DUMMYFUNCTION("""COMPUTED_VALUE"""),"ERROR DE ID")</f>
        <v>ERROR DE ID</v>
      </c>
      <c r="E3229" s="36"/>
      <c r="F3229" s="36"/>
      <c r="G3229" s="36"/>
      <c r="H3229" s="36"/>
    </row>
    <row r="3230">
      <c r="A3230" s="36"/>
      <c r="B3230" s="36" t="str">
        <f>IFERROR(__xludf.DUMMYFUNCTION("""COMPUTED_VALUE"""),"LATITUD")</f>
        <v>LATITUD</v>
      </c>
      <c r="C3230" s="36" t="str">
        <f>IFERROR(__xludf.DUMMYFUNCTION("""COMPUTED_VALUE"""),"LONGITUD")</f>
        <v>LONGITUD</v>
      </c>
      <c r="D3230" s="36" t="str">
        <f>IFERROR(__xludf.DUMMYFUNCTION("""COMPUTED_VALUE"""),"ERROR DE ID")</f>
        <v>ERROR DE ID</v>
      </c>
      <c r="E3230" s="36"/>
      <c r="F3230" s="36"/>
      <c r="G3230" s="36"/>
      <c r="H3230" s="36"/>
    </row>
    <row r="3231">
      <c r="A3231" s="36"/>
      <c r="B3231" s="36" t="str">
        <f>IFERROR(__xludf.DUMMYFUNCTION("""COMPUTED_VALUE"""),"LATITUD")</f>
        <v>LATITUD</v>
      </c>
      <c r="C3231" s="36" t="str">
        <f>IFERROR(__xludf.DUMMYFUNCTION("""COMPUTED_VALUE"""),"LONGITUD")</f>
        <v>LONGITUD</v>
      </c>
      <c r="D3231" s="36" t="str">
        <f>IFERROR(__xludf.DUMMYFUNCTION("""COMPUTED_VALUE"""),"ERROR DE ID")</f>
        <v>ERROR DE ID</v>
      </c>
      <c r="E3231" s="36"/>
      <c r="F3231" s="36"/>
      <c r="G3231" s="36"/>
      <c r="H3231" s="36"/>
    </row>
    <row r="3232">
      <c r="A3232" s="36"/>
      <c r="B3232" s="36" t="str">
        <f>IFERROR(__xludf.DUMMYFUNCTION("""COMPUTED_VALUE"""),"LATITUD")</f>
        <v>LATITUD</v>
      </c>
      <c r="C3232" s="36" t="str">
        <f>IFERROR(__xludf.DUMMYFUNCTION("""COMPUTED_VALUE"""),"LONGITUD")</f>
        <v>LONGITUD</v>
      </c>
      <c r="D3232" s="36" t="str">
        <f>IFERROR(__xludf.DUMMYFUNCTION("""COMPUTED_VALUE"""),"ERROR DE ID")</f>
        <v>ERROR DE ID</v>
      </c>
      <c r="E3232" s="36"/>
      <c r="F3232" s="36"/>
      <c r="G3232" s="36"/>
      <c r="H3232" s="36"/>
    </row>
    <row r="3233">
      <c r="A3233" s="36"/>
      <c r="B3233" s="36" t="str">
        <f>IFERROR(__xludf.DUMMYFUNCTION("""COMPUTED_VALUE"""),"LATITUD")</f>
        <v>LATITUD</v>
      </c>
      <c r="C3233" s="36" t="str">
        <f>IFERROR(__xludf.DUMMYFUNCTION("""COMPUTED_VALUE"""),"LONGITUD")</f>
        <v>LONGITUD</v>
      </c>
      <c r="D3233" s="36" t="str">
        <f>IFERROR(__xludf.DUMMYFUNCTION("""COMPUTED_VALUE"""),"ERROR DE ID")</f>
        <v>ERROR DE ID</v>
      </c>
      <c r="E3233" s="36"/>
      <c r="F3233" s="36"/>
      <c r="G3233" s="36"/>
      <c r="H3233" s="36"/>
    </row>
    <row r="3234">
      <c r="A3234" s="36"/>
      <c r="B3234" s="36" t="str">
        <f>IFERROR(__xludf.DUMMYFUNCTION("""COMPUTED_VALUE"""),"LATITUD")</f>
        <v>LATITUD</v>
      </c>
      <c r="C3234" s="36" t="str">
        <f>IFERROR(__xludf.DUMMYFUNCTION("""COMPUTED_VALUE"""),"LONGITUD")</f>
        <v>LONGITUD</v>
      </c>
      <c r="D3234" s="36" t="str">
        <f>IFERROR(__xludf.DUMMYFUNCTION("""COMPUTED_VALUE"""),"ERROR DE ID")</f>
        <v>ERROR DE ID</v>
      </c>
      <c r="E3234" s="36"/>
      <c r="F3234" s="36"/>
      <c r="G3234" s="36"/>
      <c r="H3234" s="36"/>
    </row>
    <row r="3235">
      <c r="A3235" s="36"/>
      <c r="B3235" s="36" t="str">
        <f>IFERROR(__xludf.DUMMYFUNCTION("""COMPUTED_VALUE"""),"LATITUD")</f>
        <v>LATITUD</v>
      </c>
      <c r="C3235" s="36" t="str">
        <f>IFERROR(__xludf.DUMMYFUNCTION("""COMPUTED_VALUE"""),"LONGITUD")</f>
        <v>LONGITUD</v>
      </c>
      <c r="D3235" s="36" t="str">
        <f>IFERROR(__xludf.DUMMYFUNCTION("""COMPUTED_VALUE"""),"ERROR DE ID")</f>
        <v>ERROR DE ID</v>
      </c>
      <c r="E3235" s="36"/>
      <c r="F3235" s="36"/>
      <c r="G3235" s="36"/>
      <c r="H3235" s="36"/>
    </row>
    <row r="3236">
      <c r="A3236" s="36"/>
      <c r="B3236" s="36" t="str">
        <f>IFERROR(__xludf.DUMMYFUNCTION("""COMPUTED_VALUE"""),"LATITUD")</f>
        <v>LATITUD</v>
      </c>
      <c r="C3236" s="36" t="str">
        <f>IFERROR(__xludf.DUMMYFUNCTION("""COMPUTED_VALUE"""),"LONGITUD")</f>
        <v>LONGITUD</v>
      </c>
      <c r="D3236" s="36" t="str">
        <f>IFERROR(__xludf.DUMMYFUNCTION("""COMPUTED_VALUE"""),"ERROR DE ID")</f>
        <v>ERROR DE ID</v>
      </c>
      <c r="E3236" s="36"/>
      <c r="F3236" s="36"/>
      <c r="G3236" s="36"/>
      <c r="H3236" s="36"/>
    </row>
    <row r="3237">
      <c r="A3237" s="36"/>
      <c r="B3237" s="36" t="str">
        <f>IFERROR(__xludf.DUMMYFUNCTION("""COMPUTED_VALUE"""),"LATITUD")</f>
        <v>LATITUD</v>
      </c>
      <c r="C3237" s="36" t="str">
        <f>IFERROR(__xludf.DUMMYFUNCTION("""COMPUTED_VALUE"""),"LONGITUD")</f>
        <v>LONGITUD</v>
      </c>
      <c r="D3237" s="36" t="str">
        <f>IFERROR(__xludf.DUMMYFUNCTION("""COMPUTED_VALUE"""),"ERROR DE ID")</f>
        <v>ERROR DE ID</v>
      </c>
      <c r="E3237" s="36"/>
      <c r="F3237" s="36"/>
      <c r="G3237" s="36"/>
      <c r="H3237" s="36"/>
    </row>
    <row r="3238">
      <c r="A3238" s="36"/>
      <c r="B3238" s="36" t="str">
        <f>IFERROR(__xludf.DUMMYFUNCTION("""COMPUTED_VALUE"""),"LATITUD")</f>
        <v>LATITUD</v>
      </c>
      <c r="C3238" s="36" t="str">
        <f>IFERROR(__xludf.DUMMYFUNCTION("""COMPUTED_VALUE"""),"LONGITUD")</f>
        <v>LONGITUD</v>
      </c>
      <c r="D3238" s="36" t="str">
        <f>IFERROR(__xludf.DUMMYFUNCTION("""COMPUTED_VALUE"""),"ERROR DE ID")</f>
        <v>ERROR DE ID</v>
      </c>
      <c r="E3238" s="36"/>
      <c r="F3238" s="36"/>
      <c r="G3238" s="36"/>
      <c r="H3238" s="36"/>
    </row>
    <row r="3239">
      <c r="A3239" s="36"/>
      <c r="B3239" s="36" t="str">
        <f>IFERROR(__xludf.DUMMYFUNCTION("""COMPUTED_VALUE"""),"LATITUD")</f>
        <v>LATITUD</v>
      </c>
      <c r="C3239" s="36" t="str">
        <f>IFERROR(__xludf.DUMMYFUNCTION("""COMPUTED_VALUE"""),"LONGITUD")</f>
        <v>LONGITUD</v>
      </c>
      <c r="D3239" s="36" t="str">
        <f>IFERROR(__xludf.DUMMYFUNCTION("""COMPUTED_VALUE"""),"ERROR DE ID")</f>
        <v>ERROR DE ID</v>
      </c>
      <c r="E3239" s="36"/>
      <c r="F3239" s="36"/>
      <c r="G3239" s="36"/>
      <c r="H3239" s="36"/>
    </row>
    <row r="3240">
      <c r="A3240" s="36"/>
      <c r="B3240" s="36" t="str">
        <f>IFERROR(__xludf.DUMMYFUNCTION("""COMPUTED_VALUE"""),"LATITUD")</f>
        <v>LATITUD</v>
      </c>
      <c r="C3240" s="36" t="str">
        <f>IFERROR(__xludf.DUMMYFUNCTION("""COMPUTED_VALUE"""),"LONGITUD")</f>
        <v>LONGITUD</v>
      </c>
      <c r="D3240" s="36" t="str">
        <f>IFERROR(__xludf.DUMMYFUNCTION("""COMPUTED_VALUE"""),"ERROR DE ID")</f>
        <v>ERROR DE ID</v>
      </c>
      <c r="E3240" s="36"/>
      <c r="F3240" s="36"/>
      <c r="G3240" s="36"/>
      <c r="H3240" s="36"/>
    </row>
    <row r="3241">
      <c r="A3241" s="36"/>
      <c r="B3241" s="36" t="str">
        <f>IFERROR(__xludf.DUMMYFUNCTION("""COMPUTED_VALUE"""),"LATITUD")</f>
        <v>LATITUD</v>
      </c>
      <c r="C3241" s="36" t="str">
        <f>IFERROR(__xludf.DUMMYFUNCTION("""COMPUTED_VALUE"""),"LONGITUD")</f>
        <v>LONGITUD</v>
      </c>
      <c r="D3241" s="36" t="str">
        <f>IFERROR(__xludf.DUMMYFUNCTION("""COMPUTED_VALUE"""),"ERROR DE ID")</f>
        <v>ERROR DE ID</v>
      </c>
      <c r="E3241" s="36"/>
      <c r="F3241" s="36"/>
      <c r="G3241" s="36"/>
      <c r="H3241" s="36"/>
    </row>
    <row r="3242">
      <c r="A3242" s="36"/>
      <c r="B3242" s="36" t="str">
        <f>IFERROR(__xludf.DUMMYFUNCTION("""COMPUTED_VALUE"""),"LATITUD")</f>
        <v>LATITUD</v>
      </c>
      <c r="C3242" s="36" t="str">
        <f>IFERROR(__xludf.DUMMYFUNCTION("""COMPUTED_VALUE"""),"LONGITUD")</f>
        <v>LONGITUD</v>
      </c>
      <c r="D3242" s="36" t="str">
        <f>IFERROR(__xludf.DUMMYFUNCTION("""COMPUTED_VALUE"""),"ERROR DE ID")</f>
        <v>ERROR DE ID</v>
      </c>
      <c r="E3242" s="36"/>
      <c r="F3242" s="36"/>
      <c r="G3242" s="36"/>
      <c r="H3242" s="36"/>
    </row>
    <row r="3243">
      <c r="A3243" s="36"/>
      <c r="B3243" s="36" t="str">
        <f>IFERROR(__xludf.DUMMYFUNCTION("""COMPUTED_VALUE"""),"LATITUD")</f>
        <v>LATITUD</v>
      </c>
      <c r="C3243" s="36" t="str">
        <f>IFERROR(__xludf.DUMMYFUNCTION("""COMPUTED_VALUE"""),"LONGITUD")</f>
        <v>LONGITUD</v>
      </c>
      <c r="D3243" s="36" t="str">
        <f>IFERROR(__xludf.DUMMYFUNCTION("""COMPUTED_VALUE"""),"ERROR DE ID")</f>
        <v>ERROR DE ID</v>
      </c>
      <c r="E3243" s="36"/>
      <c r="F3243" s="36"/>
      <c r="G3243" s="36"/>
      <c r="H3243" s="36"/>
    </row>
    <row r="3244">
      <c r="A3244" s="36"/>
      <c r="B3244" s="36" t="str">
        <f>IFERROR(__xludf.DUMMYFUNCTION("""COMPUTED_VALUE"""),"LATITUD")</f>
        <v>LATITUD</v>
      </c>
      <c r="C3244" s="36" t="str">
        <f>IFERROR(__xludf.DUMMYFUNCTION("""COMPUTED_VALUE"""),"LONGITUD")</f>
        <v>LONGITUD</v>
      </c>
      <c r="D3244" s="36" t="str">
        <f>IFERROR(__xludf.DUMMYFUNCTION("""COMPUTED_VALUE"""),"ERROR DE ID")</f>
        <v>ERROR DE ID</v>
      </c>
      <c r="E3244" s="36"/>
      <c r="F3244" s="36"/>
      <c r="G3244" s="36"/>
      <c r="H3244" s="36"/>
    </row>
    <row r="3245">
      <c r="A3245" s="36"/>
      <c r="B3245" s="36" t="str">
        <f>IFERROR(__xludf.DUMMYFUNCTION("""COMPUTED_VALUE"""),"LATITUD")</f>
        <v>LATITUD</v>
      </c>
      <c r="C3245" s="36" t="str">
        <f>IFERROR(__xludf.DUMMYFUNCTION("""COMPUTED_VALUE"""),"LONGITUD")</f>
        <v>LONGITUD</v>
      </c>
      <c r="D3245" s="36" t="str">
        <f>IFERROR(__xludf.DUMMYFUNCTION("""COMPUTED_VALUE"""),"ERROR DE ID")</f>
        <v>ERROR DE ID</v>
      </c>
      <c r="E3245" s="36"/>
      <c r="F3245" s="36"/>
      <c r="G3245" s="36"/>
      <c r="H3245" s="36"/>
    </row>
    <row r="3246">
      <c r="A3246" s="36"/>
      <c r="B3246" s="36" t="str">
        <f>IFERROR(__xludf.DUMMYFUNCTION("""COMPUTED_VALUE"""),"LATITUD")</f>
        <v>LATITUD</v>
      </c>
      <c r="C3246" s="36" t="str">
        <f>IFERROR(__xludf.DUMMYFUNCTION("""COMPUTED_VALUE"""),"LONGITUD")</f>
        <v>LONGITUD</v>
      </c>
      <c r="D3246" s="36" t="str">
        <f>IFERROR(__xludf.DUMMYFUNCTION("""COMPUTED_VALUE"""),"ERROR DE ID")</f>
        <v>ERROR DE ID</v>
      </c>
      <c r="E3246" s="36"/>
      <c r="F3246" s="36"/>
      <c r="G3246" s="36"/>
      <c r="H3246" s="36"/>
    </row>
    <row r="3247">
      <c r="A3247" s="36"/>
      <c r="B3247" s="36" t="str">
        <f>IFERROR(__xludf.DUMMYFUNCTION("""COMPUTED_VALUE"""),"LATITUD")</f>
        <v>LATITUD</v>
      </c>
      <c r="C3247" s="36" t="str">
        <f>IFERROR(__xludf.DUMMYFUNCTION("""COMPUTED_VALUE"""),"LONGITUD")</f>
        <v>LONGITUD</v>
      </c>
      <c r="D3247" s="36" t="str">
        <f>IFERROR(__xludf.DUMMYFUNCTION("""COMPUTED_VALUE"""),"ERROR DE ID")</f>
        <v>ERROR DE ID</v>
      </c>
      <c r="E3247" s="36"/>
      <c r="F3247" s="36"/>
      <c r="G3247" s="36"/>
      <c r="H3247" s="36"/>
    </row>
    <row r="3248">
      <c r="A3248" s="36"/>
      <c r="B3248" s="36" t="str">
        <f>IFERROR(__xludf.DUMMYFUNCTION("""COMPUTED_VALUE"""),"LATITUD")</f>
        <v>LATITUD</v>
      </c>
      <c r="C3248" s="36" t="str">
        <f>IFERROR(__xludf.DUMMYFUNCTION("""COMPUTED_VALUE"""),"LONGITUD")</f>
        <v>LONGITUD</v>
      </c>
      <c r="D3248" s="36" t="str">
        <f>IFERROR(__xludf.DUMMYFUNCTION("""COMPUTED_VALUE"""),"ERROR DE ID")</f>
        <v>ERROR DE ID</v>
      </c>
      <c r="E3248" s="36"/>
      <c r="F3248" s="36"/>
      <c r="G3248" s="36"/>
      <c r="H3248" s="36"/>
    </row>
    <row r="3249">
      <c r="A3249" s="36"/>
      <c r="B3249" s="36" t="str">
        <f>IFERROR(__xludf.DUMMYFUNCTION("""COMPUTED_VALUE"""),"LATITUD")</f>
        <v>LATITUD</v>
      </c>
      <c r="C3249" s="36" t="str">
        <f>IFERROR(__xludf.DUMMYFUNCTION("""COMPUTED_VALUE"""),"LONGITUD")</f>
        <v>LONGITUD</v>
      </c>
      <c r="D3249" s="36" t="str">
        <f>IFERROR(__xludf.DUMMYFUNCTION("""COMPUTED_VALUE"""),"ERROR DE ID")</f>
        <v>ERROR DE ID</v>
      </c>
      <c r="E3249" s="36"/>
      <c r="F3249" s="36"/>
      <c r="G3249" s="36"/>
      <c r="H3249" s="36"/>
    </row>
    <row r="3250">
      <c r="A3250" s="36"/>
      <c r="B3250" s="36" t="str">
        <f>IFERROR(__xludf.DUMMYFUNCTION("""COMPUTED_VALUE"""),"LATITUD")</f>
        <v>LATITUD</v>
      </c>
      <c r="C3250" s="36" t="str">
        <f>IFERROR(__xludf.DUMMYFUNCTION("""COMPUTED_VALUE"""),"LONGITUD")</f>
        <v>LONGITUD</v>
      </c>
      <c r="D3250" s="36" t="str">
        <f>IFERROR(__xludf.DUMMYFUNCTION("""COMPUTED_VALUE"""),"ERROR DE ID")</f>
        <v>ERROR DE ID</v>
      </c>
      <c r="E3250" s="36"/>
      <c r="F3250" s="36"/>
      <c r="G3250" s="36"/>
      <c r="H3250" s="36"/>
    </row>
    <row r="3251">
      <c r="A3251" s="36"/>
      <c r="B3251" s="36" t="str">
        <f>IFERROR(__xludf.DUMMYFUNCTION("""COMPUTED_VALUE"""),"LATITUD")</f>
        <v>LATITUD</v>
      </c>
      <c r="C3251" s="36" t="str">
        <f>IFERROR(__xludf.DUMMYFUNCTION("""COMPUTED_VALUE"""),"LONGITUD")</f>
        <v>LONGITUD</v>
      </c>
      <c r="D3251" s="36" t="str">
        <f>IFERROR(__xludf.DUMMYFUNCTION("""COMPUTED_VALUE"""),"ERROR DE ID")</f>
        <v>ERROR DE ID</v>
      </c>
      <c r="E3251" s="36"/>
      <c r="F3251" s="36"/>
      <c r="G3251" s="36"/>
      <c r="H3251" s="36"/>
    </row>
    <row r="3252">
      <c r="A3252" s="36"/>
      <c r="B3252" s="36" t="str">
        <f>IFERROR(__xludf.DUMMYFUNCTION("""COMPUTED_VALUE"""),"LATITUD")</f>
        <v>LATITUD</v>
      </c>
      <c r="C3252" s="36" t="str">
        <f>IFERROR(__xludf.DUMMYFUNCTION("""COMPUTED_VALUE"""),"LONGITUD")</f>
        <v>LONGITUD</v>
      </c>
      <c r="D3252" s="36" t="str">
        <f>IFERROR(__xludf.DUMMYFUNCTION("""COMPUTED_VALUE"""),"ERROR DE ID")</f>
        <v>ERROR DE ID</v>
      </c>
      <c r="E3252" s="36"/>
      <c r="F3252" s="36"/>
      <c r="G3252" s="36"/>
      <c r="H3252" s="36"/>
    </row>
    <row r="3253">
      <c r="A3253" s="36"/>
      <c r="B3253" s="36" t="str">
        <f>IFERROR(__xludf.DUMMYFUNCTION("""COMPUTED_VALUE"""),"LATITUD")</f>
        <v>LATITUD</v>
      </c>
      <c r="C3253" s="36" t="str">
        <f>IFERROR(__xludf.DUMMYFUNCTION("""COMPUTED_VALUE"""),"LONGITUD")</f>
        <v>LONGITUD</v>
      </c>
      <c r="D3253" s="36" t="str">
        <f>IFERROR(__xludf.DUMMYFUNCTION("""COMPUTED_VALUE"""),"ERROR DE ID")</f>
        <v>ERROR DE ID</v>
      </c>
      <c r="E3253" s="36"/>
      <c r="F3253" s="36"/>
      <c r="G3253" s="36"/>
      <c r="H3253" s="36"/>
    </row>
    <row r="3254">
      <c r="A3254" s="36"/>
      <c r="B3254" s="36" t="str">
        <f>IFERROR(__xludf.DUMMYFUNCTION("""COMPUTED_VALUE"""),"LATITUD")</f>
        <v>LATITUD</v>
      </c>
      <c r="C3254" s="36" t="str">
        <f>IFERROR(__xludf.DUMMYFUNCTION("""COMPUTED_VALUE"""),"LONGITUD")</f>
        <v>LONGITUD</v>
      </c>
      <c r="D3254" s="36" t="str">
        <f>IFERROR(__xludf.DUMMYFUNCTION("""COMPUTED_VALUE"""),"ERROR DE ID")</f>
        <v>ERROR DE ID</v>
      </c>
      <c r="E3254" s="36"/>
      <c r="F3254" s="36"/>
      <c r="G3254" s="36"/>
      <c r="H3254" s="36"/>
    </row>
    <row r="3255">
      <c r="A3255" s="36"/>
      <c r="B3255" s="36" t="str">
        <f>IFERROR(__xludf.DUMMYFUNCTION("""COMPUTED_VALUE"""),"LATITUD")</f>
        <v>LATITUD</v>
      </c>
      <c r="C3255" s="36" t="str">
        <f>IFERROR(__xludf.DUMMYFUNCTION("""COMPUTED_VALUE"""),"LONGITUD")</f>
        <v>LONGITUD</v>
      </c>
      <c r="D3255" s="36" t="str">
        <f>IFERROR(__xludf.DUMMYFUNCTION("""COMPUTED_VALUE"""),"ERROR DE ID")</f>
        <v>ERROR DE ID</v>
      </c>
      <c r="E3255" s="36"/>
      <c r="F3255" s="36"/>
      <c r="G3255" s="36"/>
      <c r="H3255" s="36"/>
    </row>
    <row r="3256">
      <c r="A3256" s="36"/>
      <c r="B3256" s="36" t="str">
        <f>IFERROR(__xludf.DUMMYFUNCTION("""COMPUTED_VALUE"""),"LATITUD")</f>
        <v>LATITUD</v>
      </c>
      <c r="C3256" s="36" t="str">
        <f>IFERROR(__xludf.DUMMYFUNCTION("""COMPUTED_VALUE"""),"LONGITUD")</f>
        <v>LONGITUD</v>
      </c>
      <c r="D3256" s="36" t="str">
        <f>IFERROR(__xludf.DUMMYFUNCTION("""COMPUTED_VALUE"""),"ERROR DE ID")</f>
        <v>ERROR DE ID</v>
      </c>
      <c r="E3256" s="36"/>
      <c r="F3256" s="36"/>
      <c r="G3256" s="36"/>
      <c r="H3256" s="36"/>
    </row>
    <row r="3257">
      <c r="A3257" s="36"/>
      <c r="B3257" s="36" t="str">
        <f>IFERROR(__xludf.DUMMYFUNCTION("""COMPUTED_VALUE"""),"LATITUD")</f>
        <v>LATITUD</v>
      </c>
      <c r="C3257" s="36" t="str">
        <f>IFERROR(__xludf.DUMMYFUNCTION("""COMPUTED_VALUE"""),"LONGITUD")</f>
        <v>LONGITUD</v>
      </c>
      <c r="D3257" s="36" t="str">
        <f>IFERROR(__xludf.DUMMYFUNCTION("""COMPUTED_VALUE"""),"ERROR DE ID")</f>
        <v>ERROR DE ID</v>
      </c>
      <c r="E3257" s="36"/>
      <c r="F3257" s="36"/>
      <c r="G3257" s="36"/>
      <c r="H3257" s="36"/>
    </row>
    <row r="3258">
      <c r="A3258" s="36"/>
      <c r="B3258" s="36" t="str">
        <f>IFERROR(__xludf.DUMMYFUNCTION("""COMPUTED_VALUE"""),"LATITUD")</f>
        <v>LATITUD</v>
      </c>
      <c r="C3258" s="36" t="str">
        <f>IFERROR(__xludf.DUMMYFUNCTION("""COMPUTED_VALUE"""),"LONGITUD")</f>
        <v>LONGITUD</v>
      </c>
      <c r="D3258" s="36" t="str">
        <f>IFERROR(__xludf.DUMMYFUNCTION("""COMPUTED_VALUE"""),"ERROR DE ID")</f>
        <v>ERROR DE ID</v>
      </c>
      <c r="E3258" s="36"/>
      <c r="F3258" s="36"/>
      <c r="G3258" s="36"/>
      <c r="H3258" s="36"/>
    </row>
    <row r="3259">
      <c r="A3259" s="36"/>
      <c r="B3259" s="36" t="str">
        <f>IFERROR(__xludf.DUMMYFUNCTION("""COMPUTED_VALUE"""),"LATITUD")</f>
        <v>LATITUD</v>
      </c>
      <c r="C3259" s="36" t="str">
        <f>IFERROR(__xludf.DUMMYFUNCTION("""COMPUTED_VALUE"""),"LONGITUD")</f>
        <v>LONGITUD</v>
      </c>
      <c r="D3259" s="36" t="str">
        <f>IFERROR(__xludf.DUMMYFUNCTION("""COMPUTED_VALUE"""),"ERROR DE ID")</f>
        <v>ERROR DE ID</v>
      </c>
      <c r="E3259" s="36"/>
      <c r="F3259" s="36"/>
      <c r="G3259" s="36"/>
      <c r="H3259" s="36"/>
    </row>
    <row r="3260">
      <c r="A3260" s="36"/>
      <c r="B3260" s="36" t="str">
        <f>IFERROR(__xludf.DUMMYFUNCTION("""COMPUTED_VALUE"""),"LATITUD")</f>
        <v>LATITUD</v>
      </c>
      <c r="C3260" s="36" t="str">
        <f>IFERROR(__xludf.DUMMYFUNCTION("""COMPUTED_VALUE"""),"LONGITUD")</f>
        <v>LONGITUD</v>
      </c>
      <c r="D3260" s="36" t="str">
        <f>IFERROR(__xludf.DUMMYFUNCTION("""COMPUTED_VALUE"""),"ERROR DE ID")</f>
        <v>ERROR DE ID</v>
      </c>
      <c r="E3260" s="36"/>
      <c r="F3260" s="36"/>
      <c r="G3260" s="36"/>
      <c r="H3260" s="36"/>
    </row>
    <row r="3261">
      <c r="A3261" s="36"/>
      <c r="B3261" s="36" t="str">
        <f>IFERROR(__xludf.DUMMYFUNCTION("""COMPUTED_VALUE"""),"LATITUD")</f>
        <v>LATITUD</v>
      </c>
      <c r="C3261" s="36" t="str">
        <f>IFERROR(__xludf.DUMMYFUNCTION("""COMPUTED_VALUE"""),"LONGITUD")</f>
        <v>LONGITUD</v>
      </c>
      <c r="D3261" s="36" t="str">
        <f>IFERROR(__xludf.DUMMYFUNCTION("""COMPUTED_VALUE"""),"ERROR DE ID")</f>
        <v>ERROR DE ID</v>
      </c>
      <c r="E3261" s="36"/>
      <c r="F3261" s="36"/>
      <c r="G3261" s="36"/>
      <c r="H3261" s="36"/>
    </row>
    <row r="3262">
      <c r="A3262" s="36"/>
      <c r="B3262" s="36" t="str">
        <f>IFERROR(__xludf.DUMMYFUNCTION("""COMPUTED_VALUE"""),"LATITUD")</f>
        <v>LATITUD</v>
      </c>
      <c r="C3262" s="36" t="str">
        <f>IFERROR(__xludf.DUMMYFUNCTION("""COMPUTED_VALUE"""),"LONGITUD")</f>
        <v>LONGITUD</v>
      </c>
      <c r="D3262" s="36" t="str">
        <f>IFERROR(__xludf.DUMMYFUNCTION("""COMPUTED_VALUE"""),"ERROR DE ID")</f>
        <v>ERROR DE ID</v>
      </c>
      <c r="E3262" s="36"/>
      <c r="F3262" s="36"/>
      <c r="G3262" s="36"/>
      <c r="H3262" s="36"/>
    </row>
    <row r="3263">
      <c r="A3263" s="36"/>
      <c r="B3263" s="36" t="str">
        <f>IFERROR(__xludf.DUMMYFUNCTION("""COMPUTED_VALUE"""),"LATITUD")</f>
        <v>LATITUD</v>
      </c>
      <c r="C3263" s="36" t="str">
        <f>IFERROR(__xludf.DUMMYFUNCTION("""COMPUTED_VALUE"""),"LONGITUD")</f>
        <v>LONGITUD</v>
      </c>
      <c r="D3263" s="36" t="str">
        <f>IFERROR(__xludf.DUMMYFUNCTION("""COMPUTED_VALUE"""),"ERROR DE ID")</f>
        <v>ERROR DE ID</v>
      </c>
      <c r="E3263" s="36"/>
      <c r="F3263" s="36"/>
      <c r="G3263" s="36"/>
      <c r="H3263" s="36"/>
    </row>
    <row r="3264">
      <c r="A3264" s="36"/>
      <c r="B3264" s="36" t="str">
        <f>IFERROR(__xludf.DUMMYFUNCTION("""COMPUTED_VALUE"""),"LATITUD")</f>
        <v>LATITUD</v>
      </c>
      <c r="C3264" s="36" t="str">
        <f>IFERROR(__xludf.DUMMYFUNCTION("""COMPUTED_VALUE"""),"LONGITUD")</f>
        <v>LONGITUD</v>
      </c>
      <c r="D3264" s="36" t="str">
        <f>IFERROR(__xludf.DUMMYFUNCTION("""COMPUTED_VALUE"""),"ERROR DE ID")</f>
        <v>ERROR DE ID</v>
      </c>
      <c r="E3264" s="36"/>
      <c r="F3264" s="36"/>
      <c r="G3264" s="36"/>
      <c r="H3264" s="36"/>
    </row>
    <row r="3265">
      <c r="A3265" s="36"/>
      <c r="B3265" s="36" t="str">
        <f>IFERROR(__xludf.DUMMYFUNCTION("""COMPUTED_VALUE"""),"LATITUD")</f>
        <v>LATITUD</v>
      </c>
      <c r="C3265" s="36" t="str">
        <f>IFERROR(__xludf.DUMMYFUNCTION("""COMPUTED_VALUE"""),"LONGITUD")</f>
        <v>LONGITUD</v>
      </c>
      <c r="D3265" s="36" t="str">
        <f>IFERROR(__xludf.DUMMYFUNCTION("""COMPUTED_VALUE"""),"ERROR DE ID")</f>
        <v>ERROR DE ID</v>
      </c>
      <c r="E3265" s="36"/>
      <c r="F3265" s="36"/>
      <c r="G3265" s="36"/>
      <c r="H3265" s="36"/>
    </row>
    <row r="3266">
      <c r="A3266" s="36"/>
      <c r="B3266" s="36" t="str">
        <f>IFERROR(__xludf.DUMMYFUNCTION("""COMPUTED_VALUE"""),"LATITUD")</f>
        <v>LATITUD</v>
      </c>
      <c r="C3266" s="36" t="str">
        <f>IFERROR(__xludf.DUMMYFUNCTION("""COMPUTED_VALUE"""),"LONGITUD")</f>
        <v>LONGITUD</v>
      </c>
      <c r="D3266" s="36" t="str">
        <f>IFERROR(__xludf.DUMMYFUNCTION("""COMPUTED_VALUE"""),"ERROR DE ID")</f>
        <v>ERROR DE ID</v>
      </c>
      <c r="E3266" s="36"/>
      <c r="F3266" s="36"/>
      <c r="G3266" s="36"/>
      <c r="H3266" s="36"/>
    </row>
    <row r="3267">
      <c r="A3267" s="36"/>
      <c r="B3267" s="36" t="str">
        <f>IFERROR(__xludf.DUMMYFUNCTION("""COMPUTED_VALUE"""),"LATITUD")</f>
        <v>LATITUD</v>
      </c>
      <c r="C3267" s="36" t="str">
        <f>IFERROR(__xludf.DUMMYFUNCTION("""COMPUTED_VALUE"""),"LONGITUD")</f>
        <v>LONGITUD</v>
      </c>
      <c r="D3267" s="36" t="str">
        <f>IFERROR(__xludf.DUMMYFUNCTION("""COMPUTED_VALUE"""),"ERROR DE ID")</f>
        <v>ERROR DE ID</v>
      </c>
      <c r="E3267" s="36"/>
      <c r="F3267" s="36"/>
      <c r="G3267" s="36"/>
      <c r="H3267" s="36"/>
    </row>
    <row r="3268">
      <c r="A3268" s="36"/>
      <c r="B3268" s="36" t="str">
        <f>IFERROR(__xludf.DUMMYFUNCTION("""COMPUTED_VALUE"""),"LATITUD")</f>
        <v>LATITUD</v>
      </c>
      <c r="C3268" s="36" t="str">
        <f>IFERROR(__xludf.DUMMYFUNCTION("""COMPUTED_VALUE"""),"LONGITUD")</f>
        <v>LONGITUD</v>
      </c>
      <c r="D3268" s="36" t="str">
        <f>IFERROR(__xludf.DUMMYFUNCTION("""COMPUTED_VALUE"""),"ERROR DE ID")</f>
        <v>ERROR DE ID</v>
      </c>
      <c r="E3268" s="36"/>
      <c r="F3268" s="36"/>
      <c r="G3268" s="36"/>
      <c r="H3268" s="36"/>
    </row>
    <row r="3269">
      <c r="A3269" s="36"/>
      <c r="B3269" s="36" t="str">
        <f>IFERROR(__xludf.DUMMYFUNCTION("""COMPUTED_VALUE"""),"LATITUD")</f>
        <v>LATITUD</v>
      </c>
      <c r="C3269" s="36" t="str">
        <f>IFERROR(__xludf.DUMMYFUNCTION("""COMPUTED_VALUE"""),"LONGITUD")</f>
        <v>LONGITUD</v>
      </c>
      <c r="D3269" s="36" t="str">
        <f>IFERROR(__xludf.DUMMYFUNCTION("""COMPUTED_VALUE"""),"ERROR DE ID")</f>
        <v>ERROR DE ID</v>
      </c>
      <c r="E3269" s="36"/>
      <c r="F3269" s="36"/>
      <c r="G3269" s="36"/>
      <c r="H3269" s="36"/>
    </row>
    <row r="3270">
      <c r="A3270" s="36"/>
      <c r="B3270" s="36" t="str">
        <f>IFERROR(__xludf.DUMMYFUNCTION("""COMPUTED_VALUE"""),"LATITUD")</f>
        <v>LATITUD</v>
      </c>
      <c r="C3270" s="36" t="str">
        <f>IFERROR(__xludf.DUMMYFUNCTION("""COMPUTED_VALUE"""),"LONGITUD")</f>
        <v>LONGITUD</v>
      </c>
      <c r="D3270" s="36" t="str">
        <f>IFERROR(__xludf.DUMMYFUNCTION("""COMPUTED_VALUE"""),"ERROR DE ID")</f>
        <v>ERROR DE ID</v>
      </c>
      <c r="E3270" s="36"/>
      <c r="F3270" s="36"/>
      <c r="G3270" s="36"/>
      <c r="H3270" s="36"/>
    </row>
    <row r="3271">
      <c r="A3271" s="36"/>
      <c r="B3271" s="36" t="str">
        <f>IFERROR(__xludf.DUMMYFUNCTION("""COMPUTED_VALUE"""),"LATITUD")</f>
        <v>LATITUD</v>
      </c>
      <c r="C3271" s="36" t="str">
        <f>IFERROR(__xludf.DUMMYFUNCTION("""COMPUTED_VALUE"""),"LONGITUD")</f>
        <v>LONGITUD</v>
      </c>
      <c r="D3271" s="36" t="str">
        <f>IFERROR(__xludf.DUMMYFUNCTION("""COMPUTED_VALUE"""),"ERROR DE ID")</f>
        <v>ERROR DE ID</v>
      </c>
      <c r="E3271" s="36"/>
      <c r="F3271" s="36"/>
      <c r="G3271" s="36"/>
      <c r="H3271" s="36"/>
    </row>
    <row r="3272">
      <c r="A3272" s="36"/>
      <c r="B3272" s="36" t="str">
        <f>IFERROR(__xludf.DUMMYFUNCTION("""COMPUTED_VALUE"""),"LATITUD")</f>
        <v>LATITUD</v>
      </c>
      <c r="C3272" s="36" t="str">
        <f>IFERROR(__xludf.DUMMYFUNCTION("""COMPUTED_VALUE"""),"LONGITUD")</f>
        <v>LONGITUD</v>
      </c>
      <c r="D3272" s="36" t="str">
        <f>IFERROR(__xludf.DUMMYFUNCTION("""COMPUTED_VALUE"""),"ERROR DE ID")</f>
        <v>ERROR DE ID</v>
      </c>
      <c r="E3272" s="36"/>
      <c r="F3272" s="36"/>
      <c r="G3272" s="36"/>
      <c r="H3272" s="36"/>
    </row>
    <row r="3273">
      <c r="A3273" s="36"/>
      <c r="B3273" s="36" t="str">
        <f>IFERROR(__xludf.DUMMYFUNCTION("""COMPUTED_VALUE"""),"LATITUD")</f>
        <v>LATITUD</v>
      </c>
      <c r="C3273" s="36" t="str">
        <f>IFERROR(__xludf.DUMMYFUNCTION("""COMPUTED_VALUE"""),"LONGITUD")</f>
        <v>LONGITUD</v>
      </c>
      <c r="D3273" s="36" t="str">
        <f>IFERROR(__xludf.DUMMYFUNCTION("""COMPUTED_VALUE"""),"ERROR DE ID")</f>
        <v>ERROR DE ID</v>
      </c>
      <c r="E3273" s="36"/>
      <c r="F3273" s="36"/>
      <c r="G3273" s="36"/>
      <c r="H3273" s="36"/>
    </row>
    <row r="3274">
      <c r="A3274" s="36"/>
      <c r="B3274" s="36" t="str">
        <f>IFERROR(__xludf.DUMMYFUNCTION("""COMPUTED_VALUE"""),"LATITUD")</f>
        <v>LATITUD</v>
      </c>
      <c r="C3274" s="36" t="str">
        <f>IFERROR(__xludf.DUMMYFUNCTION("""COMPUTED_VALUE"""),"LONGITUD")</f>
        <v>LONGITUD</v>
      </c>
      <c r="D3274" s="36" t="str">
        <f>IFERROR(__xludf.DUMMYFUNCTION("""COMPUTED_VALUE"""),"ERROR DE ID")</f>
        <v>ERROR DE ID</v>
      </c>
      <c r="E3274" s="36"/>
      <c r="F3274" s="36"/>
      <c r="G3274" s="36"/>
      <c r="H3274" s="36"/>
    </row>
    <row r="3275">
      <c r="A3275" s="36"/>
      <c r="B3275" s="36" t="str">
        <f>IFERROR(__xludf.DUMMYFUNCTION("""COMPUTED_VALUE"""),"LATITUD")</f>
        <v>LATITUD</v>
      </c>
      <c r="C3275" s="36" t="str">
        <f>IFERROR(__xludf.DUMMYFUNCTION("""COMPUTED_VALUE"""),"LONGITUD")</f>
        <v>LONGITUD</v>
      </c>
      <c r="D3275" s="36" t="str">
        <f>IFERROR(__xludf.DUMMYFUNCTION("""COMPUTED_VALUE"""),"ERROR DE ID")</f>
        <v>ERROR DE ID</v>
      </c>
      <c r="E3275" s="36"/>
      <c r="F3275" s="36"/>
      <c r="G3275" s="36"/>
      <c r="H3275" s="36"/>
    </row>
    <row r="3276">
      <c r="A3276" s="36"/>
      <c r="B3276" s="36" t="str">
        <f>IFERROR(__xludf.DUMMYFUNCTION("""COMPUTED_VALUE"""),"LATITUD")</f>
        <v>LATITUD</v>
      </c>
      <c r="C3276" s="36" t="str">
        <f>IFERROR(__xludf.DUMMYFUNCTION("""COMPUTED_VALUE"""),"LONGITUD")</f>
        <v>LONGITUD</v>
      </c>
      <c r="D3276" s="36" t="str">
        <f>IFERROR(__xludf.DUMMYFUNCTION("""COMPUTED_VALUE"""),"ERROR DE ID")</f>
        <v>ERROR DE ID</v>
      </c>
      <c r="E3276" s="36"/>
      <c r="F3276" s="36"/>
      <c r="G3276" s="36"/>
      <c r="H3276" s="36"/>
    </row>
    <row r="3277">
      <c r="A3277" s="36"/>
      <c r="B3277" s="36" t="str">
        <f>IFERROR(__xludf.DUMMYFUNCTION("""COMPUTED_VALUE"""),"LATITUD")</f>
        <v>LATITUD</v>
      </c>
      <c r="C3277" s="36" t="str">
        <f>IFERROR(__xludf.DUMMYFUNCTION("""COMPUTED_VALUE"""),"LONGITUD")</f>
        <v>LONGITUD</v>
      </c>
      <c r="D3277" s="36" t="str">
        <f>IFERROR(__xludf.DUMMYFUNCTION("""COMPUTED_VALUE"""),"ERROR DE ID")</f>
        <v>ERROR DE ID</v>
      </c>
      <c r="E3277" s="36"/>
      <c r="F3277" s="36"/>
      <c r="G3277" s="36"/>
      <c r="H3277" s="36"/>
    </row>
    <row r="3278">
      <c r="A3278" s="36"/>
      <c r="B3278" s="36" t="str">
        <f>IFERROR(__xludf.DUMMYFUNCTION("""COMPUTED_VALUE"""),"LATITUD")</f>
        <v>LATITUD</v>
      </c>
      <c r="C3278" s="36" t="str">
        <f>IFERROR(__xludf.DUMMYFUNCTION("""COMPUTED_VALUE"""),"LONGITUD")</f>
        <v>LONGITUD</v>
      </c>
      <c r="D3278" s="36" t="str">
        <f>IFERROR(__xludf.DUMMYFUNCTION("""COMPUTED_VALUE"""),"ERROR DE ID")</f>
        <v>ERROR DE ID</v>
      </c>
      <c r="E3278" s="36"/>
      <c r="F3278" s="36"/>
      <c r="G3278" s="36"/>
      <c r="H3278" s="36"/>
    </row>
    <row r="3279">
      <c r="A3279" s="36"/>
      <c r="B3279" s="36" t="str">
        <f>IFERROR(__xludf.DUMMYFUNCTION("""COMPUTED_VALUE"""),"LATITUD")</f>
        <v>LATITUD</v>
      </c>
      <c r="C3279" s="36" t="str">
        <f>IFERROR(__xludf.DUMMYFUNCTION("""COMPUTED_VALUE"""),"LONGITUD")</f>
        <v>LONGITUD</v>
      </c>
      <c r="D3279" s="36" t="str">
        <f>IFERROR(__xludf.DUMMYFUNCTION("""COMPUTED_VALUE"""),"ERROR DE ID")</f>
        <v>ERROR DE ID</v>
      </c>
      <c r="E3279" s="36"/>
      <c r="F3279" s="36"/>
      <c r="G3279" s="36"/>
      <c r="H3279" s="36"/>
    </row>
    <row r="3280">
      <c r="A3280" s="36"/>
      <c r="B3280" s="36" t="str">
        <f>IFERROR(__xludf.DUMMYFUNCTION("""COMPUTED_VALUE"""),"LATITUD")</f>
        <v>LATITUD</v>
      </c>
      <c r="C3280" s="36" t="str">
        <f>IFERROR(__xludf.DUMMYFUNCTION("""COMPUTED_VALUE"""),"LONGITUD")</f>
        <v>LONGITUD</v>
      </c>
      <c r="D3280" s="36" t="str">
        <f>IFERROR(__xludf.DUMMYFUNCTION("""COMPUTED_VALUE"""),"ERROR DE ID")</f>
        <v>ERROR DE ID</v>
      </c>
      <c r="E3280" s="36"/>
      <c r="F3280" s="36"/>
      <c r="G3280" s="36"/>
      <c r="H3280" s="36"/>
    </row>
    <row r="3281">
      <c r="A3281" s="36"/>
      <c r="B3281" s="36" t="str">
        <f>IFERROR(__xludf.DUMMYFUNCTION("""COMPUTED_VALUE"""),"LATITUD")</f>
        <v>LATITUD</v>
      </c>
      <c r="C3281" s="36" t="str">
        <f>IFERROR(__xludf.DUMMYFUNCTION("""COMPUTED_VALUE"""),"LONGITUD")</f>
        <v>LONGITUD</v>
      </c>
      <c r="D3281" s="36" t="str">
        <f>IFERROR(__xludf.DUMMYFUNCTION("""COMPUTED_VALUE"""),"ERROR DE ID")</f>
        <v>ERROR DE ID</v>
      </c>
      <c r="E3281" s="36"/>
      <c r="F3281" s="36"/>
      <c r="G3281" s="36"/>
      <c r="H3281" s="36"/>
    </row>
    <row r="3282">
      <c r="A3282" s="36"/>
      <c r="B3282" s="36" t="str">
        <f>IFERROR(__xludf.DUMMYFUNCTION("""COMPUTED_VALUE"""),"LATITUD")</f>
        <v>LATITUD</v>
      </c>
      <c r="C3282" s="36" t="str">
        <f>IFERROR(__xludf.DUMMYFUNCTION("""COMPUTED_VALUE"""),"LONGITUD")</f>
        <v>LONGITUD</v>
      </c>
      <c r="D3282" s="36" t="str">
        <f>IFERROR(__xludf.DUMMYFUNCTION("""COMPUTED_VALUE"""),"ERROR DE ID")</f>
        <v>ERROR DE ID</v>
      </c>
      <c r="E3282" s="36"/>
      <c r="F3282" s="36"/>
      <c r="G3282" s="36"/>
      <c r="H3282" s="36"/>
    </row>
    <row r="3283">
      <c r="A3283" s="36"/>
      <c r="B3283" s="36" t="str">
        <f>IFERROR(__xludf.DUMMYFUNCTION("""COMPUTED_VALUE"""),"LATITUD")</f>
        <v>LATITUD</v>
      </c>
      <c r="C3283" s="36" t="str">
        <f>IFERROR(__xludf.DUMMYFUNCTION("""COMPUTED_VALUE"""),"LONGITUD")</f>
        <v>LONGITUD</v>
      </c>
      <c r="D3283" s="36" t="str">
        <f>IFERROR(__xludf.DUMMYFUNCTION("""COMPUTED_VALUE"""),"ERROR DE ID")</f>
        <v>ERROR DE ID</v>
      </c>
      <c r="E3283" s="36"/>
      <c r="F3283" s="36"/>
      <c r="G3283" s="36"/>
      <c r="H3283" s="36"/>
    </row>
    <row r="3284">
      <c r="A3284" s="36"/>
      <c r="B3284" s="36" t="str">
        <f>IFERROR(__xludf.DUMMYFUNCTION("""COMPUTED_VALUE"""),"LATITUD")</f>
        <v>LATITUD</v>
      </c>
      <c r="C3284" s="36" t="str">
        <f>IFERROR(__xludf.DUMMYFUNCTION("""COMPUTED_VALUE"""),"LONGITUD")</f>
        <v>LONGITUD</v>
      </c>
      <c r="D3284" s="36" t="str">
        <f>IFERROR(__xludf.DUMMYFUNCTION("""COMPUTED_VALUE"""),"ERROR DE ID")</f>
        <v>ERROR DE ID</v>
      </c>
      <c r="E3284" s="36"/>
      <c r="F3284" s="36"/>
      <c r="G3284" s="36"/>
      <c r="H3284" s="36"/>
    </row>
    <row r="3285">
      <c r="A3285" s="36"/>
      <c r="B3285" s="36" t="str">
        <f>IFERROR(__xludf.DUMMYFUNCTION("""COMPUTED_VALUE"""),"LATITUD")</f>
        <v>LATITUD</v>
      </c>
      <c r="C3285" s="36" t="str">
        <f>IFERROR(__xludf.DUMMYFUNCTION("""COMPUTED_VALUE"""),"LONGITUD")</f>
        <v>LONGITUD</v>
      </c>
      <c r="D3285" s="36" t="str">
        <f>IFERROR(__xludf.DUMMYFUNCTION("""COMPUTED_VALUE"""),"ERROR DE ID")</f>
        <v>ERROR DE ID</v>
      </c>
      <c r="E3285" s="36"/>
      <c r="F3285" s="36"/>
      <c r="G3285" s="36"/>
      <c r="H3285" s="36"/>
    </row>
    <row r="3286">
      <c r="A3286" s="36"/>
      <c r="B3286" s="36" t="str">
        <f>IFERROR(__xludf.DUMMYFUNCTION("""COMPUTED_VALUE"""),"LATITUD")</f>
        <v>LATITUD</v>
      </c>
      <c r="C3286" s="36" t="str">
        <f>IFERROR(__xludf.DUMMYFUNCTION("""COMPUTED_VALUE"""),"LONGITUD")</f>
        <v>LONGITUD</v>
      </c>
      <c r="D3286" s="36" t="str">
        <f>IFERROR(__xludf.DUMMYFUNCTION("""COMPUTED_VALUE"""),"ERROR DE ID")</f>
        <v>ERROR DE ID</v>
      </c>
      <c r="E3286" s="36"/>
      <c r="F3286" s="36"/>
      <c r="G3286" s="36"/>
      <c r="H3286" s="36"/>
    </row>
    <row r="3287">
      <c r="A3287" s="36"/>
      <c r="B3287" s="36" t="str">
        <f>IFERROR(__xludf.DUMMYFUNCTION("""COMPUTED_VALUE"""),"LATITUD")</f>
        <v>LATITUD</v>
      </c>
      <c r="C3287" s="36" t="str">
        <f>IFERROR(__xludf.DUMMYFUNCTION("""COMPUTED_VALUE"""),"LONGITUD")</f>
        <v>LONGITUD</v>
      </c>
      <c r="D3287" s="36" t="str">
        <f>IFERROR(__xludf.DUMMYFUNCTION("""COMPUTED_VALUE"""),"ERROR DE ID")</f>
        <v>ERROR DE ID</v>
      </c>
      <c r="E3287" s="36"/>
      <c r="F3287" s="36"/>
      <c r="G3287" s="36"/>
      <c r="H3287" s="36"/>
    </row>
    <row r="3288">
      <c r="A3288" s="36"/>
      <c r="B3288" s="36" t="str">
        <f>IFERROR(__xludf.DUMMYFUNCTION("""COMPUTED_VALUE"""),"LATITUD")</f>
        <v>LATITUD</v>
      </c>
      <c r="C3288" s="36" t="str">
        <f>IFERROR(__xludf.DUMMYFUNCTION("""COMPUTED_VALUE"""),"LONGITUD")</f>
        <v>LONGITUD</v>
      </c>
      <c r="D3288" s="36" t="str">
        <f>IFERROR(__xludf.DUMMYFUNCTION("""COMPUTED_VALUE"""),"ERROR DE ID")</f>
        <v>ERROR DE ID</v>
      </c>
      <c r="E3288" s="36"/>
      <c r="F3288" s="36"/>
      <c r="G3288" s="36"/>
      <c r="H3288" s="36"/>
    </row>
    <row r="3289">
      <c r="A3289" s="36"/>
      <c r="B3289" s="36" t="str">
        <f>IFERROR(__xludf.DUMMYFUNCTION("""COMPUTED_VALUE"""),"LATITUD")</f>
        <v>LATITUD</v>
      </c>
      <c r="C3289" s="36" t="str">
        <f>IFERROR(__xludf.DUMMYFUNCTION("""COMPUTED_VALUE"""),"LONGITUD")</f>
        <v>LONGITUD</v>
      </c>
      <c r="D3289" s="36" t="str">
        <f>IFERROR(__xludf.DUMMYFUNCTION("""COMPUTED_VALUE"""),"ERROR DE ID")</f>
        <v>ERROR DE ID</v>
      </c>
      <c r="E3289" s="36"/>
      <c r="F3289" s="36"/>
      <c r="G3289" s="36"/>
      <c r="H3289" s="36"/>
    </row>
    <row r="3290">
      <c r="A3290" s="36"/>
      <c r="B3290" s="36" t="str">
        <f>IFERROR(__xludf.DUMMYFUNCTION("""COMPUTED_VALUE"""),"LATITUD")</f>
        <v>LATITUD</v>
      </c>
      <c r="C3290" s="36" t="str">
        <f>IFERROR(__xludf.DUMMYFUNCTION("""COMPUTED_VALUE"""),"LONGITUD")</f>
        <v>LONGITUD</v>
      </c>
      <c r="D3290" s="36" t="str">
        <f>IFERROR(__xludf.DUMMYFUNCTION("""COMPUTED_VALUE"""),"ERROR DE ID")</f>
        <v>ERROR DE ID</v>
      </c>
      <c r="E3290" s="36"/>
      <c r="F3290" s="36"/>
      <c r="G3290" s="36"/>
      <c r="H3290" s="36"/>
    </row>
    <row r="3291">
      <c r="A3291" s="36"/>
      <c r="B3291" s="36" t="str">
        <f>IFERROR(__xludf.DUMMYFUNCTION("""COMPUTED_VALUE"""),"LATITUD")</f>
        <v>LATITUD</v>
      </c>
      <c r="C3291" s="36" t="str">
        <f>IFERROR(__xludf.DUMMYFUNCTION("""COMPUTED_VALUE"""),"LONGITUD")</f>
        <v>LONGITUD</v>
      </c>
      <c r="D3291" s="36" t="str">
        <f>IFERROR(__xludf.DUMMYFUNCTION("""COMPUTED_VALUE"""),"ERROR DE ID")</f>
        <v>ERROR DE ID</v>
      </c>
      <c r="E3291" s="36"/>
      <c r="F3291" s="36"/>
      <c r="G3291" s="36"/>
      <c r="H3291" s="36"/>
    </row>
    <row r="3292">
      <c r="A3292" s="36"/>
      <c r="B3292" s="36" t="str">
        <f>IFERROR(__xludf.DUMMYFUNCTION("""COMPUTED_VALUE"""),"LATITUD")</f>
        <v>LATITUD</v>
      </c>
      <c r="C3292" s="36" t="str">
        <f>IFERROR(__xludf.DUMMYFUNCTION("""COMPUTED_VALUE"""),"LONGITUD")</f>
        <v>LONGITUD</v>
      </c>
      <c r="D3292" s="36" t="str">
        <f>IFERROR(__xludf.DUMMYFUNCTION("""COMPUTED_VALUE"""),"ERROR DE ID")</f>
        <v>ERROR DE ID</v>
      </c>
      <c r="E3292" s="36"/>
      <c r="F3292" s="36"/>
      <c r="G3292" s="36"/>
      <c r="H3292" s="36"/>
    </row>
    <row r="3293">
      <c r="A3293" s="36"/>
      <c r="B3293" s="36" t="str">
        <f>IFERROR(__xludf.DUMMYFUNCTION("""COMPUTED_VALUE"""),"LATITUD")</f>
        <v>LATITUD</v>
      </c>
      <c r="C3293" s="36" t="str">
        <f>IFERROR(__xludf.DUMMYFUNCTION("""COMPUTED_VALUE"""),"LONGITUD")</f>
        <v>LONGITUD</v>
      </c>
      <c r="D3293" s="36" t="str">
        <f>IFERROR(__xludf.DUMMYFUNCTION("""COMPUTED_VALUE"""),"ERROR DE ID")</f>
        <v>ERROR DE ID</v>
      </c>
      <c r="E3293" s="36"/>
      <c r="F3293" s="36"/>
      <c r="G3293" s="36"/>
      <c r="H3293" s="36"/>
    </row>
    <row r="3294">
      <c r="A3294" s="36"/>
      <c r="B3294" s="36" t="str">
        <f>IFERROR(__xludf.DUMMYFUNCTION("""COMPUTED_VALUE"""),"LATITUD")</f>
        <v>LATITUD</v>
      </c>
      <c r="C3294" s="36" t="str">
        <f>IFERROR(__xludf.DUMMYFUNCTION("""COMPUTED_VALUE"""),"LONGITUD")</f>
        <v>LONGITUD</v>
      </c>
      <c r="D3294" s="36" t="str">
        <f>IFERROR(__xludf.DUMMYFUNCTION("""COMPUTED_VALUE"""),"ERROR DE ID")</f>
        <v>ERROR DE ID</v>
      </c>
      <c r="E3294" s="36"/>
      <c r="F3294" s="36"/>
      <c r="G3294" s="36"/>
      <c r="H3294" s="36"/>
    </row>
    <row r="3295">
      <c r="A3295" s="36"/>
      <c r="B3295" s="36" t="str">
        <f>IFERROR(__xludf.DUMMYFUNCTION("""COMPUTED_VALUE"""),"LATITUD")</f>
        <v>LATITUD</v>
      </c>
      <c r="C3295" s="36" t="str">
        <f>IFERROR(__xludf.DUMMYFUNCTION("""COMPUTED_VALUE"""),"LONGITUD")</f>
        <v>LONGITUD</v>
      </c>
      <c r="D3295" s="36" t="str">
        <f>IFERROR(__xludf.DUMMYFUNCTION("""COMPUTED_VALUE"""),"ERROR DE ID")</f>
        <v>ERROR DE ID</v>
      </c>
      <c r="E3295" s="36"/>
      <c r="F3295" s="36"/>
      <c r="G3295" s="36"/>
      <c r="H3295" s="36"/>
    </row>
    <row r="3296">
      <c r="A3296" s="36"/>
      <c r="B3296" s="36" t="str">
        <f>IFERROR(__xludf.DUMMYFUNCTION("""COMPUTED_VALUE"""),"LATITUD")</f>
        <v>LATITUD</v>
      </c>
      <c r="C3296" s="36" t="str">
        <f>IFERROR(__xludf.DUMMYFUNCTION("""COMPUTED_VALUE"""),"LONGITUD")</f>
        <v>LONGITUD</v>
      </c>
      <c r="D3296" s="36" t="str">
        <f>IFERROR(__xludf.DUMMYFUNCTION("""COMPUTED_VALUE"""),"ERROR DE ID")</f>
        <v>ERROR DE ID</v>
      </c>
      <c r="E3296" s="36"/>
      <c r="F3296" s="36"/>
      <c r="G3296" s="36"/>
      <c r="H3296" s="36"/>
    </row>
    <row r="3297">
      <c r="A3297" s="36"/>
      <c r="B3297" s="36" t="str">
        <f>IFERROR(__xludf.DUMMYFUNCTION("""COMPUTED_VALUE"""),"LATITUD")</f>
        <v>LATITUD</v>
      </c>
      <c r="C3297" s="36" t="str">
        <f>IFERROR(__xludf.DUMMYFUNCTION("""COMPUTED_VALUE"""),"LONGITUD")</f>
        <v>LONGITUD</v>
      </c>
      <c r="D3297" s="36" t="str">
        <f>IFERROR(__xludf.DUMMYFUNCTION("""COMPUTED_VALUE"""),"ERROR DE ID")</f>
        <v>ERROR DE ID</v>
      </c>
      <c r="E3297" s="36"/>
      <c r="F3297" s="36"/>
      <c r="G3297" s="36"/>
      <c r="H3297" s="36"/>
    </row>
    <row r="3298">
      <c r="A3298" s="36"/>
      <c r="B3298" s="36" t="str">
        <f>IFERROR(__xludf.DUMMYFUNCTION("""COMPUTED_VALUE"""),"LATITUD")</f>
        <v>LATITUD</v>
      </c>
      <c r="C3298" s="36" t="str">
        <f>IFERROR(__xludf.DUMMYFUNCTION("""COMPUTED_VALUE"""),"LONGITUD")</f>
        <v>LONGITUD</v>
      </c>
      <c r="D3298" s="36" t="str">
        <f>IFERROR(__xludf.DUMMYFUNCTION("""COMPUTED_VALUE"""),"ERROR DE ID")</f>
        <v>ERROR DE ID</v>
      </c>
      <c r="E3298" s="36"/>
      <c r="F3298" s="36"/>
      <c r="G3298" s="36"/>
      <c r="H3298" s="36"/>
    </row>
    <row r="3299">
      <c r="A3299" s="36"/>
      <c r="B3299" s="36" t="str">
        <f>IFERROR(__xludf.DUMMYFUNCTION("""COMPUTED_VALUE"""),"LATITUD")</f>
        <v>LATITUD</v>
      </c>
      <c r="C3299" s="36" t="str">
        <f>IFERROR(__xludf.DUMMYFUNCTION("""COMPUTED_VALUE"""),"LONGITUD")</f>
        <v>LONGITUD</v>
      </c>
      <c r="D3299" s="36" t="str">
        <f>IFERROR(__xludf.DUMMYFUNCTION("""COMPUTED_VALUE"""),"ERROR DE ID")</f>
        <v>ERROR DE ID</v>
      </c>
      <c r="E3299" s="36"/>
      <c r="F3299" s="36"/>
      <c r="G3299" s="36"/>
      <c r="H3299" s="36"/>
    </row>
    <row r="3300">
      <c r="A3300" s="36"/>
      <c r="B3300" s="36" t="str">
        <f>IFERROR(__xludf.DUMMYFUNCTION("""COMPUTED_VALUE"""),"LATITUD")</f>
        <v>LATITUD</v>
      </c>
      <c r="C3300" s="36" t="str">
        <f>IFERROR(__xludf.DUMMYFUNCTION("""COMPUTED_VALUE"""),"LONGITUD")</f>
        <v>LONGITUD</v>
      </c>
      <c r="D3300" s="36" t="str">
        <f>IFERROR(__xludf.DUMMYFUNCTION("""COMPUTED_VALUE"""),"ERROR DE ID")</f>
        <v>ERROR DE ID</v>
      </c>
      <c r="E3300" s="36"/>
      <c r="F3300" s="36"/>
      <c r="G3300" s="36"/>
      <c r="H3300" s="36"/>
    </row>
    <row r="3301">
      <c r="A3301" s="36"/>
      <c r="B3301" s="36" t="str">
        <f>IFERROR(__xludf.DUMMYFUNCTION("""COMPUTED_VALUE"""),"LATITUD")</f>
        <v>LATITUD</v>
      </c>
      <c r="C3301" s="36" t="str">
        <f>IFERROR(__xludf.DUMMYFUNCTION("""COMPUTED_VALUE"""),"LONGITUD")</f>
        <v>LONGITUD</v>
      </c>
      <c r="D3301" s="36" t="str">
        <f>IFERROR(__xludf.DUMMYFUNCTION("""COMPUTED_VALUE"""),"ERROR DE ID")</f>
        <v>ERROR DE ID</v>
      </c>
      <c r="E3301" s="36"/>
      <c r="F3301" s="36"/>
      <c r="G3301" s="36"/>
      <c r="H3301" s="36"/>
    </row>
    <row r="3302">
      <c r="A3302" s="36"/>
      <c r="B3302" s="36" t="str">
        <f>IFERROR(__xludf.DUMMYFUNCTION("""COMPUTED_VALUE"""),"LATITUD")</f>
        <v>LATITUD</v>
      </c>
      <c r="C3302" s="36" t="str">
        <f>IFERROR(__xludf.DUMMYFUNCTION("""COMPUTED_VALUE"""),"LONGITUD")</f>
        <v>LONGITUD</v>
      </c>
      <c r="D3302" s="36" t="str">
        <f>IFERROR(__xludf.DUMMYFUNCTION("""COMPUTED_VALUE"""),"ERROR DE ID")</f>
        <v>ERROR DE ID</v>
      </c>
      <c r="E3302" s="36"/>
      <c r="F3302" s="36"/>
      <c r="G3302" s="36"/>
      <c r="H3302" s="36"/>
    </row>
    <row r="3303">
      <c r="A3303" s="36"/>
      <c r="B3303" s="36" t="str">
        <f>IFERROR(__xludf.DUMMYFUNCTION("""COMPUTED_VALUE"""),"LATITUD")</f>
        <v>LATITUD</v>
      </c>
      <c r="C3303" s="36" t="str">
        <f>IFERROR(__xludf.DUMMYFUNCTION("""COMPUTED_VALUE"""),"LONGITUD")</f>
        <v>LONGITUD</v>
      </c>
      <c r="D3303" s="36" t="str">
        <f>IFERROR(__xludf.DUMMYFUNCTION("""COMPUTED_VALUE"""),"ERROR DE ID")</f>
        <v>ERROR DE ID</v>
      </c>
      <c r="E3303" s="36"/>
      <c r="F3303" s="36"/>
      <c r="G3303" s="36"/>
      <c r="H3303" s="36"/>
    </row>
    <row r="3304">
      <c r="A3304" s="36"/>
      <c r="B3304" s="36" t="str">
        <f>IFERROR(__xludf.DUMMYFUNCTION("""COMPUTED_VALUE"""),"LATITUD")</f>
        <v>LATITUD</v>
      </c>
      <c r="C3304" s="36" t="str">
        <f>IFERROR(__xludf.DUMMYFUNCTION("""COMPUTED_VALUE"""),"LONGITUD")</f>
        <v>LONGITUD</v>
      </c>
      <c r="D3304" s="36" t="str">
        <f>IFERROR(__xludf.DUMMYFUNCTION("""COMPUTED_VALUE"""),"ERROR DE ID")</f>
        <v>ERROR DE ID</v>
      </c>
      <c r="E3304" s="36"/>
      <c r="F3304" s="36"/>
      <c r="G3304" s="36"/>
      <c r="H3304" s="36"/>
    </row>
    <row r="3305">
      <c r="A3305" s="36"/>
      <c r="B3305" s="36" t="str">
        <f>IFERROR(__xludf.DUMMYFUNCTION("""COMPUTED_VALUE"""),"LATITUD")</f>
        <v>LATITUD</v>
      </c>
      <c r="C3305" s="36" t="str">
        <f>IFERROR(__xludf.DUMMYFUNCTION("""COMPUTED_VALUE"""),"LONGITUD")</f>
        <v>LONGITUD</v>
      </c>
      <c r="D3305" s="36" t="str">
        <f>IFERROR(__xludf.DUMMYFUNCTION("""COMPUTED_VALUE"""),"ERROR DE ID")</f>
        <v>ERROR DE ID</v>
      </c>
      <c r="E3305" s="36"/>
      <c r="F3305" s="36"/>
      <c r="G3305" s="36"/>
      <c r="H3305" s="36"/>
    </row>
    <row r="3306">
      <c r="A3306" s="36"/>
      <c r="B3306" s="36" t="str">
        <f>IFERROR(__xludf.DUMMYFUNCTION("""COMPUTED_VALUE"""),"LATITUD")</f>
        <v>LATITUD</v>
      </c>
      <c r="C3306" s="36" t="str">
        <f>IFERROR(__xludf.DUMMYFUNCTION("""COMPUTED_VALUE"""),"LONGITUD")</f>
        <v>LONGITUD</v>
      </c>
      <c r="D3306" s="36" t="str">
        <f>IFERROR(__xludf.DUMMYFUNCTION("""COMPUTED_VALUE"""),"ERROR DE ID")</f>
        <v>ERROR DE ID</v>
      </c>
      <c r="E3306" s="36"/>
      <c r="F3306" s="36"/>
      <c r="G3306" s="36"/>
      <c r="H3306" s="36"/>
    </row>
    <row r="3307">
      <c r="A3307" s="36"/>
      <c r="B3307" s="36" t="str">
        <f>IFERROR(__xludf.DUMMYFUNCTION("""COMPUTED_VALUE"""),"LATITUD")</f>
        <v>LATITUD</v>
      </c>
      <c r="C3307" s="36" t="str">
        <f>IFERROR(__xludf.DUMMYFUNCTION("""COMPUTED_VALUE"""),"LONGITUD")</f>
        <v>LONGITUD</v>
      </c>
      <c r="D3307" s="36" t="str">
        <f>IFERROR(__xludf.DUMMYFUNCTION("""COMPUTED_VALUE"""),"ERROR DE ID")</f>
        <v>ERROR DE ID</v>
      </c>
      <c r="E3307" s="36"/>
      <c r="F3307" s="36"/>
      <c r="G3307" s="36"/>
      <c r="H3307" s="36"/>
    </row>
    <row r="3308">
      <c r="A3308" s="36"/>
      <c r="B3308" s="36" t="str">
        <f>IFERROR(__xludf.DUMMYFUNCTION("""COMPUTED_VALUE"""),"LATITUD")</f>
        <v>LATITUD</v>
      </c>
      <c r="C3308" s="36" t="str">
        <f>IFERROR(__xludf.DUMMYFUNCTION("""COMPUTED_VALUE"""),"LONGITUD")</f>
        <v>LONGITUD</v>
      </c>
      <c r="D3308" s="36" t="str">
        <f>IFERROR(__xludf.DUMMYFUNCTION("""COMPUTED_VALUE"""),"ERROR DE ID")</f>
        <v>ERROR DE ID</v>
      </c>
      <c r="E3308" s="36"/>
      <c r="F3308" s="36"/>
      <c r="G3308" s="36"/>
      <c r="H3308" s="36"/>
    </row>
    <row r="3309">
      <c r="A3309" s="36"/>
      <c r="B3309" s="36" t="str">
        <f>IFERROR(__xludf.DUMMYFUNCTION("""COMPUTED_VALUE"""),"LATITUD")</f>
        <v>LATITUD</v>
      </c>
      <c r="C3309" s="36" t="str">
        <f>IFERROR(__xludf.DUMMYFUNCTION("""COMPUTED_VALUE"""),"LONGITUD")</f>
        <v>LONGITUD</v>
      </c>
      <c r="D3309" s="36" t="str">
        <f>IFERROR(__xludf.DUMMYFUNCTION("""COMPUTED_VALUE"""),"ERROR DE ID")</f>
        <v>ERROR DE ID</v>
      </c>
      <c r="E3309" s="36"/>
      <c r="F3309" s="36"/>
      <c r="G3309" s="36"/>
      <c r="H3309" s="36"/>
    </row>
    <row r="3310">
      <c r="A3310" s="36"/>
      <c r="B3310" s="36" t="str">
        <f>IFERROR(__xludf.DUMMYFUNCTION("""COMPUTED_VALUE"""),"LATITUD")</f>
        <v>LATITUD</v>
      </c>
      <c r="C3310" s="36" t="str">
        <f>IFERROR(__xludf.DUMMYFUNCTION("""COMPUTED_VALUE"""),"LONGITUD")</f>
        <v>LONGITUD</v>
      </c>
      <c r="D3310" s="36" t="str">
        <f>IFERROR(__xludf.DUMMYFUNCTION("""COMPUTED_VALUE"""),"ERROR DE ID")</f>
        <v>ERROR DE ID</v>
      </c>
      <c r="E3310" s="36"/>
      <c r="F3310" s="36"/>
      <c r="G3310" s="36"/>
      <c r="H3310" s="36"/>
    </row>
    <row r="3311">
      <c r="A3311" s="36"/>
      <c r="B3311" s="36" t="str">
        <f>IFERROR(__xludf.DUMMYFUNCTION("""COMPUTED_VALUE"""),"LATITUD")</f>
        <v>LATITUD</v>
      </c>
      <c r="C3311" s="36" t="str">
        <f>IFERROR(__xludf.DUMMYFUNCTION("""COMPUTED_VALUE"""),"LONGITUD")</f>
        <v>LONGITUD</v>
      </c>
      <c r="D3311" s="36" t="str">
        <f>IFERROR(__xludf.DUMMYFUNCTION("""COMPUTED_VALUE"""),"ERROR DE ID")</f>
        <v>ERROR DE ID</v>
      </c>
      <c r="E3311" s="36"/>
      <c r="F3311" s="36"/>
      <c r="G3311" s="36"/>
      <c r="H3311" s="36"/>
    </row>
    <row r="3312">
      <c r="A3312" s="36"/>
      <c r="B3312" s="36" t="str">
        <f>IFERROR(__xludf.DUMMYFUNCTION("""COMPUTED_VALUE"""),"LATITUD")</f>
        <v>LATITUD</v>
      </c>
      <c r="C3312" s="36" t="str">
        <f>IFERROR(__xludf.DUMMYFUNCTION("""COMPUTED_VALUE"""),"LONGITUD")</f>
        <v>LONGITUD</v>
      </c>
      <c r="D3312" s="36" t="str">
        <f>IFERROR(__xludf.DUMMYFUNCTION("""COMPUTED_VALUE"""),"ERROR DE ID")</f>
        <v>ERROR DE ID</v>
      </c>
      <c r="E3312" s="36"/>
      <c r="F3312" s="36"/>
      <c r="G3312" s="36"/>
      <c r="H3312" s="36"/>
    </row>
    <row r="3313">
      <c r="A3313" s="36"/>
      <c r="B3313" s="36" t="str">
        <f>IFERROR(__xludf.DUMMYFUNCTION("""COMPUTED_VALUE"""),"LATITUD")</f>
        <v>LATITUD</v>
      </c>
      <c r="C3313" s="36" t="str">
        <f>IFERROR(__xludf.DUMMYFUNCTION("""COMPUTED_VALUE"""),"LONGITUD")</f>
        <v>LONGITUD</v>
      </c>
      <c r="D3313" s="36" t="str">
        <f>IFERROR(__xludf.DUMMYFUNCTION("""COMPUTED_VALUE"""),"ERROR DE ID")</f>
        <v>ERROR DE ID</v>
      </c>
      <c r="E3313" s="36"/>
      <c r="F3313" s="36"/>
      <c r="G3313" s="36"/>
      <c r="H3313" s="36"/>
    </row>
    <row r="3314">
      <c r="A3314" s="36"/>
      <c r="B3314" s="36" t="str">
        <f>IFERROR(__xludf.DUMMYFUNCTION("""COMPUTED_VALUE"""),"LATITUD")</f>
        <v>LATITUD</v>
      </c>
      <c r="C3314" s="36" t="str">
        <f>IFERROR(__xludf.DUMMYFUNCTION("""COMPUTED_VALUE"""),"LONGITUD")</f>
        <v>LONGITUD</v>
      </c>
      <c r="D3314" s="36" t="str">
        <f>IFERROR(__xludf.DUMMYFUNCTION("""COMPUTED_VALUE"""),"ERROR DE ID")</f>
        <v>ERROR DE ID</v>
      </c>
      <c r="E3314" s="36"/>
      <c r="F3314" s="36"/>
      <c r="G3314" s="36"/>
      <c r="H3314" s="36"/>
    </row>
    <row r="3315">
      <c r="A3315" s="36"/>
      <c r="B3315" s="36" t="str">
        <f>IFERROR(__xludf.DUMMYFUNCTION("""COMPUTED_VALUE"""),"LATITUD")</f>
        <v>LATITUD</v>
      </c>
      <c r="C3315" s="36" t="str">
        <f>IFERROR(__xludf.DUMMYFUNCTION("""COMPUTED_VALUE"""),"LONGITUD")</f>
        <v>LONGITUD</v>
      </c>
      <c r="D3315" s="36" t="str">
        <f>IFERROR(__xludf.DUMMYFUNCTION("""COMPUTED_VALUE"""),"ERROR DE ID")</f>
        <v>ERROR DE ID</v>
      </c>
      <c r="E3315" s="36"/>
      <c r="F3315" s="36"/>
      <c r="G3315" s="36"/>
      <c r="H3315" s="36"/>
    </row>
    <row r="3316">
      <c r="A3316" s="36"/>
      <c r="B3316" s="36" t="str">
        <f>IFERROR(__xludf.DUMMYFUNCTION("""COMPUTED_VALUE"""),"LATITUD")</f>
        <v>LATITUD</v>
      </c>
      <c r="C3316" s="36" t="str">
        <f>IFERROR(__xludf.DUMMYFUNCTION("""COMPUTED_VALUE"""),"LONGITUD")</f>
        <v>LONGITUD</v>
      </c>
      <c r="D3316" s="36" t="str">
        <f>IFERROR(__xludf.DUMMYFUNCTION("""COMPUTED_VALUE"""),"ERROR DE ID")</f>
        <v>ERROR DE ID</v>
      </c>
      <c r="E3316" s="36"/>
      <c r="F3316" s="36"/>
      <c r="G3316" s="36"/>
      <c r="H3316" s="36"/>
    </row>
    <row r="3317">
      <c r="A3317" s="36"/>
      <c r="B3317" s="36" t="str">
        <f>IFERROR(__xludf.DUMMYFUNCTION("""COMPUTED_VALUE"""),"LATITUD")</f>
        <v>LATITUD</v>
      </c>
      <c r="C3317" s="36" t="str">
        <f>IFERROR(__xludf.DUMMYFUNCTION("""COMPUTED_VALUE"""),"LONGITUD")</f>
        <v>LONGITUD</v>
      </c>
      <c r="D3317" s="36" t="str">
        <f>IFERROR(__xludf.DUMMYFUNCTION("""COMPUTED_VALUE"""),"ERROR DE ID")</f>
        <v>ERROR DE ID</v>
      </c>
      <c r="E3317" s="36"/>
      <c r="F3317" s="36"/>
      <c r="G3317" s="36"/>
      <c r="H3317" s="36"/>
    </row>
    <row r="3318">
      <c r="A3318" s="36"/>
      <c r="B3318" s="36" t="str">
        <f>IFERROR(__xludf.DUMMYFUNCTION("""COMPUTED_VALUE"""),"LATITUD")</f>
        <v>LATITUD</v>
      </c>
      <c r="C3318" s="36" t="str">
        <f>IFERROR(__xludf.DUMMYFUNCTION("""COMPUTED_VALUE"""),"LONGITUD")</f>
        <v>LONGITUD</v>
      </c>
      <c r="D3318" s="36" t="str">
        <f>IFERROR(__xludf.DUMMYFUNCTION("""COMPUTED_VALUE"""),"ERROR DE ID")</f>
        <v>ERROR DE ID</v>
      </c>
      <c r="E3318" s="36"/>
      <c r="F3318" s="36"/>
      <c r="G3318" s="36"/>
      <c r="H3318" s="36"/>
    </row>
    <row r="3319">
      <c r="A3319" s="36"/>
      <c r="B3319" s="36" t="str">
        <f>IFERROR(__xludf.DUMMYFUNCTION("""COMPUTED_VALUE"""),"LATITUD")</f>
        <v>LATITUD</v>
      </c>
      <c r="C3319" s="36" t="str">
        <f>IFERROR(__xludf.DUMMYFUNCTION("""COMPUTED_VALUE"""),"LONGITUD")</f>
        <v>LONGITUD</v>
      </c>
      <c r="D3319" s="36" t="str">
        <f>IFERROR(__xludf.DUMMYFUNCTION("""COMPUTED_VALUE"""),"ERROR DE ID")</f>
        <v>ERROR DE ID</v>
      </c>
      <c r="E3319" s="36"/>
      <c r="F3319" s="36"/>
      <c r="G3319" s="36"/>
      <c r="H3319" s="36"/>
    </row>
    <row r="3320">
      <c r="A3320" s="36"/>
      <c r="B3320" s="36" t="str">
        <f>IFERROR(__xludf.DUMMYFUNCTION("""COMPUTED_VALUE"""),"LATITUD")</f>
        <v>LATITUD</v>
      </c>
      <c r="C3320" s="36" t="str">
        <f>IFERROR(__xludf.DUMMYFUNCTION("""COMPUTED_VALUE"""),"LONGITUD")</f>
        <v>LONGITUD</v>
      </c>
      <c r="D3320" s="36" t="str">
        <f>IFERROR(__xludf.DUMMYFUNCTION("""COMPUTED_VALUE"""),"ERROR DE ID")</f>
        <v>ERROR DE ID</v>
      </c>
      <c r="E3320" s="36"/>
      <c r="F3320" s="36"/>
      <c r="G3320" s="36"/>
      <c r="H3320" s="36"/>
    </row>
    <row r="3321">
      <c r="A3321" s="36"/>
      <c r="B3321" s="36" t="str">
        <f>IFERROR(__xludf.DUMMYFUNCTION("""COMPUTED_VALUE"""),"LATITUD")</f>
        <v>LATITUD</v>
      </c>
      <c r="C3321" s="36" t="str">
        <f>IFERROR(__xludf.DUMMYFUNCTION("""COMPUTED_VALUE"""),"LONGITUD")</f>
        <v>LONGITUD</v>
      </c>
      <c r="D3321" s="36" t="str">
        <f>IFERROR(__xludf.DUMMYFUNCTION("""COMPUTED_VALUE"""),"ERROR DE ID")</f>
        <v>ERROR DE ID</v>
      </c>
      <c r="E3321" s="36"/>
      <c r="F3321" s="36"/>
      <c r="G3321" s="36"/>
      <c r="H3321" s="36"/>
    </row>
    <row r="3322">
      <c r="A3322" s="36"/>
      <c r="B3322" s="36" t="str">
        <f>IFERROR(__xludf.DUMMYFUNCTION("""COMPUTED_VALUE"""),"LATITUD")</f>
        <v>LATITUD</v>
      </c>
      <c r="C3322" s="36" t="str">
        <f>IFERROR(__xludf.DUMMYFUNCTION("""COMPUTED_VALUE"""),"LONGITUD")</f>
        <v>LONGITUD</v>
      </c>
      <c r="D3322" s="36" t="str">
        <f>IFERROR(__xludf.DUMMYFUNCTION("""COMPUTED_VALUE"""),"ERROR DE ID")</f>
        <v>ERROR DE ID</v>
      </c>
      <c r="E3322" s="36"/>
      <c r="F3322" s="36"/>
      <c r="G3322" s="36"/>
      <c r="H3322" s="36"/>
    </row>
    <row r="3323">
      <c r="A3323" s="36"/>
      <c r="B3323" s="36" t="str">
        <f>IFERROR(__xludf.DUMMYFUNCTION("""COMPUTED_VALUE"""),"LATITUD")</f>
        <v>LATITUD</v>
      </c>
      <c r="C3323" s="36" t="str">
        <f>IFERROR(__xludf.DUMMYFUNCTION("""COMPUTED_VALUE"""),"LONGITUD")</f>
        <v>LONGITUD</v>
      </c>
      <c r="D3323" s="36" t="str">
        <f>IFERROR(__xludf.DUMMYFUNCTION("""COMPUTED_VALUE"""),"ERROR DE ID")</f>
        <v>ERROR DE ID</v>
      </c>
      <c r="E3323" s="36"/>
      <c r="F3323" s="36"/>
      <c r="G3323" s="36"/>
      <c r="H3323" s="36"/>
    </row>
    <row r="3324">
      <c r="A3324" s="36"/>
      <c r="B3324" s="36" t="str">
        <f>IFERROR(__xludf.DUMMYFUNCTION("""COMPUTED_VALUE"""),"LATITUD")</f>
        <v>LATITUD</v>
      </c>
      <c r="C3324" s="36" t="str">
        <f>IFERROR(__xludf.DUMMYFUNCTION("""COMPUTED_VALUE"""),"LONGITUD")</f>
        <v>LONGITUD</v>
      </c>
      <c r="D3324" s="36" t="str">
        <f>IFERROR(__xludf.DUMMYFUNCTION("""COMPUTED_VALUE"""),"ERROR DE ID")</f>
        <v>ERROR DE ID</v>
      </c>
      <c r="E3324" s="36"/>
      <c r="F3324" s="36"/>
      <c r="G3324" s="36"/>
      <c r="H3324" s="36"/>
    </row>
    <row r="3325">
      <c r="A3325" s="36"/>
      <c r="B3325" s="36" t="str">
        <f>IFERROR(__xludf.DUMMYFUNCTION("""COMPUTED_VALUE"""),"LATITUD")</f>
        <v>LATITUD</v>
      </c>
      <c r="C3325" s="36" t="str">
        <f>IFERROR(__xludf.DUMMYFUNCTION("""COMPUTED_VALUE"""),"LONGITUD")</f>
        <v>LONGITUD</v>
      </c>
      <c r="D3325" s="36" t="str">
        <f>IFERROR(__xludf.DUMMYFUNCTION("""COMPUTED_VALUE"""),"ERROR DE ID")</f>
        <v>ERROR DE ID</v>
      </c>
      <c r="E3325" s="36"/>
      <c r="F3325" s="36"/>
      <c r="G3325" s="36"/>
      <c r="H3325" s="36"/>
    </row>
    <row r="3326">
      <c r="A3326" s="36"/>
      <c r="B3326" s="36" t="str">
        <f>IFERROR(__xludf.DUMMYFUNCTION("""COMPUTED_VALUE"""),"LATITUD")</f>
        <v>LATITUD</v>
      </c>
      <c r="C3326" s="36" t="str">
        <f>IFERROR(__xludf.DUMMYFUNCTION("""COMPUTED_VALUE"""),"LONGITUD")</f>
        <v>LONGITUD</v>
      </c>
      <c r="D3326" s="36" t="str">
        <f>IFERROR(__xludf.DUMMYFUNCTION("""COMPUTED_VALUE"""),"ERROR DE ID")</f>
        <v>ERROR DE ID</v>
      </c>
      <c r="E3326" s="36"/>
      <c r="F3326" s="36"/>
      <c r="G3326" s="36"/>
      <c r="H3326" s="36"/>
    </row>
    <row r="3327">
      <c r="A3327" s="36"/>
      <c r="B3327" s="36" t="str">
        <f>IFERROR(__xludf.DUMMYFUNCTION("""COMPUTED_VALUE"""),"LATITUD")</f>
        <v>LATITUD</v>
      </c>
      <c r="C3327" s="36" t="str">
        <f>IFERROR(__xludf.DUMMYFUNCTION("""COMPUTED_VALUE"""),"LONGITUD")</f>
        <v>LONGITUD</v>
      </c>
      <c r="D3327" s="36" t="str">
        <f>IFERROR(__xludf.DUMMYFUNCTION("""COMPUTED_VALUE"""),"ERROR DE ID")</f>
        <v>ERROR DE ID</v>
      </c>
      <c r="E3327" s="36"/>
      <c r="F3327" s="36"/>
      <c r="G3327" s="36"/>
      <c r="H3327" s="36"/>
    </row>
    <row r="3328">
      <c r="A3328" s="36"/>
      <c r="B3328" s="36" t="str">
        <f>IFERROR(__xludf.DUMMYFUNCTION("""COMPUTED_VALUE"""),"LATITUD")</f>
        <v>LATITUD</v>
      </c>
      <c r="C3328" s="36" t="str">
        <f>IFERROR(__xludf.DUMMYFUNCTION("""COMPUTED_VALUE"""),"LONGITUD")</f>
        <v>LONGITUD</v>
      </c>
      <c r="D3328" s="36" t="str">
        <f>IFERROR(__xludf.DUMMYFUNCTION("""COMPUTED_VALUE"""),"ERROR DE ID")</f>
        <v>ERROR DE ID</v>
      </c>
      <c r="E3328" s="36"/>
      <c r="F3328" s="36"/>
      <c r="G3328" s="36"/>
      <c r="H3328" s="36"/>
    </row>
    <row r="3329">
      <c r="A3329" s="36"/>
      <c r="B3329" s="36" t="str">
        <f>IFERROR(__xludf.DUMMYFUNCTION("""COMPUTED_VALUE"""),"LATITUD")</f>
        <v>LATITUD</v>
      </c>
      <c r="C3329" s="36" t="str">
        <f>IFERROR(__xludf.DUMMYFUNCTION("""COMPUTED_VALUE"""),"LONGITUD")</f>
        <v>LONGITUD</v>
      </c>
      <c r="D3329" s="36" t="str">
        <f>IFERROR(__xludf.DUMMYFUNCTION("""COMPUTED_VALUE"""),"ERROR DE ID")</f>
        <v>ERROR DE ID</v>
      </c>
      <c r="E3329" s="36"/>
      <c r="F3329" s="36"/>
      <c r="G3329" s="36"/>
      <c r="H3329" s="36"/>
    </row>
    <row r="3330">
      <c r="A3330" s="36"/>
      <c r="B3330" s="36" t="str">
        <f>IFERROR(__xludf.DUMMYFUNCTION("""COMPUTED_VALUE"""),"LATITUD")</f>
        <v>LATITUD</v>
      </c>
      <c r="C3330" s="36" t="str">
        <f>IFERROR(__xludf.DUMMYFUNCTION("""COMPUTED_VALUE"""),"LONGITUD")</f>
        <v>LONGITUD</v>
      </c>
      <c r="D3330" s="36" t="str">
        <f>IFERROR(__xludf.DUMMYFUNCTION("""COMPUTED_VALUE"""),"ERROR DE ID")</f>
        <v>ERROR DE ID</v>
      </c>
      <c r="E3330" s="36"/>
      <c r="F3330" s="36"/>
      <c r="G3330" s="36"/>
      <c r="H3330" s="36"/>
    </row>
    <row r="3331">
      <c r="A3331" s="36"/>
      <c r="B3331" s="36" t="str">
        <f>IFERROR(__xludf.DUMMYFUNCTION("""COMPUTED_VALUE"""),"LATITUD")</f>
        <v>LATITUD</v>
      </c>
      <c r="C3331" s="36" t="str">
        <f>IFERROR(__xludf.DUMMYFUNCTION("""COMPUTED_VALUE"""),"LONGITUD")</f>
        <v>LONGITUD</v>
      </c>
      <c r="D3331" s="36" t="str">
        <f>IFERROR(__xludf.DUMMYFUNCTION("""COMPUTED_VALUE"""),"ERROR DE ID")</f>
        <v>ERROR DE ID</v>
      </c>
      <c r="E3331" s="36"/>
      <c r="F3331" s="36"/>
      <c r="G3331" s="36"/>
      <c r="H3331" s="36"/>
    </row>
    <row r="3332">
      <c r="A3332" s="36"/>
      <c r="B3332" s="36" t="str">
        <f>IFERROR(__xludf.DUMMYFUNCTION("""COMPUTED_VALUE"""),"LATITUD")</f>
        <v>LATITUD</v>
      </c>
      <c r="C3332" s="36" t="str">
        <f>IFERROR(__xludf.DUMMYFUNCTION("""COMPUTED_VALUE"""),"LONGITUD")</f>
        <v>LONGITUD</v>
      </c>
      <c r="D3332" s="36" t="str">
        <f>IFERROR(__xludf.DUMMYFUNCTION("""COMPUTED_VALUE"""),"ERROR DE ID")</f>
        <v>ERROR DE ID</v>
      </c>
      <c r="E3332" s="36"/>
      <c r="F3332" s="36"/>
      <c r="G3332" s="36"/>
      <c r="H3332" s="36"/>
    </row>
    <row r="3333">
      <c r="A3333" s="36"/>
      <c r="B3333" s="36" t="str">
        <f>IFERROR(__xludf.DUMMYFUNCTION("""COMPUTED_VALUE"""),"LATITUD")</f>
        <v>LATITUD</v>
      </c>
      <c r="C3333" s="36" t="str">
        <f>IFERROR(__xludf.DUMMYFUNCTION("""COMPUTED_VALUE"""),"LONGITUD")</f>
        <v>LONGITUD</v>
      </c>
      <c r="D3333" s="36" t="str">
        <f>IFERROR(__xludf.DUMMYFUNCTION("""COMPUTED_VALUE"""),"ERROR DE ID")</f>
        <v>ERROR DE ID</v>
      </c>
      <c r="E3333" s="36"/>
      <c r="F3333" s="36"/>
      <c r="G3333" s="36"/>
      <c r="H3333" s="36"/>
    </row>
    <row r="3334">
      <c r="A3334" s="36"/>
      <c r="B3334" s="36" t="str">
        <f>IFERROR(__xludf.DUMMYFUNCTION("""COMPUTED_VALUE"""),"LATITUD")</f>
        <v>LATITUD</v>
      </c>
      <c r="C3334" s="36" t="str">
        <f>IFERROR(__xludf.DUMMYFUNCTION("""COMPUTED_VALUE"""),"LONGITUD")</f>
        <v>LONGITUD</v>
      </c>
      <c r="D3334" s="36" t="str">
        <f>IFERROR(__xludf.DUMMYFUNCTION("""COMPUTED_VALUE"""),"ERROR DE ID")</f>
        <v>ERROR DE ID</v>
      </c>
      <c r="E3334" s="36"/>
      <c r="F3334" s="36"/>
      <c r="G3334" s="36"/>
      <c r="H3334" s="36"/>
    </row>
    <row r="3335">
      <c r="A3335" s="36"/>
      <c r="B3335" s="36" t="str">
        <f>IFERROR(__xludf.DUMMYFUNCTION("""COMPUTED_VALUE"""),"LATITUD")</f>
        <v>LATITUD</v>
      </c>
      <c r="C3335" s="36" t="str">
        <f>IFERROR(__xludf.DUMMYFUNCTION("""COMPUTED_VALUE"""),"LONGITUD")</f>
        <v>LONGITUD</v>
      </c>
      <c r="D3335" s="36" t="str">
        <f>IFERROR(__xludf.DUMMYFUNCTION("""COMPUTED_VALUE"""),"ERROR DE ID")</f>
        <v>ERROR DE ID</v>
      </c>
      <c r="E3335" s="36"/>
      <c r="F3335" s="36"/>
      <c r="G3335" s="36"/>
      <c r="H3335" s="36"/>
    </row>
    <row r="3336">
      <c r="A3336" s="36"/>
      <c r="B3336" s="36" t="str">
        <f>IFERROR(__xludf.DUMMYFUNCTION("""COMPUTED_VALUE"""),"LATITUD")</f>
        <v>LATITUD</v>
      </c>
      <c r="C3336" s="36" t="str">
        <f>IFERROR(__xludf.DUMMYFUNCTION("""COMPUTED_VALUE"""),"LONGITUD")</f>
        <v>LONGITUD</v>
      </c>
      <c r="D3336" s="36" t="str">
        <f>IFERROR(__xludf.DUMMYFUNCTION("""COMPUTED_VALUE"""),"ERROR DE ID")</f>
        <v>ERROR DE ID</v>
      </c>
      <c r="E3336" s="36"/>
      <c r="F3336" s="36"/>
      <c r="G3336" s="36"/>
      <c r="H3336" s="36"/>
    </row>
    <row r="3337">
      <c r="A3337" s="36"/>
      <c r="B3337" s="36" t="str">
        <f>IFERROR(__xludf.DUMMYFUNCTION("""COMPUTED_VALUE"""),"LATITUD")</f>
        <v>LATITUD</v>
      </c>
      <c r="C3337" s="36" t="str">
        <f>IFERROR(__xludf.DUMMYFUNCTION("""COMPUTED_VALUE"""),"LONGITUD")</f>
        <v>LONGITUD</v>
      </c>
      <c r="D3337" s="36" t="str">
        <f>IFERROR(__xludf.DUMMYFUNCTION("""COMPUTED_VALUE"""),"ERROR DE ID")</f>
        <v>ERROR DE ID</v>
      </c>
      <c r="E3337" s="36"/>
      <c r="F3337" s="36"/>
      <c r="G3337" s="36"/>
      <c r="H3337" s="36"/>
    </row>
    <row r="3338">
      <c r="A3338" s="36"/>
      <c r="B3338" s="36" t="str">
        <f>IFERROR(__xludf.DUMMYFUNCTION("""COMPUTED_VALUE"""),"LATITUD")</f>
        <v>LATITUD</v>
      </c>
      <c r="C3338" s="36" t="str">
        <f>IFERROR(__xludf.DUMMYFUNCTION("""COMPUTED_VALUE"""),"LONGITUD")</f>
        <v>LONGITUD</v>
      </c>
      <c r="D3338" s="36" t="str">
        <f>IFERROR(__xludf.DUMMYFUNCTION("""COMPUTED_VALUE"""),"ERROR DE ID")</f>
        <v>ERROR DE ID</v>
      </c>
      <c r="E3338" s="36"/>
      <c r="F3338" s="36"/>
      <c r="G3338" s="36"/>
      <c r="H3338" s="36"/>
    </row>
    <row r="3339">
      <c r="A3339" s="36"/>
      <c r="B3339" s="36" t="str">
        <f>IFERROR(__xludf.DUMMYFUNCTION("""COMPUTED_VALUE"""),"LATITUD")</f>
        <v>LATITUD</v>
      </c>
      <c r="C3339" s="36" t="str">
        <f>IFERROR(__xludf.DUMMYFUNCTION("""COMPUTED_VALUE"""),"LONGITUD")</f>
        <v>LONGITUD</v>
      </c>
      <c r="D3339" s="36" t="str">
        <f>IFERROR(__xludf.DUMMYFUNCTION("""COMPUTED_VALUE"""),"ERROR DE ID")</f>
        <v>ERROR DE ID</v>
      </c>
      <c r="E3339" s="36"/>
      <c r="F3339" s="36"/>
      <c r="G3339" s="36"/>
      <c r="H3339" s="36"/>
    </row>
    <row r="3340">
      <c r="A3340" s="36"/>
      <c r="B3340" s="36" t="str">
        <f>IFERROR(__xludf.DUMMYFUNCTION("""COMPUTED_VALUE"""),"LATITUD")</f>
        <v>LATITUD</v>
      </c>
      <c r="C3340" s="36" t="str">
        <f>IFERROR(__xludf.DUMMYFUNCTION("""COMPUTED_VALUE"""),"LONGITUD")</f>
        <v>LONGITUD</v>
      </c>
      <c r="D3340" s="36" t="str">
        <f>IFERROR(__xludf.DUMMYFUNCTION("""COMPUTED_VALUE"""),"ERROR DE ID")</f>
        <v>ERROR DE ID</v>
      </c>
      <c r="E3340" s="36"/>
      <c r="F3340" s="36"/>
      <c r="G3340" s="36"/>
      <c r="H3340" s="36"/>
    </row>
    <row r="3341">
      <c r="A3341" s="36"/>
      <c r="B3341" s="36" t="str">
        <f>IFERROR(__xludf.DUMMYFUNCTION("""COMPUTED_VALUE"""),"LATITUD")</f>
        <v>LATITUD</v>
      </c>
      <c r="C3341" s="36" t="str">
        <f>IFERROR(__xludf.DUMMYFUNCTION("""COMPUTED_VALUE"""),"LONGITUD")</f>
        <v>LONGITUD</v>
      </c>
      <c r="D3341" s="36" t="str">
        <f>IFERROR(__xludf.DUMMYFUNCTION("""COMPUTED_VALUE"""),"ERROR DE ID")</f>
        <v>ERROR DE ID</v>
      </c>
      <c r="E3341" s="36"/>
      <c r="F3341" s="36"/>
      <c r="G3341" s="36"/>
      <c r="H3341" s="36"/>
    </row>
    <row r="3342">
      <c r="A3342" s="36"/>
      <c r="B3342" s="36" t="str">
        <f>IFERROR(__xludf.DUMMYFUNCTION("""COMPUTED_VALUE"""),"LATITUD")</f>
        <v>LATITUD</v>
      </c>
      <c r="C3342" s="36" t="str">
        <f>IFERROR(__xludf.DUMMYFUNCTION("""COMPUTED_VALUE"""),"LONGITUD")</f>
        <v>LONGITUD</v>
      </c>
      <c r="D3342" s="36" t="str">
        <f>IFERROR(__xludf.DUMMYFUNCTION("""COMPUTED_VALUE"""),"ERROR DE ID")</f>
        <v>ERROR DE ID</v>
      </c>
      <c r="E3342" s="36"/>
      <c r="F3342" s="36"/>
      <c r="G3342" s="36"/>
      <c r="H3342" s="36"/>
    </row>
    <row r="3343">
      <c r="A3343" s="36"/>
      <c r="B3343" s="36" t="str">
        <f>IFERROR(__xludf.DUMMYFUNCTION("""COMPUTED_VALUE"""),"LATITUD")</f>
        <v>LATITUD</v>
      </c>
      <c r="C3343" s="36" t="str">
        <f>IFERROR(__xludf.DUMMYFUNCTION("""COMPUTED_VALUE"""),"LONGITUD")</f>
        <v>LONGITUD</v>
      </c>
      <c r="D3343" s="36" t="str">
        <f>IFERROR(__xludf.DUMMYFUNCTION("""COMPUTED_VALUE"""),"ERROR DE ID")</f>
        <v>ERROR DE ID</v>
      </c>
      <c r="E3343" s="36"/>
      <c r="F3343" s="36"/>
      <c r="G3343" s="36"/>
      <c r="H3343" s="36"/>
    </row>
    <row r="3344">
      <c r="A3344" s="36"/>
      <c r="B3344" s="36" t="str">
        <f>IFERROR(__xludf.DUMMYFUNCTION("""COMPUTED_VALUE"""),"LATITUD")</f>
        <v>LATITUD</v>
      </c>
      <c r="C3344" s="36" t="str">
        <f>IFERROR(__xludf.DUMMYFUNCTION("""COMPUTED_VALUE"""),"LONGITUD")</f>
        <v>LONGITUD</v>
      </c>
      <c r="D3344" s="36" t="str">
        <f>IFERROR(__xludf.DUMMYFUNCTION("""COMPUTED_VALUE"""),"ERROR DE ID")</f>
        <v>ERROR DE ID</v>
      </c>
      <c r="E3344" s="36"/>
      <c r="F3344" s="36"/>
      <c r="G3344" s="36"/>
      <c r="H3344" s="36"/>
    </row>
    <row r="3345">
      <c r="A3345" s="36"/>
      <c r="B3345" s="36" t="str">
        <f>IFERROR(__xludf.DUMMYFUNCTION("""COMPUTED_VALUE"""),"LATITUD")</f>
        <v>LATITUD</v>
      </c>
      <c r="C3345" s="36" t="str">
        <f>IFERROR(__xludf.DUMMYFUNCTION("""COMPUTED_VALUE"""),"LONGITUD")</f>
        <v>LONGITUD</v>
      </c>
      <c r="D3345" s="36" t="str">
        <f>IFERROR(__xludf.DUMMYFUNCTION("""COMPUTED_VALUE"""),"ERROR DE ID")</f>
        <v>ERROR DE ID</v>
      </c>
      <c r="E3345" s="36"/>
      <c r="F3345" s="36"/>
      <c r="G3345" s="36"/>
      <c r="H3345" s="36"/>
    </row>
    <row r="3346">
      <c r="A3346" s="36"/>
      <c r="B3346" s="36" t="str">
        <f>IFERROR(__xludf.DUMMYFUNCTION("""COMPUTED_VALUE"""),"LATITUD")</f>
        <v>LATITUD</v>
      </c>
      <c r="C3346" s="36" t="str">
        <f>IFERROR(__xludf.DUMMYFUNCTION("""COMPUTED_VALUE"""),"LONGITUD")</f>
        <v>LONGITUD</v>
      </c>
      <c r="D3346" s="36" t="str">
        <f>IFERROR(__xludf.DUMMYFUNCTION("""COMPUTED_VALUE"""),"ERROR DE ID")</f>
        <v>ERROR DE ID</v>
      </c>
      <c r="E3346" s="36"/>
      <c r="F3346" s="36"/>
      <c r="G3346" s="36"/>
      <c r="H3346" s="36"/>
    </row>
    <row r="3347">
      <c r="A3347" s="36"/>
      <c r="B3347" s="36" t="str">
        <f>IFERROR(__xludf.DUMMYFUNCTION("""COMPUTED_VALUE"""),"LATITUD")</f>
        <v>LATITUD</v>
      </c>
      <c r="C3347" s="36" t="str">
        <f>IFERROR(__xludf.DUMMYFUNCTION("""COMPUTED_VALUE"""),"LONGITUD")</f>
        <v>LONGITUD</v>
      </c>
      <c r="D3347" s="36" t="str">
        <f>IFERROR(__xludf.DUMMYFUNCTION("""COMPUTED_VALUE"""),"ERROR DE ID")</f>
        <v>ERROR DE ID</v>
      </c>
      <c r="E3347" s="36"/>
      <c r="F3347" s="36"/>
      <c r="G3347" s="36"/>
      <c r="H3347" s="36"/>
    </row>
    <row r="3348">
      <c r="A3348" s="36"/>
      <c r="B3348" s="36" t="str">
        <f>IFERROR(__xludf.DUMMYFUNCTION("""COMPUTED_VALUE"""),"LATITUD")</f>
        <v>LATITUD</v>
      </c>
      <c r="C3348" s="36" t="str">
        <f>IFERROR(__xludf.DUMMYFUNCTION("""COMPUTED_VALUE"""),"LONGITUD")</f>
        <v>LONGITUD</v>
      </c>
      <c r="D3348" s="36" t="str">
        <f>IFERROR(__xludf.DUMMYFUNCTION("""COMPUTED_VALUE"""),"ERROR DE ID")</f>
        <v>ERROR DE ID</v>
      </c>
      <c r="E3348" s="36"/>
      <c r="F3348" s="36"/>
      <c r="G3348" s="36"/>
      <c r="H3348" s="36"/>
    </row>
    <row r="3349">
      <c r="A3349" s="36"/>
      <c r="B3349" s="36" t="str">
        <f>IFERROR(__xludf.DUMMYFUNCTION("""COMPUTED_VALUE"""),"LATITUD")</f>
        <v>LATITUD</v>
      </c>
      <c r="C3349" s="36" t="str">
        <f>IFERROR(__xludf.DUMMYFUNCTION("""COMPUTED_VALUE"""),"LONGITUD")</f>
        <v>LONGITUD</v>
      </c>
      <c r="D3349" s="36" t="str">
        <f>IFERROR(__xludf.DUMMYFUNCTION("""COMPUTED_VALUE"""),"ERROR DE ID")</f>
        <v>ERROR DE ID</v>
      </c>
      <c r="E3349" s="36"/>
      <c r="F3349" s="36"/>
      <c r="G3349" s="36"/>
      <c r="H3349" s="36"/>
    </row>
    <row r="3350">
      <c r="A3350" s="36"/>
      <c r="B3350" s="36" t="str">
        <f>IFERROR(__xludf.DUMMYFUNCTION("""COMPUTED_VALUE"""),"LATITUD")</f>
        <v>LATITUD</v>
      </c>
      <c r="C3350" s="36" t="str">
        <f>IFERROR(__xludf.DUMMYFUNCTION("""COMPUTED_VALUE"""),"LONGITUD")</f>
        <v>LONGITUD</v>
      </c>
      <c r="D3350" s="36" t="str">
        <f>IFERROR(__xludf.DUMMYFUNCTION("""COMPUTED_VALUE"""),"ERROR DE ID")</f>
        <v>ERROR DE ID</v>
      </c>
      <c r="E3350" s="36"/>
      <c r="F3350" s="36"/>
      <c r="G3350" s="36"/>
      <c r="H3350" s="36"/>
    </row>
    <row r="3351">
      <c r="A3351" s="36"/>
      <c r="B3351" s="36" t="str">
        <f>IFERROR(__xludf.DUMMYFUNCTION("""COMPUTED_VALUE"""),"LATITUD")</f>
        <v>LATITUD</v>
      </c>
      <c r="C3351" s="36" t="str">
        <f>IFERROR(__xludf.DUMMYFUNCTION("""COMPUTED_VALUE"""),"LONGITUD")</f>
        <v>LONGITUD</v>
      </c>
      <c r="D3351" s="36" t="str">
        <f>IFERROR(__xludf.DUMMYFUNCTION("""COMPUTED_VALUE"""),"ERROR DE ID")</f>
        <v>ERROR DE ID</v>
      </c>
      <c r="E3351" s="36"/>
      <c r="F3351" s="36"/>
      <c r="G3351" s="36"/>
      <c r="H3351" s="36"/>
    </row>
    <row r="3352">
      <c r="A3352" s="36"/>
      <c r="B3352" s="36" t="str">
        <f>IFERROR(__xludf.DUMMYFUNCTION("""COMPUTED_VALUE"""),"LATITUD")</f>
        <v>LATITUD</v>
      </c>
      <c r="C3352" s="36" t="str">
        <f>IFERROR(__xludf.DUMMYFUNCTION("""COMPUTED_VALUE"""),"LONGITUD")</f>
        <v>LONGITUD</v>
      </c>
      <c r="D3352" s="36" t="str">
        <f>IFERROR(__xludf.DUMMYFUNCTION("""COMPUTED_VALUE"""),"ERROR DE ID")</f>
        <v>ERROR DE ID</v>
      </c>
      <c r="E3352" s="36"/>
      <c r="F3352" s="36"/>
      <c r="G3352" s="36"/>
      <c r="H3352" s="36"/>
    </row>
    <row r="3353">
      <c r="A3353" s="36"/>
      <c r="B3353" s="36" t="str">
        <f>IFERROR(__xludf.DUMMYFUNCTION("""COMPUTED_VALUE"""),"LATITUD")</f>
        <v>LATITUD</v>
      </c>
      <c r="C3353" s="36" t="str">
        <f>IFERROR(__xludf.DUMMYFUNCTION("""COMPUTED_VALUE"""),"LONGITUD")</f>
        <v>LONGITUD</v>
      </c>
      <c r="D3353" s="36" t="str">
        <f>IFERROR(__xludf.DUMMYFUNCTION("""COMPUTED_VALUE"""),"ERROR DE ID")</f>
        <v>ERROR DE ID</v>
      </c>
      <c r="E3353" s="36"/>
      <c r="F3353" s="36"/>
      <c r="G3353" s="36"/>
      <c r="H3353" s="36"/>
    </row>
    <row r="3354">
      <c r="A3354" s="36"/>
      <c r="B3354" s="36" t="str">
        <f>IFERROR(__xludf.DUMMYFUNCTION("""COMPUTED_VALUE"""),"LATITUD")</f>
        <v>LATITUD</v>
      </c>
      <c r="C3354" s="36" t="str">
        <f>IFERROR(__xludf.DUMMYFUNCTION("""COMPUTED_VALUE"""),"LONGITUD")</f>
        <v>LONGITUD</v>
      </c>
      <c r="D3354" s="36" t="str">
        <f>IFERROR(__xludf.DUMMYFUNCTION("""COMPUTED_VALUE"""),"ERROR DE ID")</f>
        <v>ERROR DE ID</v>
      </c>
      <c r="E3354" s="36"/>
      <c r="F3354" s="36"/>
      <c r="G3354" s="36"/>
      <c r="H3354" s="36"/>
    </row>
    <row r="3355">
      <c r="A3355" s="36"/>
      <c r="B3355" s="36" t="str">
        <f>IFERROR(__xludf.DUMMYFUNCTION("""COMPUTED_VALUE"""),"LATITUD")</f>
        <v>LATITUD</v>
      </c>
      <c r="C3355" s="36" t="str">
        <f>IFERROR(__xludf.DUMMYFUNCTION("""COMPUTED_VALUE"""),"LONGITUD")</f>
        <v>LONGITUD</v>
      </c>
      <c r="D3355" s="36" t="str">
        <f>IFERROR(__xludf.DUMMYFUNCTION("""COMPUTED_VALUE"""),"ERROR DE ID")</f>
        <v>ERROR DE ID</v>
      </c>
      <c r="E3355" s="36"/>
      <c r="F3355" s="36"/>
      <c r="G3355" s="36"/>
      <c r="H3355" s="36"/>
    </row>
    <row r="3356">
      <c r="A3356" s="36"/>
      <c r="B3356" s="36" t="str">
        <f>IFERROR(__xludf.DUMMYFUNCTION("""COMPUTED_VALUE"""),"LATITUD")</f>
        <v>LATITUD</v>
      </c>
      <c r="C3356" s="36" t="str">
        <f>IFERROR(__xludf.DUMMYFUNCTION("""COMPUTED_VALUE"""),"LONGITUD")</f>
        <v>LONGITUD</v>
      </c>
      <c r="D3356" s="36" t="str">
        <f>IFERROR(__xludf.DUMMYFUNCTION("""COMPUTED_VALUE"""),"ERROR DE ID")</f>
        <v>ERROR DE ID</v>
      </c>
      <c r="E3356" s="36"/>
      <c r="F3356" s="36"/>
      <c r="G3356" s="36"/>
      <c r="H3356" s="36"/>
    </row>
    <row r="3357">
      <c r="A3357" s="36"/>
      <c r="B3357" s="36" t="str">
        <f>IFERROR(__xludf.DUMMYFUNCTION("""COMPUTED_VALUE"""),"LATITUD")</f>
        <v>LATITUD</v>
      </c>
      <c r="C3357" s="36" t="str">
        <f>IFERROR(__xludf.DUMMYFUNCTION("""COMPUTED_VALUE"""),"LONGITUD")</f>
        <v>LONGITUD</v>
      </c>
      <c r="D3357" s="36" t="str">
        <f>IFERROR(__xludf.DUMMYFUNCTION("""COMPUTED_VALUE"""),"ERROR DE ID")</f>
        <v>ERROR DE ID</v>
      </c>
      <c r="E3357" s="36"/>
      <c r="F3357" s="36"/>
      <c r="G3357" s="36"/>
      <c r="H3357" s="36"/>
    </row>
    <row r="3358">
      <c r="A3358" s="36"/>
      <c r="B3358" s="36" t="str">
        <f>IFERROR(__xludf.DUMMYFUNCTION("""COMPUTED_VALUE"""),"LATITUD")</f>
        <v>LATITUD</v>
      </c>
      <c r="C3358" s="36" t="str">
        <f>IFERROR(__xludf.DUMMYFUNCTION("""COMPUTED_VALUE"""),"LONGITUD")</f>
        <v>LONGITUD</v>
      </c>
      <c r="D3358" s="36" t="str">
        <f>IFERROR(__xludf.DUMMYFUNCTION("""COMPUTED_VALUE"""),"ERROR DE ID")</f>
        <v>ERROR DE ID</v>
      </c>
      <c r="E3358" s="36"/>
      <c r="F3358" s="36"/>
      <c r="G3358" s="36"/>
      <c r="H3358" s="36"/>
    </row>
    <row r="3359">
      <c r="A3359" s="36"/>
      <c r="B3359" s="36" t="str">
        <f>IFERROR(__xludf.DUMMYFUNCTION("""COMPUTED_VALUE"""),"LATITUD")</f>
        <v>LATITUD</v>
      </c>
      <c r="C3359" s="36" t="str">
        <f>IFERROR(__xludf.DUMMYFUNCTION("""COMPUTED_VALUE"""),"LONGITUD")</f>
        <v>LONGITUD</v>
      </c>
      <c r="D3359" s="36" t="str">
        <f>IFERROR(__xludf.DUMMYFUNCTION("""COMPUTED_VALUE"""),"ERROR DE ID")</f>
        <v>ERROR DE ID</v>
      </c>
      <c r="E3359" s="36"/>
      <c r="F3359" s="36"/>
      <c r="G3359" s="36"/>
      <c r="H3359" s="36"/>
    </row>
    <row r="3360">
      <c r="A3360" s="36"/>
      <c r="B3360" s="36" t="str">
        <f>IFERROR(__xludf.DUMMYFUNCTION("""COMPUTED_VALUE"""),"LATITUD")</f>
        <v>LATITUD</v>
      </c>
      <c r="C3360" s="36" t="str">
        <f>IFERROR(__xludf.DUMMYFUNCTION("""COMPUTED_VALUE"""),"LONGITUD")</f>
        <v>LONGITUD</v>
      </c>
      <c r="D3360" s="36" t="str">
        <f>IFERROR(__xludf.DUMMYFUNCTION("""COMPUTED_VALUE"""),"ERROR DE ID")</f>
        <v>ERROR DE ID</v>
      </c>
      <c r="E3360" s="36"/>
      <c r="F3360" s="36"/>
      <c r="G3360" s="36"/>
      <c r="H3360" s="36"/>
    </row>
    <row r="3361">
      <c r="A3361" s="36"/>
      <c r="B3361" s="36" t="str">
        <f>IFERROR(__xludf.DUMMYFUNCTION("""COMPUTED_VALUE"""),"LATITUD")</f>
        <v>LATITUD</v>
      </c>
      <c r="C3361" s="36" t="str">
        <f>IFERROR(__xludf.DUMMYFUNCTION("""COMPUTED_VALUE"""),"LONGITUD")</f>
        <v>LONGITUD</v>
      </c>
      <c r="D3361" s="36" t="str">
        <f>IFERROR(__xludf.DUMMYFUNCTION("""COMPUTED_VALUE"""),"ERROR DE ID")</f>
        <v>ERROR DE ID</v>
      </c>
      <c r="E3361" s="36"/>
      <c r="F3361" s="36"/>
      <c r="G3361" s="36"/>
      <c r="H3361" s="36"/>
    </row>
    <row r="3362">
      <c r="A3362" s="36"/>
      <c r="B3362" s="36" t="str">
        <f>IFERROR(__xludf.DUMMYFUNCTION("""COMPUTED_VALUE"""),"LATITUD")</f>
        <v>LATITUD</v>
      </c>
      <c r="C3362" s="36" t="str">
        <f>IFERROR(__xludf.DUMMYFUNCTION("""COMPUTED_VALUE"""),"LONGITUD")</f>
        <v>LONGITUD</v>
      </c>
      <c r="D3362" s="36" t="str">
        <f>IFERROR(__xludf.DUMMYFUNCTION("""COMPUTED_VALUE"""),"ERROR DE ID")</f>
        <v>ERROR DE ID</v>
      </c>
      <c r="E3362" s="36"/>
      <c r="F3362" s="36"/>
      <c r="G3362" s="36"/>
      <c r="H3362" s="36"/>
    </row>
    <row r="3363">
      <c r="A3363" s="36"/>
      <c r="B3363" s="36" t="str">
        <f>IFERROR(__xludf.DUMMYFUNCTION("""COMPUTED_VALUE"""),"LATITUD")</f>
        <v>LATITUD</v>
      </c>
      <c r="C3363" s="36" t="str">
        <f>IFERROR(__xludf.DUMMYFUNCTION("""COMPUTED_VALUE"""),"LONGITUD")</f>
        <v>LONGITUD</v>
      </c>
      <c r="D3363" s="36" t="str">
        <f>IFERROR(__xludf.DUMMYFUNCTION("""COMPUTED_VALUE"""),"ERROR DE ID")</f>
        <v>ERROR DE ID</v>
      </c>
      <c r="E3363" s="36"/>
      <c r="F3363" s="36"/>
      <c r="G3363" s="36"/>
      <c r="H3363" s="36"/>
    </row>
    <row r="3364">
      <c r="A3364" s="36"/>
      <c r="B3364" s="36" t="str">
        <f>IFERROR(__xludf.DUMMYFUNCTION("""COMPUTED_VALUE"""),"LATITUD")</f>
        <v>LATITUD</v>
      </c>
      <c r="C3364" s="36" t="str">
        <f>IFERROR(__xludf.DUMMYFUNCTION("""COMPUTED_VALUE"""),"LONGITUD")</f>
        <v>LONGITUD</v>
      </c>
      <c r="D3364" s="36" t="str">
        <f>IFERROR(__xludf.DUMMYFUNCTION("""COMPUTED_VALUE"""),"ERROR DE ID")</f>
        <v>ERROR DE ID</v>
      </c>
      <c r="E3364" s="36"/>
      <c r="F3364" s="36"/>
      <c r="G3364" s="36"/>
      <c r="H3364" s="36"/>
    </row>
    <row r="3365">
      <c r="A3365" s="36"/>
      <c r="B3365" s="36" t="str">
        <f>IFERROR(__xludf.DUMMYFUNCTION("""COMPUTED_VALUE"""),"LATITUD")</f>
        <v>LATITUD</v>
      </c>
      <c r="C3365" s="36" t="str">
        <f>IFERROR(__xludf.DUMMYFUNCTION("""COMPUTED_VALUE"""),"LONGITUD")</f>
        <v>LONGITUD</v>
      </c>
      <c r="D3365" s="36" t="str">
        <f>IFERROR(__xludf.DUMMYFUNCTION("""COMPUTED_VALUE"""),"ERROR DE ID")</f>
        <v>ERROR DE ID</v>
      </c>
      <c r="E3365" s="36"/>
      <c r="F3365" s="36"/>
      <c r="G3365" s="36"/>
      <c r="H3365" s="36"/>
    </row>
    <row r="3366">
      <c r="A3366" s="36"/>
      <c r="B3366" s="36" t="str">
        <f>IFERROR(__xludf.DUMMYFUNCTION("""COMPUTED_VALUE"""),"LATITUD")</f>
        <v>LATITUD</v>
      </c>
      <c r="C3366" s="36" t="str">
        <f>IFERROR(__xludf.DUMMYFUNCTION("""COMPUTED_VALUE"""),"LONGITUD")</f>
        <v>LONGITUD</v>
      </c>
      <c r="D3366" s="36" t="str">
        <f>IFERROR(__xludf.DUMMYFUNCTION("""COMPUTED_VALUE"""),"ERROR DE ID")</f>
        <v>ERROR DE ID</v>
      </c>
      <c r="E3366" s="36"/>
      <c r="F3366" s="36"/>
      <c r="G3366" s="36"/>
      <c r="H3366" s="36"/>
    </row>
    <row r="3367">
      <c r="A3367" s="36"/>
      <c r="B3367" s="36" t="str">
        <f>IFERROR(__xludf.DUMMYFUNCTION("""COMPUTED_VALUE"""),"LATITUD")</f>
        <v>LATITUD</v>
      </c>
      <c r="C3367" s="36" t="str">
        <f>IFERROR(__xludf.DUMMYFUNCTION("""COMPUTED_VALUE"""),"LONGITUD")</f>
        <v>LONGITUD</v>
      </c>
      <c r="D3367" s="36" t="str">
        <f>IFERROR(__xludf.DUMMYFUNCTION("""COMPUTED_VALUE"""),"ERROR DE ID")</f>
        <v>ERROR DE ID</v>
      </c>
      <c r="E3367" s="36"/>
      <c r="F3367" s="36"/>
      <c r="G3367" s="36"/>
      <c r="H3367" s="36"/>
    </row>
    <row r="3368">
      <c r="A3368" s="36"/>
      <c r="B3368" s="36" t="str">
        <f>IFERROR(__xludf.DUMMYFUNCTION("""COMPUTED_VALUE"""),"LATITUD")</f>
        <v>LATITUD</v>
      </c>
      <c r="C3368" s="36" t="str">
        <f>IFERROR(__xludf.DUMMYFUNCTION("""COMPUTED_VALUE"""),"LONGITUD")</f>
        <v>LONGITUD</v>
      </c>
      <c r="D3368" s="36" t="str">
        <f>IFERROR(__xludf.DUMMYFUNCTION("""COMPUTED_VALUE"""),"ERROR DE ID")</f>
        <v>ERROR DE ID</v>
      </c>
      <c r="E3368" s="36"/>
      <c r="F3368" s="36"/>
      <c r="G3368" s="36"/>
      <c r="H3368" s="36"/>
    </row>
    <row r="3369">
      <c r="A3369" s="36"/>
      <c r="B3369" s="36" t="str">
        <f>IFERROR(__xludf.DUMMYFUNCTION("""COMPUTED_VALUE"""),"LATITUD")</f>
        <v>LATITUD</v>
      </c>
      <c r="C3369" s="36" t="str">
        <f>IFERROR(__xludf.DUMMYFUNCTION("""COMPUTED_VALUE"""),"LONGITUD")</f>
        <v>LONGITUD</v>
      </c>
      <c r="D3369" s="36" t="str">
        <f>IFERROR(__xludf.DUMMYFUNCTION("""COMPUTED_VALUE"""),"ERROR DE ID")</f>
        <v>ERROR DE ID</v>
      </c>
      <c r="E3369" s="36"/>
      <c r="F3369" s="36"/>
      <c r="G3369" s="36"/>
      <c r="H3369" s="36"/>
    </row>
    <row r="3370">
      <c r="A3370" s="36"/>
      <c r="B3370" s="36" t="str">
        <f>IFERROR(__xludf.DUMMYFUNCTION("""COMPUTED_VALUE"""),"LATITUD")</f>
        <v>LATITUD</v>
      </c>
      <c r="C3370" s="36" t="str">
        <f>IFERROR(__xludf.DUMMYFUNCTION("""COMPUTED_VALUE"""),"LONGITUD")</f>
        <v>LONGITUD</v>
      </c>
      <c r="D3370" s="36" t="str">
        <f>IFERROR(__xludf.DUMMYFUNCTION("""COMPUTED_VALUE"""),"ERROR DE ID")</f>
        <v>ERROR DE ID</v>
      </c>
      <c r="E3370" s="36"/>
      <c r="F3370" s="36"/>
      <c r="G3370" s="36"/>
      <c r="H3370" s="36"/>
    </row>
    <row r="3371">
      <c r="A3371" s="36"/>
      <c r="B3371" s="36" t="str">
        <f>IFERROR(__xludf.DUMMYFUNCTION("""COMPUTED_VALUE"""),"LATITUD")</f>
        <v>LATITUD</v>
      </c>
      <c r="C3371" s="36" t="str">
        <f>IFERROR(__xludf.DUMMYFUNCTION("""COMPUTED_VALUE"""),"LONGITUD")</f>
        <v>LONGITUD</v>
      </c>
      <c r="D3371" s="36" t="str">
        <f>IFERROR(__xludf.DUMMYFUNCTION("""COMPUTED_VALUE"""),"ERROR DE ID")</f>
        <v>ERROR DE ID</v>
      </c>
      <c r="E3371" s="36"/>
      <c r="F3371" s="36"/>
      <c r="G3371" s="36"/>
      <c r="H3371" s="36"/>
    </row>
    <row r="3372">
      <c r="A3372" s="36"/>
      <c r="B3372" s="36" t="str">
        <f>IFERROR(__xludf.DUMMYFUNCTION("""COMPUTED_VALUE"""),"LATITUD")</f>
        <v>LATITUD</v>
      </c>
      <c r="C3372" s="36" t="str">
        <f>IFERROR(__xludf.DUMMYFUNCTION("""COMPUTED_VALUE"""),"LONGITUD")</f>
        <v>LONGITUD</v>
      </c>
      <c r="D3372" s="36" t="str">
        <f>IFERROR(__xludf.DUMMYFUNCTION("""COMPUTED_VALUE"""),"ERROR DE ID")</f>
        <v>ERROR DE ID</v>
      </c>
      <c r="E3372" s="36"/>
      <c r="F3372" s="36"/>
      <c r="G3372" s="36"/>
      <c r="H3372" s="36"/>
    </row>
    <row r="3373">
      <c r="A3373" s="36"/>
      <c r="B3373" s="36" t="str">
        <f>IFERROR(__xludf.DUMMYFUNCTION("""COMPUTED_VALUE"""),"LATITUD")</f>
        <v>LATITUD</v>
      </c>
      <c r="C3373" s="36" t="str">
        <f>IFERROR(__xludf.DUMMYFUNCTION("""COMPUTED_VALUE"""),"LONGITUD")</f>
        <v>LONGITUD</v>
      </c>
      <c r="D3373" s="36" t="str">
        <f>IFERROR(__xludf.DUMMYFUNCTION("""COMPUTED_VALUE"""),"ERROR DE ID")</f>
        <v>ERROR DE ID</v>
      </c>
      <c r="E3373" s="36"/>
      <c r="F3373" s="36"/>
      <c r="G3373" s="36"/>
      <c r="H3373" s="36"/>
    </row>
    <row r="3374">
      <c r="A3374" s="36"/>
      <c r="B3374" s="36" t="str">
        <f>IFERROR(__xludf.DUMMYFUNCTION("""COMPUTED_VALUE"""),"LATITUD")</f>
        <v>LATITUD</v>
      </c>
      <c r="C3374" s="36" t="str">
        <f>IFERROR(__xludf.DUMMYFUNCTION("""COMPUTED_VALUE"""),"LONGITUD")</f>
        <v>LONGITUD</v>
      </c>
      <c r="D3374" s="36" t="str">
        <f>IFERROR(__xludf.DUMMYFUNCTION("""COMPUTED_VALUE"""),"ERROR DE ID")</f>
        <v>ERROR DE ID</v>
      </c>
      <c r="E3374" s="36"/>
      <c r="F3374" s="36"/>
      <c r="G3374" s="36"/>
      <c r="H3374" s="36"/>
    </row>
    <row r="3375">
      <c r="A3375" s="36"/>
      <c r="B3375" s="36" t="str">
        <f>IFERROR(__xludf.DUMMYFUNCTION("""COMPUTED_VALUE"""),"LATITUD")</f>
        <v>LATITUD</v>
      </c>
      <c r="C3375" s="36" t="str">
        <f>IFERROR(__xludf.DUMMYFUNCTION("""COMPUTED_VALUE"""),"LONGITUD")</f>
        <v>LONGITUD</v>
      </c>
      <c r="D3375" s="36" t="str">
        <f>IFERROR(__xludf.DUMMYFUNCTION("""COMPUTED_VALUE"""),"ERROR DE ID")</f>
        <v>ERROR DE ID</v>
      </c>
      <c r="E3375" s="36"/>
      <c r="F3375" s="36"/>
      <c r="G3375" s="36"/>
      <c r="H3375" s="36"/>
    </row>
    <row r="3376">
      <c r="A3376" s="36"/>
      <c r="B3376" s="36" t="str">
        <f>IFERROR(__xludf.DUMMYFUNCTION("""COMPUTED_VALUE"""),"LATITUD")</f>
        <v>LATITUD</v>
      </c>
      <c r="C3376" s="36" t="str">
        <f>IFERROR(__xludf.DUMMYFUNCTION("""COMPUTED_VALUE"""),"LONGITUD")</f>
        <v>LONGITUD</v>
      </c>
      <c r="D3376" s="36" t="str">
        <f>IFERROR(__xludf.DUMMYFUNCTION("""COMPUTED_VALUE"""),"ERROR DE ID")</f>
        <v>ERROR DE ID</v>
      </c>
      <c r="E3376" s="36"/>
      <c r="F3376" s="36"/>
      <c r="G3376" s="36"/>
      <c r="H3376" s="36"/>
    </row>
    <row r="3377">
      <c r="A3377" s="36"/>
      <c r="B3377" s="36" t="str">
        <f>IFERROR(__xludf.DUMMYFUNCTION("""COMPUTED_VALUE"""),"LATITUD")</f>
        <v>LATITUD</v>
      </c>
      <c r="C3377" s="36" t="str">
        <f>IFERROR(__xludf.DUMMYFUNCTION("""COMPUTED_VALUE"""),"LONGITUD")</f>
        <v>LONGITUD</v>
      </c>
      <c r="D3377" s="36" t="str">
        <f>IFERROR(__xludf.DUMMYFUNCTION("""COMPUTED_VALUE"""),"ERROR DE ID")</f>
        <v>ERROR DE ID</v>
      </c>
      <c r="E3377" s="36"/>
      <c r="F3377" s="36"/>
      <c r="G3377" s="36"/>
      <c r="H3377" s="36"/>
    </row>
    <row r="3378">
      <c r="A3378" s="36"/>
      <c r="B3378" s="36" t="str">
        <f>IFERROR(__xludf.DUMMYFUNCTION("""COMPUTED_VALUE"""),"LATITUD")</f>
        <v>LATITUD</v>
      </c>
      <c r="C3378" s="36" t="str">
        <f>IFERROR(__xludf.DUMMYFUNCTION("""COMPUTED_VALUE"""),"LONGITUD")</f>
        <v>LONGITUD</v>
      </c>
      <c r="D3378" s="36" t="str">
        <f>IFERROR(__xludf.DUMMYFUNCTION("""COMPUTED_VALUE"""),"ERROR DE ID")</f>
        <v>ERROR DE ID</v>
      </c>
      <c r="E3378" s="36"/>
      <c r="F3378" s="36"/>
      <c r="G3378" s="36"/>
      <c r="H3378" s="36"/>
    </row>
    <row r="3379">
      <c r="A3379" s="36"/>
      <c r="B3379" s="36" t="str">
        <f>IFERROR(__xludf.DUMMYFUNCTION("""COMPUTED_VALUE"""),"LATITUD")</f>
        <v>LATITUD</v>
      </c>
      <c r="C3379" s="36" t="str">
        <f>IFERROR(__xludf.DUMMYFUNCTION("""COMPUTED_VALUE"""),"LONGITUD")</f>
        <v>LONGITUD</v>
      </c>
      <c r="D3379" s="36" t="str">
        <f>IFERROR(__xludf.DUMMYFUNCTION("""COMPUTED_VALUE"""),"ERROR DE ID")</f>
        <v>ERROR DE ID</v>
      </c>
      <c r="E3379" s="36"/>
      <c r="F3379" s="36"/>
      <c r="G3379" s="36"/>
      <c r="H3379" s="36"/>
    </row>
    <row r="3380">
      <c r="A3380" s="36"/>
      <c r="B3380" s="36" t="str">
        <f>IFERROR(__xludf.DUMMYFUNCTION("""COMPUTED_VALUE"""),"LATITUD")</f>
        <v>LATITUD</v>
      </c>
      <c r="C3380" s="36" t="str">
        <f>IFERROR(__xludf.DUMMYFUNCTION("""COMPUTED_VALUE"""),"LONGITUD")</f>
        <v>LONGITUD</v>
      </c>
      <c r="D3380" s="36" t="str">
        <f>IFERROR(__xludf.DUMMYFUNCTION("""COMPUTED_VALUE"""),"ERROR DE ID")</f>
        <v>ERROR DE ID</v>
      </c>
      <c r="E3380" s="36"/>
      <c r="F3380" s="36"/>
      <c r="G3380" s="36"/>
      <c r="H3380" s="36"/>
    </row>
    <row r="3381">
      <c r="A3381" s="36"/>
      <c r="B3381" s="36" t="str">
        <f>IFERROR(__xludf.DUMMYFUNCTION("""COMPUTED_VALUE"""),"LATITUD")</f>
        <v>LATITUD</v>
      </c>
      <c r="C3381" s="36" t="str">
        <f>IFERROR(__xludf.DUMMYFUNCTION("""COMPUTED_VALUE"""),"LONGITUD")</f>
        <v>LONGITUD</v>
      </c>
      <c r="D3381" s="36" t="str">
        <f>IFERROR(__xludf.DUMMYFUNCTION("""COMPUTED_VALUE"""),"ERROR DE ID")</f>
        <v>ERROR DE ID</v>
      </c>
      <c r="E3381" s="36"/>
      <c r="F3381" s="36"/>
      <c r="G3381" s="36"/>
      <c r="H3381" s="36"/>
    </row>
    <row r="3382">
      <c r="A3382" s="36"/>
      <c r="B3382" s="36" t="str">
        <f>IFERROR(__xludf.DUMMYFUNCTION("""COMPUTED_VALUE"""),"LATITUD")</f>
        <v>LATITUD</v>
      </c>
      <c r="C3382" s="36" t="str">
        <f>IFERROR(__xludf.DUMMYFUNCTION("""COMPUTED_VALUE"""),"LONGITUD")</f>
        <v>LONGITUD</v>
      </c>
      <c r="D3382" s="36" t="str">
        <f>IFERROR(__xludf.DUMMYFUNCTION("""COMPUTED_VALUE"""),"ERROR DE ID")</f>
        <v>ERROR DE ID</v>
      </c>
      <c r="E3382" s="36"/>
      <c r="F3382" s="36"/>
      <c r="G3382" s="36"/>
      <c r="H3382" s="36"/>
    </row>
    <row r="3383">
      <c r="A3383" s="36"/>
      <c r="B3383" s="36" t="str">
        <f>IFERROR(__xludf.DUMMYFUNCTION("""COMPUTED_VALUE"""),"LATITUD")</f>
        <v>LATITUD</v>
      </c>
      <c r="C3383" s="36" t="str">
        <f>IFERROR(__xludf.DUMMYFUNCTION("""COMPUTED_VALUE"""),"LONGITUD")</f>
        <v>LONGITUD</v>
      </c>
      <c r="D3383" s="36" t="str">
        <f>IFERROR(__xludf.DUMMYFUNCTION("""COMPUTED_VALUE"""),"ERROR DE ID")</f>
        <v>ERROR DE ID</v>
      </c>
      <c r="E3383" s="36"/>
      <c r="F3383" s="36"/>
      <c r="G3383" s="36"/>
      <c r="H3383" s="36"/>
    </row>
    <row r="3384">
      <c r="A3384" s="36"/>
      <c r="B3384" s="36" t="str">
        <f>IFERROR(__xludf.DUMMYFUNCTION("""COMPUTED_VALUE"""),"LATITUD")</f>
        <v>LATITUD</v>
      </c>
      <c r="C3384" s="36" t="str">
        <f>IFERROR(__xludf.DUMMYFUNCTION("""COMPUTED_VALUE"""),"LONGITUD")</f>
        <v>LONGITUD</v>
      </c>
      <c r="D3384" s="36" t="str">
        <f>IFERROR(__xludf.DUMMYFUNCTION("""COMPUTED_VALUE"""),"ERROR DE ID")</f>
        <v>ERROR DE ID</v>
      </c>
      <c r="E3384" s="36"/>
      <c r="F3384" s="36"/>
      <c r="G3384" s="36"/>
      <c r="H3384" s="36"/>
    </row>
    <row r="3385">
      <c r="A3385" s="36"/>
      <c r="B3385" s="36" t="str">
        <f>IFERROR(__xludf.DUMMYFUNCTION("""COMPUTED_VALUE"""),"LATITUD")</f>
        <v>LATITUD</v>
      </c>
      <c r="C3385" s="36" t="str">
        <f>IFERROR(__xludf.DUMMYFUNCTION("""COMPUTED_VALUE"""),"LONGITUD")</f>
        <v>LONGITUD</v>
      </c>
      <c r="D3385" s="36" t="str">
        <f>IFERROR(__xludf.DUMMYFUNCTION("""COMPUTED_VALUE"""),"ERROR DE ID")</f>
        <v>ERROR DE ID</v>
      </c>
      <c r="E3385" s="36"/>
      <c r="F3385" s="36"/>
      <c r="G3385" s="36"/>
      <c r="H3385" s="36"/>
    </row>
    <row r="3386">
      <c r="A3386" s="36"/>
      <c r="B3386" s="36" t="str">
        <f>IFERROR(__xludf.DUMMYFUNCTION("""COMPUTED_VALUE"""),"LATITUD")</f>
        <v>LATITUD</v>
      </c>
      <c r="C3386" s="36" t="str">
        <f>IFERROR(__xludf.DUMMYFUNCTION("""COMPUTED_VALUE"""),"LONGITUD")</f>
        <v>LONGITUD</v>
      </c>
      <c r="D3386" s="36" t="str">
        <f>IFERROR(__xludf.DUMMYFUNCTION("""COMPUTED_VALUE"""),"ERROR DE ID")</f>
        <v>ERROR DE ID</v>
      </c>
      <c r="E3386" s="36"/>
      <c r="F3386" s="36"/>
      <c r="G3386" s="36"/>
      <c r="H3386" s="36"/>
    </row>
    <row r="3387">
      <c r="A3387" s="36"/>
      <c r="B3387" s="36" t="str">
        <f>IFERROR(__xludf.DUMMYFUNCTION("""COMPUTED_VALUE"""),"LATITUD")</f>
        <v>LATITUD</v>
      </c>
      <c r="C3387" s="36" t="str">
        <f>IFERROR(__xludf.DUMMYFUNCTION("""COMPUTED_VALUE"""),"LONGITUD")</f>
        <v>LONGITUD</v>
      </c>
      <c r="D3387" s="36" t="str">
        <f>IFERROR(__xludf.DUMMYFUNCTION("""COMPUTED_VALUE"""),"ERROR DE ID")</f>
        <v>ERROR DE ID</v>
      </c>
      <c r="E3387" s="36"/>
      <c r="F3387" s="36"/>
      <c r="G3387" s="36"/>
      <c r="H3387" s="36"/>
    </row>
    <row r="3388">
      <c r="A3388" s="36"/>
      <c r="B3388" s="36" t="str">
        <f>IFERROR(__xludf.DUMMYFUNCTION("""COMPUTED_VALUE"""),"LATITUD")</f>
        <v>LATITUD</v>
      </c>
      <c r="C3388" s="36" t="str">
        <f>IFERROR(__xludf.DUMMYFUNCTION("""COMPUTED_VALUE"""),"LONGITUD")</f>
        <v>LONGITUD</v>
      </c>
      <c r="D3388" s="36" t="str">
        <f>IFERROR(__xludf.DUMMYFUNCTION("""COMPUTED_VALUE"""),"ERROR DE ID")</f>
        <v>ERROR DE ID</v>
      </c>
      <c r="E3388" s="36"/>
      <c r="F3388" s="36"/>
      <c r="G3388" s="36"/>
      <c r="H3388" s="36"/>
    </row>
    <row r="3389">
      <c r="A3389" s="36"/>
      <c r="B3389" s="36" t="str">
        <f>IFERROR(__xludf.DUMMYFUNCTION("""COMPUTED_VALUE"""),"LATITUD")</f>
        <v>LATITUD</v>
      </c>
      <c r="C3389" s="36" t="str">
        <f>IFERROR(__xludf.DUMMYFUNCTION("""COMPUTED_VALUE"""),"LONGITUD")</f>
        <v>LONGITUD</v>
      </c>
      <c r="D3389" s="36" t="str">
        <f>IFERROR(__xludf.DUMMYFUNCTION("""COMPUTED_VALUE"""),"ERROR DE ID")</f>
        <v>ERROR DE ID</v>
      </c>
      <c r="E3389" s="36"/>
      <c r="F3389" s="36"/>
      <c r="G3389" s="36"/>
      <c r="H3389" s="36"/>
    </row>
    <row r="3390">
      <c r="A3390" s="36"/>
      <c r="B3390" s="36" t="str">
        <f>IFERROR(__xludf.DUMMYFUNCTION("""COMPUTED_VALUE"""),"LATITUD")</f>
        <v>LATITUD</v>
      </c>
      <c r="C3390" s="36" t="str">
        <f>IFERROR(__xludf.DUMMYFUNCTION("""COMPUTED_VALUE"""),"LONGITUD")</f>
        <v>LONGITUD</v>
      </c>
      <c r="D3390" s="36" t="str">
        <f>IFERROR(__xludf.DUMMYFUNCTION("""COMPUTED_VALUE"""),"ERROR DE ID")</f>
        <v>ERROR DE ID</v>
      </c>
      <c r="E3390" s="36"/>
      <c r="F3390" s="36"/>
      <c r="G3390" s="36"/>
      <c r="H3390" s="36"/>
    </row>
    <row r="3391">
      <c r="A3391" s="36"/>
      <c r="B3391" s="36" t="str">
        <f>IFERROR(__xludf.DUMMYFUNCTION("""COMPUTED_VALUE"""),"LATITUD")</f>
        <v>LATITUD</v>
      </c>
      <c r="C3391" s="36" t="str">
        <f>IFERROR(__xludf.DUMMYFUNCTION("""COMPUTED_VALUE"""),"LONGITUD")</f>
        <v>LONGITUD</v>
      </c>
      <c r="D3391" s="36" t="str">
        <f>IFERROR(__xludf.DUMMYFUNCTION("""COMPUTED_VALUE"""),"ERROR DE ID")</f>
        <v>ERROR DE ID</v>
      </c>
      <c r="E3391" s="36"/>
      <c r="F3391" s="36"/>
      <c r="G3391" s="36"/>
      <c r="H3391" s="36"/>
    </row>
    <row r="3392">
      <c r="A3392" s="36"/>
      <c r="B3392" s="36" t="str">
        <f>IFERROR(__xludf.DUMMYFUNCTION("""COMPUTED_VALUE"""),"LATITUD")</f>
        <v>LATITUD</v>
      </c>
      <c r="C3392" s="36" t="str">
        <f>IFERROR(__xludf.DUMMYFUNCTION("""COMPUTED_VALUE"""),"LONGITUD")</f>
        <v>LONGITUD</v>
      </c>
      <c r="D3392" s="36" t="str">
        <f>IFERROR(__xludf.DUMMYFUNCTION("""COMPUTED_VALUE"""),"ERROR DE ID")</f>
        <v>ERROR DE ID</v>
      </c>
      <c r="E3392" s="36"/>
      <c r="F3392" s="36"/>
      <c r="G3392" s="36"/>
      <c r="H3392" s="36"/>
    </row>
    <row r="3393">
      <c r="A3393" s="36"/>
      <c r="B3393" s="36" t="str">
        <f>IFERROR(__xludf.DUMMYFUNCTION("""COMPUTED_VALUE"""),"LATITUD")</f>
        <v>LATITUD</v>
      </c>
      <c r="C3393" s="36" t="str">
        <f>IFERROR(__xludf.DUMMYFUNCTION("""COMPUTED_VALUE"""),"LONGITUD")</f>
        <v>LONGITUD</v>
      </c>
      <c r="D3393" s="36" t="str">
        <f>IFERROR(__xludf.DUMMYFUNCTION("""COMPUTED_VALUE"""),"ERROR DE ID")</f>
        <v>ERROR DE ID</v>
      </c>
      <c r="E3393" s="36"/>
      <c r="F3393" s="36"/>
      <c r="G3393" s="36"/>
      <c r="H3393" s="36"/>
    </row>
    <row r="3394">
      <c r="A3394" s="36"/>
      <c r="B3394" s="36" t="str">
        <f>IFERROR(__xludf.DUMMYFUNCTION("""COMPUTED_VALUE"""),"LATITUD")</f>
        <v>LATITUD</v>
      </c>
      <c r="C3394" s="36" t="str">
        <f>IFERROR(__xludf.DUMMYFUNCTION("""COMPUTED_VALUE"""),"LONGITUD")</f>
        <v>LONGITUD</v>
      </c>
      <c r="D3394" s="36" t="str">
        <f>IFERROR(__xludf.DUMMYFUNCTION("""COMPUTED_VALUE"""),"ERROR DE ID")</f>
        <v>ERROR DE ID</v>
      </c>
      <c r="E3394" s="36"/>
      <c r="F3394" s="36"/>
      <c r="G3394" s="36"/>
      <c r="H3394" s="36"/>
    </row>
    <row r="3395">
      <c r="A3395" s="36"/>
      <c r="B3395" s="36" t="str">
        <f>IFERROR(__xludf.DUMMYFUNCTION("""COMPUTED_VALUE"""),"LATITUD")</f>
        <v>LATITUD</v>
      </c>
      <c r="C3395" s="36" t="str">
        <f>IFERROR(__xludf.DUMMYFUNCTION("""COMPUTED_VALUE"""),"LONGITUD")</f>
        <v>LONGITUD</v>
      </c>
      <c r="D3395" s="36" t="str">
        <f>IFERROR(__xludf.DUMMYFUNCTION("""COMPUTED_VALUE"""),"ERROR DE ID")</f>
        <v>ERROR DE ID</v>
      </c>
      <c r="E3395" s="36"/>
      <c r="F3395" s="36"/>
      <c r="G3395" s="36"/>
      <c r="H3395" s="36"/>
    </row>
    <row r="3396">
      <c r="A3396" s="36"/>
      <c r="B3396" s="36" t="str">
        <f>IFERROR(__xludf.DUMMYFUNCTION("""COMPUTED_VALUE"""),"LATITUD")</f>
        <v>LATITUD</v>
      </c>
      <c r="C3396" s="36" t="str">
        <f>IFERROR(__xludf.DUMMYFUNCTION("""COMPUTED_VALUE"""),"LONGITUD")</f>
        <v>LONGITUD</v>
      </c>
      <c r="D3396" s="36" t="str">
        <f>IFERROR(__xludf.DUMMYFUNCTION("""COMPUTED_VALUE"""),"ERROR DE ID")</f>
        <v>ERROR DE ID</v>
      </c>
      <c r="E3396" s="36"/>
      <c r="F3396" s="36"/>
      <c r="G3396" s="36"/>
      <c r="H3396" s="36"/>
    </row>
    <row r="3397">
      <c r="A3397" s="36"/>
      <c r="B3397" s="36" t="str">
        <f>IFERROR(__xludf.DUMMYFUNCTION("""COMPUTED_VALUE"""),"LATITUD")</f>
        <v>LATITUD</v>
      </c>
      <c r="C3397" s="36" t="str">
        <f>IFERROR(__xludf.DUMMYFUNCTION("""COMPUTED_VALUE"""),"LONGITUD")</f>
        <v>LONGITUD</v>
      </c>
      <c r="D3397" s="36" t="str">
        <f>IFERROR(__xludf.DUMMYFUNCTION("""COMPUTED_VALUE"""),"ERROR DE ID")</f>
        <v>ERROR DE ID</v>
      </c>
      <c r="E3397" s="36"/>
      <c r="F3397" s="36"/>
      <c r="G3397" s="36"/>
      <c r="H3397" s="36"/>
    </row>
    <row r="3398">
      <c r="A3398" s="36"/>
      <c r="B3398" s="36" t="str">
        <f>IFERROR(__xludf.DUMMYFUNCTION("""COMPUTED_VALUE"""),"LATITUD")</f>
        <v>LATITUD</v>
      </c>
      <c r="C3398" s="36" t="str">
        <f>IFERROR(__xludf.DUMMYFUNCTION("""COMPUTED_VALUE"""),"LONGITUD")</f>
        <v>LONGITUD</v>
      </c>
      <c r="D3398" s="36" t="str">
        <f>IFERROR(__xludf.DUMMYFUNCTION("""COMPUTED_VALUE"""),"ERROR DE ID")</f>
        <v>ERROR DE ID</v>
      </c>
      <c r="E3398" s="36"/>
      <c r="F3398" s="36"/>
      <c r="G3398" s="36"/>
      <c r="H3398" s="36"/>
    </row>
    <row r="3399">
      <c r="A3399" s="36"/>
      <c r="B3399" s="36" t="str">
        <f>IFERROR(__xludf.DUMMYFUNCTION("""COMPUTED_VALUE"""),"LATITUD")</f>
        <v>LATITUD</v>
      </c>
      <c r="C3399" s="36" t="str">
        <f>IFERROR(__xludf.DUMMYFUNCTION("""COMPUTED_VALUE"""),"LONGITUD")</f>
        <v>LONGITUD</v>
      </c>
      <c r="D3399" s="36" t="str">
        <f>IFERROR(__xludf.DUMMYFUNCTION("""COMPUTED_VALUE"""),"ERROR DE ID")</f>
        <v>ERROR DE ID</v>
      </c>
      <c r="E3399" s="36"/>
      <c r="F3399" s="36"/>
      <c r="G3399" s="36"/>
      <c r="H3399" s="36"/>
    </row>
    <row r="3400">
      <c r="A3400" s="36"/>
      <c r="B3400" s="36" t="str">
        <f>IFERROR(__xludf.DUMMYFUNCTION("""COMPUTED_VALUE"""),"LATITUD")</f>
        <v>LATITUD</v>
      </c>
      <c r="C3400" s="36" t="str">
        <f>IFERROR(__xludf.DUMMYFUNCTION("""COMPUTED_VALUE"""),"LONGITUD")</f>
        <v>LONGITUD</v>
      </c>
      <c r="D3400" s="36" t="str">
        <f>IFERROR(__xludf.DUMMYFUNCTION("""COMPUTED_VALUE"""),"ERROR DE ID")</f>
        <v>ERROR DE ID</v>
      </c>
      <c r="E3400" s="36"/>
      <c r="F3400" s="36"/>
      <c r="G3400" s="36"/>
      <c r="H3400" s="36"/>
    </row>
    <row r="3401">
      <c r="A3401" s="36"/>
      <c r="B3401" s="36" t="str">
        <f>IFERROR(__xludf.DUMMYFUNCTION("""COMPUTED_VALUE"""),"LATITUD")</f>
        <v>LATITUD</v>
      </c>
      <c r="C3401" s="36" t="str">
        <f>IFERROR(__xludf.DUMMYFUNCTION("""COMPUTED_VALUE"""),"LONGITUD")</f>
        <v>LONGITUD</v>
      </c>
      <c r="D3401" s="36" t="str">
        <f>IFERROR(__xludf.DUMMYFUNCTION("""COMPUTED_VALUE"""),"ERROR DE ID")</f>
        <v>ERROR DE ID</v>
      </c>
      <c r="E3401" s="36"/>
      <c r="F3401" s="36"/>
      <c r="G3401" s="36"/>
      <c r="H3401" s="36"/>
    </row>
    <row r="3402">
      <c r="A3402" s="36"/>
      <c r="B3402" s="36" t="str">
        <f>IFERROR(__xludf.DUMMYFUNCTION("""COMPUTED_VALUE"""),"LATITUD")</f>
        <v>LATITUD</v>
      </c>
      <c r="C3402" s="36" t="str">
        <f>IFERROR(__xludf.DUMMYFUNCTION("""COMPUTED_VALUE"""),"LONGITUD")</f>
        <v>LONGITUD</v>
      </c>
      <c r="D3402" s="36" t="str">
        <f>IFERROR(__xludf.DUMMYFUNCTION("""COMPUTED_VALUE"""),"ERROR DE ID")</f>
        <v>ERROR DE ID</v>
      </c>
      <c r="E3402" s="36"/>
      <c r="F3402" s="36"/>
      <c r="G3402" s="36"/>
      <c r="H3402" s="36"/>
    </row>
    <row r="3403">
      <c r="A3403" s="36"/>
      <c r="B3403" s="36" t="str">
        <f>IFERROR(__xludf.DUMMYFUNCTION("""COMPUTED_VALUE"""),"LATITUD")</f>
        <v>LATITUD</v>
      </c>
      <c r="C3403" s="36" t="str">
        <f>IFERROR(__xludf.DUMMYFUNCTION("""COMPUTED_VALUE"""),"LONGITUD")</f>
        <v>LONGITUD</v>
      </c>
      <c r="D3403" s="36" t="str">
        <f>IFERROR(__xludf.DUMMYFUNCTION("""COMPUTED_VALUE"""),"ERROR DE ID")</f>
        <v>ERROR DE ID</v>
      </c>
      <c r="E3403" s="36"/>
      <c r="F3403" s="36"/>
      <c r="G3403" s="36"/>
      <c r="H3403" s="36"/>
    </row>
    <row r="3404">
      <c r="A3404" s="36"/>
      <c r="B3404" s="36" t="str">
        <f>IFERROR(__xludf.DUMMYFUNCTION("""COMPUTED_VALUE"""),"LATITUD")</f>
        <v>LATITUD</v>
      </c>
      <c r="C3404" s="36" t="str">
        <f>IFERROR(__xludf.DUMMYFUNCTION("""COMPUTED_VALUE"""),"LONGITUD")</f>
        <v>LONGITUD</v>
      </c>
      <c r="D3404" s="36" t="str">
        <f>IFERROR(__xludf.DUMMYFUNCTION("""COMPUTED_VALUE"""),"ERROR DE ID")</f>
        <v>ERROR DE ID</v>
      </c>
      <c r="E3404" s="36"/>
      <c r="F3404" s="36"/>
      <c r="G3404" s="36"/>
      <c r="H3404" s="36"/>
    </row>
    <row r="3405">
      <c r="A3405" s="36"/>
      <c r="B3405" s="36" t="str">
        <f>IFERROR(__xludf.DUMMYFUNCTION("""COMPUTED_VALUE"""),"LATITUD")</f>
        <v>LATITUD</v>
      </c>
      <c r="C3405" s="36" t="str">
        <f>IFERROR(__xludf.DUMMYFUNCTION("""COMPUTED_VALUE"""),"LONGITUD")</f>
        <v>LONGITUD</v>
      </c>
      <c r="D3405" s="36" t="str">
        <f>IFERROR(__xludf.DUMMYFUNCTION("""COMPUTED_VALUE"""),"ERROR DE ID")</f>
        <v>ERROR DE ID</v>
      </c>
      <c r="E3405" s="36"/>
      <c r="F3405" s="36"/>
      <c r="G3405" s="36"/>
      <c r="H3405" s="36"/>
    </row>
    <row r="3406">
      <c r="A3406" s="36"/>
      <c r="B3406" s="36" t="str">
        <f>IFERROR(__xludf.DUMMYFUNCTION("""COMPUTED_VALUE"""),"LATITUD")</f>
        <v>LATITUD</v>
      </c>
      <c r="C3406" s="36" t="str">
        <f>IFERROR(__xludf.DUMMYFUNCTION("""COMPUTED_VALUE"""),"LONGITUD")</f>
        <v>LONGITUD</v>
      </c>
      <c r="D3406" s="36" t="str">
        <f>IFERROR(__xludf.DUMMYFUNCTION("""COMPUTED_VALUE"""),"ERROR DE ID")</f>
        <v>ERROR DE ID</v>
      </c>
      <c r="E3406" s="36"/>
      <c r="F3406" s="36"/>
      <c r="G3406" s="36"/>
      <c r="H3406" s="36"/>
    </row>
    <row r="3407">
      <c r="A3407" s="36"/>
      <c r="B3407" s="36" t="str">
        <f>IFERROR(__xludf.DUMMYFUNCTION("""COMPUTED_VALUE"""),"LATITUD")</f>
        <v>LATITUD</v>
      </c>
      <c r="C3407" s="36" t="str">
        <f>IFERROR(__xludf.DUMMYFUNCTION("""COMPUTED_VALUE"""),"LONGITUD")</f>
        <v>LONGITUD</v>
      </c>
      <c r="D3407" s="36" t="str">
        <f>IFERROR(__xludf.DUMMYFUNCTION("""COMPUTED_VALUE"""),"ERROR DE ID")</f>
        <v>ERROR DE ID</v>
      </c>
      <c r="E3407" s="36"/>
      <c r="F3407" s="36"/>
      <c r="G3407" s="36"/>
      <c r="H3407" s="36"/>
    </row>
    <row r="3408">
      <c r="A3408" s="36"/>
      <c r="B3408" s="36" t="str">
        <f>IFERROR(__xludf.DUMMYFUNCTION("""COMPUTED_VALUE"""),"LATITUD")</f>
        <v>LATITUD</v>
      </c>
      <c r="C3408" s="36" t="str">
        <f>IFERROR(__xludf.DUMMYFUNCTION("""COMPUTED_VALUE"""),"LONGITUD")</f>
        <v>LONGITUD</v>
      </c>
      <c r="D3408" s="36" t="str">
        <f>IFERROR(__xludf.DUMMYFUNCTION("""COMPUTED_VALUE"""),"ERROR DE ID")</f>
        <v>ERROR DE ID</v>
      </c>
      <c r="E3408" s="36"/>
      <c r="F3408" s="36"/>
      <c r="G3408" s="36"/>
      <c r="H3408" s="36"/>
    </row>
    <row r="3409">
      <c r="A3409" s="36"/>
      <c r="B3409" s="36" t="str">
        <f>IFERROR(__xludf.DUMMYFUNCTION("""COMPUTED_VALUE"""),"LATITUD")</f>
        <v>LATITUD</v>
      </c>
      <c r="C3409" s="36" t="str">
        <f>IFERROR(__xludf.DUMMYFUNCTION("""COMPUTED_VALUE"""),"LONGITUD")</f>
        <v>LONGITUD</v>
      </c>
      <c r="D3409" s="36" t="str">
        <f>IFERROR(__xludf.DUMMYFUNCTION("""COMPUTED_VALUE"""),"ERROR DE ID")</f>
        <v>ERROR DE ID</v>
      </c>
      <c r="E3409" s="36"/>
      <c r="F3409" s="36"/>
      <c r="G3409" s="36"/>
      <c r="H3409" s="36"/>
    </row>
    <row r="3410">
      <c r="A3410" s="36"/>
      <c r="B3410" s="36" t="str">
        <f>IFERROR(__xludf.DUMMYFUNCTION("""COMPUTED_VALUE"""),"LATITUD")</f>
        <v>LATITUD</v>
      </c>
      <c r="C3410" s="36" t="str">
        <f>IFERROR(__xludf.DUMMYFUNCTION("""COMPUTED_VALUE"""),"LONGITUD")</f>
        <v>LONGITUD</v>
      </c>
      <c r="D3410" s="36" t="str">
        <f>IFERROR(__xludf.DUMMYFUNCTION("""COMPUTED_VALUE"""),"ERROR DE ID")</f>
        <v>ERROR DE ID</v>
      </c>
      <c r="E3410" s="36"/>
      <c r="F3410" s="36"/>
      <c r="G3410" s="36"/>
      <c r="H3410" s="36"/>
    </row>
    <row r="3411">
      <c r="A3411" s="36"/>
      <c r="B3411" s="36" t="str">
        <f>IFERROR(__xludf.DUMMYFUNCTION("""COMPUTED_VALUE"""),"LATITUD")</f>
        <v>LATITUD</v>
      </c>
      <c r="C3411" s="36" t="str">
        <f>IFERROR(__xludf.DUMMYFUNCTION("""COMPUTED_VALUE"""),"LONGITUD")</f>
        <v>LONGITUD</v>
      </c>
      <c r="D3411" s="36" t="str">
        <f>IFERROR(__xludf.DUMMYFUNCTION("""COMPUTED_VALUE"""),"ERROR DE ID")</f>
        <v>ERROR DE ID</v>
      </c>
      <c r="E3411" s="36"/>
      <c r="F3411" s="36"/>
      <c r="G3411" s="36"/>
      <c r="H3411" s="36"/>
    </row>
    <row r="3412">
      <c r="A3412" s="36"/>
      <c r="B3412" s="36" t="str">
        <f>IFERROR(__xludf.DUMMYFUNCTION("""COMPUTED_VALUE"""),"LATITUD")</f>
        <v>LATITUD</v>
      </c>
      <c r="C3412" s="36" t="str">
        <f>IFERROR(__xludf.DUMMYFUNCTION("""COMPUTED_VALUE"""),"LONGITUD")</f>
        <v>LONGITUD</v>
      </c>
      <c r="D3412" s="36" t="str">
        <f>IFERROR(__xludf.DUMMYFUNCTION("""COMPUTED_VALUE"""),"ERROR DE ID")</f>
        <v>ERROR DE ID</v>
      </c>
      <c r="E3412" s="36"/>
      <c r="F3412" s="36"/>
      <c r="G3412" s="36"/>
      <c r="H3412" s="36"/>
    </row>
    <row r="3413">
      <c r="A3413" s="36"/>
      <c r="B3413" s="36" t="str">
        <f>IFERROR(__xludf.DUMMYFUNCTION("""COMPUTED_VALUE"""),"LATITUD")</f>
        <v>LATITUD</v>
      </c>
      <c r="C3413" s="36" t="str">
        <f>IFERROR(__xludf.DUMMYFUNCTION("""COMPUTED_VALUE"""),"LONGITUD")</f>
        <v>LONGITUD</v>
      </c>
      <c r="D3413" s="36" t="str">
        <f>IFERROR(__xludf.DUMMYFUNCTION("""COMPUTED_VALUE"""),"ERROR DE ID")</f>
        <v>ERROR DE ID</v>
      </c>
      <c r="E3413" s="36"/>
      <c r="F3413" s="36"/>
      <c r="G3413" s="36"/>
      <c r="H3413" s="36"/>
    </row>
    <row r="3414">
      <c r="A3414" s="36"/>
      <c r="B3414" s="36" t="str">
        <f>IFERROR(__xludf.DUMMYFUNCTION("""COMPUTED_VALUE"""),"LATITUD")</f>
        <v>LATITUD</v>
      </c>
      <c r="C3414" s="36" t="str">
        <f>IFERROR(__xludf.DUMMYFUNCTION("""COMPUTED_VALUE"""),"LONGITUD")</f>
        <v>LONGITUD</v>
      </c>
      <c r="D3414" s="36" t="str">
        <f>IFERROR(__xludf.DUMMYFUNCTION("""COMPUTED_VALUE"""),"ERROR DE ID")</f>
        <v>ERROR DE ID</v>
      </c>
      <c r="E3414" s="36"/>
      <c r="F3414" s="36"/>
      <c r="G3414" s="36"/>
      <c r="H3414" s="36"/>
    </row>
    <row r="3415">
      <c r="A3415" s="36"/>
      <c r="B3415" s="36" t="str">
        <f>IFERROR(__xludf.DUMMYFUNCTION("""COMPUTED_VALUE"""),"LATITUD")</f>
        <v>LATITUD</v>
      </c>
      <c r="C3415" s="36" t="str">
        <f>IFERROR(__xludf.DUMMYFUNCTION("""COMPUTED_VALUE"""),"LONGITUD")</f>
        <v>LONGITUD</v>
      </c>
      <c r="D3415" s="36" t="str">
        <f>IFERROR(__xludf.DUMMYFUNCTION("""COMPUTED_VALUE"""),"ERROR DE ID")</f>
        <v>ERROR DE ID</v>
      </c>
      <c r="E3415" s="36"/>
      <c r="F3415" s="36"/>
      <c r="G3415" s="36"/>
      <c r="H3415" s="36"/>
    </row>
    <row r="3416">
      <c r="A3416" s="36"/>
      <c r="B3416" s="36" t="str">
        <f>IFERROR(__xludf.DUMMYFUNCTION("""COMPUTED_VALUE"""),"LATITUD")</f>
        <v>LATITUD</v>
      </c>
      <c r="C3416" s="36" t="str">
        <f>IFERROR(__xludf.DUMMYFUNCTION("""COMPUTED_VALUE"""),"LONGITUD")</f>
        <v>LONGITUD</v>
      </c>
      <c r="D3416" s="36" t="str">
        <f>IFERROR(__xludf.DUMMYFUNCTION("""COMPUTED_VALUE"""),"ERROR DE ID")</f>
        <v>ERROR DE ID</v>
      </c>
      <c r="E3416" s="36"/>
      <c r="F3416" s="36"/>
      <c r="G3416" s="36"/>
      <c r="H3416" s="36"/>
    </row>
    <row r="3417">
      <c r="A3417" s="36"/>
      <c r="B3417" s="36" t="str">
        <f>IFERROR(__xludf.DUMMYFUNCTION("""COMPUTED_VALUE"""),"LATITUD")</f>
        <v>LATITUD</v>
      </c>
      <c r="C3417" s="36" t="str">
        <f>IFERROR(__xludf.DUMMYFUNCTION("""COMPUTED_VALUE"""),"LONGITUD")</f>
        <v>LONGITUD</v>
      </c>
      <c r="D3417" s="36" t="str">
        <f>IFERROR(__xludf.DUMMYFUNCTION("""COMPUTED_VALUE"""),"ERROR DE ID")</f>
        <v>ERROR DE ID</v>
      </c>
      <c r="E3417" s="36"/>
      <c r="F3417" s="36"/>
      <c r="G3417" s="36"/>
      <c r="H3417" s="36"/>
    </row>
    <row r="3418">
      <c r="A3418" s="36"/>
      <c r="B3418" s="36" t="str">
        <f>IFERROR(__xludf.DUMMYFUNCTION("""COMPUTED_VALUE"""),"LATITUD")</f>
        <v>LATITUD</v>
      </c>
      <c r="C3418" s="36" t="str">
        <f>IFERROR(__xludf.DUMMYFUNCTION("""COMPUTED_VALUE"""),"LONGITUD")</f>
        <v>LONGITUD</v>
      </c>
      <c r="D3418" s="36" t="str">
        <f>IFERROR(__xludf.DUMMYFUNCTION("""COMPUTED_VALUE"""),"ERROR DE ID")</f>
        <v>ERROR DE ID</v>
      </c>
      <c r="E3418" s="36"/>
      <c r="F3418" s="36"/>
      <c r="G3418" s="36"/>
      <c r="H3418" s="36"/>
    </row>
    <row r="3419">
      <c r="A3419" s="36"/>
      <c r="B3419" s="36" t="str">
        <f>IFERROR(__xludf.DUMMYFUNCTION("""COMPUTED_VALUE"""),"LATITUD")</f>
        <v>LATITUD</v>
      </c>
      <c r="C3419" s="36" t="str">
        <f>IFERROR(__xludf.DUMMYFUNCTION("""COMPUTED_VALUE"""),"LONGITUD")</f>
        <v>LONGITUD</v>
      </c>
      <c r="D3419" s="36" t="str">
        <f>IFERROR(__xludf.DUMMYFUNCTION("""COMPUTED_VALUE"""),"ERROR DE ID")</f>
        <v>ERROR DE ID</v>
      </c>
      <c r="E3419" s="36"/>
      <c r="F3419" s="36"/>
      <c r="G3419" s="36"/>
      <c r="H3419" s="36"/>
    </row>
    <row r="3420">
      <c r="A3420" s="36"/>
      <c r="B3420" s="36" t="str">
        <f>IFERROR(__xludf.DUMMYFUNCTION("""COMPUTED_VALUE"""),"LATITUD")</f>
        <v>LATITUD</v>
      </c>
      <c r="C3420" s="36" t="str">
        <f>IFERROR(__xludf.DUMMYFUNCTION("""COMPUTED_VALUE"""),"LONGITUD")</f>
        <v>LONGITUD</v>
      </c>
      <c r="D3420" s="36" t="str">
        <f>IFERROR(__xludf.DUMMYFUNCTION("""COMPUTED_VALUE"""),"ERROR DE ID")</f>
        <v>ERROR DE ID</v>
      </c>
      <c r="E3420" s="36"/>
      <c r="F3420" s="36"/>
      <c r="G3420" s="36"/>
      <c r="H3420" s="36"/>
    </row>
    <row r="3421">
      <c r="A3421" s="36"/>
      <c r="B3421" s="36" t="str">
        <f>IFERROR(__xludf.DUMMYFUNCTION("""COMPUTED_VALUE"""),"LATITUD")</f>
        <v>LATITUD</v>
      </c>
      <c r="C3421" s="36" t="str">
        <f>IFERROR(__xludf.DUMMYFUNCTION("""COMPUTED_VALUE"""),"LONGITUD")</f>
        <v>LONGITUD</v>
      </c>
      <c r="D3421" s="36" t="str">
        <f>IFERROR(__xludf.DUMMYFUNCTION("""COMPUTED_VALUE"""),"ERROR DE ID")</f>
        <v>ERROR DE ID</v>
      </c>
      <c r="E3421" s="36"/>
      <c r="F3421" s="36"/>
      <c r="G3421" s="36"/>
      <c r="H3421" s="36"/>
    </row>
    <row r="3422">
      <c r="A3422" s="36"/>
      <c r="B3422" s="36" t="str">
        <f>IFERROR(__xludf.DUMMYFUNCTION("""COMPUTED_VALUE"""),"LATITUD")</f>
        <v>LATITUD</v>
      </c>
      <c r="C3422" s="36" t="str">
        <f>IFERROR(__xludf.DUMMYFUNCTION("""COMPUTED_VALUE"""),"LONGITUD")</f>
        <v>LONGITUD</v>
      </c>
      <c r="D3422" s="36" t="str">
        <f>IFERROR(__xludf.DUMMYFUNCTION("""COMPUTED_VALUE"""),"ERROR DE ID")</f>
        <v>ERROR DE ID</v>
      </c>
      <c r="E3422" s="36"/>
      <c r="F3422" s="36"/>
      <c r="G3422" s="36"/>
      <c r="H3422" s="36"/>
    </row>
    <row r="3423">
      <c r="A3423" s="36"/>
      <c r="B3423" s="36" t="str">
        <f>IFERROR(__xludf.DUMMYFUNCTION("""COMPUTED_VALUE"""),"LATITUD")</f>
        <v>LATITUD</v>
      </c>
      <c r="C3423" s="36" t="str">
        <f>IFERROR(__xludf.DUMMYFUNCTION("""COMPUTED_VALUE"""),"LONGITUD")</f>
        <v>LONGITUD</v>
      </c>
      <c r="D3423" s="36" t="str">
        <f>IFERROR(__xludf.DUMMYFUNCTION("""COMPUTED_VALUE"""),"ERROR DE ID")</f>
        <v>ERROR DE ID</v>
      </c>
      <c r="E3423" s="36"/>
      <c r="F3423" s="36"/>
      <c r="G3423" s="36"/>
      <c r="H3423" s="36"/>
    </row>
    <row r="3424">
      <c r="A3424" s="36"/>
      <c r="B3424" s="36" t="str">
        <f>IFERROR(__xludf.DUMMYFUNCTION("""COMPUTED_VALUE"""),"LATITUD")</f>
        <v>LATITUD</v>
      </c>
      <c r="C3424" s="36" t="str">
        <f>IFERROR(__xludf.DUMMYFUNCTION("""COMPUTED_VALUE"""),"LONGITUD")</f>
        <v>LONGITUD</v>
      </c>
      <c r="D3424" s="36" t="str">
        <f>IFERROR(__xludf.DUMMYFUNCTION("""COMPUTED_VALUE"""),"ERROR DE ID")</f>
        <v>ERROR DE ID</v>
      </c>
      <c r="E3424" s="36"/>
      <c r="F3424" s="36"/>
      <c r="G3424" s="36"/>
      <c r="H3424" s="36"/>
    </row>
    <row r="3425">
      <c r="A3425" s="36"/>
      <c r="B3425" s="36" t="str">
        <f>IFERROR(__xludf.DUMMYFUNCTION("""COMPUTED_VALUE"""),"LATITUD")</f>
        <v>LATITUD</v>
      </c>
      <c r="C3425" s="36" t="str">
        <f>IFERROR(__xludf.DUMMYFUNCTION("""COMPUTED_VALUE"""),"LONGITUD")</f>
        <v>LONGITUD</v>
      </c>
      <c r="D3425" s="36" t="str">
        <f>IFERROR(__xludf.DUMMYFUNCTION("""COMPUTED_VALUE"""),"ERROR DE ID")</f>
        <v>ERROR DE ID</v>
      </c>
      <c r="E3425" s="36"/>
      <c r="F3425" s="36"/>
      <c r="G3425" s="36"/>
      <c r="H3425" s="36"/>
    </row>
    <row r="3426">
      <c r="A3426" s="36"/>
      <c r="B3426" s="36" t="str">
        <f>IFERROR(__xludf.DUMMYFUNCTION("""COMPUTED_VALUE"""),"LATITUD")</f>
        <v>LATITUD</v>
      </c>
      <c r="C3426" s="36" t="str">
        <f>IFERROR(__xludf.DUMMYFUNCTION("""COMPUTED_VALUE"""),"LONGITUD")</f>
        <v>LONGITUD</v>
      </c>
      <c r="D3426" s="36" t="str">
        <f>IFERROR(__xludf.DUMMYFUNCTION("""COMPUTED_VALUE"""),"ERROR DE ID")</f>
        <v>ERROR DE ID</v>
      </c>
      <c r="E3426" s="36"/>
      <c r="F3426" s="36"/>
      <c r="G3426" s="36"/>
      <c r="H3426" s="36"/>
    </row>
    <row r="3427">
      <c r="A3427" s="36"/>
      <c r="B3427" s="36" t="str">
        <f>IFERROR(__xludf.DUMMYFUNCTION("""COMPUTED_VALUE"""),"LATITUD")</f>
        <v>LATITUD</v>
      </c>
      <c r="C3427" s="36" t="str">
        <f>IFERROR(__xludf.DUMMYFUNCTION("""COMPUTED_VALUE"""),"LONGITUD")</f>
        <v>LONGITUD</v>
      </c>
      <c r="D3427" s="36" t="str">
        <f>IFERROR(__xludf.DUMMYFUNCTION("""COMPUTED_VALUE"""),"ERROR DE ID")</f>
        <v>ERROR DE ID</v>
      </c>
      <c r="E3427" s="36"/>
      <c r="F3427" s="36"/>
      <c r="G3427" s="36"/>
      <c r="H3427" s="36"/>
    </row>
    <row r="3428">
      <c r="A3428" s="36"/>
      <c r="B3428" s="36" t="str">
        <f>IFERROR(__xludf.DUMMYFUNCTION("""COMPUTED_VALUE"""),"LATITUD")</f>
        <v>LATITUD</v>
      </c>
      <c r="C3428" s="36" t="str">
        <f>IFERROR(__xludf.DUMMYFUNCTION("""COMPUTED_VALUE"""),"LONGITUD")</f>
        <v>LONGITUD</v>
      </c>
      <c r="D3428" s="36" t="str">
        <f>IFERROR(__xludf.DUMMYFUNCTION("""COMPUTED_VALUE"""),"ERROR DE ID")</f>
        <v>ERROR DE ID</v>
      </c>
      <c r="E3428" s="36"/>
      <c r="F3428" s="36"/>
      <c r="G3428" s="36"/>
      <c r="H3428" s="36"/>
    </row>
    <row r="3429">
      <c r="A3429" s="36"/>
      <c r="B3429" s="36" t="str">
        <f>IFERROR(__xludf.DUMMYFUNCTION("""COMPUTED_VALUE"""),"LATITUD")</f>
        <v>LATITUD</v>
      </c>
      <c r="C3429" s="36" t="str">
        <f>IFERROR(__xludf.DUMMYFUNCTION("""COMPUTED_VALUE"""),"LONGITUD")</f>
        <v>LONGITUD</v>
      </c>
      <c r="D3429" s="36" t="str">
        <f>IFERROR(__xludf.DUMMYFUNCTION("""COMPUTED_VALUE"""),"ERROR DE ID")</f>
        <v>ERROR DE ID</v>
      </c>
      <c r="E3429" s="36"/>
      <c r="F3429" s="36"/>
      <c r="G3429" s="36"/>
      <c r="H3429" s="36"/>
    </row>
    <row r="3430">
      <c r="A3430" s="36"/>
      <c r="B3430" s="36" t="str">
        <f>IFERROR(__xludf.DUMMYFUNCTION("""COMPUTED_VALUE"""),"LATITUD")</f>
        <v>LATITUD</v>
      </c>
      <c r="C3430" s="36" t="str">
        <f>IFERROR(__xludf.DUMMYFUNCTION("""COMPUTED_VALUE"""),"LONGITUD")</f>
        <v>LONGITUD</v>
      </c>
      <c r="D3430" s="36" t="str">
        <f>IFERROR(__xludf.DUMMYFUNCTION("""COMPUTED_VALUE"""),"ERROR DE ID")</f>
        <v>ERROR DE ID</v>
      </c>
      <c r="E3430" s="36"/>
      <c r="F3430" s="36"/>
      <c r="G3430" s="36"/>
      <c r="H3430" s="36"/>
    </row>
    <row r="3431">
      <c r="A3431" s="36"/>
      <c r="B3431" s="36" t="str">
        <f>IFERROR(__xludf.DUMMYFUNCTION("""COMPUTED_VALUE"""),"LATITUD")</f>
        <v>LATITUD</v>
      </c>
      <c r="C3431" s="36" t="str">
        <f>IFERROR(__xludf.DUMMYFUNCTION("""COMPUTED_VALUE"""),"LONGITUD")</f>
        <v>LONGITUD</v>
      </c>
      <c r="D3431" s="36" t="str">
        <f>IFERROR(__xludf.DUMMYFUNCTION("""COMPUTED_VALUE"""),"ERROR DE ID")</f>
        <v>ERROR DE ID</v>
      </c>
      <c r="E3431" s="36"/>
      <c r="F3431" s="36"/>
      <c r="G3431" s="36"/>
      <c r="H3431" s="36"/>
    </row>
    <row r="3432">
      <c r="A3432" s="36"/>
      <c r="B3432" s="36" t="str">
        <f>IFERROR(__xludf.DUMMYFUNCTION("""COMPUTED_VALUE"""),"LATITUD")</f>
        <v>LATITUD</v>
      </c>
      <c r="C3432" s="36" t="str">
        <f>IFERROR(__xludf.DUMMYFUNCTION("""COMPUTED_VALUE"""),"LONGITUD")</f>
        <v>LONGITUD</v>
      </c>
      <c r="D3432" s="36" t="str">
        <f>IFERROR(__xludf.DUMMYFUNCTION("""COMPUTED_VALUE"""),"ERROR DE ID")</f>
        <v>ERROR DE ID</v>
      </c>
      <c r="E3432" s="36"/>
      <c r="F3432" s="36"/>
      <c r="G3432" s="36"/>
      <c r="H3432" s="36"/>
    </row>
    <row r="3433">
      <c r="A3433" s="36"/>
      <c r="B3433" s="36" t="str">
        <f>IFERROR(__xludf.DUMMYFUNCTION("""COMPUTED_VALUE"""),"LATITUD")</f>
        <v>LATITUD</v>
      </c>
      <c r="C3433" s="36" t="str">
        <f>IFERROR(__xludf.DUMMYFUNCTION("""COMPUTED_VALUE"""),"LONGITUD")</f>
        <v>LONGITUD</v>
      </c>
      <c r="D3433" s="36" t="str">
        <f>IFERROR(__xludf.DUMMYFUNCTION("""COMPUTED_VALUE"""),"ERROR DE ID")</f>
        <v>ERROR DE ID</v>
      </c>
      <c r="E3433" s="36"/>
      <c r="F3433" s="36"/>
      <c r="G3433" s="36"/>
      <c r="H3433" s="36"/>
    </row>
    <row r="3434">
      <c r="A3434" s="36"/>
      <c r="B3434" s="36" t="str">
        <f>IFERROR(__xludf.DUMMYFUNCTION("""COMPUTED_VALUE"""),"LATITUD")</f>
        <v>LATITUD</v>
      </c>
      <c r="C3434" s="36" t="str">
        <f>IFERROR(__xludf.DUMMYFUNCTION("""COMPUTED_VALUE"""),"LONGITUD")</f>
        <v>LONGITUD</v>
      </c>
      <c r="D3434" s="36" t="str">
        <f>IFERROR(__xludf.DUMMYFUNCTION("""COMPUTED_VALUE"""),"ERROR DE ID")</f>
        <v>ERROR DE ID</v>
      </c>
      <c r="E3434" s="36"/>
      <c r="F3434" s="36"/>
      <c r="G3434" s="36"/>
      <c r="H3434" s="36"/>
    </row>
    <row r="3435">
      <c r="A3435" s="36"/>
      <c r="B3435" s="36" t="str">
        <f>IFERROR(__xludf.DUMMYFUNCTION("""COMPUTED_VALUE"""),"LATITUD")</f>
        <v>LATITUD</v>
      </c>
      <c r="C3435" s="36" t="str">
        <f>IFERROR(__xludf.DUMMYFUNCTION("""COMPUTED_VALUE"""),"LONGITUD")</f>
        <v>LONGITUD</v>
      </c>
      <c r="D3435" s="36" t="str">
        <f>IFERROR(__xludf.DUMMYFUNCTION("""COMPUTED_VALUE"""),"ERROR DE ID")</f>
        <v>ERROR DE ID</v>
      </c>
      <c r="E3435" s="36"/>
      <c r="F3435" s="36"/>
      <c r="G3435" s="36"/>
      <c r="H3435" s="36"/>
    </row>
    <row r="3436">
      <c r="A3436" s="36"/>
      <c r="B3436" s="36" t="str">
        <f>IFERROR(__xludf.DUMMYFUNCTION("""COMPUTED_VALUE"""),"LATITUD")</f>
        <v>LATITUD</v>
      </c>
      <c r="C3436" s="36" t="str">
        <f>IFERROR(__xludf.DUMMYFUNCTION("""COMPUTED_VALUE"""),"LONGITUD")</f>
        <v>LONGITUD</v>
      </c>
      <c r="D3436" s="36" t="str">
        <f>IFERROR(__xludf.DUMMYFUNCTION("""COMPUTED_VALUE"""),"ERROR DE ID")</f>
        <v>ERROR DE ID</v>
      </c>
      <c r="E3436" s="36"/>
      <c r="F3436" s="36"/>
      <c r="G3436" s="36"/>
      <c r="H3436" s="36"/>
    </row>
    <row r="3437">
      <c r="A3437" s="36"/>
      <c r="B3437" s="36" t="str">
        <f>IFERROR(__xludf.DUMMYFUNCTION("""COMPUTED_VALUE"""),"LATITUD")</f>
        <v>LATITUD</v>
      </c>
      <c r="C3437" s="36" t="str">
        <f>IFERROR(__xludf.DUMMYFUNCTION("""COMPUTED_VALUE"""),"LONGITUD")</f>
        <v>LONGITUD</v>
      </c>
      <c r="D3437" s="36" t="str">
        <f>IFERROR(__xludf.DUMMYFUNCTION("""COMPUTED_VALUE"""),"ERROR DE ID")</f>
        <v>ERROR DE ID</v>
      </c>
      <c r="E3437" s="36"/>
      <c r="F3437" s="36"/>
      <c r="G3437" s="36"/>
      <c r="H3437" s="36"/>
    </row>
    <row r="3438">
      <c r="A3438" s="36"/>
      <c r="B3438" s="36" t="str">
        <f>IFERROR(__xludf.DUMMYFUNCTION("""COMPUTED_VALUE"""),"LATITUD")</f>
        <v>LATITUD</v>
      </c>
      <c r="C3438" s="36" t="str">
        <f>IFERROR(__xludf.DUMMYFUNCTION("""COMPUTED_VALUE"""),"LONGITUD")</f>
        <v>LONGITUD</v>
      </c>
      <c r="D3438" s="36" t="str">
        <f>IFERROR(__xludf.DUMMYFUNCTION("""COMPUTED_VALUE"""),"ERROR DE ID")</f>
        <v>ERROR DE ID</v>
      </c>
      <c r="E3438" s="36"/>
      <c r="F3438" s="36"/>
      <c r="G3438" s="36"/>
      <c r="H3438" s="36"/>
    </row>
    <row r="3439">
      <c r="A3439" s="36"/>
      <c r="B3439" s="36" t="str">
        <f>IFERROR(__xludf.DUMMYFUNCTION("""COMPUTED_VALUE"""),"LATITUD")</f>
        <v>LATITUD</v>
      </c>
      <c r="C3439" s="36" t="str">
        <f>IFERROR(__xludf.DUMMYFUNCTION("""COMPUTED_VALUE"""),"LONGITUD")</f>
        <v>LONGITUD</v>
      </c>
      <c r="D3439" s="36" t="str">
        <f>IFERROR(__xludf.DUMMYFUNCTION("""COMPUTED_VALUE"""),"ERROR DE ID")</f>
        <v>ERROR DE ID</v>
      </c>
      <c r="E3439" s="36"/>
      <c r="F3439" s="36"/>
      <c r="G3439" s="36"/>
      <c r="H3439" s="36"/>
    </row>
    <row r="3440">
      <c r="A3440" s="36"/>
      <c r="B3440" s="36" t="str">
        <f>IFERROR(__xludf.DUMMYFUNCTION("""COMPUTED_VALUE"""),"LATITUD")</f>
        <v>LATITUD</v>
      </c>
      <c r="C3440" s="36" t="str">
        <f>IFERROR(__xludf.DUMMYFUNCTION("""COMPUTED_VALUE"""),"LONGITUD")</f>
        <v>LONGITUD</v>
      </c>
      <c r="D3440" s="36" t="str">
        <f>IFERROR(__xludf.DUMMYFUNCTION("""COMPUTED_VALUE"""),"ERROR DE ID")</f>
        <v>ERROR DE ID</v>
      </c>
      <c r="E3440" s="36"/>
      <c r="F3440" s="36"/>
      <c r="G3440" s="36"/>
      <c r="H3440" s="36"/>
    </row>
    <row r="3441">
      <c r="A3441" s="36"/>
      <c r="B3441" s="36" t="str">
        <f>IFERROR(__xludf.DUMMYFUNCTION("""COMPUTED_VALUE"""),"LATITUD")</f>
        <v>LATITUD</v>
      </c>
      <c r="C3441" s="36" t="str">
        <f>IFERROR(__xludf.DUMMYFUNCTION("""COMPUTED_VALUE"""),"LONGITUD")</f>
        <v>LONGITUD</v>
      </c>
      <c r="D3441" s="36" t="str">
        <f>IFERROR(__xludf.DUMMYFUNCTION("""COMPUTED_VALUE"""),"ERROR DE ID")</f>
        <v>ERROR DE ID</v>
      </c>
      <c r="E3441" s="36"/>
      <c r="F3441" s="36"/>
      <c r="G3441" s="36"/>
      <c r="H3441" s="36"/>
    </row>
    <row r="3442">
      <c r="A3442" s="36"/>
      <c r="B3442" s="36" t="str">
        <f>IFERROR(__xludf.DUMMYFUNCTION("""COMPUTED_VALUE"""),"LATITUD")</f>
        <v>LATITUD</v>
      </c>
      <c r="C3442" s="36" t="str">
        <f>IFERROR(__xludf.DUMMYFUNCTION("""COMPUTED_VALUE"""),"LONGITUD")</f>
        <v>LONGITUD</v>
      </c>
      <c r="D3442" s="36" t="str">
        <f>IFERROR(__xludf.DUMMYFUNCTION("""COMPUTED_VALUE"""),"ERROR DE ID")</f>
        <v>ERROR DE ID</v>
      </c>
      <c r="E3442" s="36"/>
      <c r="F3442" s="36"/>
      <c r="G3442" s="36"/>
      <c r="H3442" s="36"/>
    </row>
    <row r="3443">
      <c r="A3443" s="36"/>
      <c r="B3443" s="36" t="str">
        <f>IFERROR(__xludf.DUMMYFUNCTION("""COMPUTED_VALUE"""),"LATITUD")</f>
        <v>LATITUD</v>
      </c>
      <c r="C3443" s="36" t="str">
        <f>IFERROR(__xludf.DUMMYFUNCTION("""COMPUTED_VALUE"""),"LONGITUD")</f>
        <v>LONGITUD</v>
      </c>
      <c r="D3443" s="36" t="str">
        <f>IFERROR(__xludf.DUMMYFUNCTION("""COMPUTED_VALUE"""),"ERROR DE ID")</f>
        <v>ERROR DE ID</v>
      </c>
      <c r="E3443" s="36"/>
      <c r="F3443" s="36"/>
      <c r="G3443" s="36"/>
      <c r="H3443" s="36"/>
    </row>
    <row r="3444">
      <c r="A3444" s="36"/>
      <c r="B3444" s="36" t="str">
        <f>IFERROR(__xludf.DUMMYFUNCTION("""COMPUTED_VALUE"""),"LATITUD")</f>
        <v>LATITUD</v>
      </c>
      <c r="C3444" s="36" t="str">
        <f>IFERROR(__xludf.DUMMYFUNCTION("""COMPUTED_VALUE"""),"LONGITUD")</f>
        <v>LONGITUD</v>
      </c>
      <c r="D3444" s="36" t="str">
        <f>IFERROR(__xludf.DUMMYFUNCTION("""COMPUTED_VALUE"""),"ERROR DE ID")</f>
        <v>ERROR DE ID</v>
      </c>
      <c r="E3444" s="36"/>
      <c r="F3444" s="36"/>
      <c r="G3444" s="36"/>
      <c r="H3444" s="36"/>
    </row>
    <row r="3445">
      <c r="A3445" s="36"/>
      <c r="B3445" s="36" t="str">
        <f>IFERROR(__xludf.DUMMYFUNCTION("""COMPUTED_VALUE"""),"LATITUD")</f>
        <v>LATITUD</v>
      </c>
      <c r="C3445" s="36" t="str">
        <f>IFERROR(__xludf.DUMMYFUNCTION("""COMPUTED_VALUE"""),"LONGITUD")</f>
        <v>LONGITUD</v>
      </c>
      <c r="D3445" s="36" t="str">
        <f>IFERROR(__xludf.DUMMYFUNCTION("""COMPUTED_VALUE"""),"ERROR DE ID")</f>
        <v>ERROR DE ID</v>
      </c>
      <c r="E3445" s="36"/>
      <c r="F3445" s="36"/>
      <c r="G3445" s="36"/>
      <c r="H3445" s="36"/>
    </row>
    <row r="3446">
      <c r="A3446" s="36"/>
      <c r="B3446" s="36" t="str">
        <f>IFERROR(__xludf.DUMMYFUNCTION("""COMPUTED_VALUE"""),"LATITUD")</f>
        <v>LATITUD</v>
      </c>
      <c r="C3446" s="36" t="str">
        <f>IFERROR(__xludf.DUMMYFUNCTION("""COMPUTED_VALUE"""),"LONGITUD")</f>
        <v>LONGITUD</v>
      </c>
      <c r="D3446" s="36" t="str">
        <f>IFERROR(__xludf.DUMMYFUNCTION("""COMPUTED_VALUE"""),"ERROR DE ID")</f>
        <v>ERROR DE ID</v>
      </c>
      <c r="E3446" s="36"/>
      <c r="F3446" s="36"/>
      <c r="G3446" s="36"/>
      <c r="H3446" s="36"/>
    </row>
    <row r="3447">
      <c r="A3447" s="36"/>
      <c r="B3447" s="36" t="str">
        <f>IFERROR(__xludf.DUMMYFUNCTION("""COMPUTED_VALUE"""),"LATITUD")</f>
        <v>LATITUD</v>
      </c>
      <c r="C3447" s="36" t="str">
        <f>IFERROR(__xludf.DUMMYFUNCTION("""COMPUTED_VALUE"""),"LONGITUD")</f>
        <v>LONGITUD</v>
      </c>
      <c r="D3447" s="36" t="str">
        <f>IFERROR(__xludf.DUMMYFUNCTION("""COMPUTED_VALUE"""),"ERROR DE ID")</f>
        <v>ERROR DE ID</v>
      </c>
      <c r="E3447" s="36"/>
      <c r="F3447" s="36"/>
      <c r="G3447" s="36"/>
      <c r="H3447" s="36"/>
    </row>
    <row r="3448">
      <c r="A3448" s="36"/>
      <c r="B3448" s="36" t="str">
        <f>IFERROR(__xludf.DUMMYFUNCTION("""COMPUTED_VALUE"""),"LATITUD")</f>
        <v>LATITUD</v>
      </c>
      <c r="C3448" s="36" t="str">
        <f>IFERROR(__xludf.DUMMYFUNCTION("""COMPUTED_VALUE"""),"LONGITUD")</f>
        <v>LONGITUD</v>
      </c>
      <c r="D3448" s="36" t="str">
        <f>IFERROR(__xludf.DUMMYFUNCTION("""COMPUTED_VALUE"""),"ERROR DE ID")</f>
        <v>ERROR DE ID</v>
      </c>
      <c r="E3448" s="36"/>
      <c r="F3448" s="36"/>
      <c r="G3448" s="36"/>
      <c r="H3448" s="36"/>
    </row>
    <row r="3449">
      <c r="A3449" s="36"/>
      <c r="B3449" s="36" t="str">
        <f>IFERROR(__xludf.DUMMYFUNCTION("""COMPUTED_VALUE"""),"LATITUD")</f>
        <v>LATITUD</v>
      </c>
      <c r="C3449" s="36" t="str">
        <f>IFERROR(__xludf.DUMMYFUNCTION("""COMPUTED_VALUE"""),"LONGITUD")</f>
        <v>LONGITUD</v>
      </c>
      <c r="D3449" s="36" t="str">
        <f>IFERROR(__xludf.DUMMYFUNCTION("""COMPUTED_VALUE"""),"ERROR DE ID")</f>
        <v>ERROR DE ID</v>
      </c>
      <c r="E3449" s="36"/>
      <c r="F3449" s="36"/>
      <c r="G3449" s="36"/>
      <c r="H3449" s="36"/>
    </row>
    <row r="3450">
      <c r="A3450" s="36"/>
      <c r="B3450" s="36" t="str">
        <f>IFERROR(__xludf.DUMMYFUNCTION("""COMPUTED_VALUE"""),"LATITUD")</f>
        <v>LATITUD</v>
      </c>
      <c r="C3450" s="36" t="str">
        <f>IFERROR(__xludf.DUMMYFUNCTION("""COMPUTED_VALUE"""),"LONGITUD")</f>
        <v>LONGITUD</v>
      </c>
      <c r="D3450" s="36" t="str">
        <f>IFERROR(__xludf.DUMMYFUNCTION("""COMPUTED_VALUE"""),"ERROR DE ID")</f>
        <v>ERROR DE ID</v>
      </c>
      <c r="E3450" s="36"/>
      <c r="F3450" s="36"/>
      <c r="G3450" s="36"/>
      <c r="H3450" s="36"/>
    </row>
    <row r="3451">
      <c r="A3451" s="36"/>
      <c r="B3451" s="36" t="str">
        <f>IFERROR(__xludf.DUMMYFUNCTION("""COMPUTED_VALUE"""),"LATITUD")</f>
        <v>LATITUD</v>
      </c>
      <c r="C3451" s="36" t="str">
        <f>IFERROR(__xludf.DUMMYFUNCTION("""COMPUTED_VALUE"""),"LONGITUD")</f>
        <v>LONGITUD</v>
      </c>
      <c r="D3451" s="36" t="str">
        <f>IFERROR(__xludf.DUMMYFUNCTION("""COMPUTED_VALUE"""),"ERROR DE ID")</f>
        <v>ERROR DE ID</v>
      </c>
      <c r="E3451" s="36"/>
      <c r="F3451" s="36"/>
      <c r="G3451" s="36"/>
      <c r="H3451" s="36"/>
    </row>
    <row r="3452">
      <c r="A3452" s="36"/>
      <c r="B3452" s="36" t="str">
        <f>IFERROR(__xludf.DUMMYFUNCTION("""COMPUTED_VALUE"""),"LATITUD")</f>
        <v>LATITUD</v>
      </c>
      <c r="C3452" s="36" t="str">
        <f>IFERROR(__xludf.DUMMYFUNCTION("""COMPUTED_VALUE"""),"LONGITUD")</f>
        <v>LONGITUD</v>
      </c>
      <c r="D3452" s="36" t="str">
        <f>IFERROR(__xludf.DUMMYFUNCTION("""COMPUTED_VALUE"""),"ERROR DE ID")</f>
        <v>ERROR DE ID</v>
      </c>
      <c r="E3452" s="36"/>
      <c r="F3452" s="36"/>
      <c r="G3452" s="36"/>
      <c r="H3452" s="36"/>
    </row>
    <row r="3453">
      <c r="A3453" s="36"/>
      <c r="B3453" s="36" t="str">
        <f>IFERROR(__xludf.DUMMYFUNCTION("""COMPUTED_VALUE"""),"LATITUD")</f>
        <v>LATITUD</v>
      </c>
      <c r="C3453" s="36" t="str">
        <f>IFERROR(__xludf.DUMMYFUNCTION("""COMPUTED_VALUE"""),"LONGITUD")</f>
        <v>LONGITUD</v>
      </c>
      <c r="D3453" s="36" t="str">
        <f>IFERROR(__xludf.DUMMYFUNCTION("""COMPUTED_VALUE"""),"ERROR DE ID")</f>
        <v>ERROR DE ID</v>
      </c>
      <c r="E3453" s="36"/>
      <c r="F3453" s="36"/>
      <c r="G3453" s="36"/>
      <c r="H3453" s="36"/>
    </row>
    <row r="3454">
      <c r="A3454" s="36"/>
      <c r="B3454" s="36" t="str">
        <f>IFERROR(__xludf.DUMMYFUNCTION("""COMPUTED_VALUE"""),"LATITUD")</f>
        <v>LATITUD</v>
      </c>
      <c r="C3454" s="36" t="str">
        <f>IFERROR(__xludf.DUMMYFUNCTION("""COMPUTED_VALUE"""),"LONGITUD")</f>
        <v>LONGITUD</v>
      </c>
      <c r="D3454" s="36" t="str">
        <f>IFERROR(__xludf.DUMMYFUNCTION("""COMPUTED_VALUE"""),"ERROR DE ID")</f>
        <v>ERROR DE ID</v>
      </c>
      <c r="E3454" s="36"/>
      <c r="F3454" s="36"/>
      <c r="G3454" s="36"/>
      <c r="H3454" s="36"/>
    </row>
    <row r="3455">
      <c r="A3455" s="36"/>
      <c r="B3455" s="36" t="str">
        <f>IFERROR(__xludf.DUMMYFUNCTION("""COMPUTED_VALUE"""),"LATITUD")</f>
        <v>LATITUD</v>
      </c>
      <c r="C3455" s="36" t="str">
        <f>IFERROR(__xludf.DUMMYFUNCTION("""COMPUTED_VALUE"""),"LONGITUD")</f>
        <v>LONGITUD</v>
      </c>
      <c r="D3455" s="36" t="str">
        <f>IFERROR(__xludf.DUMMYFUNCTION("""COMPUTED_VALUE"""),"ERROR DE ID")</f>
        <v>ERROR DE ID</v>
      </c>
      <c r="E3455" s="36"/>
      <c r="F3455" s="36"/>
      <c r="G3455" s="36"/>
      <c r="H3455" s="36"/>
    </row>
    <row r="3456">
      <c r="A3456" s="36"/>
      <c r="B3456" s="36" t="str">
        <f>IFERROR(__xludf.DUMMYFUNCTION("""COMPUTED_VALUE"""),"LATITUD")</f>
        <v>LATITUD</v>
      </c>
      <c r="C3456" s="36" t="str">
        <f>IFERROR(__xludf.DUMMYFUNCTION("""COMPUTED_VALUE"""),"LONGITUD")</f>
        <v>LONGITUD</v>
      </c>
      <c r="D3456" s="36" t="str">
        <f>IFERROR(__xludf.DUMMYFUNCTION("""COMPUTED_VALUE"""),"ERROR DE ID")</f>
        <v>ERROR DE ID</v>
      </c>
      <c r="E3456" s="36"/>
      <c r="F3456" s="36"/>
      <c r="G3456" s="36"/>
      <c r="H3456" s="36"/>
    </row>
    <row r="3457">
      <c r="A3457" s="36"/>
      <c r="B3457" s="36" t="str">
        <f>IFERROR(__xludf.DUMMYFUNCTION("""COMPUTED_VALUE"""),"LATITUD")</f>
        <v>LATITUD</v>
      </c>
      <c r="C3457" s="36" t="str">
        <f>IFERROR(__xludf.DUMMYFUNCTION("""COMPUTED_VALUE"""),"LONGITUD")</f>
        <v>LONGITUD</v>
      </c>
      <c r="D3457" s="36" t="str">
        <f>IFERROR(__xludf.DUMMYFUNCTION("""COMPUTED_VALUE"""),"ERROR DE ID")</f>
        <v>ERROR DE ID</v>
      </c>
      <c r="E3457" s="36"/>
      <c r="F3457" s="36"/>
      <c r="G3457" s="36"/>
      <c r="H3457" s="36"/>
    </row>
    <row r="3458">
      <c r="A3458" s="36"/>
      <c r="B3458" s="36" t="str">
        <f>IFERROR(__xludf.DUMMYFUNCTION("""COMPUTED_VALUE"""),"LATITUD")</f>
        <v>LATITUD</v>
      </c>
      <c r="C3458" s="36" t="str">
        <f>IFERROR(__xludf.DUMMYFUNCTION("""COMPUTED_VALUE"""),"LONGITUD")</f>
        <v>LONGITUD</v>
      </c>
      <c r="D3458" s="36" t="str">
        <f>IFERROR(__xludf.DUMMYFUNCTION("""COMPUTED_VALUE"""),"ERROR DE ID")</f>
        <v>ERROR DE ID</v>
      </c>
      <c r="E3458" s="36"/>
      <c r="F3458" s="36"/>
      <c r="G3458" s="36"/>
      <c r="H3458" s="36"/>
    </row>
    <row r="3459">
      <c r="A3459" s="36"/>
      <c r="B3459" s="36" t="str">
        <f>IFERROR(__xludf.DUMMYFUNCTION("""COMPUTED_VALUE"""),"LATITUD")</f>
        <v>LATITUD</v>
      </c>
      <c r="C3459" s="36" t="str">
        <f>IFERROR(__xludf.DUMMYFUNCTION("""COMPUTED_VALUE"""),"LONGITUD")</f>
        <v>LONGITUD</v>
      </c>
      <c r="D3459" s="36" t="str">
        <f>IFERROR(__xludf.DUMMYFUNCTION("""COMPUTED_VALUE"""),"ERROR DE ID")</f>
        <v>ERROR DE ID</v>
      </c>
      <c r="E3459" s="36"/>
      <c r="F3459" s="36"/>
      <c r="G3459" s="36"/>
      <c r="H3459" s="36"/>
    </row>
    <row r="3460">
      <c r="A3460" s="36"/>
      <c r="B3460" s="36" t="str">
        <f>IFERROR(__xludf.DUMMYFUNCTION("""COMPUTED_VALUE"""),"LATITUD")</f>
        <v>LATITUD</v>
      </c>
      <c r="C3460" s="36" t="str">
        <f>IFERROR(__xludf.DUMMYFUNCTION("""COMPUTED_VALUE"""),"LONGITUD")</f>
        <v>LONGITUD</v>
      </c>
      <c r="D3460" s="36" t="str">
        <f>IFERROR(__xludf.DUMMYFUNCTION("""COMPUTED_VALUE"""),"ERROR DE ID")</f>
        <v>ERROR DE ID</v>
      </c>
      <c r="E3460" s="36"/>
      <c r="F3460" s="36"/>
      <c r="G3460" s="36"/>
      <c r="H3460" s="36"/>
    </row>
    <row r="3461">
      <c r="A3461" s="36"/>
      <c r="B3461" s="36" t="str">
        <f>IFERROR(__xludf.DUMMYFUNCTION("""COMPUTED_VALUE"""),"LATITUD")</f>
        <v>LATITUD</v>
      </c>
      <c r="C3461" s="36" t="str">
        <f>IFERROR(__xludf.DUMMYFUNCTION("""COMPUTED_VALUE"""),"LONGITUD")</f>
        <v>LONGITUD</v>
      </c>
      <c r="D3461" s="36" t="str">
        <f>IFERROR(__xludf.DUMMYFUNCTION("""COMPUTED_VALUE"""),"ERROR DE ID")</f>
        <v>ERROR DE ID</v>
      </c>
      <c r="E3461" s="36"/>
      <c r="F3461" s="36"/>
      <c r="G3461" s="36"/>
      <c r="H3461" s="36"/>
    </row>
    <row r="3462">
      <c r="A3462" s="36"/>
      <c r="B3462" s="36" t="str">
        <f>IFERROR(__xludf.DUMMYFUNCTION("""COMPUTED_VALUE"""),"LATITUD")</f>
        <v>LATITUD</v>
      </c>
      <c r="C3462" s="36" t="str">
        <f>IFERROR(__xludf.DUMMYFUNCTION("""COMPUTED_VALUE"""),"LONGITUD")</f>
        <v>LONGITUD</v>
      </c>
      <c r="D3462" s="36" t="str">
        <f>IFERROR(__xludf.DUMMYFUNCTION("""COMPUTED_VALUE"""),"ERROR DE ID")</f>
        <v>ERROR DE ID</v>
      </c>
      <c r="E3462" s="36"/>
      <c r="F3462" s="36"/>
      <c r="G3462" s="36"/>
      <c r="H3462" s="36"/>
    </row>
    <row r="3463">
      <c r="A3463" s="36"/>
      <c r="B3463" s="36" t="str">
        <f>IFERROR(__xludf.DUMMYFUNCTION("""COMPUTED_VALUE"""),"LATITUD")</f>
        <v>LATITUD</v>
      </c>
      <c r="C3463" s="36" t="str">
        <f>IFERROR(__xludf.DUMMYFUNCTION("""COMPUTED_VALUE"""),"LONGITUD")</f>
        <v>LONGITUD</v>
      </c>
      <c r="D3463" s="36" t="str">
        <f>IFERROR(__xludf.DUMMYFUNCTION("""COMPUTED_VALUE"""),"ERROR DE ID")</f>
        <v>ERROR DE ID</v>
      </c>
      <c r="E3463" s="36"/>
      <c r="F3463" s="36"/>
      <c r="G3463" s="36"/>
      <c r="H3463" s="36"/>
    </row>
    <row r="3464">
      <c r="A3464" s="36"/>
      <c r="B3464" s="36" t="str">
        <f>IFERROR(__xludf.DUMMYFUNCTION("""COMPUTED_VALUE"""),"LATITUD")</f>
        <v>LATITUD</v>
      </c>
      <c r="C3464" s="36" t="str">
        <f>IFERROR(__xludf.DUMMYFUNCTION("""COMPUTED_VALUE"""),"LONGITUD")</f>
        <v>LONGITUD</v>
      </c>
      <c r="D3464" s="36" t="str">
        <f>IFERROR(__xludf.DUMMYFUNCTION("""COMPUTED_VALUE"""),"ERROR DE ID")</f>
        <v>ERROR DE ID</v>
      </c>
      <c r="E3464" s="36"/>
      <c r="F3464" s="36"/>
      <c r="G3464" s="36"/>
      <c r="H3464" s="36"/>
    </row>
    <row r="3465">
      <c r="A3465" s="36"/>
      <c r="B3465" s="36" t="str">
        <f>IFERROR(__xludf.DUMMYFUNCTION("""COMPUTED_VALUE"""),"LATITUD")</f>
        <v>LATITUD</v>
      </c>
      <c r="C3465" s="36" t="str">
        <f>IFERROR(__xludf.DUMMYFUNCTION("""COMPUTED_VALUE"""),"LONGITUD")</f>
        <v>LONGITUD</v>
      </c>
      <c r="D3465" s="36" t="str">
        <f>IFERROR(__xludf.DUMMYFUNCTION("""COMPUTED_VALUE"""),"ERROR DE ID")</f>
        <v>ERROR DE ID</v>
      </c>
      <c r="E3465" s="36"/>
      <c r="F3465" s="36"/>
      <c r="G3465" s="36"/>
      <c r="H3465" s="36"/>
    </row>
    <row r="3466">
      <c r="A3466" s="36"/>
      <c r="B3466" s="36" t="str">
        <f>IFERROR(__xludf.DUMMYFUNCTION("""COMPUTED_VALUE"""),"LATITUD")</f>
        <v>LATITUD</v>
      </c>
      <c r="C3466" s="36" t="str">
        <f>IFERROR(__xludf.DUMMYFUNCTION("""COMPUTED_VALUE"""),"LONGITUD")</f>
        <v>LONGITUD</v>
      </c>
      <c r="D3466" s="36" t="str">
        <f>IFERROR(__xludf.DUMMYFUNCTION("""COMPUTED_VALUE"""),"ERROR DE ID")</f>
        <v>ERROR DE ID</v>
      </c>
      <c r="E3466" s="36"/>
      <c r="F3466" s="36"/>
      <c r="G3466" s="36"/>
      <c r="H3466" s="36"/>
    </row>
    <row r="3467">
      <c r="A3467" s="36"/>
      <c r="B3467" s="36" t="str">
        <f>IFERROR(__xludf.DUMMYFUNCTION("""COMPUTED_VALUE"""),"LATITUD")</f>
        <v>LATITUD</v>
      </c>
      <c r="C3467" s="36" t="str">
        <f>IFERROR(__xludf.DUMMYFUNCTION("""COMPUTED_VALUE"""),"LONGITUD")</f>
        <v>LONGITUD</v>
      </c>
      <c r="D3467" s="36" t="str">
        <f>IFERROR(__xludf.DUMMYFUNCTION("""COMPUTED_VALUE"""),"ERROR DE ID")</f>
        <v>ERROR DE ID</v>
      </c>
      <c r="E3467" s="36"/>
      <c r="F3467" s="36"/>
      <c r="G3467" s="36"/>
      <c r="H3467" s="36"/>
    </row>
    <row r="3468">
      <c r="A3468" s="36"/>
      <c r="B3468" s="36" t="str">
        <f>IFERROR(__xludf.DUMMYFUNCTION("""COMPUTED_VALUE"""),"LATITUD")</f>
        <v>LATITUD</v>
      </c>
      <c r="C3468" s="36" t="str">
        <f>IFERROR(__xludf.DUMMYFUNCTION("""COMPUTED_VALUE"""),"LONGITUD")</f>
        <v>LONGITUD</v>
      </c>
      <c r="D3468" s="36" t="str">
        <f>IFERROR(__xludf.DUMMYFUNCTION("""COMPUTED_VALUE"""),"ERROR DE ID")</f>
        <v>ERROR DE ID</v>
      </c>
      <c r="E3468" s="36"/>
      <c r="F3468" s="36"/>
      <c r="G3468" s="36"/>
      <c r="H3468" s="36"/>
    </row>
    <row r="3469">
      <c r="A3469" s="36"/>
      <c r="B3469" s="36" t="str">
        <f>IFERROR(__xludf.DUMMYFUNCTION("""COMPUTED_VALUE"""),"LATITUD")</f>
        <v>LATITUD</v>
      </c>
      <c r="C3469" s="36" t="str">
        <f>IFERROR(__xludf.DUMMYFUNCTION("""COMPUTED_VALUE"""),"LONGITUD")</f>
        <v>LONGITUD</v>
      </c>
      <c r="D3469" s="36" t="str">
        <f>IFERROR(__xludf.DUMMYFUNCTION("""COMPUTED_VALUE"""),"ERROR DE ID")</f>
        <v>ERROR DE ID</v>
      </c>
      <c r="E3469" s="36"/>
      <c r="F3469" s="36"/>
      <c r="G3469" s="36"/>
      <c r="H3469" s="36"/>
    </row>
    <row r="3470">
      <c r="A3470" s="36"/>
      <c r="B3470" s="36" t="str">
        <f>IFERROR(__xludf.DUMMYFUNCTION("""COMPUTED_VALUE"""),"LATITUD")</f>
        <v>LATITUD</v>
      </c>
      <c r="C3470" s="36" t="str">
        <f>IFERROR(__xludf.DUMMYFUNCTION("""COMPUTED_VALUE"""),"LONGITUD")</f>
        <v>LONGITUD</v>
      </c>
      <c r="D3470" s="36" t="str">
        <f>IFERROR(__xludf.DUMMYFUNCTION("""COMPUTED_VALUE"""),"ERROR DE ID")</f>
        <v>ERROR DE ID</v>
      </c>
      <c r="E3470" s="36"/>
      <c r="F3470" s="36"/>
      <c r="G3470" s="36"/>
      <c r="H3470" s="36"/>
    </row>
    <row r="3471">
      <c r="A3471" s="36"/>
      <c r="B3471" s="36" t="str">
        <f>IFERROR(__xludf.DUMMYFUNCTION("""COMPUTED_VALUE"""),"LATITUD")</f>
        <v>LATITUD</v>
      </c>
      <c r="C3471" s="36" t="str">
        <f>IFERROR(__xludf.DUMMYFUNCTION("""COMPUTED_VALUE"""),"LONGITUD")</f>
        <v>LONGITUD</v>
      </c>
      <c r="D3471" s="36" t="str">
        <f>IFERROR(__xludf.DUMMYFUNCTION("""COMPUTED_VALUE"""),"ERROR DE ID")</f>
        <v>ERROR DE ID</v>
      </c>
      <c r="E3471" s="36"/>
      <c r="F3471" s="36"/>
      <c r="G3471" s="36"/>
      <c r="H3471" s="36"/>
    </row>
    <row r="3472">
      <c r="A3472" s="36"/>
      <c r="B3472" s="36" t="str">
        <f>IFERROR(__xludf.DUMMYFUNCTION("""COMPUTED_VALUE"""),"LATITUD")</f>
        <v>LATITUD</v>
      </c>
      <c r="C3472" s="36" t="str">
        <f>IFERROR(__xludf.DUMMYFUNCTION("""COMPUTED_VALUE"""),"LONGITUD")</f>
        <v>LONGITUD</v>
      </c>
      <c r="D3472" s="36" t="str">
        <f>IFERROR(__xludf.DUMMYFUNCTION("""COMPUTED_VALUE"""),"ERROR DE ID")</f>
        <v>ERROR DE ID</v>
      </c>
      <c r="E3472" s="36"/>
      <c r="F3472" s="36"/>
      <c r="G3472" s="36"/>
      <c r="H3472" s="36"/>
    </row>
    <row r="3473">
      <c r="A3473" s="36"/>
      <c r="B3473" s="36" t="str">
        <f>IFERROR(__xludf.DUMMYFUNCTION("""COMPUTED_VALUE"""),"LATITUD")</f>
        <v>LATITUD</v>
      </c>
      <c r="C3473" s="36" t="str">
        <f>IFERROR(__xludf.DUMMYFUNCTION("""COMPUTED_VALUE"""),"LONGITUD")</f>
        <v>LONGITUD</v>
      </c>
      <c r="D3473" s="36" t="str">
        <f>IFERROR(__xludf.DUMMYFUNCTION("""COMPUTED_VALUE"""),"ERROR DE ID")</f>
        <v>ERROR DE ID</v>
      </c>
      <c r="E3473" s="36"/>
      <c r="F3473" s="36"/>
      <c r="G3473" s="36"/>
      <c r="H3473" s="36"/>
    </row>
    <row r="3474">
      <c r="A3474" s="36"/>
      <c r="B3474" s="36" t="str">
        <f>IFERROR(__xludf.DUMMYFUNCTION("""COMPUTED_VALUE"""),"LATITUD")</f>
        <v>LATITUD</v>
      </c>
      <c r="C3474" s="36" t="str">
        <f>IFERROR(__xludf.DUMMYFUNCTION("""COMPUTED_VALUE"""),"LONGITUD")</f>
        <v>LONGITUD</v>
      </c>
      <c r="D3474" s="36" t="str">
        <f>IFERROR(__xludf.DUMMYFUNCTION("""COMPUTED_VALUE"""),"ERROR DE ID")</f>
        <v>ERROR DE ID</v>
      </c>
      <c r="E3474" s="36"/>
      <c r="F3474" s="36"/>
      <c r="G3474" s="36"/>
      <c r="H3474" s="36"/>
    </row>
    <row r="3475">
      <c r="A3475" s="36"/>
      <c r="B3475" s="36" t="str">
        <f>IFERROR(__xludf.DUMMYFUNCTION("""COMPUTED_VALUE"""),"LATITUD")</f>
        <v>LATITUD</v>
      </c>
      <c r="C3475" s="36" t="str">
        <f>IFERROR(__xludf.DUMMYFUNCTION("""COMPUTED_VALUE"""),"LONGITUD")</f>
        <v>LONGITUD</v>
      </c>
      <c r="D3475" s="36" t="str">
        <f>IFERROR(__xludf.DUMMYFUNCTION("""COMPUTED_VALUE"""),"ERROR DE ID")</f>
        <v>ERROR DE ID</v>
      </c>
      <c r="E3475" s="36"/>
      <c r="F3475" s="36"/>
      <c r="G3475" s="36"/>
      <c r="H3475" s="36"/>
    </row>
    <row r="3476">
      <c r="A3476" s="36"/>
      <c r="B3476" s="36" t="str">
        <f>IFERROR(__xludf.DUMMYFUNCTION("""COMPUTED_VALUE"""),"LATITUD")</f>
        <v>LATITUD</v>
      </c>
      <c r="C3476" s="36" t="str">
        <f>IFERROR(__xludf.DUMMYFUNCTION("""COMPUTED_VALUE"""),"LONGITUD")</f>
        <v>LONGITUD</v>
      </c>
      <c r="D3476" s="36" t="str">
        <f>IFERROR(__xludf.DUMMYFUNCTION("""COMPUTED_VALUE"""),"ERROR DE ID")</f>
        <v>ERROR DE ID</v>
      </c>
      <c r="E3476" s="36"/>
      <c r="F3476" s="36"/>
      <c r="G3476" s="36"/>
      <c r="H3476" s="36"/>
    </row>
    <row r="3477">
      <c r="A3477" s="36"/>
      <c r="B3477" s="36" t="str">
        <f>IFERROR(__xludf.DUMMYFUNCTION("""COMPUTED_VALUE"""),"LATITUD")</f>
        <v>LATITUD</v>
      </c>
      <c r="C3477" s="36" t="str">
        <f>IFERROR(__xludf.DUMMYFUNCTION("""COMPUTED_VALUE"""),"LONGITUD")</f>
        <v>LONGITUD</v>
      </c>
      <c r="D3477" s="36" t="str">
        <f>IFERROR(__xludf.DUMMYFUNCTION("""COMPUTED_VALUE"""),"ERROR DE ID")</f>
        <v>ERROR DE ID</v>
      </c>
      <c r="E3477" s="36"/>
      <c r="F3477" s="36"/>
      <c r="G3477" s="36"/>
      <c r="H3477" s="36"/>
    </row>
    <row r="3478">
      <c r="A3478" s="36"/>
      <c r="B3478" s="36" t="str">
        <f>IFERROR(__xludf.DUMMYFUNCTION("""COMPUTED_VALUE"""),"LATITUD")</f>
        <v>LATITUD</v>
      </c>
      <c r="C3478" s="36" t="str">
        <f>IFERROR(__xludf.DUMMYFUNCTION("""COMPUTED_VALUE"""),"LONGITUD")</f>
        <v>LONGITUD</v>
      </c>
      <c r="D3478" s="36" t="str">
        <f>IFERROR(__xludf.DUMMYFUNCTION("""COMPUTED_VALUE"""),"ERROR DE ID")</f>
        <v>ERROR DE ID</v>
      </c>
      <c r="E3478" s="36"/>
      <c r="F3478" s="36"/>
      <c r="G3478" s="36"/>
      <c r="H3478" s="36"/>
    </row>
    <row r="3479">
      <c r="A3479" s="36"/>
      <c r="B3479" s="36" t="str">
        <f>IFERROR(__xludf.DUMMYFUNCTION("""COMPUTED_VALUE"""),"LATITUD")</f>
        <v>LATITUD</v>
      </c>
      <c r="C3479" s="36" t="str">
        <f>IFERROR(__xludf.DUMMYFUNCTION("""COMPUTED_VALUE"""),"LONGITUD")</f>
        <v>LONGITUD</v>
      </c>
      <c r="D3479" s="36" t="str">
        <f>IFERROR(__xludf.DUMMYFUNCTION("""COMPUTED_VALUE"""),"ERROR DE ID")</f>
        <v>ERROR DE ID</v>
      </c>
      <c r="E3479" s="36"/>
      <c r="F3479" s="36"/>
      <c r="G3479" s="36"/>
      <c r="H3479" s="36"/>
    </row>
    <row r="3480">
      <c r="A3480" s="36"/>
      <c r="B3480" s="36" t="str">
        <f>IFERROR(__xludf.DUMMYFUNCTION("""COMPUTED_VALUE"""),"LATITUD")</f>
        <v>LATITUD</v>
      </c>
      <c r="C3480" s="36" t="str">
        <f>IFERROR(__xludf.DUMMYFUNCTION("""COMPUTED_VALUE"""),"LONGITUD")</f>
        <v>LONGITUD</v>
      </c>
      <c r="D3480" s="36" t="str">
        <f>IFERROR(__xludf.DUMMYFUNCTION("""COMPUTED_VALUE"""),"ERROR DE ID")</f>
        <v>ERROR DE ID</v>
      </c>
      <c r="E3480" s="36"/>
      <c r="F3480" s="36"/>
      <c r="G3480" s="36"/>
      <c r="H3480" s="36"/>
    </row>
    <row r="3481">
      <c r="A3481" s="36"/>
      <c r="B3481" s="36" t="str">
        <f>IFERROR(__xludf.DUMMYFUNCTION("""COMPUTED_VALUE"""),"LATITUD")</f>
        <v>LATITUD</v>
      </c>
      <c r="C3481" s="36" t="str">
        <f>IFERROR(__xludf.DUMMYFUNCTION("""COMPUTED_VALUE"""),"LONGITUD")</f>
        <v>LONGITUD</v>
      </c>
      <c r="D3481" s="36" t="str">
        <f>IFERROR(__xludf.DUMMYFUNCTION("""COMPUTED_VALUE"""),"ERROR DE ID")</f>
        <v>ERROR DE ID</v>
      </c>
      <c r="E3481" s="36"/>
      <c r="F3481" s="36"/>
      <c r="G3481" s="36"/>
      <c r="H3481" s="36"/>
    </row>
    <row r="3482">
      <c r="A3482" s="36"/>
      <c r="B3482" s="36" t="str">
        <f>IFERROR(__xludf.DUMMYFUNCTION("""COMPUTED_VALUE"""),"LATITUD")</f>
        <v>LATITUD</v>
      </c>
      <c r="C3482" s="36" t="str">
        <f>IFERROR(__xludf.DUMMYFUNCTION("""COMPUTED_VALUE"""),"LONGITUD")</f>
        <v>LONGITUD</v>
      </c>
      <c r="D3482" s="36" t="str">
        <f>IFERROR(__xludf.DUMMYFUNCTION("""COMPUTED_VALUE"""),"ERROR DE ID")</f>
        <v>ERROR DE ID</v>
      </c>
      <c r="E3482" s="36"/>
      <c r="F3482" s="36"/>
      <c r="G3482" s="36"/>
      <c r="H3482" s="36"/>
    </row>
    <row r="3483">
      <c r="A3483" s="36"/>
      <c r="B3483" s="36" t="str">
        <f>IFERROR(__xludf.DUMMYFUNCTION("""COMPUTED_VALUE"""),"LATITUD")</f>
        <v>LATITUD</v>
      </c>
      <c r="C3483" s="36" t="str">
        <f>IFERROR(__xludf.DUMMYFUNCTION("""COMPUTED_VALUE"""),"LONGITUD")</f>
        <v>LONGITUD</v>
      </c>
      <c r="D3483" s="36" t="str">
        <f>IFERROR(__xludf.DUMMYFUNCTION("""COMPUTED_VALUE"""),"ERROR DE ID")</f>
        <v>ERROR DE ID</v>
      </c>
      <c r="E3483" s="36"/>
      <c r="F3483" s="36"/>
      <c r="G3483" s="36"/>
      <c r="H3483" s="36"/>
    </row>
    <row r="3484">
      <c r="A3484" s="36"/>
      <c r="B3484" s="36" t="str">
        <f>IFERROR(__xludf.DUMMYFUNCTION("""COMPUTED_VALUE"""),"LATITUD")</f>
        <v>LATITUD</v>
      </c>
      <c r="C3484" s="36" t="str">
        <f>IFERROR(__xludf.DUMMYFUNCTION("""COMPUTED_VALUE"""),"LONGITUD")</f>
        <v>LONGITUD</v>
      </c>
      <c r="D3484" s="36" t="str">
        <f>IFERROR(__xludf.DUMMYFUNCTION("""COMPUTED_VALUE"""),"ERROR DE ID")</f>
        <v>ERROR DE ID</v>
      </c>
      <c r="E3484" s="36"/>
      <c r="F3484" s="36"/>
      <c r="G3484" s="36"/>
      <c r="H3484" s="36"/>
    </row>
    <row r="3485">
      <c r="A3485" s="36"/>
      <c r="B3485" s="36" t="str">
        <f>IFERROR(__xludf.DUMMYFUNCTION("""COMPUTED_VALUE"""),"LATITUD")</f>
        <v>LATITUD</v>
      </c>
      <c r="C3485" s="36" t="str">
        <f>IFERROR(__xludf.DUMMYFUNCTION("""COMPUTED_VALUE"""),"LONGITUD")</f>
        <v>LONGITUD</v>
      </c>
      <c r="D3485" s="36" t="str">
        <f>IFERROR(__xludf.DUMMYFUNCTION("""COMPUTED_VALUE"""),"ERROR DE ID")</f>
        <v>ERROR DE ID</v>
      </c>
      <c r="E3485" s="36"/>
      <c r="F3485" s="36"/>
      <c r="G3485" s="36"/>
      <c r="H3485" s="36"/>
    </row>
    <row r="3486">
      <c r="A3486" s="36"/>
      <c r="B3486" s="36" t="str">
        <f>IFERROR(__xludf.DUMMYFUNCTION("""COMPUTED_VALUE"""),"LATITUD")</f>
        <v>LATITUD</v>
      </c>
      <c r="C3486" s="36" t="str">
        <f>IFERROR(__xludf.DUMMYFUNCTION("""COMPUTED_VALUE"""),"LONGITUD")</f>
        <v>LONGITUD</v>
      </c>
      <c r="D3486" s="36" t="str">
        <f>IFERROR(__xludf.DUMMYFUNCTION("""COMPUTED_VALUE"""),"ERROR DE ID")</f>
        <v>ERROR DE ID</v>
      </c>
      <c r="E3486" s="36"/>
      <c r="F3486" s="36"/>
      <c r="G3486" s="36"/>
      <c r="H3486" s="36"/>
    </row>
    <row r="3487">
      <c r="A3487" s="36"/>
      <c r="B3487" s="36" t="str">
        <f>IFERROR(__xludf.DUMMYFUNCTION("""COMPUTED_VALUE"""),"LATITUD")</f>
        <v>LATITUD</v>
      </c>
      <c r="C3487" s="36" t="str">
        <f>IFERROR(__xludf.DUMMYFUNCTION("""COMPUTED_VALUE"""),"LONGITUD")</f>
        <v>LONGITUD</v>
      </c>
      <c r="D3487" s="36" t="str">
        <f>IFERROR(__xludf.DUMMYFUNCTION("""COMPUTED_VALUE"""),"ERROR DE ID")</f>
        <v>ERROR DE ID</v>
      </c>
      <c r="E3487" s="36"/>
      <c r="F3487" s="36"/>
      <c r="G3487" s="36"/>
      <c r="H3487" s="36"/>
    </row>
    <row r="3488">
      <c r="A3488" s="36"/>
      <c r="B3488" s="36" t="str">
        <f>IFERROR(__xludf.DUMMYFUNCTION("""COMPUTED_VALUE"""),"LATITUD")</f>
        <v>LATITUD</v>
      </c>
      <c r="C3488" s="36" t="str">
        <f>IFERROR(__xludf.DUMMYFUNCTION("""COMPUTED_VALUE"""),"LONGITUD")</f>
        <v>LONGITUD</v>
      </c>
      <c r="D3488" s="36" t="str">
        <f>IFERROR(__xludf.DUMMYFUNCTION("""COMPUTED_VALUE"""),"ERROR DE ID")</f>
        <v>ERROR DE ID</v>
      </c>
      <c r="E3488" s="36"/>
      <c r="F3488" s="36"/>
      <c r="G3488" s="36"/>
      <c r="H3488" s="36"/>
    </row>
    <row r="3489">
      <c r="A3489" s="36"/>
      <c r="B3489" s="36" t="str">
        <f>IFERROR(__xludf.DUMMYFUNCTION("""COMPUTED_VALUE"""),"LATITUD")</f>
        <v>LATITUD</v>
      </c>
      <c r="C3489" s="36" t="str">
        <f>IFERROR(__xludf.DUMMYFUNCTION("""COMPUTED_VALUE"""),"LONGITUD")</f>
        <v>LONGITUD</v>
      </c>
      <c r="D3489" s="36" t="str">
        <f>IFERROR(__xludf.DUMMYFUNCTION("""COMPUTED_VALUE"""),"ERROR DE ID")</f>
        <v>ERROR DE ID</v>
      </c>
      <c r="E3489" s="36"/>
      <c r="F3489" s="36"/>
      <c r="G3489" s="36"/>
      <c r="H3489" s="36"/>
    </row>
    <row r="3490">
      <c r="A3490" s="36"/>
      <c r="B3490" s="36" t="str">
        <f>IFERROR(__xludf.DUMMYFUNCTION("""COMPUTED_VALUE"""),"LATITUD")</f>
        <v>LATITUD</v>
      </c>
      <c r="C3490" s="36" t="str">
        <f>IFERROR(__xludf.DUMMYFUNCTION("""COMPUTED_VALUE"""),"LONGITUD")</f>
        <v>LONGITUD</v>
      </c>
      <c r="D3490" s="36" t="str">
        <f>IFERROR(__xludf.DUMMYFUNCTION("""COMPUTED_VALUE"""),"ERROR DE ID")</f>
        <v>ERROR DE ID</v>
      </c>
      <c r="E3490" s="36"/>
      <c r="F3490" s="36"/>
      <c r="G3490" s="36"/>
      <c r="H3490" s="36"/>
    </row>
    <row r="3491">
      <c r="A3491" s="36"/>
      <c r="B3491" s="36" t="str">
        <f>IFERROR(__xludf.DUMMYFUNCTION("""COMPUTED_VALUE"""),"LATITUD")</f>
        <v>LATITUD</v>
      </c>
      <c r="C3491" s="36" t="str">
        <f>IFERROR(__xludf.DUMMYFUNCTION("""COMPUTED_VALUE"""),"LONGITUD")</f>
        <v>LONGITUD</v>
      </c>
      <c r="D3491" s="36" t="str">
        <f>IFERROR(__xludf.DUMMYFUNCTION("""COMPUTED_VALUE"""),"ERROR DE ID")</f>
        <v>ERROR DE ID</v>
      </c>
      <c r="E3491" s="36"/>
      <c r="F3491" s="36"/>
      <c r="G3491" s="36"/>
      <c r="H3491" s="36"/>
    </row>
    <row r="3492">
      <c r="A3492" s="36"/>
      <c r="B3492" s="36" t="str">
        <f>IFERROR(__xludf.DUMMYFUNCTION("""COMPUTED_VALUE"""),"LATITUD")</f>
        <v>LATITUD</v>
      </c>
      <c r="C3492" s="36" t="str">
        <f>IFERROR(__xludf.DUMMYFUNCTION("""COMPUTED_VALUE"""),"LONGITUD")</f>
        <v>LONGITUD</v>
      </c>
      <c r="D3492" s="36" t="str">
        <f>IFERROR(__xludf.DUMMYFUNCTION("""COMPUTED_VALUE"""),"ERROR DE ID")</f>
        <v>ERROR DE ID</v>
      </c>
      <c r="E3492" s="36"/>
      <c r="F3492" s="36"/>
      <c r="G3492" s="36"/>
      <c r="H3492" s="36"/>
    </row>
    <row r="3493">
      <c r="A3493" s="36"/>
      <c r="B3493" s="36" t="str">
        <f>IFERROR(__xludf.DUMMYFUNCTION("""COMPUTED_VALUE"""),"LATITUD")</f>
        <v>LATITUD</v>
      </c>
      <c r="C3493" s="36" t="str">
        <f>IFERROR(__xludf.DUMMYFUNCTION("""COMPUTED_VALUE"""),"LONGITUD")</f>
        <v>LONGITUD</v>
      </c>
      <c r="D3493" s="36" t="str">
        <f>IFERROR(__xludf.DUMMYFUNCTION("""COMPUTED_VALUE"""),"ERROR DE ID")</f>
        <v>ERROR DE ID</v>
      </c>
      <c r="E3493" s="36"/>
      <c r="F3493" s="36"/>
      <c r="G3493" s="36"/>
      <c r="H3493" s="36"/>
    </row>
    <row r="3494">
      <c r="A3494" s="36"/>
      <c r="B3494" s="36" t="str">
        <f>IFERROR(__xludf.DUMMYFUNCTION("""COMPUTED_VALUE"""),"LATITUD")</f>
        <v>LATITUD</v>
      </c>
      <c r="C3494" s="36" t="str">
        <f>IFERROR(__xludf.DUMMYFUNCTION("""COMPUTED_VALUE"""),"LONGITUD")</f>
        <v>LONGITUD</v>
      </c>
      <c r="D3494" s="36" t="str">
        <f>IFERROR(__xludf.DUMMYFUNCTION("""COMPUTED_VALUE"""),"ERROR DE ID")</f>
        <v>ERROR DE ID</v>
      </c>
      <c r="E3494" s="36"/>
      <c r="F3494" s="36"/>
      <c r="G3494" s="36"/>
      <c r="H3494" s="36"/>
    </row>
    <row r="3495">
      <c r="A3495" s="36"/>
      <c r="B3495" s="36" t="str">
        <f>IFERROR(__xludf.DUMMYFUNCTION("""COMPUTED_VALUE"""),"LATITUD")</f>
        <v>LATITUD</v>
      </c>
      <c r="C3495" s="36" t="str">
        <f>IFERROR(__xludf.DUMMYFUNCTION("""COMPUTED_VALUE"""),"LONGITUD")</f>
        <v>LONGITUD</v>
      </c>
      <c r="D3495" s="36" t="str">
        <f>IFERROR(__xludf.DUMMYFUNCTION("""COMPUTED_VALUE"""),"ERROR DE ID")</f>
        <v>ERROR DE ID</v>
      </c>
      <c r="E3495" s="36"/>
      <c r="F3495" s="36"/>
      <c r="G3495" s="36"/>
      <c r="H3495" s="36"/>
    </row>
    <row r="3496">
      <c r="A3496" s="36"/>
      <c r="B3496" s="36" t="str">
        <f>IFERROR(__xludf.DUMMYFUNCTION("""COMPUTED_VALUE"""),"LATITUD")</f>
        <v>LATITUD</v>
      </c>
      <c r="C3496" s="36" t="str">
        <f>IFERROR(__xludf.DUMMYFUNCTION("""COMPUTED_VALUE"""),"LONGITUD")</f>
        <v>LONGITUD</v>
      </c>
      <c r="D3496" s="36" t="str">
        <f>IFERROR(__xludf.DUMMYFUNCTION("""COMPUTED_VALUE"""),"ERROR DE ID")</f>
        <v>ERROR DE ID</v>
      </c>
      <c r="E3496" s="36"/>
      <c r="F3496" s="36"/>
      <c r="G3496" s="36"/>
      <c r="H3496" s="36"/>
    </row>
    <row r="3497">
      <c r="A3497" s="36"/>
      <c r="B3497" s="36" t="str">
        <f>IFERROR(__xludf.DUMMYFUNCTION("""COMPUTED_VALUE"""),"LATITUD")</f>
        <v>LATITUD</v>
      </c>
      <c r="C3497" s="36" t="str">
        <f>IFERROR(__xludf.DUMMYFUNCTION("""COMPUTED_VALUE"""),"LONGITUD")</f>
        <v>LONGITUD</v>
      </c>
      <c r="D3497" s="36" t="str">
        <f>IFERROR(__xludf.DUMMYFUNCTION("""COMPUTED_VALUE"""),"ERROR DE ID")</f>
        <v>ERROR DE ID</v>
      </c>
      <c r="E3497" s="36"/>
      <c r="F3497" s="36"/>
      <c r="G3497" s="36"/>
      <c r="H3497" s="36"/>
    </row>
    <row r="3498">
      <c r="A3498" s="36"/>
      <c r="B3498" s="36" t="str">
        <f>IFERROR(__xludf.DUMMYFUNCTION("""COMPUTED_VALUE"""),"LATITUD")</f>
        <v>LATITUD</v>
      </c>
      <c r="C3498" s="36" t="str">
        <f>IFERROR(__xludf.DUMMYFUNCTION("""COMPUTED_VALUE"""),"LONGITUD")</f>
        <v>LONGITUD</v>
      </c>
      <c r="D3498" s="36" t="str">
        <f>IFERROR(__xludf.DUMMYFUNCTION("""COMPUTED_VALUE"""),"ERROR DE ID")</f>
        <v>ERROR DE ID</v>
      </c>
      <c r="E3498" s="36"/>
      <c r="F3498" s="36"/>
      <c r="G3498" s="36"/>
      <c r="H3498" s="36"/>
    </row>
    <row r="3499">
      <c r="A3499" s="36"/>
      <c r="B3499" s="36" t="str">
        <f>IFERROR(__xludf.DUMMYFUNCTION("""COMPUTED_VALUE"""),"LATITUD")</f>
        <v>LATITUD</v>
      </c>
      <c r="C3499" s="36" t="str">
        <f>IFERROR(__xludf.DUMMYFUNCTION("""COMPUTED_VALUE"""),"LONGITUD")</f>
        <v>LONGITUD</v>
      </c>
      <c r="D3499" s="36" t="str">
        <f>IFERROR(__xludf.DUMMYFUNCTION("""COMPUTED_VALUE"""),"ERROR DE ID")</f>
        <v>ERROR DE ID</v>
      </c>
      <c r="E3499" s="36"/>
      <c r="F3499" s="36"/>
      <c r="G3499" s="36"/>
      <c r="H3499" s="36"/>
    </row>
    <row r="3500">
      <c r="A3500" s="36"/>
      <c r="B3500" s="36" t="str">
        <f>IFERROR(__xludf.DUMMYFUNCTION("""COMPUTED_VALUE"""),"LATITUD")</f>
        <v>LATITUD</v>
      </c>
      <c r="C3500" s="36" t="str">
        <f>IFERROR(__xludf.DUMMYFUNCTION("""COMPUTED_VALUE"""),"LONGITUD")</f>
        <v>LONGITUD</v>
      </c>
      <c r="D3500" s="36" t="str">
        <f>IFERROR(__xludf.DUMMYFUNCTION("""COMPUTED_VALUE"""),"ERROR DE ID")</f>
        <v>ERROR DE ID</v>
      </c>
      <c r="E3500" s="36"/>
      <c r="F3500" s="36"/>
      <c r="G3500" s="36"/>
      <c r="H3500" s="36"/>
    </row>
    <row r="3501">
      <c r="A3501" s="36"/>
      <c r="B3501" s="36" t="str">
        <f>IFERROR(__xludf.DUMMYFUNCTION("""COMPUTED_VALUE"""),"LATITUD")</f>
        <v>LATITUD</v>
      </c>
      <c r="C3501" s="36" t="str">
        <f>IFERROR(__xludf.DUMMYFUNCTION("""COMPUTED_VALUE"""),"LONGITUD")</f>
        <v>LONGITUD</v>
      </c>
      <c r="D3501" s="36" t="str">
        <f>IFERROR(__xludf.DUMMYFUNCTION("""COMPUTED_VALUE"""),"ERROR DE ID")</f>
        <v>ERROR DE ID</v>
      </c>
      <c r="E3501" s="36"/>
      <c r="F3501" s="36"/>
      <c r="G3501" s="36"/>
      <c r="H3501" s="36"/>
    </row>
    <row r="3502">
      <c r="A3502" s="36"/>
      <c r="B3502" s="36" t="str">
        <f>IFERROR(__xludf.DUMMYFUNCTION("""COMPUTED_VALUE"""),"LATITUD")</f>
        <v>LATITUD</v>
      </c>
      <c r="C3502" s="36" t="str">
        <f>IFERROR(__xludf.DUMMYFUNCTION("""COMPUTED_VALUE"""),"LONGITUD")</f>
        <v>LONGITUD</v>
      </c>
      <c r="D3502" s="36" t="str">
        <f>IFERROR(__xludf.DUMMYFUNCTION("""COMPUTED_VALUE"""),"ERROR DE ID")</f>
        <v>ERROR DE ID</v>
      </c>
      <c r="E3502" s="36"/>
      <c r="F3502" s="36"/>
      <c r="G3502" s="36"/>
      <c r="H3502" s="36"/>
    </row>
    <row r="3503">
      <c r="A3503" s="36"/>
      <c r="B3503" s="36" t="str">
        <f>IFERROR(__xludf.DUMMYFUNCTION("""COMPUTED_VALUE"""),"LATITUD")</f>
        <v>LATITUD</v>
      </c>
      <c r="C3503" s="36" t="str">
        <f>IFERROR(__xludf.DUMMYFUNCTION("""COMPUTED_VALUE"""),"LONGITUD")</f>
        <v>LONGITUD</v>
      </c>
      <c r="D3503" s="36" t="str">
        <f>IFERROR(__xludf.DUMMYFUNCTION("""COMPUTED_VALUE"""),"ERROR DE ID")</f>
        <v>ERROR DE ID</v>
      </c>
      <c r="E3503" s="36"/>
      <c r="F3503" s="36"/>
      <c r="G3503" s="36"/>
      <c r="H3503" s="36"/>
    </row>
    <row r="3504">
      <c r="A3504" s="36"/>
      <c r="B3504" s="36" t="str">
        <f>IFERROR(__xludf.DUMMYFUNCTION("""COMPUTED_VALUE"""),"LATITUD")</f>
        <v>LATITUD</v>
      </c>
      <c r="C3504" s="36" t="str">
        <f>IFERROR(__xludf.DUMMYFUNCTION("""COMPUTED_VALUE"""),"LONGITUD")</f>
        <v>LONGITUD</v>
      </c>
      <c r="D3504" s="36" t="str">
        <f>IFERROR(__xludf.DUMMYFUNCTION("""COMPUTED_VALUE"""),"ERROR DE ID")</f>
        <v>ERROR DE ID</v>
      </c>
      <c r="E3504" s="36"/>
      <c r="F3504" s="36"/>
      <c r="G3504" s="36"/>
      <c r="H3504" s="36"/>
    </row>
    <row r="3505">
      <c r="A3505" s="36"/>
      <c r="B3505" s="36" t="str">
        <f>IFERROR(__xludf.DUMMYFUNCTION("""COMPUTED_VALUE"""),"LATITUD")</f>
        <v>LATITUD</v>
      </c>
      <c r="C3505" s="36" t="str">
        <f>IFERROR(__xludf.DUMMYFUNCTION("""COMPUTED_VALUE"""),"LONGITUD")</f>
        <v>LONGITUD</v>
      </c>
      <c r="D3505" s="36" t="str">
        <f>IFERROR(__xludf.DUMMYFUNCTION("""COMPUTED_VALUE"""),"ERROR DE ID")</f>
        <v>ERROR DE ID</v>
      </c>
      <c r="E3505" s="36"/>
      <c r="F3505" s="36"/>
      <c r="G3505" s="36"/>
      <c r="H3505" s="36"/>
    </row>
    <row r="3506">
      <c r="A3506" s="36"/>
      <c r="B3506" s="36" t="str">
        <f>IFERROR(__xludf.DUMMYFUNCTION("""COMPUTED_VALUE"""),"LATITUD")</f>
        <v>LATITUD</v>
      </c>
      <c r="C3506" s="36" t="str">
        <f>IFERROR(__xludf.DUMMYFUNCTION("""COMPUTED_VALUE"""),"LONGITUD")</f>
        <v>LONGITUD</v>
      </c>
      <c r="D3506" s="36" t="str">
        <f>IFERROR(__xludf.DUMMYFUNCTION("""COMPUTED_VALUE"""),"ERROR DE ID")</f>
        <v>ERROR DE ID</v>
      </c>
      <c r="E3506" s="36"/>
      <c r="F3506" s="36"/>
      <c r="G3506" s="36"/>
      <c r="H3506" s="36"/>
    </row>
    <row r="3507">
      <c r="A3507" s="36"/>
      <c r="B3507" s="36" t="str">
        <f>IFERROR(__xludf.DUMMYFUNCTION("""COMPUTED_VALUE"""),"LATITUD")</f>
        <v>LATITUD</v>
      </c>
      <c r="C3507" s="36" t="str">
        <f>IFERROR(__xludf.DUMMYFUNCTION("""COMPUTED_VALUE"""),"LONGITUD")</f>
        <v>LONGITUD</v>
      </c>
      <c r="D3507" s="36" t="str">
        <f>IFERROR(__xludf.DUMMYFUNCTION("""COMPUTED_VALUE"""),"ERROR DE ID")</f>
        <v>ERROR DE ID</v>
      </c>
      <c r="E3507" s="36"/>
      <c r="F3507" s="36"/>
      <c r="G3507" s="36"/>
      <c r="H3507" s="36"/>
    </row>
    <row r="3508">
      <c r="A3508" s="36"/>
      <c r="B3508" s="36" t="str">
        <f>IFERROR(__xludf.DUMMYFUNCTION("""COMPUTED_VALUE"""),"LATITUD")</f>
        <v>LATITUD</v>
      </c>
      <c r="C3508" s="36" t="str">
        <f>IFERROR(__xludf.DUMMYFUNCTION("""COMPUTED_VALUE"""),"LONGITUD")</f>
        <v>LONGITUD</v>
      </c>
      <c r="D3508" s="36" t="str">
        <f>IFERROR(__xludf.DUMMYFUNCTION("""COMPUTED_VALUE"""),"ERROR DE ID")</f>
        <v>ERROR DE ID</v>
      </c>
      <c r="E3508" s="36"/>
      <c r="F3508" s="36"/>
      <c r="G3508" s="36"/>
      <c r="H3508" s="36"/>
    </row>
    <row r="3509">
      <c r="A3509" s="36"/>
      <c r="B3509" s="36" t="str">
        <f>IFERROR(__xludf.DUMMYFUNCTION("""COMPUTED_VALUE"""),"LATITUD")</f>
        <v>LATITUD</v>
      </c>
      <c r="C3509" s="36" t="str">
        <f>IFERROR(__xludf.DUMMYFUNCTION("""COMPUTED_VALUE"""),"LONGITUD")</f>
        <v>LONGITUD</v>
      </c>
      <c r="D3509" s="36" t="str">
        <f>IFERROR(__xludf.DUMMYFUNCTION("""COMPUTED_VALUE"""),"ERROR DE ID")</f>
        <v>ERROR DE ID</v>
      </c>
      <c r="E3509" s="36"/>
      <c r="F3509" s="36"/>
      <c r="G3509" s="36"/>
      <c r="H3509" s="36"/>
    </row>
    <row r="3510">
      <c r="A3510" s="36"/>
      <c r="B3510" s="36" t="str">
        <f>IFERROR(__xludf.DUMMYFUNCTION("""COMPUTED_VALUE"""),"LATITUD")</f>
        <v>LATITUD</v>
      </c>
      <c r="C3510" s="36" t="str">
        <f>IFERROR(__xludf.DUMMYFUNCTION("""COMPUTED_VALUE"""),"LONGITUD")</f>
        <v>LONGITUD</v>
      </c>
      <c r="D3510" s="36" t="str">
        <f>IFERROR(__xludf.DUMMYFUNCTION("""COMPUTED_VALUE"""),"ERROR DE ID")</f>
        <v>ERROR DE ID</v>
      </c>
      <c r="E3510" s="36"/>
      <c r="F3510" s="36"/>
      <c r="G3510" s="36"/>
      <c r="H3510" s="36"/>
    </row>
    <row r="3511">
      <c r="A3511" s="36"/>
      <c r="B3511" s="36" t="str">
        <f>IFERROR(__xludf.DUMMYFUNCTION("""COMPUTED_VALUE"""),"LATITUD")</f>
        <v>LATITUD</v>
      </c>
      <c r="C3511" s="36" t="str">
        <f>IFERROR(__xludf.DUMMYFUNCTION("""COMPUTED_VALUE"""),"LONGITUD")</f>
        <v>LONGITUD</v>
      </c>
      <c r="D3511" s="36" t="str">
        <f>IFERROR(__xludf.DUMMYFUNCTION("""COMPUTED_VALUE"""),"ERROR DE ID")</f>
        <v>ERROR DE ID</v>
      </c>
      <c r="E3511" s="36"/>
      <c r="F3511" s="36"/>
      <c r="G3511" s="36"/>
      <c r="H3511" s="36"/>
    </row>
    <row r="3512">
      <c r="A3512" s="36"/>
      <c r="B3512" s="36" t="str">
        <f>IFERROR(__xludf.DUMMYFUNCTION("""COMPUTED_VALUE"""),"LATITUD")</f>
        <v>LATITUD</v>
      </c>
      <c r="C3512" s="36" t="str">
        <f>IFERROR(__xludf.DUMMYFUNCTION("""COMPUTED_VALUE"""),"LONGITUD")</f>
        <v>LONGITUD</v>
      </c>
      <c r="D3512" s="36" t="str">
        <f>IFERROR(__xludf.DUMMYFUNCTION("""COMPUTED_VALUE"""),"ERROR DE ID")</f>
        <v>ERROR DE ID</v>
      </c>
      <c r="E3512" s="36"/>
      <c r="F3512" s="36"/>
      <c r="G3512" s="36"/>
      <c r="H3512" s="36"/>
    </row>
    <row r="3513">
      <c r="A3513" s="36"/>
      <c r="B3513" s="36" t="str">
        <f>IFERROR(__xludf.DUMMYFUNCTION("""COMPUTED_VALUE"""),"LATITUD")</f>
        <v>LATITUD</v>
      </c>
      <c r="C3513" s="36" t="str">
        <f>IFERROR(__xludf.DUMMYFUNCTION("""COMPUTED_VALUE"""),"LONGITUD")</f>
        <v>LONGITUD</v>
      </c>
      <c r="D3513" s="36" t="str">
        <f>IFERROR(__xludf.DUMMYFUNCTION("""COMPUTED_VALUE"""),"ERROR DE ID")</f>
        <v>ERROR DE ID</v>
      </c>
      <c r="E3513" s="36"/>
      <c r="F3513" s="36"/>
      <c r="G3513" s="36"/>
      <c r="H3513" s="36"/>
    </row>
    <row r="3514">
      <c r="A3514" s="36"/>
      <c r="B3514" s="36" t="str">
        <f>IFERROR(__xludf.DUMMYFUNCTION("""COMPUTED_VALUE"""),"LATITUD")</f>
        <v>LATITUD</v>
      </c>
      <c r="C3514" s="36" t="str">
        <f>IFERROR(__xludf.DUMMYFUNCTION("""COMPUTED_VALUE"""),"LONGITUD")</f>
        <v>LONGITUD</v>
      </c>
      <c r="D3514" s="36" t="str">
        <f>IFERROR(__xludf.DUMMYFUNCTION("""COMPUTED_VALUE"""),"ERROR DE ID")</f>
        <v>ERROR DE ID</v>
      </c>
      <c r="E3514" s="36"/>
      <c r="F3514" s="36"/>
      <c r="G3514" s="36"/>
      <c r="H3514" s="36"/>
    </row>
    <row r="3515">
      <c r="A3515" s="36"/>
      <c r="B3515" s="36" t="str">
        <f>IFERROR(__xludf.DUMMYFUNCTION("""COMPUTED_VALUE"""),"LATITUD")</f>
        <v>LATITUD</v>
      </c>
      <c r="C3515" s="36" t="str">
        <f>IFERROR(__xludf.DUMMYFUNCTION("""COMPUTED_VALUE"""),"LONGITUD")</f>
        <v>LONGITUD</v>
      </c>
      <c r="D3515" s="36" t="str">
        <f>IFERROR(__xludf.DUMMYFUNCTION("""COMPUTED_VALUE"""),"ERROR DE ID")</f>
        <v>ERROR DE ID</v>
      </c>
      <c r="E3515" s="36"/>
      <c r="F3515" s="36"/>
      <c r="G3515" s="36"/>
      <c r="H3515" s="36"/>
    </row>
    <row r="3516">
      <c r="A3516" s="36"/>
      <c r="B3516" s="36" t="str">
        <f>IFERROR(__xludf.DUMMYFUNCTION("""COMPUTED_VALUE"""),"LATITUD")</f>
        <v>LATITUD</v>
      </c>
      <c r="C3516" s="36" t="str">
        <f>IFERROR(__xludf.DUMMYFUNCTION("""COMPUTED_VALUE"""),"LONGITUD")</f>
        <v>LONGITUD</v>
      </c>
      <c r="D3516" s="36" t="str">
        <f>IFERROR(__xludf.DUMMYFUNCTION("""COMPUTED_VALUE"""),"ERROR DE ID")</f>
        <v>ERROR DE ID</v>
      </c>
      <c r="E3516" s="36"/>
      <c r="F3516" s="36"/>
      <c r="G3516" s="36"/>
      <c r="H3516" s="36"/>
    </row>
    <row r="3517">
      <c r="A3517" s="36"/>
      <c r="B3517" s="36" t="str">
        <f>IFERROR(__xludf.DUMMYFUNCTION("""COMPUTED_VALUE"""),"LATITUD")</f>
        <v>LATITUD</v>
      </c>
      <c r="C3517" s="36" t="str">
        <f>IFERROR(__xludf.DUMMYFUNCTION("""COMPUTED_VALUE"""),"LONGITUD")</f>
        <v>LONGITUD</v>
      </c>
      <c r="D3517" s="36" t="str">
        <f>IFERROR(__xludf.DUMMYFUNCTION("""COMPUTED_VALUE"""),"ERROR DE ID")</f>
        <v>ERROR DE ID</v>
      </c>
      <c r="E3517" s="36"/>
      <c r="F3517" s="36"/>
      <c r="G3517" s="36"/>
      <c r="H3517" s="36"/>
    </row>
    <row r="3518">
      <c r="A3518" s="36"/>
      <c r="B3518" s="36" t="str">
        <f>IFERROR(__xludf.DUMMYFUNCTION("""COMPUTED_VALUE"""),"LATITUD")</f>
        <v>LATITUD</v>
      </c>
      <c r="C3518" s="36" t="str">
        <f>IFERROR(__xludf.DUMMYFUNCTION("""COMPUTED_VALUE"""),"LONGITUD")</f>
        <v>LONGITUD</v>
      </c>
      <c r="D3518" s="36" t="str">
        <f>IFERROR(__xludf.DUMMYFUNCTION("""COMPUTED_VALUE"""),"ERROR DE ID")</f>
        <v>ERROR DE ID</v>
      </c>
      <c r="E3518" s="36"/>
      <c r="F3518" s="36"/>
      <c r="G3518" s="36"/>
      <c r="H3518" s="36"/>
    </row>
    <row r="3519">
      <c r="A3519" s="36"/>
      <c r="B3519" s="36" t="str">
        <f>IFERROR(__xludf.DUMMYFUNCTION("""COMPUTED_VALUE"""),"LATITUD")</f>
        <v>LATITUD</v>
      </c>
      <c r="C3519" s="36" t="str">
        <f>IFERROR(__xludf.DUMMYFUNCTION("""COMPUTED_VALUE"""),"LONGITUD")</f>
        <v>LONGITUD</v>
      </c>
      <c r="D3519" s="36" t="str">
        <f>IFERROR(__xludf.DUMMYFUNCTION("""COMPUTED_VALUE"""),"ERROR DE ID")</f>
        <v>ERROR DE ID</v>
      </c>
      <c r="E3519" s="36"/>
      <c r="F3519" s="36"/>
      <c r="G3519" s="36"/>
      <c r="H3519" s="36"/>
    </row>
    <row r="3520">
      <c r="A3520" s="36"/>
      <c r="B3520" s="36" t="str">
        <f>IFERROR(__xludf.DUMMYFUNCTION("""COMPUTED_VALUE"""),"LATITUD")</f>
        <v>LATITUD</v>
      </c>
      <c r="C3520" s="36" t="str">
        <f>IFERROR(__xludf.DUMMYFUNCTION("""COMPUTED_VALUE"""),"LONGITUD")</f>
        <v>LONGITUD</v>
      </c>
      <c r="D3520" s="36" t="str">
        <f>IFERROR(__xludf.DUMMYFUNCTION("""COMPUTED_VALUE"""),"ERROR DE ID")</f>
        <v>ERROR DE ID</v>
      </c>
      <c r="E3520" s="36"/>
      <c r="F3520" s="36"/>
      <c r="G3520" s="36"/>
      <c r="H3520" s="36"/>
    </row>
    <row r="3521">
      <c r="A3521" s="36"/>
      <c r="B3521" s="36" t="str">
        <f>IFERROR(__xludf.DUMMYFUNCTION("""COMPUTED_VALUE"""),"LATITUD")</f>
        <v>LATITUD</v>
      </c>
      <c r="C3521" s="36" t="str">
        <f>IFERROR(__xludf.DUMMYFUNCTION("""COMPUTED_VALUE"""),"LONGITUD")</f>
        <v>LONGITUD</v>
      </c>
      <c r="D3521" s="36" t="str">
        <f>IFERROR(__xludf.DUMMYFUNCTION("""COMPUTED_VALUE"""),"ERROR DE ID")</f>
        <v>ERROR DE ID</v>
      </c>
      <c r="E3521" s="36"/>
      <c r="F3521" s="36"/>
      <c r="G3521" s="36"/>
      <c r="H3521" s="36"/>
    </row>
    <row r="3522">
      <c r="A3522" s="36"/>
      <c r="B3522" s="36" t="str">
        <f>IFERROR(__xludf.DUMMYFUNCTION("""COMPUTED_VALUE"""),"LATITUD")</f>
        <v>LATITUD</v>
      </c>
      <c r="C3522" s="36" t="str">
        <f>IFERROR(__xludf.DUMMYFUNCTION("""COMPUTED_VALUE"""),"LONGITUD")</f>
        <v>LONGITUD</v>
      </c>
      <c r="D3522" s="36" t="str">
        <f>IFERROR(__xludf.DUMMYFUNCTION("""COMPUTED_VALUE"""),"ERROR DE ID")</f>
        <v>ERROR DE ID</v>
      </c>
      <c r="E3522" s="36"/>
      <c r="F3522" s="36"/>
      <c r="G3522" s="36"/>
      <c r="H3522" s="36"/>
    </row>
    <row r="3523">
      <c r="A3523" s="36"/>
      <c r="B3523" s="36" t="str">
        <f>IFERROR(__xludf.DUMMYFUNCTION("""COMPUTED_VALUE"""),"LATITUD")</f>
        <v>LATITUD</v>
      </c>
      <c r="C3523" s="36" t="str">
        <f>IFERROR(__xludf.DUMMYFUNCTION("""COMPUTED_VALUE"""),"LONGITUD")</f>
        <v>LONGITUD</v>
      </c>
      <c r="D3523" s="36" t="str">
        <f>IFERROR(__xludf.DUMMYFUNCTION("""COMPUTED_VALUE"""),"ERROR DE ID")</f>
        <v>ERROR DE ID</v>
      </c>
      <c r="E3523" s="36"/>
      <c r="F3523" s="36"/>
      <c r="G3523" s="36"/>
      <c r="H3523" s="36"/>
    </row>
    <row r="3524">
      <c r="A3524" s="36"/>
      <c r="B3524" s="36" t="str">
        <f>IFERROR(__xludf.DUMMYFUNCTION("""COMPUTED_VALUE"""),"LATITUD")</f>
        <v>LATITUD</v>
      </c>
      <c r="C3524" s="36" t="str">
        <f>IFERROR(__xludf.DUMMYFUNCTION("""COMPUTED_VALUE"""),"LONGITUD")</f>
        <v>LONGITUD</v>
      </c>
      <c r="D3524" s="36" t="str">
        <f>IFERROR(__xludf.DUMMYFUNCTION("""COMPUTED_VALUE"""),"ERROR DE ID")</f>
        <v>ERROR DE ID</v>
      </c>
      <c r="E3524" s="36"/>
      <c r="F3524" s="36"/>
      <c r="G3524" s="36"/>
      <c r="H3524" s="36"/>
    </row>
    <row r="3525">
      <c r="A3525" s="36"/>
      <c r="B3525" s="36" t="str">
        <f>IFERROR(__xludf.DUMMYFUNCTION("""COMPUTED_VALUE"""),"LATITUD")</f>
        <v>LATITUD</v>
      </c>
      <c r="C3525" s="36" t="str">
        <f>IFERROR(__xludf.DUMMYFUNCTION("""COMPUTED_VALUE"""),"LONGITUD")</f>
        <v>LONGITUD</v>
      </c>
      <c r="D3525" s="36" t="str">
        <f>IFERROR(__xludf.DUMMYFUNCTION("""COMPUTED_VALUE"""),"ERROR DE ID")</f>
        <v>ERROR DE ID</v>
      </c>
      <c r="E3525" s="36"/>
      <c r="F3525" s="36"/>
      <c r="G3525" s="36"/>
      <c r="H3525" s="36"/>
    </row>
    <row r="3526">
      <c r="A3526" s="36"/>
      <c r="B3526" s="36" t="str">
        <f>IFERROR(__xludf.DUMMYFUNCTION("""COMPUTED_VALUE"""),"LATITUD")</f>
        <v>LATITUD</v>
      </c>
      <c r="C3526" s="36" t="str">
        <f>IFERROR(__xludf.DUMMYFUNCTION("""COMPUTED_VALUE"""),"LONGITUD")</f>
        <v>LONGITUD</v>
      </c>
      <c r="D3526" s="36" t="str">
        <f>IFERROR(__xludf.DUMMYFUNCTION("""COMPUTED_VALUE"""),"ERROR DE ID")</f>
        <v>ERROR DE ID</v>
      </c>
      <c r="E3526" s="36"/>
      <c r="F3526" s="36"/>
      <c r="G3526" s="36"/>
      <c r="H3526" s="36"/>
    </row>
    <row r="3527">
      <c r="A3527" s="36"/>
      <c r="B3527" s="36" t="str">
        <f>IFERROR(__xludf.DUMMYFUNCTION("""COMPUTED_VALUE"""),"LATITUD")</f>
        <v>LATITUD</v>
      </c>
      <c r="C3527" s="36" t="str">
        <f>IFERROR(__xludf.DUMMYFUNCTION("""COMPUTED_VALUE"""),"LONGITUD")</f>
        <v>LONGITUD</v>
      </c>
      <c r="D3527" s="36" t="str">
        <f>IFERROR(__xludf.DUMMYFUNCTION("""COMPUTED_VALUE"""),"ERROR DE ID")</f>
        <v>ERROR DE ID</v>
      </c>
      <c r="E3527" s="36"/>
      <c r="F3527" s="36"/>
      <c r="G3527" s="36"/>
      <c r="H3527" s="36"/>
    </row>
    <row r="3528">
      <c r="A3528" s="36"/>
      <c r="B3528" s="36" t="str">
        <f>IFERROR(__xludf.DUMMYFUNCTION("""COMPUTED_VALUE"""),"LATITUD")</f>
        <v>LATITUD</v>
      </c>
      <c r="C3528" s="36" t="str">
        <f>IFERROR(__xludf.DUMMYFUNCTION("""COMPUTED_VALUE"""),"LONGITUD")</f>
        <v>LONGITUD</v>
      </c>
      <c r="D3528" s="36" t="str">
        <f>IFERROR(__xludf.DUMMYFUNCTION("""COMPUTED_VALUE"""),"ERROR DE ID")</f>
        <v>ERROR DE ID</v>
      </c>
      <c r="E3528" s="36"/>
      <c r="F3528" s="36"/>
      <c r="G3528" s="36"/>
      <c r="H3528" s="36"/>
    </row>
    <row r="3529">
      <c r="A3529" s="36"/>
      <c r="B3529" s="36" t="str">
        <f>IFERROR(__xludf.DUMMYFUNCTION("""COMPUTED_VALUE"""),"LATITUD")</f>
        <v>LATITUD</v>
      </c>
      <c r="C3529" s="36" t="str">
        <f>IFERROR(__xludf.DUMMYFUNCTION("""COMPUTED_VALUE"""),"LONGITUD")</f>
        <v>LONGITUD</v>
      </c>
      <c r="D3529" s="36" t="str">
        <f>IFERROR(__xludf.DUMMYFUNCTION("""COMPUTED_VALUE"""),"ERROR DE ID")</f>
        <v>ERROR DE ID</v>
      </c>
      <c r="E3529" s="36"/>
      <c r="F3529" s="36"/>
      <c r="G3529" s="36"/>
      <c r="H3529" s="36"/>
    </row>
    <row r="3530">
      <c r="A3530" s="36"/>
      <c r="B3530" s="36" t="str">
        <f>IFERROR(__xludf.DUMMYFUNCTION("""COMPUTED_VALUE"""),"LATITUD")</f>
        <v>LATITUD</v>
      </c>
      <c r="C3530" s="36" t="str">
        <f>IFERROR(__xludf.DUMMYFUNCTION("""COMPUTED_VALUE"""),"LONGITUD")</f>
        <v>LONGITUD</v>
      </c>
      <c r="D3530" s="36" t="str">
        <f>IFERROR(__xludf.DUMMYFUNCTION("""COMPUTED_VALUE"""),"ERROR DE ID")</f>
        <v>ERROR DE ID</v>
      </c>
      <c r="E3530" s="36"/>
      <c r="F3530" s="36"/>
      <c r="G3530" s="36"/>
      <c r="H3530" s="36"/>
    </row>
    <row r="3531">
      <c r="A3531" s="36"/>
      <c r="B3531" s="36" t="str">
        <f>IFERROR(__xludf.DUMMYFUNCTION("""COMPUTED_VALUE"""),"LATITUD")</f>
        <v>LATITUD</v>
      </c>
      <c r="C3531" s="36" t="str">
        <f>IFERROR(__xludf.DUMMYFUNCTION("""COMPUTED_VALUE"""),"LONGITUD")</f>
        <v>LONGITUD</v>
      </c>
      <c r="D3531" s="36" t="str">
        <f>IFERROR(__xludf.DUMMYFUNCTION("""COMPUTED_VALUE"""),"ERROR DE ID")</f>
        <v>ERROR DE ID</v>
      </c>
      <c r="E3531" s="36"/>
      <c r="F3531" s="36"/>
      <c r="G3531" s="36"/>
      <c r="H3531" s="36"/>
    </row>
    <row r="3532">
      <c r="A3532" s="36"/>
      <c r="B3532" s="36" t="str">
        <f>IFERROR(__xludf.DUMMYFUNCTION("""COMPUTED_VALUE"""),"LATITUD")</f>
        <v>LATITUD</v>
      </c>
      <c r="C3532" s="36" t="str">
        <f>IFERROR(__xludf.DUMMYFUNCTION("""COMPUTED_VALUE"""),"LONGITUD")</f>
        <v>LONGITUD</v>
      </c>
      <c r="D3532" s="36" t="str">
        <f>IFERROR(__xludf.DUMMYFUNCTION("""COMPUTED_VALUE"""),"ERROR DE ID")</f>
        <v>ERROR DE ID</v>
      </c>
      <c r="E3532" s="36"/>
      <c r="F3532" s="36"/>
      <c r="G3532" s="36"/>
      <c r="H3532" s="36"/>
    </row>
    <row r="3533">
      <c r="A3533" s="36"/>
      <c r="B3533" s="36" t="str">
        <f>IFERROR(__xludf.DUMMYFUNCTION("""COMPUTED_VALUE"""),"LATITUD")</f>
        <v>LATITUD</v>
      </c>
      <c r="C3533" s="36" t="str">
        <f>IFERROR(__xludf.DUMMYFUNCTION("""COMPUTED_VALUE"""),"LONGITUD")</f>
        <v>LONGITUD</v>
      </c>
      <c r="D3533" s="36" t="str">
        <f>IFERROR(__xludf.DUMMYFUNCTION("""COMPUTED_VALUE"""),"ERROR DE ID")</f>
        <v>ERROR DE ID</v>
      </c>
      <c r="E3533" s="36"/>
      <c r="F3533" s="36"/>
      <c r="G3533" s="36"/>
      <c r="H3533" s="36"/>
    </row>
    <row r="3534">
      <c r="A3534" s="36"/>
      <c r="B3534" s="36" t="str">
        <f>IFERROR(__xludf.DUMMYFUNCTION("""COMPUTED_VALUE"""),"LATITUD")</f>
        <v>LATITUD</v>
      </c>
      <c r="C3534" s="36" t="str">
        <f>IFERROR(__xludf.DUMMYFUNCTION("""COMPUTED_VALUE"""),"LONGITUD")</f>
        <v>LONGITUD</v>
      </c>
      <c r="D3534" s="36" t="str">
        <f>IFERROR(__xludf.DUMMYFUNCTION("""COMPUTED_VALUE"""),"ERROR DE ID")</f>
        <v>ERROR DE ID</v>
      </c>
      <c r="E3534" s="36"/>
      <c r="F3534" s="36"/>
      <c r="G3534" s="36"/>
      <c r="H3534" s="36"/>
    </row>
    <row r="3535">
      <c r="A3535" s="36"/>
      <c r="B3535" s="36" t="str">
        <f>IFERROR(__xludf.DUMMYFUNCTION("""COMPUTED_VALUE"""),"LATITUD")</f>
        <v>LATITUD</v>
      </c>
      <c r="C3535" s="36" t="str">
        <f>IFERROR(__xludf.DUMMYFUNCTION("""COMPUTED_VALUE"""),"LONGITUD")</f>
        <v>LONGITUD</v>
      </c>
      <c r="D3535" s="36" t="str">
        <f>IFERROR(__xludf.DUMMYFUNCTION("""COMPUTED_VALUE"""),"ERROR DE ID")</f>
        <v>ERROR DE ID</v>
      </c>
      <c r="E3535" s="36"/>
      <c r="F3535" s="36"/>
      <c r="G3535" s="36"/>
      <c r="H3535" s="36"/>
    </row>
    <row r="3536">
      <c r="A3536" s="36"/>
      <c r="B3536" s="36" t="str">
        <f>IFERROR(__xludf.DUMMYFUNCTION("""COMPUTED_VALUE"""),"LATITUD")</f>
        <v>LATITUD</v>
      </c>
      <c r="C3536" s="36" t="str">
        <f>IFERROR(__xludf.DUMMYFUNCTION("""COMPUTED_VALUE"""),"LONGITUD")</f>
        <v>LONGITUD</v>
      </c>
      <c r="D3536" s="36" t="str">
        <f>IFERROR(__xludf.DUMMYFUNCTION("""COMPUTED_VALUE"""),"ERROR DE ID")</f>
        <v>ERROR DE ID</v>
      </c>
      <c r="E3536" s="36"/>
      <c r="F3536" s="36"/>
      <c r="G3536" s="36"/>
      <c r="H3536" s="36"/>
    </row>
    <row r="3537">
      <c r="A3537" s="36"/>
      <c r="B3537" s="36" t="str">
        <f>IFERROR(__xludf.DUMMYFUNCTION("""COMPUTED_VALUE"""),"LATITUD")</f>
        <v>LATITUD</v>
      </c>
      <c r="C3537" s="36" t="str">
        <f>IFERROR(__xludf.DUMMYFUNCTION("""COMPUTED_VALUE"""),"LONGITUD")</f>
        <v>LONGITUD</v>
      </c>
      <c r="D3537" s="36" t="str">
        <f>IFERROR(__xludf.DUMMYFUNCTION("""COMPUTED_VALUE"""),"ERROR DE ID")</f>
        <v>ERROR DE ID</v>
      </c>
      <c r="E3537" s="36"/>
      <c r="F3537" s="36"/>
      <c r="G3537" s="36"/>
      <c r="H3537" s="36"/>
    </row>
    <row r="3538">
      <c r="A3538" s="36"/>
      <c r="B3538" s="36" t="str">
        <f>IFERROR(__xludf.DUMMYFUNCTION("""COMPUTED_VALUE"""),"LATITUD")</f>
        <v>LATITUD</v>
      </c>
      <c r="C3538" s="36" t="str">
        <f>IFERROR(__xludf.DUMMYFUNCTION("""COMPUTED_VALUE"""),"LONGITUD")</f>
        <v>LONGITUD</v>
      </c>
      <c r="D3538" s="36" t="str">
        <f>IFERROR(__xludf.DUMMYFUNCTION("""COMPUTED_VALUE"""),"ERROR DE ID")</f>
        <v>ERROR DE ID</v>
      </c>
      <c r="E3538" s="36"/>
      <c r="F3538" s="36"/>
      <c r="G3538" s="36"/>
      <c r="H3538" s="36"/>
    </row>
    <row r="3539">
      <c r="A3539" s="36"/>
      <c r="B3539" s="36" t="str">
        <f>IFERROR(__xludf.DUMMYFUNCTION("""COMPUTED_VALUE"""),"LATITUD")</f>
        <v>LATITUD</v>
      </c>
      <c r="C3539" s="36" t="str">
        <f>IFERROR(__xludf.DUMMYFUNCTION("""COMPUTED_VALUE"""),"LONGITUD")</f>
        <v>LONGITUD</v>
      </c>
      <c r="D3539" s="36" t="str">
        <f>IFERROR(__xludf.DUMMYFUNCTION("""COMPUTED_VALUE"""),"ERROR DE ID")</f>
        <v>ERROR DE ID</v>
      </c>
      <c r="E3539" s="36"/>
      <c r="F3539" s="36"/>
      <c r="G3539" s="36"/>
      <c r="H3539" s="36"/>
    </row>
    <row r="3540">
      <c r="A3540" s="36"/>
      <c r="B3540" s="36" t="str">
        <f>IFERROR(__xludf.DUMMYFUNCTION("""COMPUTED_VALUE"""),"LATITUD")</f>
        <v>LATITUD</v>
      </c>
      <c r="C3540" s="36" t="str">
        <f>IFERROR(__xludf.DUMMYFUNCTION("""COMPUTED_VALUE"""),"LONGITUD")</f>
        <v>LONGITUD</v>
      </c>
      <c r="D3540" s="36" t="str">
        <f>IFERROR(__xludf.DUMMYFUNCTION("""COMPUTED_VALUE"""),"ERROR DE ID")</f>
        <v>ERROR DE ID</v>
      </c>
      <c r="E3540" s="36"/>
      <c r="F3540" s="36"/>
      <c r="G3540" s="36"/>
      <c r="H3540" s="36"/>
    </row>
    <row r="3541">
      <c r="A3541" s="36"/>
      <c r="B3541" s="36" t="str">
        <f>IFERROR(__xludf.DUMMYFUNCTION("""COMPUTED_VALUE"""),"LATITUD")</f>
        <v>LATITUD</v>
      </c>
      <c r="C3541" s="36" t="str">
        <f>IFERROR(__xludf.DUMMYFUNCTION("""COMPUTED_VALUE"""),"LONGITUD")</f>
        <v>LONGITUD</v>
      </c>
      <c r="D3541" s="36" t="str">
        <f>IFERROR(__xludf.DUMMYFUNCTION("""COMPUTED_VALUE"""),"ERROR DE ID")</f>
        <v>ERROR DE ID</v>
      </c>
      <c r="E3541" s="36"/>
      <c r="F3541" s="36"/>
      <c r="G3541" s="36"/>
      <c r="H3541" s="36"/>
    </row>
    <row r="3542">
      <c r="A3542" s="36"/>
      <c r="B3542" s="36" t="str">
        <f>IFERROR(__xludf.DUMMYFUNCTION("""COMPUTED_VALUE"""),"LATITUD")</f>
        <v>LATITUD</v>
      </c>
      <c r="C3542" s="36" t="str">
        <f>IFERROR(__xludf.DUMMYFUNCTION("""COMPUTED_VALUE"""),"LONGITUD")</f>
        <v>LONGITUD</v>
      </c>
      <c r="D3542" s="36" t="str">
        <f>IFERROR(__xludf.DUMMYFUNCTION("""COMPUTED_VALUE"""),"ERROR DE ID")</f>
        <v>ERROR DE ID</v>
      </c>
      <c r="E3542" s="36"/>
      <c r="F3542" s="36"/>
      <c r="G3542" s="36"/>
      <c r="H3542" s="36"/>
    </row>
    <row r="3543">
      <c r="A3543" s="36"/>
      <c r="B3543" s="36" t="str">
        <f>IFERROR(__xludf.DUMMYFUNCTION("""COMPUTED_VALUE"""),"LATITUD")</f>
        <v>LATITUD</v>
      </c>
      <c r="C3543" s="36" t="str">
        <f>IFERROR(__xludf.DUMMYFUNCTION("""COMPUTED_VALUE"""),"LONGITUD")</f>
        <v>LONGITUD</v>
      </c>
      <c r="D3543" s="36" t="str">
        <f>IFERROR(__xludf.DUMMYFUNCTION("""COMPUTED_VALUE"""),"ERROR DE ID")</f>
        <v>ERROR DE ID</v>
      </c>
      <c r="E3543" s="36"/>
      <c r="F3543" s="36"/>
      <c r="G3543" s="36"/>
      <c r="H3543" s="36"/>
    </row>
    <row r="3544">
      <c r="A3544" s="36"/>
      <c r="B3544" s="36" t="str">
        <f>IFERROR(__xludf.DUMMYFUNCTION("""COMPUTED_VALUE"""),"LATITUD")</f>
        <v>LATITUD</v>
      </c>
      <c r="C3544" s="36" t="str">
        <f>IFERROR(__xludf.DUMMYFUNCTION("""COMPUTED_VALUE"""),"LONGITUD")</f>
        <v>LONGITUD</v>
      </c>
      <c r="D3544" s="36" t="str">
        <f>IFERROR(__xludf.DUMMYFUNCTION("""COMPUTED_VALUE"""),"ERROR DE ID")</f>
        <v>ERROR DE ID</v>
      </c>
      <c r="E3544" s="36"/>
      <c r="F3544" s="36"/>
      <c r="G3544" s="36"/>
      <c r="H3544" s="36"/>
    </row>
    <row r="3545">
      <c r="A3545" s="36"/>
      <c r="B3545" s="36" t="str">
        <f>IFERROR(__xludf.DUMMYFUNCTION("""COMPUTED_VALUE"""),"LATITUD")</f>
        <v>LATITUD</v>
      </c>
      <c r="C3545" s="36" t="str">
        <f>IFERROR(__xludf.DUMMYFUNCTION("""COMPUTED_VALUE"""),"LONGITUD")</f>
        <v>LONGITUD</v>
      </c>
      <c r="D3545" s="36" t="str">
        <f>IFERROR(__xludf.DUMMYFUNCTION("""COMPUTED_VALUE"""),"ERROR DE ID")</f>
        <v>ERROR DE ID</v>
      </c>
      <c r="E3545" s="36"/>
      <c r="F3545" s="36"/>
      <c r="G3545" s="36"/>
      <c r="H3545" s="36"/>
    </row>
    <row r="3546">
      <c r="A3546" s="36"/>
      <c r="B3546" s="36" t="str">
        <f>IFERROR(__xludf.DUMMYFUNCTION("""COMPUTED_VALUE"""),"LATITUD")</f>
        <v>LATITUD</v>
      </c>
      <c r="C3546" s="36" t="str">
        <f>IFERROR(__xludf.DUMMYFUNCTION("""COMPUTED_VALUE"""),"LONGITUD")</f>
        <v>LONGITUD</v>
      </c>
      <c r="D3546" s="36" t="str">
        <f>IFERROR(__xludf.DUMMYFUNCTION("""COMPUTED_VALUE"""),"ERROR DE ID")</f>
        <v>ERROR DE ID</v>
      </c>
      <c r="E3546" s="36"/>
      <c r="F3546" s="36"/>
      <c r="G3546" s="36"/>
      <c r="H3546" s="36"/>
    </row>
    <row r="3547">
      <c r="A3547" s="36"/>
      <c r="B3547" s="36" t="str">
        <f>IFERROR(__xludf.DUMMYFUNCTION("""COMPUTED_VALUE"""),"LATITUD")</f>
        <v>LATITUD</v>
      </c>
      <c r="C3547" s="36" t="str">
        <f>IFERROR(__xludf.DUMMYFUNCTION("""COMPUTED_VALUE"""),"LONGITUD")</f>
        <v>LONGITUD</v>
      </c>
      <c r="D3547" s="36" t="str">
        <f>IFERROR(__xludf.DUMMYFUNCTION("""COMPUTED_VALUE"""),"ERROR DE ID")</f>
        <v>ERROR DE ID</v>
      </c>
      <c r="E3547" s="36"/>
      <c r="F3547" s="36"/>
      <c r="G3547" s="36"/>
      <c r="H3547" s="36"/>
    </row>
    <row r="3548">
      <c r="A3548" s="36"/>
      <c r="B3548" s="36" t="str">
        <f>IFERROR(__xludf.DUMMYFUNCTION("""COMPUTED_VALUE"""),"LATITUD")</f>
        <v>LATITUD</v>
      </c>
      <c r="C3548" s="36" t="str">
        <f>IFERROR(__xludf.DUMMYFUNCTION("""COMPUTED_VALUE"""),"LONGITUD")</f>
        <v>LONGITUD</v>
      </c>
      <c r="D3548" s="36" t="str">
        <f>IFERROR(__xludf.DUMMYFUNCTION("""COMPUTED_VALUE"""),"ERROR DE ID")</f>
        <v>ERROR DE ID</v>
      </c>
      <c r="E3548" s="36"/>
      <c r="F3548" s="36"/>
      <c r="G3548" s="36"/>
      <c r="H3548" s="36"/>
    </row>
    <row r="3549">
      <c r="A3549" s="36"/>
      <c r="B3549" s="36" t="str">
        <f>IFERROR(__xludf.DUMMYFUNCTION("""COMPUTED_VALUE"""),"LATITUD")</f>
        <v>LATITUD</v>
      </c>
      <c r="C3549" s="36" t="str">
        <f>IFERROR(__xludf.DUMMYFUNCTION("""COMPUTED_VALUE"""),"LONGITUD")</f>
        <v>LONGITUD</v>
      </c>
      <c r="D3549" s="36" t="str">
        <f>IFERROR(__xludf.DUMMYFUNCTION("""COMPUTED_VALUE"""),"ERROR DE ID")</f>
        <v>ERROR DE ID</v>
      </c>
      <c r="E3549" s="36"/>
      <c r="F3549" s="36"/>
      <c r="G3549" s="36"/>
      <c r="H3549" s="36"/>
    </row>
    <row r="3550">
      <c r="A3550" s="36"/>
      <c r="B3550" s="36" t="str">
        <f>IFERROR(__xludf.DUMMYFUNCTION("""COMPUTED_VALUE"""),"LATITUD")</f>
        <v>LATITUD</v>
      </c>
      <c r="C3550" s="36" t="str">
        <f>IFERROR(__xludf.DUMMYFUNCTION("""COMPUTED_VALUE"""),"LONGITUD")</f>
        <v>LONGITUD</v>
      </c>
      <c r="D3550" s="36" t="str">
        <f>IFERROR(__xludf.DUMMYFUNCTION("""COMPUTED_VALUE"""),"ERROR DE ID")</f>
        <v>ERROR DE ID</v>
      </c>
      <c r="E3550" s="36"/>
      <c r="F3550" s="36"/>
      <c r="G3550" s="36"/>
      <c r="H3550" s="36"/>
    </row>
    <row r="3551">
      <c r="A3551" s="36"/>
      <c r="B3551" s="36" t="str">
        <f>IFERROR(__xludf.DUMMYFUNCTION("""COMPUTED_VALUE"""),"LATITUD")</f>
        <v>LATITUD</v>
      </c>
      <c r="C3551" s="36" t="str">
        <f>IFERROR(__xludf.DUMMYFUNCTION("""COMPUTED_VALUE"""),"LONGITUD")</f>
        <v>LONGITUD</v>
      </c>
      <c r="D3551" s="36" t="str">
        <f>IFERROR(__xludf.DUMMYFUNCTION("""COMPUTED_VALUE"""),"ERROR DE ID")</f>
        <v>ERROR DE ID</v>
      </c>
      <c r="E3551" s="36"/>
      <c r="F3551" s="36"/>
      <c r="G3551" s="36"/>
      <c r="H3551" s="36"/>
    </row>
    <row r="3552">
      <c r="A3552" s="36"/>
      <c r="B3552" s="36" t="str">
        <f>IFERROR(__xludf.DUMMYFUNCTION("""COMPUTED_VALUE"""),"LATITUD")</f>
        <v>LATITUD</v>
      </c>
      <c r="C3552" s="36" t="str">
        <f>IFERROR(__xludf.DUMMYFUNCTION("""COMPUTED_VALUE"""),"LONGITUD")</f>
        <v>LONGITUD</v>
      </c>
      <c r="D3552" s="36" t="str">
        <f>IFERROR(__xludf.DUMMYFUNCTION("""COMPUTED_VALUE"""),"ERROR DE ID")</f>
        <v>ERROR DE ID</v>
      </c>
      <c r="E3552" s="36"/>
      <c r="F3552" s="36"/>
      <c r="G3552" s="36"/>
      <c r="H3552" s="36"/>
    </row>
    <row r="3553">
      <c r="A3553" s="36"/>
      <c r="B3553" s="36" t="str">
        <f>IFERROR(__xludf.DUMMYFUNCTION("""COMPUTED_VALUE"""),"LATITUD")</f>
        <v>LATITUD</v>
      </c>
      <c r="C3553" s="36" t="str">
        <f>IFERROR(__xludf.DUMMYFUNCTION("""COMPUTED_VALUE"""),"LONGITUD")</f>
        <v>LONGITUD</v>
      </c>
      <c r="D3553" s="36" t="str">
        <f>IFERROR(__xludf.DUMMYFUNCTION("""COMPUTED_VALUE"""),"ERROR DE ID")</f>
        <v>ERROR DE ID</v>
      </c>
      <c r="E3553" s="36"/>
      <c r="F3553" s="36"/>
      <c r="G3553" s="36"/>
      <c r="H3553" s="36"/>
    </row>
    <row r="3554">
      <c r="A3554" s="36"/>
      <c r="B3554" s="36" t="str">
        <f>IFERROR(__xludf.DUMMYFUNCTION("""COMPUTED_VALUE"""),"LATITUD")</f>
        <v>LATITUD</v>
      </c>
      <c r="C3554" s="36" t="str">
        <f>IFERROR(__xludf.DUMMYFUNCTION("""COMPUTED_VALUE"""),"LONGITUD")</f>
        <v>LONGITUD</v>
      </c>
      <c r="D3554" s="36" t="str">
        <f>IFERROR(__xludf.DUMMYFUNCTION("""COMPUTED_VALUE"""),"ERROR DE ID")</f>
        <v>ERROR DE ID</v>
      </c>
      <c r="E3554" s="36"/>
      <c r="F3554" s="36"/>
      <c r="G3554" s="36"/>
      <c r="H3554" s="36"/>
    </row>
    <row r="3555">
      <c r="A3555" s="36"/>
      <c r="B3555" s="36" t="str">
        <f>IFERROR(__xludf.DUMMYFUNCTION("""COMPUTED_VALUE"""),"LATITUD")</f>
        <v>LATITUD</v>
      </c>
      <c r="C3555" s="36" t="str">
        <f>IFERROR(__xludf.DUMMYFUNCTION("""COMPUTED_VALUE"""),"LONGITUD")</f>
        <v>LONGITUD</v>
      </c>
      <c r="D3555" s="36" t="str">
        <f>IFERROR(__xludf.DUMMYFUNCTION("""COMPUTED_VALUE"""),"ERROR DE ID")</f>
        <v>ERROR DE ID</v>
      </c>
      <c r="E3555" s="36"/>
      <c r="F3555" s="36"/>
      <c r="G3555" s="36"/>
      <c r="H3555" s="36"/>
    </row>
    <row r="3556">
      <c r="A3556" s="36"/>
      <c r="B3556" s="36" t="str">
        <f>IFERROR(__xludf.DUMMYFUNCTION("""COMPUTED_VALUE"""),"LATITUD")</f>
        <v>LATITUD</v>
      </c>
      <c r="C3556" s="36" t="str">
        <f>IFERROR(__xludf.DUMMYFUNCTION("""COMPUTED_VALUE"""),"LONGITUD")</f>
        <v>LONGITUD</v>
      </c>
      <c r="D3556" s="36" t="str">
        <f>IFERROR(__xludf.DUMMYFUNCTION("""COMPUTED_VALUE"""),"ERROR DE ID")</f>
        <v>ERROR DE ID</v>
      </c>
      <c r="E3556" s="36"/>
      <c r="F3556" s="36"/>
      <c r="G3556" s="36"/>
      <c r="H3556" s="36"/>
    </row>
    <row r="3557">
      <c r="A3557" s="36"/>
      <c r="B3557" s="36" t="str">
        <f>IFERROR(__xludf.DUMMYFUNCTION("""COMPUTED_VALUE"""),"LATITUD")</f>
        <v>LATITUD</v>
      </c>
      <c r="C3557" s="36" t="str">
        <f>IFERROR(__xludf.DUMMYFUNCTION("""COMPUTED_VALUE"""),"LONGITUD")</f>
        <v>LONGITUD</v>
      </c>
      <c r="D3557" s="36" t="str">
        <f>IFERROR(__xludf.DUMMYFUNCTION("""COMPUTED_VALUE"""),"ERROR DE ID")</f>
        <v>ERROR DE ID</v>
      </c>
      <c r="E3557" s="36"/>
      <c r="F3557" s="36"/>
      <c r="G3557" s="36"/>
      <c r="H3557" s="36"/>
    </row>
    <row r="3558">
      <c r="A3558" s="36"/>
      <c r="B3558" s="36" t="str">
        <f>IFERROR(__xludf.DUMMYFUNCTION("""COMPUTED_VALUE"""),"LATITUD")</f>
        <v>LATITUD</v>
      </c>
      <c r="C3558" s="36" t="str">
        <f>IFERROR(__xludf.DUMMYFUNCTION("""COMPUTED_VALUE"""),"LONGITUD")</f>
        <v>LONGITUD</v>
      </c>
      <c r="D3558" s="36" t="str">
        <f>IFERROR(__xludf.DUMMYFUNCTION("""COMPUTED_VALUE"""),"ERROR DE ID")</f>
        <v>ERROR DE ID</v>
      </c>
      <c r="E3558" s="36"/>
      <c r="F3558" s="36"/>
      <c r="G3558" s="36"/>
      <c r="H3558" s="36"/>
    </row>
    <row r="3559">
      <c r="A3559" s="36"/>
      <c r="B3559" s="36" t="str">
        <f>IFERROR(__xludf.DUMMYFUNCTION("""COMPUTED_VALUE"""),"LATITUD")</f>
        <v>LATITUD</v>
      </c>
      <c r="C3559" s="36" t="str">
        <f>IFERROR(__xludf.DUMMYFUNCTION("""COMPUTED_VALUE"""),"LONGITUD")</f>
        <v>LONGITUD</v>
      </c>
      <c r="D3559" s="36" t="str">
        <f>IFERROR(__xludf.DUMMYFUNCTION("""COMPUTED_VALUE"""),"ERROR DE ID")</f>
        <v>ERROR DE ID</v>
      </c>
      <c r="E3559" s="36"/>
      <c r="F3559" s="36"/>
      <c r="G3559" s="36"/>
      <c r="H3559" s="36"/>
    </row>
    <row r="3560">
      <c r="A3560" s="36"/>
      <c r="B3560" s="36" t="str">
        <f>IFERROR(__xludf.DUMMYFUNCTION("""COMPUTED_VALUE"""),"LATITUD")</f>
        <v>LATITUD</v>
      </c>
      <c r="C3560" s="36" t="str">
        <f>IFERROR(__xludf.DUMMYFUNCTION("""COMPUTED_VALUE"""),"LONGITUD")</f>
        <v>LONGITUD</v>
      </c>
      <c r="D3560" s="36" t="str">
        <f>IFERROR(__xludf.DUMMYFUNCTION("""COMPUTED_VALUE"""),"ERROR DE ID")</f>
        <v>ERROR DE ID</v>
      </c>
      <c r="E3560" s="36"/>
      <c r="F3560" s="36"/>
      <c r="G3560" s="36"/>
      <c r="H3560" s="36"/>
    </row>
    <row r="3561">
      <c r="A3561" s="36"/>
      <c r="B3561" s="36" t="str">
        <f>IFERROR(__xludf.DUMMYFUNCTION("""COMPUTED_VALUE"""),"LATITUD")</f>
        <v>LATITUD</v>
      </c>
      <c r="C3561" s="36" t="str">
        <f>IFERROR(__xludf.DUMMYFUNCTION("""COMPUTED_VALUE"""),"LONGITUD")</f>
        <v>LONGITUD</v>
      </c>
      <c r="D3561" s="36" t="str">
        <f>IFERROR(__xludf.DUMMYFUNCTION("""COMPUTED_VALUE"""),"ERROR DE ID")</f>
        <v>ERROR DE ID</v>
      </c>
      <c r="E3561" s="36"/>
      <c r="F3561" s="36"/>
      <c r="G3561" s="36"/>
      <c r="H3561" s="36"/>
    </row>
    <row r="3562">
      <c r="A3562" s="36"/>
      <c r="B3562" s="36" t="str">
        <f>IFERROR(__xludf.DUMMYFUNCTION("""COMPUTED_VALUE"""),"LATITUD")</f>
        <v>LATITUD</v>
      </c>
      <c r="C3562" s="36" t="str">
        <f>IFERROR(__xludf.DUMMYFUNCTION("""COMPUTED_VALUE"""),"LONGITUD")</f>
        <v>LONGITUD</v>
      </c>
      <c r="D3562" s="36" t="str">
        <f>IFERROR(__xludf.DUMMYFUNCTION("""COMPUTED_VALUE"""),"ERROR DE ID")</f>
        <v>ERROR DE ID</v>
      </c>
      <c r="E3562" s="36"/>
      <c r="F3562" s="36"/>
      <c r="G3562" s="36"/>
      <c r="H3562" s="36"/>
    </row>
    <row r="3563">
      <c r="A3563" s="36"/>
      <c r="B3563" s="36" t="str">
        <f>IFERROR(__xludf.DUMMYFUNCTION("""COMPUTED_VALUE"""),"LATITUD")</f>
        <v>LATITUD</v>
      </c>
      <c r="C3563" s="36" t="str">
        <f>IFERROR(__xludf.DUMMYFUNCTION("""COMPUTED_VALUE"""),"LONGITUD")</f>
        <v>LONGITUD</v>
      </c>
      <c r="D3563" s="36" t="str">
        <f>IFERROR(__xludf.DUMMYFUNCTION("""COMPUTED_VALUE"""),"ERROR DE ID")</f>
        <v>ERROR DE ID</v>
      </c>
      <c r="E3563" s="36"/>
      <c r="F3563" s="36"/>
      <c r="G3563" s="36"/>
      <c r="H3563" s="36"/>
    </row>
    <row r="3564">
      <c r="A3564" s="36"/>
      <c r="B3564" s="36" t="str">
        <f>IFERROR(__xludf.DUMMYFUNCTION("""COMPUTED_VALUE"""),"LATITUD")</f>
        <v>LATITUD</v>
      </c>
      <c r="C3564" s="36" t="str">
        <f>IFERROR(__xludf.DUMMYFUNCTION("""COMPUTED_VALUE"""),"LONGITUD")</f>
        <v>LONGITUD</v>
      </c>
      <c r="D3564" s="36" t="str">
        <f>IFERROR(__xludf.DUMMYFUNCTION("""COMPUTED_VALUE"""),"ERROR DE ID")</f>
        <v>ERROR DE ID</v>
      </c>
      <c r="E3564" s="36"/>
      <c r="F3564" s="36"/>
      <c r="G3564" s="36"/>
      <c r="H3564" s="36"/>
    </row>
    <row r="3565">
      <c r="A3565" s="36"/>
      <c r="B3565" s="36" t="str">
        <f>IFERROR(__xludf.DUMMYFUNCTION("""COMPUTED_VALUE"""),"LATITUD")</f>
        <v>LATITUD</v>
      </c>
      <c r="C3565" s="36" t="str">
        <f>IFERROR(__xludf.DUMMYFUNCTION("""COMPUTED_VALUE"""),"LONGITUD")</f>
        <v>LONGITUD</v>
      </c>
      <c r="D3565" s="36" t="str">
        <f>IFERROR(__xludf.DUMMYFUNCTION("""COMPUTED_VALUE"""),"ERROR DE ID")</f>
        <v>ERROR DE ID</v>
      </c>
      <c r="E3565" s="36"/>
      <c r="F3565" s="36"/>
      <c r="G3565" s="36"/>
      <c r="H3565" s="36"/>
    </row>
    <row r="3566">
      <c r="A3566" s="36"/>
      <c r="B3566" s="36" t="str">
        <f>IFERROR(__xludf.DUMMYFUNCTION("""COMPUTED_VALUE"""),"LATITUD")</f>
        <v>LATITUD</v>
      </c>
      <c r="C3566" s="36" t="str">
        <f>IFERROR(__xludf.DUMMYFUNCTION("""COMPUTED_VALUE"""),"LONGITUD")</f>
        <v>LONGITUD</v>
      </c>
      <c r="D3566" s="36" t="str">
        <f>IFERROR(__xludf.DUMMYFUNCTION("""COMPUTED_VALUE"""),"ERROR DE ID")</f>
        <v>ERROR DE ID</v>
      </c>
      <c r="E3566" s="36"/>
      <c r="F3566" s="36"/>
      <c r="G3566" s="36"/>
      <c r="H3566" s="36"/>
    </row>
    <row r="3567">
      <c r="A3567" s="36"/>
      <c r="B3567" s="36" t="str">
        <f>IFERROR(__xludf.DUMMYFUNCTION("""COMPUTED_VALUE"""),"LATITUD")</f>
        <v>LATITUD</v>
      </c>
      <c r="C3567" s="36" t="str">
        <f>IFERROR(__xludf.DUMMYFUNCTION("""COMPUTED_VALUE"""),"LONGITUD")</f>
        <v>LONGITUD</v>
      </c>
      <c r="D3567" s="36" t="str">
        <f>IFERROR(__xludf.DUMMYFUNCTION("""COMPUTED_VALUE"""),"ERROR DE ID")</f>
        <v>ERROR DE ID</v>
      </c>
      <c r="E3567" s="36"/>
      <c r="F3567" s="36"/>
      <c r="G3567" s="36"/>
      <c r="H3567" s="36"/>
    </row>
    <row r="3568">
      <c r="A3568" s="36"/>
      <c r="B3568" s="36" t="str">
        <f>IFERROR(__xludf.DUMMYFUNCTION("""COMPUTED_VALUE"""),"LATITUD")</f>
        <v>LATITUD</v>
      </c>
      <c r="C3568" s="36" t="str">
        <f>IFERROR(__xludf.DUMMYFUNCTION("""COMPUTED_VALUE"""),"LONGITUD")</f>
        <v>LONGITUD</v>
      </c>
      <c r="D3568" s="36" t="str">
        <f>IFERROR(__xludf.DUMMYFUNCTION("""COMPUTED_VALUE"""),"ERROR DE ID")</f>
        <v>ERROR DE ID</v>
      </c>
      <c r="E3568" s="36"/>
      <c r="F3568" s="36"/>
      <c r="G3568" s="36"/>
      <c r="H3568" s="36"/>
    </row>
    <row r="3569">
      <c r="A3569" s="36"/>
      <c r="B3569" s="36" t="str">
        <f>IFERROR(__xludf.DUMMYFUNCTION("""COMPUTED_VALUE"""),"LATITUD")</f>
        <v>LATITUD</v>
      </c>
      <c r="C3569" s="36" t="str">
        <f>IFERROR(__xludf.DUMMYFUNCTION("""COMPUTED_VALUE"""),"LONGITUD")</f>
        <v>LONGITUD</v>
      </c>
      <c r="D3569" s="36" t="str">
        <f>IFERROR(__xludf.DUMMYFUNCTION("""COMPUTED_VALUE"""),"ERROR DE ID")</f>
        <v>ERROR DE ID</v>
      </c>
      <c r="E3569" s="36"/>
      <c r="F3569" s="36"/>
      <c r="G3569" s="36"/>
      <c r="H3569" s="36"/>
    </row>
    <row r="3570">
      <c r="A3570" s="36"/>
      <c r="B3570" s="36" t="str">
        <f>IFERROR(__xludf.DUMMYFUNCTION("""COMPUTED_VALUE"""),"LATITUD")</f>
        <v>LATITUD</v>
      </c>
      <c r="C3570" s="36" t="str">
        <f>IFERROR(__xludf.DUMMYFUNCTION("""COMPUTED_VALUE"""),"LONGITUD")</f>
        <v>LONGITUD</v>
      </c>
      <c r="D3570" s="36" t="str">
        <f>IFERROR(__xludf.DUMMYFUNCTION("""COMPUTED_VALUE"""),"ERROR DE ID")</f>
        <v>ERROR DE ID</v>
      </c>
      <c r="E3570" s="36"/>
      <c r="F3570" s="36"/>
      <c r="G3570" s="36"/>
      <c r="H3570" s="36"/>
    </row>
    <row r="3571">
      <c r="A3571" s="36"/>
      <c r="B3571" s="36" t="str">
        <f>IFERROR(__xludf.DUMMYFUNCTION("""COMPUTED_VALUE"""),"LATITUD")</f>
        <v>LATITUD</v>
      </c>
      <c r="C3571" s="36" t="str">
        <f>IFERROR(__xludf.DUMMYFUNCTION("""COMPUTED_VALUE"""),"LONGITUD")</f>
        <v>LONGITUD</v>
      </c>
      <c r="D3571" s="36" t="str">
        <f>IFERROR(__xludf.DUMMYFUNCTION("""COMPUTED_VALUE"""),"ERROR DE ID")</f>
        <v>ERROR DE ID</v>
      </c>
      <c r="E3571" s="36"/>
      <c r="F3571" s="36"/>
      <c r="G3571" s="36"/>
      <c r="H3571" s="36"/>
    </row>
    <row r="3572">
      <c r="A3572" s="36"/>
      <c r="B3572" s="36" t="str">
        <f>IFERROR(__xludf.DUMMYFUNCTION("""COMPUTED_VALUE"""),"LATITUD")</f>
        <v>LATITUD</v>
      </c>
      <c r="C3572" s="36" t="str">
        <f>IFERROR(__xludf.DUMMYFUNCTION("""COMPUTED_VALUE"""),"LONGITUD")</f>
        <v>LONGITUD</v>
      </c>
      <c r="D3572" s="36" t="str">
        <f>IFERROR(__xludf.DUMMYFUNCTION("""COMPUTED_VALUE"""),"ERROR DE ID")</f>
        <v>ERROR DE ID</v>
      </c>
      <c r="E3572" s="36"/>
      <c r="F3572" s="36"/>
      <c r="G3572" s="36"/>
      <c r="H3572" s="36"/>
    </row>
    <row r="3573">
      <c r="A3573" s="36"/>
      <c r="B3573" s="36" t="str">
        <f>IFERROR(__xludf.DUMMYFUNCTION("""COMPUTED_VALUE"""),"LATITUD")</f>
        <v>LATITUD</v>
      </c>
      <c r="C3573" s="36" t="str">
        <f>IFERROR(__xludf.DUMMYFUNCTION("""COMPUTED_VALUE"""),"LONGITUD")</f>
        <v>LONGITUD</v>
      </c>
      <c r="D3573" s="36" t="str">
        <f>IFERROR(__xludf.DUMMYFUNCTION("""COMPUTED_VALUE"""),"ERROR DE ID")</f>
        <v>ERROR DE ID</v>
      </c>
      <c r="E3573" s="36"/>
      <c r="F3573" s="36"/>
      <c r="G3573" s="36"/>
      <c r="H3573" s="36"/>
    </row>
    <row r="3574">
      <c r="A3574" s="36"/>
      <c r="B3574" s="36" t="str">
        <f>IFERROR(__xludf.DUMMYFUNCTION("""COMPUTED_VALUE"""),"LATITUD")</f>
        <v>LATITUD</v>
      </c>
      <c r="C3574" s="36" t="str">
        <f>IFERROR(__xludf.DUMMYFUNCTION("""COMPUTED_VALUE"""),"LONGITUD")</f>
        <v>LONGITUD</v>
      </c>
      <c r="D3574" s="36" t="str">
        <f>IFERROR(__xludf.DUMMYFUNCTION("""COMPUTED_VALUE"""),"ERROR DE ID")</f>
        <v>ERROR DE ID</v>
      </c>
      <c r="E3574" s="36"/>
      <c r="F3574" s="36"/>
      <c r="G3574" s="36"/>
      <c r="H3574" s="36"/>
    </row>
    <row r="3575">
      <c r="A3575" s="36"/>
      <c r="B3575" s="36" t="str">
        <f>IFERROR(__xludf.DUMMYFUNCTION("""COMPUTED_VALUE"""),"LATITUD")</f>
        <v>LATITUD</v>
      </c>
      <c r="C3575" s="36" t="str">
        <f>IFERROR(__xludf.DUMMYFUNCTION("""COMPUTED_VALUE"""),"LONGITUD")</f>
        <v>LONGITUD</v>
      </c>
      <c r="D3575" s="36" t="str">
        <f>IFERROR(__xludf.DUMMYFUNCTION("""COMPUTED_VALUE"""),"ERROR DE ID")</f>
        <v>ERROR DE ID</v>
      </c>
      <c r="E3575" s="36"/>
      <c r="F3575" s="36"/>
      <c r="G3575" s="36"/>
      <c r="H3575" s="36"/>
    </row>
    <row r="3576">
      <c r="A3576" s="36"/>
      <c r="B3576" s="36" t="str">
        <f>IFERROR(__xludf.DUMMYFUNCTION("""COMPUTED_VALUE"""),"LATITUD")</f>
        <v>LATITUD</v>
      </c>
      <c r="C3576" s="36" t="str">
        <f>IFERROR(__xludf.DUMMYFUNCTION("""COMPUTED_VALUE"""),"LONGITUD")</f>
        <v>LONGITUD</v>
      </c>
      <c r="D3576" s="36" t="str">
        <f>IFERROR(__xludf.DUMMYFUNCTION("""COMPUTED_VALUE"""),"ERROR DE ID")</f>
        <v>ERROR DE ID</v>
      </c>
      <c r="E3576" s="36"/>
      <c r="F3576" s="36"/>
      <c r="G3576" s="36"/>
      <c r="H3576" s="36"/>
    </row>
    <row r="3577">
      <c r="A3577" s="36"/>
      <c r="B3577" s="36" t="str">
        <f>IFERROR(__xludf.DUMMYFUNCTION("""COMPUTED_VALUE"""),"LATITUD")</f>
        <v>LATITUD</v>
      </c>
      <c r="C3577" s="36" t="str">
        <f>IFERROR(__xludf.DUMMYFUNCTION("""COMPUTED_VALUE"""),"LONGITUD")</f>
        <v>LONGITUD</v>
      </c>
      <c r="D3577" s="36" t="str">
        <f>IFERROR(__xludf.DUMMYFUNCTION("""COMPUTED_VALUE"""),"ERROR DE ID")</f>
        <v>ERROR DE ID</v>
      </c>
      <c r="E3577" s="36"/>
      <c r="F3577" s="36"/>
      <c r="G3577" s="36"/>
      <c r="H3577" s="36"/>
    </row>
    <row r="3578">
      <c r="A3578" s="36"/>
      <c r="B3578" s="36" t="str">
        <f>IFERROR(__xludf.DUMMYFUNCTION("""COMPUTED_VALUE"""),"LATITUD")</f>
        <v>LATITUD</v>
      </c>
      <c r="C3578" s="36" t="str">
        <f>IFERROR(__xludf.DUMMYFUNCTION("""COMPUTED_VALUE"""),"LONGITUD")</f>
        <v>LONGITUD</v>
      </c>
      <c r="D3578" s="36" t="str">
        <f>IFERROR(__xludf.DUMMYFUNCTION("""COMPUTED_VALUE"""),"ERROR DE ID")</f>
        <v>ERROR DE ID</v>
      </c>
      <c r="E3578" s="36"/>
      <c r="F3578" s="36"/>
      <c r="G3578" s="36"/>
      <c r="H3578" s="36"/>
    </row>
    <row r="3579">
      <c r="A3579" s="36"/>
      <c r="B3579" s="36" t="str">
        <f>IFERROR(__xludf.DUMMYFUNCTION("""COMPUTED_VALUE"""),"LATITUD")</f>
        <v>LATITUD</v>
      </c>
      <c r="C3579" s="36" t="str">
        <f>IFERROR(__xludf.DUMMYFUNCTION("""COMPUTED_VALUE"""),"LONGITUD")</f>
        <v>LONGITUD</v>
      </c>
      <c r="D3579" s="36" t="str">
        <f>IFERROR(__xludf.DUMMYFUNCTION("""COMPUTED_VALUE"""),"ERROR DE ID")</f>
        <v>ERROR DE ID</v>
      </c>
      <c r="E3579" s="36"/>
      <c r="F3579" s="36"/>
      <c r="G3579" s="36"/>
      <c r="H3579" s="36"/>
    </row>
    <row r="3580">
      <c r="A3580" s="36"/>
      <c r="B3580" s="36" t="str">
        <f>IFERROR(__xludf.DUMMYFUNCTION("""COMPUTED_VALUE"""),"LATITUD")</f>
        <v>LATITUD</v>
      </c>
      <c r="C3580" s="36" t="str">
        <f>IFERROR(__xludf.DUMMYFUNCTION("""COMPUTED_VALUE"""),"LONGITUD")</f>
        <v>LONGITUD</v>
      </c>
      <c r="D3580" s="36" t="str">
        <f>IFERROR(__xludf.DUMMYFUNCTION("""COMPUTED_VALUE"""),"ERROR DE ID")</f>
        <v>ERROR DE ID</v>
      </c>
      <c r="E3580" s="36"/>
      <c r="F3580" s="36"/>
      <c r="G3580" s="36"/>
      <c r="H3580" s="36"/>
    </row>
    <row r="3581">
      <c r="A3581" s="36"/>
      <c r="B3581" s="36" t="str">
        <f>IFERROR(__xludf.DUMMYFUNCTION("""COMPUTED_VALUE"""),"LATITUD")</f>
        <v>LATITUD</v>
      </c>
      <c r="C3581" s="36" t="str">
        <f>IFERROR(__xludf.DUMMYFUNCTION("""COMPUTED_VALUE"""),"LONGITUD")</f>
        <v>LONGITUD</v>
      </c>
      <c r="D3581" s="36" t="str">
        <f>IFERROR(__xludf.DUMMYFUNCTION("""COMPUTED_VALUE"""),"ERROR DE ID")</f>
        <v>ERROR DE ID</v>
      </c>
      <c r="E3581" s="36"/>
      <c r="F3581" s="36"/>
      <c r="G3581" s="36"/>
      <c r="H3581" s="36"/>
    </row>
    <row r="3582">
      <c r="A3582" s="36"/>
      <c r="B3582" s="36" t="str">
        <f>IFERROR(__xludf.DUMMYFUNCTION("""COMPUTED_VALUE"""),"LATITUD")</f>
        <v>LATITUD</v>
      </c>
      <c r="C3582" s="36" t="str">
        <f>IFERROR(__xludf.DUMMYFUNCTION("""COMPUTED_VALUE"""),"LONGITUD")</f>
        <v>LONGITUD</v>
      </c>
      <c r="D3582" s="36" t="str">
        <f>IFERROR(__xludf.DUMMYFUNCTION("""COMPUTED_VALUE"""),"ERROR DE ID")</f>
        <v>ERROR DE ID</v>
      </c>
      <c r="E3582" s="36"/>
      <c r="F3582" s="36"/>
      <c r="G3582" s="36"/>
      <c r="H3582" s="36"/>
    </row>
    <row r="3583">
      <c r="A3583" s="36"/>
      <c r="B3583" s="36" t="str">
        <f>IFERROR(__xludf.DUMMYFUNCTION("""COMPUTED_VALUE"""),"LATITUD")</f>
        <v>LATITUD</v>
      </c>
      <c r="C3583" s="36" t="str">
        <f>IFERROR(__xludf.DUMMYFUNCTION("""COMPUTED_VALUE"""),"LONGITUD")</f>
        <v>LONGITUD</v>
      </c>
      <c r="D3583" s="36" t="str">
        <f>IFERROR(__xludf.DUMMYFUNCTION("""COMPUTED_VALUE"""),"ERROR DE ID")</f>
        <v>ERROR DE ID</v>
      </c>
      <c r="E3583" s="36"/>
      <c r="F3583" s="36"/>
      <c r="G3583" s="36"/>
      <c r="H3583" s="36"/>
    </row>
    <row r="3584">
      <c r="A3584" s="36"/>
      <c r="B3584" s="36" t="str">
        <f>IFERROR(__xludf.DUMMYFUNCTION("""COMPUTED_VALUE"""),"LATITUD")</f>
        <v>LATITUD</v>
      </c>
      <c r="C3584" s="36" t="str">
        <f>IFERROR(__xludf.DUMMYFUNCTION("""COMPUTED_VALUE"""),"LONGITUD")</f>
        <v>LONGITUD</v>
      </c>
      <c r="D3584" s="36" t="str">
        <f>IFERROR(__xludf.DUMMYFUNCTION("""COMPUTED_VALUE"""),"ERROR DE ID")</f>
        <v>ERROR DE ID</v>
      </c>
      <c r="E3584" s="36"/>
      <c r="F3584" s="36"/>
      <c r="G3584" s="36"/>
      <c r="H3584" s="36"/>
    </row>
    <row r="3585">
      <c r="A3585" s="36"/>
      <c r="B3585" s="36" t="str">
        <f>IFERROR(__xludf.DUMMYFUNCTION("""COMPUTED_VALUE"""),"LATITUD")</f>
        <v>LATITUD</v>
      </c>
      <c r="C3585" s="36" t="str">
        <f>IFERROR(__xludf.DUMMYFUNCTION("""COMPUTED_VALUE"""),"LONGITUD")</f>
        <v>LONGITUD</v>
      </c>
      <c r="D3585" s="36" t="str">
        <f>IFERROR(__xludf.DUMMYFUNCTION("""COMPUTED_VALUE"""),"ERROR DE ID")</f>
        <v>ERROR DE ID</v>
      </c>
      <c r="E3585" s="36"/>
      <c r="F3585" s="36"/>
      <c r="G3585" s="36"/>
      <c r="H3585" s="36"/>
    </row>
    <row r="3586">
      <c r="A3586" s="36"/>
      <c r="B3586" s="36" t="str">
        <f>IFERROR(__xludf.DUMMYFUNCTION("""COMPUTED_VALUE"""),"LATITUD")</f>
        <v>LATITUD</v>
      </c>
      <c r="C3586" s="36" t="str">
        <f>IFERROR(__xludf.DUMMYFUNCTION("""COMPUTED_VALUE"""),"LONGITUD")</f>
        <v>LONGITUD</v>
      </c>
      <c r="D3586" s="36" t="str">
        <f>IFERROR(__xludf.DUMMYFUNCTION("""COMPUTED_VALUE"""),"ERROR DE ID")</f>
        <v>ERROR DE ID</v>
      </c>
      <c r="E3586" s="36"/>
      <c r="F3586" s="36"/>
      <c r="G3586" s="36"/>
      <c r="H3586" s="36"/>
    </row>
    <row r="3587">
      <c r="A3587" s="36"/>
      <c r="B3587" s="36" t="str">
        <f>IFERROR(__xludf.DUMMYFUNCTION("""COMPUTED_VALUE"""),"LATITUD")</f>
        <v>LATITUD</v>
      </c>
      <c r="C3587" s="36" t="str">
        <f>IFERROR(__xludf.DUMMYFUNCTION("""COMPUTED_VALUE"""),"LONGITUD")</f>
        <v>LONGITUD</v>
      </c>
      <c r="D3587" s="36" t="str">
        <f>IFERROR(__xludf.DUMMYFUNCTION("""COMPUTED_VALUE"""),"ERROR DE ID")</f>
        <v>ERROR DE ID</v>
      </c>
      <c r="E3587" s="36"/>
      <c r="F3587" s="36"/>
      <c r="G3587" s="36"/>
      <c r="H3587" s="36"/>
    </row>
    <row r="3588">
      <c r="A3588" s="36"/>
      <c r="B3588" s="36" t="str">
        <f>IFERROR(__xludf.DUMMYFUNCTION("""COMPUTED_VALUE"""),"LATITUD")</f>
        <v>LATITUD</v>
      </c>
      <c r="C3588" s="36" t="str">
        <f>IFERROR(__xludf.DUMMYFUNCTION("""COMPUTED_VALUE"""),"LONGITUD")</f>
        <v>LONGITUD</v>
      </c>
      <c r="D3588" s="36" t="str">
        <f>IFERROR(__xludf.DUMMYFUNCTION("""COMPUTED_VALUE"""),"ERROR DE ID")</f>
        <v>ERROR DE ID</v>
      </c>
      <c r="E3588" s="36"/>
      <c r="F3588" s="36"/>
      <c r="G3588" s="36"/>
      <c r="H3588" s="36"/>
    </row>
    <row r="3589">
      <c r="A3589" s="36"/>
      <c r="B3589" s="36" t="str">
        <f>IFERROR(__xludf.DUMMYFUNCTION("""COMPUTED_VALUE"""),"LATITUD")</f>
        <v>LATITUD</v>
      </c>
      <c r="C3589" s="36" t="str">
        <f>IFERROR(__xludf.DUMMYFUNCTION("""COMPUTED_VALUE"""),"LONGITUD")</f>
        <v>LONGITUD</v>
      </c>
      <c r="D3589" s="36" t="str">
        <f>IFERROR(__xludf.DUMMYFUNCTION("""COMPUTED_VALUE"""),"ERROR DE ID")</f>
        <v>ERROR DE ID</v>
      </c>
      <c r="E3589" s="36"/>
      <c r="F3589" s="36"/>
      <c r="G3589" s="36"/>
      <c r="H3589" s="36"/>
    </row>
    <row r="3590">
      <c r="A3590" s="36"/>
      <c r="B3590" s="36" t="str">
        <f>IFERROR(__xludf.DUMMYFUNCTION("""COMPUTED_VALUE"""),"LATITUD")</f>
        <v>LATITUD</v>
      </c>
      <c r="C3590" s="36" t="str">
        <f>IFERROR(__xludf.DUMMYFUNCTION("""COMPUTED_VALUE"""),"LONGITUD")</f>
        <v>LONGITUD</v>
      </c>
      <c r="D3590" s="36" t="str">
        <f>IFERROR(__xludf.DUMMYFUNCTION("""COMPUTED_VALUE"""),"ERROR DE ID")</f>
        <v>ERROR DE ID</v>
      </c>
      <c r="E3590" s="36"/>
      <c r="F3590" s="36"/>
      <c r="G3590" s="36"/>
      <c r="H3590" s="36"/>
    </row>
    <row r="3591">
      <c r="A3591" s="36"/>
      <c r="B3591" s="36" t="str">
        <f>IFERROR(__xludf.DUMMYFUNCTION("""COMPUTED_VALUE"""),"LATITUD")</f>
        <v>LATITUD</v>
      </c>
      <c r="C3591" s="36" t="str">
        <f>IFERROR(__xludf.DUMMYFUNCTION("""COMPUTED_VALUE"""),"LONGITUD")</f>
        <v>LONGITUD</v>
      </c>
      <c r="D3591" s="36" t="str">
        <f>IFERROR(__xludf.DUMMYFUNCTION("""COMPUTED_VALUE"""),"ERROR DE ID")</f>
        <v>ERROR DE ID</v>
      </c>
      <c r="E3591" s="36"/>
      <c r="F3591" s="36"/>
      <c r="G3591" s="36"/>
      <c r="H3591" s="36"/>
    </row>
    <row r="3592">
      <c r="A3592" s="36"/>
      <c r="B3592" s="36" t="str">
        <f>IFERROR(__xludf.DUMMYFUNCTION("""COMPUTED_VALUE"""),"LATITUD")</f>
        <v>LATITUD</v>
      </c>
      <c r="C3592" s="36" t="str">
        <f>IFERROR(__xludf.DUMMYFUNCTION("""COMPUTED_VALUE"""),"LONGITUD")</f>
        <v>LONGITUD</v>
      </c>
      <c r="D3592" s="36" t="str">
        <f>IFERROR(__xludf.DUMMYFUNCTION("""COMPUTED_VALUE"""),"ERROR DE ID")</f>
        <v>ERROR DE ID</v>
      </c>
      <c r="E3592" s="36"/>
      <c r="F3592" s="36"/>
      <c r="G3592" s="36"/>
      <c r="H3592" s="36"/>
    </row>
    <row r="3593">
      <c r="A3593" s="36"/>
      <c r="B3593" s="36" t="str">
        <f>IFERROR(__xludf.DUMMYFUNCTION("""COMPUTED_VALUE"""),"LATITUD")</f>
        <v>LATITUD</v>
      </c>
      <c r="C3593" s="36" t="str">
        <f>IFERROR(__xludf.DUMMYFUNCTION("""COMPUTED_VALUE"""),"LONGITUD")</f>
        <v>LONGITUD</v>
      </c>
      <c r="D3593" s="36" t="str">
        <f>IFERROR(__xludf.DUMMYFUNCTION("""COMPUTED_VALUE"""),"ERROR DE ID")</f>
        <v>ERROR DE ID</v>
      </c>
      <c r="E3593" s="36"/>
      <c r="F3593" s="36"/>
      <c r="G3593" s="36"/>
      <c r="H3593" s="36"/>
    </row>
    <row r="3594">
      <c r="A3594" s="36"/>
      <c r="B3594" s="36" t="str">
        <f>IFERROR(__xludf.DUMMYFUNCTION("""COMPUTED_VALUE"""),"LATITUD")</f>
        <v>LATITUD</v>
      </c>
      <c r="C3594" s="36" t="str">
        <f>IFERROR(__xludf.DUMMYFUNCTION("""COMPUTED_VALUE"""),"LONGITUD")</f>
        <v>LONGITUD</v>
      </c>
      <c r="D3594" s="36" t="str">
        <f>IFERROR(__xludf.DUMMYFUNCTION("""COMPUTED_VALUE"""),"ERROR DE ID")</f>
        <v>ERROR DE ID</v>
      </c>
      <c r="E3594" s="36"/>
      <c r="F3594" s="36"/>
      <c r="G3594" s="36"/>
      <c r="H3594" s="36"/>
    </row>
    <row r="3595">
      <c r="A3595" s="36"/>
      <c r="B3595" s="36" t="str">
        <f>IFERROR(__xludf.DUMMYFUNCTION("""COMPUTED_VALUE"""),"LATITUD")</f>
        <v>LATITUD</v>
      </c>
      <c r="C3595" s="36" t="str">
        <f>IFERROR(__xludf.DUMMYFUNCTION("""COMPUTED_VALUE"""),"LONGITUD")</f>
        <v>LONGITUD</v>
      </c>
      <c r="D3595" s="36" t="str">
        <f>IFERROR(__xludf.DUMMYFUNCTION("""COMPUTED_VALUE"""),"ERROR DE ID")</f>
        <v>ERROR DE ID</v>
      </c>
      <c r="E3595" s="36"/>
      <c r="F3595" s="36"/>
      <c r="G3595" s="36"/>
      <c r="H3595" s="36"/>
    </row>
    <row r="3596">
      <c r="A3596" s="36"/>
      <c r="B3596" s="36" t="str">
        <f>IFERROR(__xludf.DUMMYFUNCTION("""COMPUTED_VALUE"""),"LATITUD")</f>
        <v>LATITUD</v>
      </c>
      <c r="C3596" s="36" t="str">
        <f>IFERROR(__xludf.DUMMYFUNCTION("""COMPUTED_VALUE"""),"LONGITUD")</f>
        <v>LONGITUD</v>
      </c>
      <c r="D3596" s="36" t="str">
        <f>IFERROR(__xludf.DUMMYFUNCTION("""COMPUTED_VALUE"""),"ERROR DE ID")</f>
        <v>ERROR DE ID</v>
      </c>
      <c r="E3596" s="36"/>
      <c r="F3596" s="36"/>
      <c r="G3596" s="36"/>
      <c r="H3596" s="36"/>
    </row>
    <row r="3597">
      <c r="A3597" s="36"/>
      <c r="B3597" s="36" t="str">
        <f>IFERROR(__xludf.DUMMYFUNCTION("""COMPUTED_VALUE"""),"LATITUD")</f>
        <v>LATITUD</v>
      </c>
      <c r="C3597" s="36" t="str">
        <f>IFERROR(__xludf.DUMMYFUNCTION("""COMPUTED_VALUE"""),"LONGITUD")</f>
        <v>LONGITUD</v>
      </c>
      <c r="D3597" s="36" t="str">
        <f>IFERROR(__xludf.DUMMYFUNCTION("""COMPUTED_VALUE"""),"ERROR DE ID")</f>
        <v>ERROR DE ID</v>
      </c>
      <c r="E3597" s="36"/>
      <c r="F3597" s="36"/>
      <c r="G3597" s="36"/>
      <c r="H3597" s="36"/>
    </row>
    <row r="3598">
      <c r="A3598" s="36"/>
      <c r="B3598" s="36" t="str">
        <f>IFERROR(__xludf.DUMMYFUNCTION("""COMPUTED_VALUE"""),"LATITUD")</f>
        <v>LATITUD</v>
      </c>
      <c r="C3598" s="36" t="str">
        <f>IFERROR(__xludf.DUMMYFUNCTION("""COMPUTED_VALUE"""),"LONGITUD")</f>
        <v>LONGITUD</v>
      </c>
      <c r="D3598" s="36" t="str">
        <f>IFERROR(__xludf.DUMMYFUNCTION("""COMPUTED_VALUE"""),"ERROR DE ID")</f>
        <v>ERROR DE ID</v>
      </c>
      <c r="E3598" s="36"/>
      <c r="F3598" s="36"/>
      <c r="G3598" s="36"/>
      <c r="H3598" s="36"/>
    </row>
    <row r="3599">
      <c r="A3599" s="36"/>
      <c r="B3599" s="36" t="str">
        <f>IFERROR(__xludf.DUMMYFUNCTION("""COMPUTED_VALUE"""),"LATITUD")</f>
        <v>LATITUD</v>
      </c>
      <c r="C3599" s="36" t="str">
        <f>IFERROR(__xludf.DUMMYFUNCTION("""COMPUTED_VALUE"""),"LONGITUD")</f>
        <v>LONGITUD</v>
      </c>
      <c r="D3599" s="36" t="str">
        <f>IFERROR(__xludf.DUMMYFUNCTION("""COMPUTED_VALUE"""),"ERROR DE ID")</f>
        <v>ERROR DE ID</v>
      </c>
      <c r="E3599" s="36"/>
      <c r="F3599" s="36"/>
      <c r="G3599" s="36"/>
      <c r="H3599" s="36"/>
    </row>
    <row r="3600">
      <c r="A3600" s="36"/>
      <c r="B3600" s="36" t="str">
        <f>IFERROR(__xludf.DUMMYFUNCTION("""COMPUTED_VALUE"""),"LATITUD")</f>
        <v>LATITUD</v>
      </c>
      <c r="C3600" s="36" t="str">
        <f>IFERROR(__xludf.DUMMYFUNCTION("""COMPUTED_VALUE"""),"LONGITUD")</f>
        <v>LONGITUD</v>
      </c>
      <c r="D3600" s="36" t="str">
        <f>IFERROR(__xludf.DUMMYFUNCTION("""COMPUTED_VALUE"""),"ERROR DE ID")</f>
        <v>ERROR DE ID</v>
      </c>
      <c r="E3600" s="36"/>
      <c r="F3600" s="36"/>
      <c r="G3600" s="36"/>
      <c r="H3600" s="36"/>
    </row>
    <row r="3601">
      <c r="A3601" s="36"/>
      <c r="B3601" s="36" t="str">
        <f>IFERROR(__xludf.DUMMYFUNCTION("""COMPUTED_VALUE"""),"LATITUD")</f>
        <v>LATITUD</v>
      </c>
      <c r="C3601" s="36" t="str">
        <f>IFERROR(__xludf.DUMMYFUNCTION("""COMPUTED_VALUE"""),"LONGITUD")</f>
        <v>LONGITUD</v>
      </c>
      <c r="D3601" s="36" t="str">
        <f>IFERROR(__xludf.DUMMYFUNCTION("""COMPUTED_VALUE"""),"ERROR DE ID")</f>
        <v>ERROR DE ID</v>
      </c>
      <c r="E3601" s="36"/>
      <c r="F3601" s="36"/>
      <c r="G3601" s="36"/>
      <c r="H3601" s="36"/>
    </row>
    <row r="3602">
      <c r="A3602" s="36"/>
      <c r="B3602" s="36" t="str">
        <f>IFERROR(__xludf.DUMMYFUNCTION("""COMPUTED_VALUE"""),"LATITUD")</f>
        <v>LATITUD</v>
      </c>
      <c r="C3602" s="36" t="str">
        <f>IFERROR(__xludf.DUMMYFUNCTION("""COMPUTED_VALUE"""),"LONGITUD")</f>
        <v>LONGITUD</v>
      </c>
      <c r="D3602" s="36" t="str">
        <f>IFERROR(__xludf.DUMMYFUNCTION("""COMPUTED_VALUE"""),"ERROR DE ID")</f>
        <v>ERROR DE ID</v>
      </c>
      <c r="E3602" s="36"/>
      <c r="F3602" s="36"/>
      <c r="G3602" s="36"/>
      <c r="H3602" s="36"/>
    </row>
    <row r="3603">
      <c r="A3603" s="36"/>
      <c r="B3603" s="36" t="str">
        <f>IFERROR(__xludf.DUMMYFUNCTION("""COMPUTED_VALUE"""),"LATITUD")</f>
        <v>LATITUD</v>
      </c>
      <c r="C3603" s="36" t="str">
        <f>IFERROR(__xludf.DUMMYFUNCTION("""COMPUTED_VALUE"""),"LONGITUD")</f>
        <v>LONGITUD</v>
      </c>
      <c r="D3603" s="36" t="str">
        <f>IFERROR(__xludf.DUMMYFUNCTION("""COMPUTED_VALUE"""),"ERROR DE ID")</f>
        <v>ERROR DE ID</v>
      </c>
      <c r="E3603" s="36"/>
      <c r="F3603" s="36"/>
      <c r="G3603" s="36"/>
      <c r="H3603" s="36"/>
    </row>
    <row r="3604">
      <c r="A3604" s="36"/>
      <c r="B3604" s="36" t="str">
        <f>IFERROR(__xludf.DUMMYFUNCTION("""COMPUTED_VALUE"""),"LATITUD")</f>
        <v>LATITUD</v>
      </c>
      <c r="C3604" s="36" t="str">
        <f>IFERROR(__xludf.DUMMYFUNCTION("""COMPUTED_VALUE"""),"LONGITUD")</f>
        <v>LONGITUD</v>
      </c>
      <c r="D3604" s="36" t="str">
        <f>IFERROR(__xludf.DUMMYFUNCTION("""COMPUTED_VALUE"""),"ERROR DE ID")</f>
        <v>ERROR DE ID</v>
      </c>
      <c r="E3604" s="36"/>
      <c r="F3604" s="36"/>
      <c r="G3604" s="36"/>
      <c r="H3604" s="36"/>
    </row>
    <row r="3605">
      <c r="A3605" s="36"/>
      <c r="B3605" s="36" t="str">
        <f>IFERROR(__xludf.DUMMYFUNCTION("""COMPUTED_VALUE"""),"LATITUD")</f>
        <v>LATITUD</v>
      </c>
      <c r="C3605" s="36" t="str">
        <f>IFERROR(__xludf.DUMMYFUNCTION("""COMPUTED_VALUE"""),"LONGITUD")</f>
        <v>LONGITUD</v>
      </c>
      <c r="D3605" s="36" t="str">
        <f>IFERROR(__xludf.DUMMYFUNCTION("""COMPUTED_VALUE"""),"ERROR DE ID")</f>
        <v>ERROR DE ID</v>
      </c>
      <c r="E3605" s="36"/>
      <c r="F3605" s="36"/>
      <c r="G3605" s="36"/>
      <c r="H3605" s="36"/>
    </row>
    <row r="3606">
      <c r="A3606" s="36"/>
      <c r="B3606" s="36" t="str">
        <f>IFERROR(__xludf.DUMMYFUNCTION("""COMPUTED_VALUE"""),"LATITUD")</f>
        <v>LATITUD</v>
      </c>
      <c r="C3606" s="36" t="str">
        <f>IFERROR(__xludf.DUMMYFUNCTION("""COMPUTED_VALUE"""),"LONGITUD")</f>
        <v>LONGITUD</v>
      </c>
      <c r="D3606" s="36" t="str">
        <f>IFERROR(__xludf.DUMMYFUNCTION("""COMPUTED_VALUE"""),"ERROR DE ID")</f>
        <v>ERROR DE ID</v>
      </c>
      <c r="E3606" s="36"/>
      <c r="F3606" s="36"/>
      <c r="G3606" s="36"/>
      <c r="H3606" s="36"/>
    </row>
    <row r="3607">
      <c r="A3607" s="36"/>
      <c r="B3607" s="36" t="str">
        <f>IFERROR(__xludf.DUMMYFUNCTION("""COMPUTED_VALUE"""),"LATITUD")</f>
        <v>LATITUD</v>
      </c>
      <c r="C3607" s="36" t="str">
        <f>IFERROR(__xludf.DUMMYFUNCTION("""COMPUTED_VALUE"""),"LONGITUD")</f>
        <v>LONGITUD</v>
      </c>
      <c r="D3607" s="36" t="str">
        <f>IFERROR(__xludf.DUMMYFUNCTION("""COMPUTED_VALUE"""),"ERROR DE ID")</f>
        <v>ERROR DE ID</v>
      </c>
      <c r="E3607" s="36"/>
      <c r="F3607" s="36"/>
      <c r="G3607" s="36"/>
      <c r="H3607" s="36"/>
    </row>
    <row r="3608">
      <c r="A3608" s="36"/>
      <c r="B3608" s="36" t="str">
        <f>IFERROR(__xludf.DUMMYFUNCTION("""COMPUTED_VALUE"""),"LATITUD")</f>
        <v>LATITUD</v>
      </c>
      <c r="C3608" s="36" t="str">
        <f>IFERROR(__xludf.DUMMYFUNCTION("""COMPUTED_VALUE"""),"LONGITUD")</f>
        <v>LONGITUD</v>
      </c>
      <c r="D3608" s="36" t="str">
        <f>IFERROR(__xludf.DUMMYFUNCTION("""COMPUTED_VALUE"""),"ERROR DE ID")</f>
        <v>ERROR DE ID</v>
      </c>
      <c r="E3608" s="36"/>
      <c r="F3608" s="36"/>
      <c r="G3608" s="36"/>
      <c r="H3608" s="36"/>
    </row>
    <row r="3609">
      <c r="A3609" s="36"/>
      <c r="B3609" s="36" t="str">
        <f>IFERROR(__xludf.DUMMYFUNCTION("""COMPUTED_VALUE"""),"LATITUD")</f>
        <v>LATITUD</v>
      </c>
      <c r="C3609" s="36" t="str">
        <f>IFERROR(__xludf.DUMMYFUNCTION("""COMPUTED_VALUE"""),"LONGITUD")</f>
        <v>LONGITUD</v>
      </c>
      <c r="D3609" s="36" t="str">
        <f>IFERROR(__xludf.DUMMYFUNCTION("""COMPUTED_VALUE"""),"ERROR DE ID")</f>
        <v>ERROR DE ID</v>
      </c>
      <c r="E3609" s="36"/>
      <c r="F3609" s="36"/>
      <c r="G3609" s="36"/>
      <c r="H3609" s="36"/>
    </row>
    <row r="3610">
      <c r="A3610" s="36"/>
      <c r="B3610" s="36" t="str">
        <f>IFERROR(__xludf.DUMMYFUNCTION("""COMPUTED_VALUE"""),"LATITUD")</f>
        <v>LATITUD</v>
      </c>
      <c r="C3610" s="36" t="str">
        <f>IFERROR(__xludf.DUMMYFUNCTION("""COMPUTED_VALUE"""),"LONGITUD")</f>
        <v>LONGITUD</v>
      </c>
      <c r="D3610" s="36" t="str">
        <f>IFERROR(__xludf.DUMMYFUNCTION("""COMPUTED_VALUE"""),"ERROR DE ID")</f>
        <v>ERROR DE ID</v>
      </c>
      <c r="E3610" s="36"/>
      <c r="F3610" s="36"/>
      <c r="G3610" s="36"/>
      <c r="H3610" s="36"/>
    </row>
    <row r="3611">
      <c r="A3611" s="36"/>
      <c r="B3611" s="36" t="str">
        <f>IFERROR(__xludf.DUMMYFUNCTION("""COMPUTED_VALUE"""),"LATITUD")</f>
        <v>LATITUD</v>
      </c>
      <c r="C3611" s="36" t="str">
        <f>IFERROR(__xludf.DUMMYFUNCTION("""COMPUTED_VALUE"""),"LONGITUD")</f>
        <v>LONGITUD</v>
      </c>
      <c r="D3611" s="36" t="str">
        <f>IFERROR(__xludf.DUMMYFUNCTION("""COMPUTED_VALUE"""),"ERROR DE ID")</f>
        <v>ERROR DE ID</v>
      </c>
      <c r="E3611" s="36"/>
      <c r="F3611" s="36"/>
      <c r="G3611" s="36"/>
      <c r="H3611" s="36"/>
    </row>
    <row r="3612">
      <c r="A3612" s="36"/>
      <c r="B3612" s="36" t="str">
        <f>IFERROR(__xludf.DUMMYFUNCTION("""COMPUTED_VALUE"""),"LATITUD")</f>
        <v>LATITUD</v>
      </c>
      <c r="C3612" s="36" t="str">
        <f>IFERROR(__xludf.DUMMYFUNCTION("""COMPUTED_VALUE"""),"LONGITUD")</f>
        <v>LONGITUD</v>
      </c>
      <c r="D3612" s="36" t="str">
        <f>IFERROR(__xludf.DUMMYFUNCTION("""COMPUTED_VALUE"""),"ERROR DE ID")</f>
        <v>ERROR DE ID</v>
      </c>
      <c r="E3612" s="36"/>
      <c r="F3612" s="36"/>
      <c r="G3612" s="36"/>
      <c r="H3612" s="36"/>
    </row>
    <row r="3613">
      <c r="A3613" s="36"/>
      <c r="B3613" s="36" t="str">
        <f>IFERROR(__xludf.DUMMYFUNCTION("""COMPUTED_VALUE"""),"LATITUD")</f>
        <v>LATITUD</v>
      </c>
      <c r="C3613" s="36" t="str">
        <f>IFERROR(__xludf.DUMMYFUNCTION("""COMPUTED_VALUE"""),"LONGITUD")</f>
        <v>LONGITUD</v>
      </c>
      <c r="D3613" s="36" t="str">
        <f>IFERROR(__xludf.DUMMYFUNCTION("""COMPUTED_VALUE"""),"ERROR DE ID")</f>
        <v>ERROR DE ID</v>
      </c>
      <c r="E3613" s="36"/>
      <c r="F3613" s="36"/>
      <c r="G3613" s="36"/>
      <c r="H3613" s="36"/>
    </row>
    <row r="3614">
      <c r="A3614" s="36"/>
      <c r="B3614" s="36" t="str">
        <f>IFERROR(__xludf.DUMMYFUNCTION("""COMPUTED_VALUE"""),"LATITUD")</f>
        <v>LATITUD</v>
      </c>
      <c r="C3614" s="36" t="str">
        <f>IFERROR(__xludf.DUMMYFUNCTION("""COMPUTED_VALUE"""),"LONGITUD")</f>
        <v>LONGITUD</v>
      </c>
      <c r="D3614" s="36" t="str">
        <f>IFERROR(__xludf.DUMMYFUNCTION("""COMPUTED_VALUE"""),"ERROR DE ID")</f>
        <v>ERROR DE ID</v>
      </c>
      <c r="E3614" s="36"/>
      <c r="F3614" s="36"/>
      <c r="G3614" s="36"/>
      <c r="H3614" s="36"/>
    </row>
    <row r="3615">
      <c r="A3615" s="36"/>
      <c r="B3615" s="36" t="str">
        <f>IFERROR(__xludf.DUMMYFUNCTION("""COMPUTED_VALUE"""),"LATITUD")</f>
        <v>LATITUD</v>
      </c>
      <c r="C3615" s="36" t="str">
        <f>IFERROR(__xludf.DUMMYFUNCTION("""COMPUTED_VALUE"""),"LONGITUD")</f>
        <v>LONGITUD</v>
      </c>
      <c r="D3615" s="36" t="str">
        <f>IFERROR(__xludf.DUMMYFUNCTION("""COMPUTED_VALUE"""),"ERROR DE ID")</f>
        <v>ERROR DE ID</v>
      </c>
      <c r="E3615" s="36"/>
      <c r="F3615" s="36"/>
      <c r="G3615" s="36"/>
      <c r="H3615" s="36"/>
    </row>
    <row r="3616">
      <c r="A3616" s="36"/>
      <c r="B3616" s="36" t="str">
        <f>IFERROR(__xludf.DUMMYFUNCTION("""COMPUTED_VALUE"""),"LATITUD")</f>
        <v>LATITUD</v>
      </c>
      <c r="C3616" s="36" t="str">
        <f>IFERROR(__xludf.DUMMYFUNCTION("""COMPUTED_VALUE"""),"LONGITUD")</f>
        <v>LONGITUD</v>
      </c>
      <c r="D3616" s="36" t="str">
        <f>IFERROR(__xludf.DUMMYFUNCTION("""COMPUTED_VALUE"""),"ERROR DE ID")</f>
        <v>ERROR DE ID</v>
      </c>
      <c r="E3616" s="36"/>
      <c r="F3616" s="36"/>
      <c r="G3616" s="36"/>
      <c r="H3616" s="36"/>
    </row>
    <row r="3617">
      <c r="A3617" s="36"/>
      <c r="B3617" s="36" t="str">
        <f>IFERROR(__xludf.DUMMYFUNCTION("""COMPUTED_VALUE"""),"LATITUD")</f>
        <v>LATITUD</v>
      </c>
      <c r="C3617" s="36" t="str">
        <f>IFERROR(__xludf.DUMMYFUNCTION("""COMPUTED_VALUE"""),"LONGITUD")</f>
        <v>LONGITUD</v>
      </c>
      <c r="D3617" s="36" t="str">
        <f>IFERROR(__xludf.DUMMYFUNCTION("""COMPUTED_VALUE"""),"ERROR DE ID")</f>
        <v>ERROR DE ID</v>
      </c>
      <c r="E3617" s="36"/>
      <c r="F3617" s="36"/>
      <c r="G3617" s="36"/>
      <c r="H3617" s="36"/>
    </row>
    <row r="3618">
      <c r="A3618" s="36"/>
      <c r="B3618" s="36" t="str">
        <f>IFERROR(__xludf.DUMMYFUNCTION("""COMPUTED_VALUE"""),"LATITUD")</f>
        <v>LATITUD</v>
      </c>
      <c r="C3618" s="36" t="str">
        <f>IFERROR(__xludf.DUMMYFUNCTION("""COMPUTED_VALUE"""),"LONGITUD")</f>
        <v>LONGITUD</v>
      </c>
      <c r="D3618" s="36" t="str">
        <f>IFERROR(__xludf.DUMMYFUNCTION("""COMPUTED_VALUE"""),"ERROR DE ID")</f>
        <v>ERROR DE ID</v>
      </c>
      <c r="E3618" s="36"/>
      <c r="F3618" s="36"/>
      <c r="G3618" s="36"/>
      <c r="H3618" s="36"/>
    </row>
    <row r="3619">
      <c r="A3619" s="36"/>
      <c r="B3619" s="36" t="str">
        <f>IFERROR(__xludf.DUMMYFUNCTION("""COMPUTED_VALUE"""),"LATITUD")</f>
        <v>LATITUD</v>
      </c>
      <c r="C3619" s="36" t="str">
        <f>IFERROR(__xludf.DUMMYFUNCTION("""COMPUTED_VALUE"""),"LONGITUD")</f>
        <v>LONGITUD</v>
      </c>
      <c r="D3619" s="36" t="str">
        <f>IFERROR(__xludf.DUMMYFUNCTION("""COMPUTED_VALUE"""),"ERROR DE ID")</f>
        <v>ERROR DE ID</v>
      </c>
      <c r="E3619" s="36"/>
      <c r="F3619" s="36"/>
      <c r="G3619" s="36"/>
      <c r="H3619" s="36"/>
    </row>
    <row r="3620">
      <c r="A3620" s="36"/>
      <c r="B3620" s="36" t="str">
        <f>IFERROR(__xludf.DUMMYFUNCTION("""COMPUTED_VALUE"""),"LATITUD")</f>
        <v>LATITUD</v>
      </c>
      <c r="C3620" s="36" t="str">
        <f>IFERROR(__xludf.DUMMYFUNCTION("""COMPUTED_VALUE"""),"LONGITUD")</f>
        <v>LONGITUD</v>
      </c>
      <c r="D3620" s="36" t="str">
        <f>IFERROR(__xludf.DUMMYFUNCTION("""COMPUTED_VALUE"""),"ERROR DE ID")</f>
        <v>ERROR DE ID</v>
      </c>
      <c r="E3620" s="36"/>
      <c r="F3620" s="36"/>
      <c r="G3620" s="36"/>
      <c r="H3620" s="36"/>
    </row>
    <row r="3621">
      <c r="A3621" s="36"/>
      <c r="B3621" s="36" t="str">
        <f>IFERROR(__xludf.DUMMYFUNCTION("""COMPUTED_VALUE"""),"LATITUD")</f>
        <v>LATITUD</v>
      </c>
      <c r="C3621" s="36" t="str">
        <f>IFERROR(__xludf.DUMMYFUNCTION("""COMPUTED_VALUE"""),"LONGITUD")</f>
        <v>LONGITUD</v>
      </c>
      <c r="D3621" s="36" t="str">
        <f>IFERROR(__xludf.DUMMYFUNCTION("""COMPUTED_VALUE"""),"ERROR DE ID")</f>
        <v>ERROR DE ID</v>
      </c>
      <c r="E3621" s="36"/>
      <c r="F3621" s="36"/>
      <c r="G3621" s="36"/>
      <c r="H3621" s="36"/>
    </row>
    <row r="3622">
      <c r="A3622" s="36"/>
      <c r="B3622" s="36" t="str">
        <f>IFERROR(__xludf.DUMMYFUNCTION("""COMPUTED_VALUE"""),"LATITUD")</f>
        <v>LATITUD</v>
      </c>
      <c r="C3622" s="36" t="str">
        <f>IFERROR(__xludf.DUMMYFUNCTION("""COMPUTED_VALUE"""),"LONGITUD")</f>
        <v>LONGITUD</v>
      </c>
      <c r="D3622" s="36" t="str">
        <f>IFERROR(__xludf.DUMMYFUNCTION("""COMPUTED_VALUE"""),"ERROR DE ID")</f>
        <v>ERROR DE ID</v>
      </c>
      <c r="E3622" s="36"/>
      <c r="F3622" s="36"/>
      <c r="G3622" s="36"/>
      <c r="H3622" s="36"/>
    </row>
    <row r="3623">
      <c r="A3623" s="36"/>
      <c r="B3623" s="36" t="str">
        <f>IFERROR(__xludf.DUMMYFUNCTION("""COMPUTED_VALUE"""),"LATITUD")</f>
        <v>LATITUD</v>
      </c>
      <c r="C3623" s="36" t="str">
        <f>IFERROR(__xludf.DUMMYFUNCTION("""COMPUTED_VALUE"""),"LONGITUD")</f>
        <v>LONGITUD</v>
      </c>
      <c r="D3623" s="36" t="str">
        <f>IFERROR(__xludf.DUMMYFUNCTION("""COMPUTED_VALUE"""),"ERROR DE ID")</f>
        <v>ERROR DE ID</v>
      </c>
      <c r="E3623" s="36"/>
      <c r="F3623" s="36"/>
      <c r="G3623" s="36"/>
      <c r="H3623" s="36"/>
    </row>
    <row r="3624">
      <c r="A3624" s="36"/>
      <c r="B3624" s="36" t="str">
        <f>IFERROR(__xludf.DUMMYFUNCTION("""COMPUTED_VALUE"""),"LATITUD")</f>
        <v>LATITUD</v>
      </c>
      <c r="C3624" s="36" t="str">
        <f>IFERROR(__xludf.DUMMYFUNCTION("""COMPUTED_VALUE"""),"LONGITUD")</f>
        <v>LONGITUD</v>
      </c>
      <c r="D3624" s="36" t="str">
        <f>IFERROR(__xludf.DUMMYFUNCTION("""COMPUTED_VALUE"""),"ERROR DE ID")</f>
        <v>ERROR DE ID</v>
      </c>
      <c r="E3624" s="36"/>
      <c r="F3624" s="36"/>
      <c r="G3624" s="36"/>
      <c r="H3624" s="36"/>
    </row>
    <row r="3625">
      <c r="A3625" s="36"/>
      <c r="B3625" s="36" t="str">
        <f>IFERROR(__xludf.DUMMYFUNCTION("""COMPUTED_VALUE"""),"LATITUD")</f>
        <v>LATITUD</v>
      </c>
      <c r="C3625" s="36" t="str">
        <f>IFERROR(__xludf.DUMMYFUNCTION("""COMPUTED_VALUE"""),"LONGITUD")</f>
        <v>LONGITUD</v>
      </c>
      <c r="D3625" s="36" t="str">
        <f>IFERROR(__xludf.DUMMYFUNCTION("""COMPUTED_VALUE"""),"ERROR DE ID")</f>
        <v>ERROR DE ID</v>
      </c>
      <c r="E3625" s="36"/>
      <c r="F3625" s="36"/>
      <c r="G3625" s="36"/>
      <c r="H3625" s="36"/>
    </row>
    <row r="3626">
      <c r="A3626" s="36"/>
      <c r="B3626" s="36" t="str">
        <f>IFERROR(__xludf.DUMMYFUNCTION("""COMPUTED_VALUE"""),"LATITUD")</f>
        <v>LATITUD</v>
      </c>
      <c r="C3626" s="36" t="str">
        <f>IFERROR(__xludf.DUMMYFUNCTION("""COMPUTED_VALUE"""),"LONGITUD")</f>
        <v>LONGITUD</v>
      </c>
      <c r="D3626" s="36" t="str">
        <f>IFERROR(__xludf.DUMMYFUNCTION("""COMPUTED_VALUE"""),"ERROR DE ID")</f>
        <v>ERROR DE ID</v>
      </c>
      <c r="E3626" s="36"/>
      <c r="F3626" s="36"/>
      <c r="G3626" s="36"/>
      <c r="H3626" s="36"/>
    </row>
    <row r="3627">
      <c r="A3627" s="36"/>
      <c r="B3627" s="36" t="str">
        <f>IFERROR(__xludf.DUMMYFUNCTION("""COMPUTED_VALUE"""),"LATITUD")</f>
        <v>LATITUD</v>
      </c>
      <c r="C3627" s="36" t="str">
        <f>IFERROR(__xludf.DUMMYFUNCTION("""COMPUTED_VALUE"""),"LONGITUD")</f>
        <v>LONGITUD</v>
      </c>
      <c r="D3627" s="36" t="str">
        <f>IFERROR(__xludf.DUMMYFUNCTION("""COMPUTED_VALUE"""),"ERROR DE ID")</f>
        <v>ERROR DE ID</v>
      </c>
      <c r="E3627" s="36"/>
      <c r="F3627" s="36"/>
      <c r="G3627" s="36"/>
      <c r="H3627" s="36"/>
    </row>
    <row r="3628">
      <c r="A3628" s="36"/>
      <c r="B3628" s="36" t="str">
        <f>IFERROR(__xludf.DUMMYFUNCTION("""COMPUTED_VALUE"""),"LATITUD")</f>
        <v>LATITUD</v>
      </c>
      <c r="C3628" s="36" t="str">
        <f>IFERROR(__xludf.DUMMYFUNCTION("""COMPUTED_VALUE"""),"LONGITUD")</f>
        <v>LONGITUD</v>
      </c>
      <c r="D3628" s="36" t="str">
        <f>IFERROR(__xludf.DUMMYFUNCTION("""COMPUTED_VALUE"""),"ERROR DE ID")</f>
        <v>ERROR DE ID</v>
      </c>
      <c r="E3628" s="36"/>
      <c r="F3628" s="36"/>
      <c r="G3628" s="36"/>
      <c r="H3628" s="36"/>
    </row>
    <row r="3629">
      <c r="A3629" s="36"/>
      <c r="B3629" s="36" t="str">
        <f>IFERROR(__xludf.DUMMYFUNCTION("""COMPUTED_VALUE"""),"LATITUD")</f>
        <v>LATITUD</v>
      </c>
      <c r="C3629" s="36" t="str">
        <f>IFERROR(__xludf.DUMMYFUNCTION("""COMPUTED_VALUE"""),"LONGITUD")</f>
        <v>LONGITUD</v>
      </c>
      <c r="D3629" s="36" t="str">
        <f>IFERROR(__xludf.DUMMYFUNCTION("""COMPUTED_VALUE"""),"ERROR DE ID")</f>
        <v>ERROR DE ID</v>
      </c>
      <c r="E3629" s="36"/>
      <c r="F3629" s="36"/>
      <c r="G3629" s="36"/>
      <c r="H3629" s="36"/>
    </row>
    <row r="3630">
      <c r="A3630" s="36"/>
      <c r="B3630" s="36" t="str">
        <f>IFERROR(__xludf.DUMMYFUNCTION("""COMPUTED_VALUE"""),"LATITUD")</f>
        <v>LATITUD</v>
      </c>
      <c r="C3630" s="36" t="str">
        <f>IFERROR(__xludf.DUMMYFUNCTION("""COMPUTED_VALUE"""),"LONGITUD")</f>
        <v>LONGITUD</v>
      </c>
      <c r="D3630" s="36" t="str">
        <f>IFERROR(__xludf.DUMMYFUNCTION("""COMPUTED_VALUE"""),"ERROR DE ID")</f>
        <v>ERROR DE ID</v>
      </c>
      <c r="E3630" s="36"/>
      <c r="F3630" s="36"/>
      <c r="G3630" s="36"/>
      <c r="H3630" s="36"/>
    </row>
    <row r="3631">
      <c r="A3631" s="36"/>
      <c r="B3631" s="36" t="str">
        <f>IFERROR(__xludf.DUMMYFUNCTION("""COMPUTED_VALUE"""),"LATITUD")</f>
        <v>LATITUD</v>
      </c>
      <c r="C3631" s="36" t="str">
        <f>IFERROR(__xludf.DUMMYFUNCTION("""COMPUTED_VALUE"""),"LONGITUD")</f>
        <v>LONGITUD</v>
      </c>
      <c r="D3631" s="36" t="str">
        <f>IFERROR(__xludf.DUMMYFUNCTION("""COMPUTED_VALUE"""),"ERROR DE ID")</f>
        <v>ERROR DE ID</v>
      </c>
      <c r="E3631" s="36"/>
      <c r="F3631" s="36"/>
      <c r="G3631" s="36"/>
      <c r="H3631" s="36"/>
    </row>
    <row r="3632">
      <c r="A3632" s="36"/>
      <c r="B3632" s="36" t="str">
        <f>IFERROR(__xludf.DUMMYFUNCTION("""COMPUTED_VALUE"""),"LATITUD")</f>
        <v>LATITUD</v>
      </c>
      <c r="C3632" s="36" t="str">
        <f>IFERROR(__xludf.DUMMYFUNCTION("""COMPUTED_VALUE"""),"LONGITUD")</f>
        <v>LONGITUD</v>
      </c>
      <c r="D3632" s="36" t="str">
        <f>IFERROR(__xludf.DUMMYFUNCTION("""COMPUTED_VALUE"""),"ERROR DE ID")</f>
        <v>ERROR DE ID</v>
      </c>
      <c r="E3632" s="36"/>
      <c r="F3632" s="36"/>
      <c r="G3632" s="36"/>
      <c r="H3632" s="36"/>
    </row>
    <row r="3633">
      <c r="A3633" s="36"/>
      <c r="B3633" s="36" t="str">
        <f>IFERROR(__xludf.DUMMYFUNCTION("""COMPUTED_VALUE"""),"LATITUD")</f>
        <v>LATITUD</v>
      </c>
      <c r="C3633" s="36" t="str">
        <f>IFERROR(__xludf.DUMMYFUNCTION("""COMPUTED_VALUE"""),"LONGITUD")</f>
        <v>LONGITUD</v>
      </c>
      <c r="D3633" s="36" t="str">
        <f>IFERROR(__xludf.DUMMYFUNCTION("""COMPUTED_VALUE"""),"ERROR DE ID")</f>
        <v>ERROR DE ID</v>
      </c>
      <c r="E3633" s="36"/>
      <c r="F3633" s="36"/>
      <c r="G3633" s="36"/>
      <c r="H3633" s="36"/>
    </row>
    <row r="3634">
      <c r="A3634" s="36"/>
      <c r="B3634" s="36" t="str">
        <f>IFERROR(__xludf.DUMMYFUNCTION("""COMPUTED_VALUE"""),"LATITUD")</f>
        <v>LATITUD</v>
      </c>
      <c r="C3634" s="36" t="str">
        <f>IFERROR(__xludf.DUMMYFUNCTION("""COMPUTED_VALUE"""),"LONGITUD")</f>
        <v>LONGITUD</v>
      </c>
      <c r="D3634" s="36" t="str">
        <f>IFERROR(__xludf.DUMMYFUNCTION("""COMPUTED_VALUE"""),"ERROR DE ID")</f>
        <v>ERROR DE ID</v>
      </c>
      <c r="E3634" s="36"/>
      <c r="F3634" s="36"/>
      <c r="G3634" s="36"/>
      <c r="H3634" s="36"/>
    </row>
    <row r="3635">
      <c r="A3635" s="36"/>
      <c r="B3635" s="36" t="str">
        <f>IFERROR(__xludf.DUMMYFUNCTION("""COMPUTED_VALUE"""),"LATITUD")</f>
        <v>LATITUD</v>
      </c>
      <c r="C3635" s="36" t="str">
        <f>IFERROR(__xludf.DUMMYFUNCTION("""COMPUTED_VALUE"""),"LONGITUD")</f>
        <v>LONGITUD</v>
      </c>
      <c r="D3635" s="36" t="str">
        <f>IFERROR(__xludf.DUMMYFUNCTION("""COMPUTED_VALUE"""),"ERROR DE ID")</f>
        <v>ERROR DE ID</v>
      </c>
      <c r="E3635" s="36"/>
      <c r="F3635" s="36"/>
      <c r="G3635" s="36"/>
      <c r="H3635" s="36"/>
    </row>
    <row r="3636">
      <c r="A3636" s="36"/>
      <c r="B3636" s="36" t="str">
        <f>IFERROR(__xludf.DUMMYFUNCTION("""COMPUTED_VALUE"""),"LATITUD")</f>
        <v>LATITUD</v>
      </c>
      <c r="C3636" s="36" t="str">
        <f>IFERROR(__xludf.DUMMYFUNCTION("""COMPUTED_VALUE"""),"LONGITUD")</f>
        <v>LONGITUD</v>
      </c>
      <c r="D3636" s="36" t="str">
        <f>IFERROR(__xludf.DUMMYFUNCTION("""COMPUTED_VALUE"""),"ERROR DE ID")</f>
        <v>ERROR DE ID</v>
      </c>
      <c r="E3636" s="36"/>
      <c r="F3636" s="36"/>
      <c r="G3636" s="36"/>
      <c r="H3636" s="36"/>
    </row>
    <row r="3637">
      <c r="A3637" s="36"/>
      <c r="B3637" s="36" t="str">
        <f>IFERROR(__xludf.DUMMYFUNCTION("""COMPUTED_VALUE"""),"LATITUD")</f>
        <v>LATITUD</v>
      </c>
      <c r="C3637" s="36" t="str">
        <f>IFERROR(__xludf.DUMMYFUNCTION("""COMPUTED_VALUE"""),"LONGITUD")</f>
        <v>LONGITUD</v>
      </c>
      <c r="D3637" s="36" t="str">
        <f>IFERROR(__xludf.DUMMYFUNCTION("""COMPUTED_VALUE"""),"ERROR DE ID")</f>
        <v>ERROR DE ID</v>
      </c>
      <c r="E3637" s="36"/>
      <c r="F3637" s="36"/>
      <c r="G3637" s="36"/>
      <c r="H3637" s="36"/>
    </row>
    <row r="3638">
      <c r="A3638" s="36"/>
      <c r="B3638" s="36" t="str">
        <f>IFERROR(__xludf.DUMMYFUNCTION("""COMPUTED_VALUE"""),"LATITUD")</f>
        <v>LATITUD</v>
      </c>
      <c r="C3638" s="36" t="str">
        <f>IFERROR(__xludf.DUMMYFUNCTION("""COMPUTED_VALUE"""),"LONGITUD")</f>
        <v>LONGITUD</v>
      </c>
      <c r="D3638" s="36" t="str">
        <f>IFERROR(__xludf.DUMMYFUNCTION("""COMPUTED_VALUE"""),"ERROR DE ID")</f>
        <v>ERROR DE ID</v>
      </c>
      <c r="E3638" s="36"/>
      <c r="F3638" s="36"/>
      <c r="G3638" s="36"/>
      <c r="H3638" s="36"/>
    </row>
    <row r="3639">
      <c r="A3639" s="36"/>
      <c r="B3639" s="36" t="str">
        <f>IFERROR(__xludf.DUMMYFUNCTION("""COMPUTED_VALUE"""),"LATITUD")</f>
        <v>LATITUD</v>
      </c>
      <c r="C3639" s="36" t="str">
        <f>IFERROR(__xludf.DUMMYFUNCTION("""COMPUTED_VALUE"""),"LONGITUD")</f>
        <v>LONGITUD</v>
      </c>
      <c r="D3639" s="36" t="str">
        <f>IFERROR(__xludf.DUMMYFUNCTION("""COMPUTED_VALUE"""),"ERROR DE ID")</f>
        <v>ERROR DE ID</v>
      </c>
      <c r="E3639" s="36"/>
      <c r="F3639" s="36"/>
      <c r="G3639" s="36"/>
      <c r="H3639" s="36"/>
    </row>
    <row r="3640">
      <c r="A3640" s="36"/>
      <c r="B3640" s="36" t="str">
        <f>IFERROR(__xludf.DUMMYFUNCTION("""COMPUTED_VALUE"""),"LATITUD")</f>
        <v>LATITUD</v>
      </c>
      <c r="C3640" s="36" t="str">
        <f>IFERROR(__xludf.DUMMYFUNCTION("""COMPUTED_VALUE"""),"LONGITUD")</f>
        <v>LONGITUD</v>
      </c>
      <c r="D3640" s="36" t="str">
        <f>IFERROR(__xludf.DUMMYFUNCTION("""COMPUTED_VALUE"""),"ERROR DE ID")</f>
        <v>ERROR DE ID</v>
      </c>
      <c r="E3640" s="36"/>
      <c r="F3640" s="36"/>
      <c r="G3640" s="36"/>
      <c r="H3640" s="36"/>
    </row>
    <row r="3641">
      <c r="A3641" s="36"/>
      <c r="B3641" s="36" t="str">
        <f>IFERROR(__xludf.DUMMYFUNCTION("""COMPUTED_VALUE"""),"LATITUD")</f>
        <v>LATITUD</v>
      </c>
      <c r="C3641" s="36" t="str">
        <f>IFERROR(__xludf.DUMMYFUNCTION("""COMPUTED_VALUE"""),"LONGITUD")</f>
        <v>LONGITUD</v>
      </c>
      <c r="D3641" s="36" t="str">
        <f>IFERROR(__xludf.DUMMYFUNCTION("""COMPUTED_VALUE"""),"ERROR DE ID")</f>
        <v>ERROR DE ID</v>
      </c>
      <c r="E3641" s="36"/>
      <c r="F3641" s="36"/>
      <c r="G3641" s="36"/>
      <c r="H3641" s="36"/>
    </row>
    <row r="3642">
      <c r="A3642" s="36"/>
      <c r="B3642" s="36" t="str">
        <f>IFERROR(__xludf.DUMMYFUNCTION("""COMPUTED_VALUE"""),"LATITUD")</f>
        <v>LATITUD</v>
      </c>
      <c r="C3642" s="36" t="str">
        <f>IFERROR(__xludf.DUMMYFUNCTION("""COMPUTED_VALUE"""),"LONGITUD")</f>
        <v>LONGITUD</v>
      </c>
      <c r="D3642" s="36" t="str">
        <f>IFERROR(__xludf.DUMMYFUNCTION("""COMPUTED_VALUE"""),"ERROR DE ID")</f>
        <v>ERROR DE ID</v>
      </c>
      <c r="E3642" s="36"/>
      <c r="F3642" s="36"/>
      <c r="G3642" s="36"/>
      <c r="H3642" s="36"/>
    </row>
    <row r="3643">
      <c r="A3643" s="36"/>
      <c r="B3643" s="36" t="str">
        <f>IFERROR(__xludf.DUMMYFUNCTION("""COMPUTED_VALUE"""),"LATITUD")</f>
        <v>LATITUD</v>
      </c>
      <c r="C3643" s="36" t="str">
        <f>IFERROR(__xludf.DUMMYFUNCTION("""COMPUTED_VALUE"""),"LONGITUD")</f>
        <v>LONGITUD</v>
      </c>
      <c r="D3643" s="36" t="str">
        <f>IFERROR(__xludf.DUMMYFUNCTION("""COMPUTED_VALUE"""),"ERROR DE ID")</f>
        <v>ERROR DE ID</v>
      </c>
      <c r="E3643" s="36"/>
      <c r="F3643" s="36"/>
      <c r="G3643" s="36"/>
      <c r="H3643" s="36"/>
    </row>
    <row r="3644">
      <c r="A3644" s="36"/>
      <c r="B3644" s="36" t="str">
        <f>IFERROR(__xludf.DUMMYFUNCTION("""COMPUTED_VALUE"""),"LATITUD")</f>
        <v>LATITUD</v>
      </c>
      <c r="C3644" s="36" t="str">
        <f>IFERROR(__xludf.DUMMYFUNCTION("""COMPUTED_VALUE"""),"LONGITUD")</f>
        <v>LONGITUD</v>
      </c>
      <c r="D3644" s="36" t="str">
        <f>IFERROR(__xludf.DUMMYFUNCTION("""COMPUTED_VALUE"""),"ERROR DE ID")</f>
        <v>ERROR DE ID</v>
      </c>
      <c r="E3644" s="36"/>
      <c r="F3644" s="36"/>
      <c r="G3644" s="36"/>
      <c r="H3644" s="36"/>
    </row>
    <row r="3645">
      <c r="A3645" s="36"/>
      <c r="B3645" s="36" t="str">
        <f>IFERROR(__xludf.DUMMYFUNCTION("""COMPUTED_VALUE"""),"LATITUD")</f>
        <v>LATITUD</v>
      </c>
      <c r="C3645" s="36" t="str">
        <f>IFERROR(__xludf.DUMMYFUNCTION("""COMPUTED_VALUE"""),"LONGITUD")</f>
        <v>LONGITUD</v>
      </c>
      <c r="D3645" s="36" t="str">
        <f>IFERROR(__xludf.DUMMYFUNCTION("""COMPUTED_VALUE"""),"ERROR DE ID")</f>
        <v>ERROR DE ID</v>
      </c>
      <c r="E3645" s="36"/>
      <c r="F3645" s="36"/>
      <c r="G3645" s="36"/>
      <c r="H3645" s="36"/>
    </row>
    <row r="3646">
      <c r="A3646" s="36"/>
      <c r="B3646" s="36" t="str">
        <f>IFERROR(__xludf.DUMMYFUNCTION("""COMPUTED_VALUE"""),"LATITUD")</f>
        <v>LATITUD</v>
      </c>
      <c r="C3646" s="36" t="str">
        <f>IFERROR(__xludf.DUMMYFUNCTION("""COMPUTED_VALUE"""),"LONGITUD")</f>
        <v>LONGITUD</v>
      </c>
      <c r="D3646" s="36" t="str">
        <f>IFERROR(__xludf.DUMMYFUNCTION("""COMPUTED_VALUE"""),"ERROR DE ID")</f>
        <v>ERROR DE ID</v>
      </c>
      <c r="E3646" s="36"/>
      <c r="F3646" s="36"/>
      <c r="G3646" s="36"/>
      <c r="H3646" s="36"/>
    </row>
    <row r="3647">
      <c r="A3647" s="36"/>
      <c r="B3647" s="36" t="str">
        <f>IFERROR(__xludf.DUMMYFUNCTION("""COMPUTED_VALUE"""),"LATITUD")</f>
        <v>LATITUD</v>
      </c>
      <c r="C3647" s="36" t="str">
        <f>IFERROR(__xludf.DUMMYFUNCTION("""COMPUTED_VALUE"""),"LONGITUD")</f>
        <v>LONGITUD</v>
      </c>
      <c r="D3647" s="36" t="str">
        <f>IFERROR(__xludf.DUMMYFUNCTION("""COMPUTED_VALUE"""),"ERROR DE ID")</f>
        <v>ERROR DE ID</v>
      </c>
      <c r="E3647" s="36"/>
      <c r="F3647" s="36"/>
      <c r="G3647" s="36"/>
      <c r="H3647" s="36"/>
    </row>
    <row r="3648">
      <c r="A3648" s="36"/>
      <c r="B3648" s="36" t="str">
        <f>IFERROR(__xludf.DUMMYFUNCTION("""COMPUTED_VALUE"""),"LATITUD")</f>
        <v>LATITUD</v>
      </c>
      <c r="C3648" s="36" t="str">
        <f>IFERROR(__xludf.DUMMYFUNCTION("""COMPUTED_VALUE"""),"LONGITUD")</f>
        <v>LONGITUD</v>
      </c>
      <c r="D3648" s="36" t="str">
        <f>IFERROR(__xludf.DUMMYFUNCTION("""COMPUTED_VALUE"""),"ERROR DE ID")</f>
        <v>ERROR DE ID</v>
      </c>
      <c r="E3648" s="36"/>
      <c r="F3648" s="36"/>
      <c r="G3648" s="36"/>
      <c r="H3648" s="36"/>
    </row>
    <row r="3649">
      <c r="A3649" s="36"/>
      <c r="B3649" s="36" t="str">
        <f>IFERROR(__xludf.DUMMYFUNCTION("""COMPUTED_VALUE"""),"LATITUD")</f>
        <v>LATITUD</v>
      </c>
      <c r="C3649" s="36" t="str">
        <f>IFERROR(__xludf.DUMMYFUNCTION("""COMPUTED_VALUE"""),"LONGITUD")</f>
        <v>LONGITUD</v>
      </c>
      <c r="D3649" s="36" t="str">
        <f>IFERROR(__xludf.DUMMYFUNCTION("""COMPUTED_VALUE"""),"ERROR DE ID")</f>
        <v>ERROR DE ID</v>
      </c>
      <c r="E3649" s="36"/>
      <c r="F3649" s="36"/>
      <c r="G3649" s="36"/>
      <c r="H3649" s="36"/>
    </row>
    <row r="3650">
      <c r="A3650" s="36"/>
      <c r="B3650" s="36" t="str">
        <f>IFERROR(__xludf.DUMMYFUNCTION("""COMPUTED_VALUE"""),"LATITUD")</f>
        <v>LATITUD</v>
      </c>
      <c r="C3650" s="36" t="str">
        <f>IFERROR(__xludf.DUMMYFUNCTION("""COMPUTED_VALUE"""),"LONGITUD")</f>
        <v>LONGITUD</v>
      </c>
      <c r="D3650" s="36" t="str">
        <f>IFERROR(__xludf.DUMMYFUNCTION("""COMPUTED_VALUE"""),"ERROR DE ID")</f>
        <v>ERROR DE ID</v>
      </c>
      <c r="E3650" s="36"/>
      <c r="F3650" s="36"/>
      <c r="G3650" s="36"/>
      <c r="H3650" s="36"/>
    </row>
    <row r="3651">
      <c r="A3651" s="36"/>
      <c r="B3651" s="36" t="str">
        <f>IFERROR(__xludf.DUMMYFUNCTION("""COMPUTED_VALUE"""),"LATITUD")</f>
        <v>LATITUD</v>
      </c>
      <c r="C3651" s="36" t="str">
        <f>IFERROR(__xludf.DUMMYFUNCTION("""COMPUTED_VALUE"""),"LONGITUD")</f>
        <v>LONGITUD</v>
      </c>
      <c r="D3651" s="36" t="str">
        <f>IFERROR(__xludf.DUMMYFUNCTION("""COMPUTED_VALUE"""),"ERROR DE ID")</f>
        <v>ERROR DE ID</v>
      </c>
      <c r="E3651" s="36"/>
      <c r="F3651" s="36"/>
      <c r="G3651" s="36"/>
      <c r="H3651" s="36"/>
    </row>
    <row r="3652">
      <c r="A3652" s="36"/>
      <c r="B3652" s="36" t="str">
        <f>IFERROR(__xludf.DUMMYFUNCTION("""COMPUTED_VALUE"""),"LATITUD")</f>
        <v>LATITUD</v>
      </c>
      <c r="C3652" s="36" t="str">
        <f>IFERROR(__xludf.DUMMYFUNCTION("""COMPUTED_VALUE"""),"LONGITUD")</f>
        <v>LONGITUD</v>
      </c>
      <c r="D3652" s="36" t="str">
        <f>IFERROR(__xludf.DUMMYFUNCTION("""COMPUTED_VALUE"""),"ERROR DE ID")</f>
        <v>ERROR DE ID</v>
      </c>
      <c r="E3652" s="36"/>
      <c r="F3652" s="36"/>
      <c r="G3652" s="36"/>
      <c r="H3652" s="36"/>
    </row>
    <row r="3653">
      <c r="A3653" s="36"/>
      <c r="B3653" s="36" t="str">
        <f>IFERROR(__xludf.DUMMYFUNCTION("""COMPUTED_VALUE"""),"LATITUD")</f>
        <v>LATITUD</v>
      </c>
      <c r="C3653" s="36" t="str">
        <f>IFERROR(__xludf.DUMMYFUNCTION("""COMPUTED_VALUE"""),"LONGITUD")</f>
        <v>LONGITUD</v>
      </c>
      <c r="D3653" s="36" t="str">
        <f>IFERROR(__xludf.DUMMYFUNCTION("""COMPUTED_VALUE"""),"ERROR DE ID")</f>
        <v>ERROR DE ID</v>
      </c>
      <c r="E3653" s="36"/>
      <c r="F3653" s="36"/>
      <c r="G3653" s="36"/>
      <c r="H3653" s="36"/>
    </row>
    <row r="3654">
      <c r="A3654" s="36"/>
      <c r="B3654" s="36" t="str">
        <f>IFERROR(__xludf.DUMMYFUNCTION("""COMPUTED_VALUE"""),"LATITUD")</f>
        <v>LATITUD</v>
      </c>
      <c r="C3654" s="36" t="str">
        <f>IFERROR(__xludf.DUMMYFUNCTION("""COMPUTED_VALUE"""),"LONGITUD")</f>
        <v>LONGITUD</v>
      </c>
      <c r="D3654" s="36" t="str">
        <f>IFERROR(__xludf.DUMMYFUNCTION("""COMPUTED_VALUE"""),"ERROR DE ID")</f>
        <v>ERROR DE ID</v>
      </c>
      <c r="E3654" s="36"/>
      <c r="F3654" s="36"/>
      <c r="G3654" s="36"/>
      <c r="H3654" s="36"/>
    </row>
    <row r="3655">
      <c r="A3655" s="36"/>
      <c r="B3655" s="36" t="str">
        <f>IFERROR(__xludf.DUMMYFUNCTION("""COMPUTED_VALUE"""),"LATITUD")</f>
        <v>LATITUD</v>
      </c>
      <c r="C3655" s="36" t="str">
        <f>IFERROR(__xludf.DUMMYFUNCTION("""COMPUTED_VALUE"""),"LONGITUD")</f>
        <v>LONGITUD</v>
      </c>
      <c r="D3655" s="36" t="str">
        <f>IFERROR(__xludf.DUMMYFUNCTION("""COMPUTED_VALUE"""),"ERROR DE ID")</f>
        <v>ERROR DE ID</v>
      </c>
      <c r="E3655" s="36"/>
      <c r="F3655" s="36"/>
      <c r="G3655" s="36"/>
      <c r="H3655" s="36"/>
    </row>
    <row r="3656">
      <c r="A3656" s="36"/>
      <c r="B3656" s="36" t="str">
        <f>IFERROR(__xludf.DUMMYFUNCTION("""COMPUTED_VALUE"""),"LATITUD")</f>
        <v>LATITUD</v>
      </c>
      <c r="C3656" s="36" t="str">
        <f>IFERROR(__xludf.DUMMYFUNCTION("""COMPUTED_VALUE"""),"LONGITUD")</f>
        <v>LONGITUD</v>
      </c>
      <c r="D3656" s="36" t="str">
        <f>IFERROR(__xludf.DUMMYFUNCTION("""COMPUTED_VALUE"""),"ERROR DE ID")</f>
        <v>ERROR DE ID</v>
      </c>
      <c r="E3656" s="36"/>
      <c r="F3656" s="36"/>
      <c r="G3656" s="36"/>
      <c r="H3656" s="36"/>
    </row>
    <row r="3657">
      <c r="A3657" s="36"/>
      <c r="B3657" s="36" t="str">
        <f>IFERROR(__xludf.DUMMYFUNCTION("""COMPUTED_VALUE"""),"LATITUD")</f>
        <v>LATITUD</v>
      </c>
      <c r="C3657" s="36" t="str">
        <f>IFERROR(__xludf.DUMMYFUNCTION("""COMPUTED_VALUE"""),"LONGITUD")</f>
        <v>LONGITUD</v>
      </c>
      <c r="D3657" s="36" t="str">
        <f>IFERROR(__xludf.DUMMYFUNCTION("""COMPUTED_VALUE"""),"ERROR DE ID")</f>
        <v>ERROR DE ID</v>
      </c>
      <c r="E3657" s="36"/>
      <c r="F3657" s="36"/>
      <c r="G3657" s="36"/>
      <c r="H3657" s="36"/>
    </row>
    <row r="3658">
      <c r="A3658" s="36"/>
      <c r="B3658" s="36" t="str">
        <f>IFERROR(__xludf.DUMMYFUNCTION("""COMPUTED_VALUE"""),"LATITUD")</f>
        <v>LATITUD</v>
      </c>
      <c r="C3658" s="36" t="str">
        <f>IFERROR(__xludf.DUMMYFUNCTION("""COMPUTED_VALUE"""),"LONGITUD")</f>
        <v>LONGITUD</v>
      </c>
      <c r="D3658" s="36" t="str">
        <f>IFERROR(__xludf.DUMMYFUNCTION("""COMPUTED_VALUE"""),"ERROR DE ID")</f>
        <v>ERROR DE ID</v>
      </c>
      <c r="E3658" s="36"/>
      <c r="F3658" s="36"/>
      <c r="G3658" s="36"/>
      <c r="H3658" s="36"/>
    </row>
    <row r="3659">
      <c r="A3659" s="36"/>
      <c r="B3659" s="36" t="str">
        <f>IFERROR(__xludf.DUMMYFUNCTION("""COMPUTED_VALUE"""),"LATITUD")</f>
        <v>LATITUD</v>
      </c>
      <c r="C3659" s="36" t="str">
        <f>IFERROR(__xludf.DUMMYFUNCTION("""COMPUTED_VALUE"""),"LONGITUD")</f>
        <v>LONGITUD</v>
      </c>
      <c r="D3659" s="36" t="str">
        <f>IFERROR(__xludf.DUMMYFUNCTION("""COMPUTED_VALUE"""),"ERROR DE ID")</f>
        <v>ERROR DE ID</v>
      </c>
      <c r="E3659" s="36"/>
      <c r="F3659" s="36"/>
      <c r="G3659" s="36"/>
      <c r="H3659" s="36"/>
    </row>
    <row r="3660">
      <c r="A3660" s="36"/>
      <c r="B3660" s="36" t="str">
        <f>IFERROR(__xludf.DUMMYFUNCTION("""COMPUTED_VALUE"""),"LATITUD")</f>
        <v>LATITUD</v>
      </c>
      <c r="C3660" s="36" t="str">
        <f>IFERROR(__xludf.DUMMYFUNCTION("""COMPUTED_VALUE"""),"LONGITUD")</f>
        <v>LONGITUD</v>
      </c>
      <c r="D3660" s="36" t="str">
        <f>IFERROR(__xludf.DUMMYFUNCTION("""COMPUTED_VALUE"""),"ERROR DE ID")</f>
        <v>ERROR DE ID</v>
      </c>
      <c r="E3660" s="36"/>
      <c r="F3660" s="36"/>
      <c r="G3660" s="36"/>
      <c r="H3660" s="36"/>
    </row>
    <row r="3661">
      <c r="A3661" s="36"/>
      <c r="B3661" s="36" t="str">
        <f>IFERROR(__xludf.DUMMYFUNCTION("""COMPUTED_VALUE"""),"LATITUD")</f>
        <v>LATITUD</v>
      </c>
      <c r="C3661" s="36" t="str">
        <f>IFERROR(__xludf.DUMMYFUNCTION("""COMPUTED_VALUE"""),"LONGITUD")</f>
        <v>LONGITUD</v>
      </c>
      <c r="D3661" s="36" t="str">
        <f>IFERROR(__xludf.DUMMYFUNCTION("""COMPUTED_VALUE"""),"ERROR DE ID")</f>
        <v>ERROR DE ID</v>
      </c>
      <c r="E3661" s="36"/>
      <c r="F3661" s="36"/>
      <c r="G3661" s="36"/>
      <c r="H3661" s="36"/>
    </row>
    <row r="3662">
      <c r="A3662" s="36"/>
      <c r="B3662" s="36" t="str">
        <f>IFERROR(__xludf.DUMMYFUNCTION("""COMPUTED_VALUE"""),"LATITUD")</f>
        <v>LATITUD</v>
      </c>
      <c r="C3662" s="36" t="str">
        <f>IFERROR(__xludf.DUMMYFUNCTION("""COMPUTED_VALUE"""),"LONGITUD")</f>
        <v>LONGITUD</v>
      </c>
      <c r="D3662" s="36" t="str">
        <f>IFERROR(__xludf.DUMMYFUNCTION("""COMPUTED_VALUE"""),"ERROR DE ID")</f>
        <v>ERROR DE ID</v>
      </c>
      <c r="E3662" s="36"/>
      <c r="F3662" s="36"/>
      <c r="G3662" s="36"/>
      <c r="H3662" s="36"/>
    </row>
    <row r="3663">
      <c r="A3663" s="36"/>
      <c r="B3663" s="36" t="str">
        <f>IFERROR(__xludf.DUMMYFUNCTION("""COMPUTED_VALUE"""),"LATITUD")</f>
        <v>LATITUD</v>
      </c>
      <c r="C3663" s="36" t="str">
        <f>IFERROR(__xludf.DUMMYFUNCTION("""COMPUTED_VALUE"""),"LONGITUD")</f>
        <v>LONGITUD</v>
      </c>
      <c r="D3663" s="36" t="str">
        <f>IFERROR(__xludf.DUMMYFUNCTION("""COMPUTED_VALUE"""),"ERROR DE ID")</f>
        <v>ERROR DE ID</v>
      </c>
      <c r="E3663" s="36"/>
      <c r="F3663" s="36"/>
      <c r="G3663" s="36"/>
      <c r="H3663" s="36"/>
    </row>
    <row r="3664">
      <c r="A3664" s="36"/>
      <c r="B3664" s="36" t="str">
        <f>IFERROR(__xludf.DUMMYFUNCTION("""COMPUTED_VALUE"""),"LATITUD")</f>
        <v>LATITUD</v>
      </c>
      <c r="C3664" s="36" t="str">
        <f>IFERROR(__xludf.DUMMYFUNCTION("""COMPUTED_VALUE"""),"LONGITUD")</f>
        <v>LONGITUD</v>
      </c>
      <c r="D3664" s="36" t="str">
        <f>IFERROR(__xludf.DUMMYFUNCTION("""COMPUTED_VALUE"""),"ERROR DE ID")</f>
        <v>ERROR DE ID</v>
      </c>
      <c r="E3664" s="36"/>
      <c r="F3664" s="36"/>
      <c r="G3664" s="36"/>
      <c r="H3664" s="36"/>
    </row>
    <row r="3665">
      <c r="A3665" s="36"/>
      <c r="B3665" s="36" t="str">
        <f>IFERROR(__xludf.DUMMYFUNCTION("""COMPUTED_VALUE"""),"LATITUD")</f>
        <v>LATITUD</v>
      </c>
      <c r="C3665" s="36" t="str">
        <f>IFERROR(__xludf.DUMMYFUNCTION("""COMPUTED_VALUE"""),"LONGITUD")</f>
        <v>LONGITUD</v>
      </c>
      <c r="D3665" s="36" t="str">
        <f>IFERROR(__xludf.DUMMYFUNCTION("""COMPUTED_VALUE"""),"ERROR DE ID")</f>
        <v>ERROR DE ID</v>
      </c>
      <c r="E3665" s="36"/>
      <c r="F3665" s="36"/>
      <c r="G3665" s="36"/>
      <c r="H3665" s="36"/>
    </row>
    <row r="3666">
      <c r="A3666" s="36"/>
      <c r="B3666" s="36" t="str">
        <f>IFERROR(__xludf.DUMMYFUNCTION("""COMPUTED_VALUE"""),"LATITUD")</f>
        <v>LATITUD</v>
      </c>
      <c r="C3666" s="36" t="str">
        <f>IFERROR(__xludf.DUMMYFUNCTION("""COMPUTED_VALUE"""),"LONGITUD")</f>
        <v>LONGITUD</v>
      </c>
      <c r="D3666" s="36" t="str">
        <f>IFERROR(__xludf.DUMMYFUNCTION("""COMPUTED_VALUE"""),"ERROR DE ID")</f>
        <v>ERROR DE ID</v>
      </c>
      <c r="E3666" s="36"/>
      <c r="F3666" s="36"/>
      <c r="G3666" s="36"/>
      <c r="H3666" s="36"/>
    </row>
    <row r="3667">
      <c r="A3667" s="36"/>
      <c r="B3667" s="36" t="str">
        <f>IFERROR(__xludf.DUMMYFUNCTION("""COMPUTED_VALUE"""),"LATITUD")</f>
        <v>LATITUD</v>
      </c>
      <c r="C3667" s="36" t="str">
        <f>IFERROR(__xludf.DUMMYFUNCTION("""COMPUTED_VALUE"""),"LONGITUD")</f>
        <v>LONGITUD</v>
      </c>
      <c r="D3667" s="36" t="str">
        <f>IFERROR(__xludf.DUMMYFUNCTION("""COMPUTED_VALUE"""),"ERROR DE ID")</f>
        <v>ERROR DE ID</v>
      </c>
      <c r="E3667" s="36"/>
      <c r="F3667" s="36"/>
      <c r="G3667" s="36"/>
      <c r="H3667" s="36"/>
    </row>
    <row r="3668">
      <c r="A3668" s="36"/>
      <c r="B3668" s="36" t="str">
        <f>IFERROR(__xludf.DUMMYFUNCTION("""COMPUTED_VALUE"""),"LATITUD")</f>
        <v>LATITUD</v>
      </c>
      <c r="C3668" s="36" t="str">
        <f>IFERROR(__xludf.DUMMYFUNCTION("""COMPUTED_VALUE"""),"LONGITUD")</f>
        <v>LONGITUD</v>
      </c>
      <c r="D3668" s="36" t="str">
        <f>IFERROR(__xludf.DUMMYFUNCTION("""COMPUTED_VALUE"""),"ERROR DE ID")</f>
        <v>ERROR DE ID</v>
      </c>
      <c r="E3668" s="36"/>
      <c r="F3668" s="36"/>
      <c r="G3668" s="36"/>
      <c r="H3668" s="36"/>
    </row>
    <row r="3669">
      <c r="A3669" s="36"/>
      <c r="B3669" s="36" t="str">
        <f>IFERROR(__xludf.DUMMYFUNCTION("""COMPUTED_VALUE"""),"LATITUD")</f>
        <v>LATITUD</v>
      </c>
      <c r="C3669" s="36" t="str">
        <f>IFERROR(__xludf.DUMMYFUNCTION("""COMPUTED_VALUE"""),"LONGITUD")</f>
        <v>LONGITUD</v>
      </c>
      <c r="D3669" s="36" t="str">
        <f>IFERROR(__xludf.DUMMYFUNCTION("""COMPUTED_VALUE"""),"ERROR DE ID")</f>
        <v>ERROR DE ID</v>
      </c>
      <c r="E3669" s="36"/>
      <c r="F3669" s="36"/>
      <c r="G3669" s="36"/>
      <c r="H3669" s="36"/>
    </row>
    <row r="3670">
      <c r="A3670" s="36"/>
      <c r="B3670" s="36" t="str">
        <f>IFERROR(__xludf.DUMMYFUNCTION("""COMPUTED_VALUE"""),"LATITUD")</f>
        <v>LATITUD</v>
      </c>
      <c r="C3670" s="36" t="str">
        <f>IFERROR(__xludf.DUMMYFUNCTION("""COMPUTED_VALUE"""),"LONGITUD")</f>
        <v>LONGITUD</v>
      </c>
      <c r="D3670" s="36" t="str">
        <f>IFERROR(__xludf.DUMMYFUNCTION("""COMPUTED_VALUE"""),"ERROR DE ID")</f>
        <v>ERROR DE ID</v>
      </c>
      <c r="E3670" s="36"/>
      <c r="F3670" s="36"/>
      <c r="G3670" s="36"/>
      <c r="H3670" s="36"/>
    </row>
    <row r="3671">
      <c r="A3671" s="36"/>
      <c r="B3671" s="36" t="str">
        <f>IFERROR(__xludf.DUMMYFUNCTION("""COMPUTED_VALUE"""),"LATITUD")</f>
        <v>LATITUD</v>
      </c>
      <c r="C3671" s="36" t="str">
        <f>IFERROR(__xludf.DUMMYFUNCTION("""COMPUTED_VALUE"""),"LONGITUD")</f>
        <v>LONGITUD</v>
      </c>
      <c r="D3671" s="36" t="str">
        <f>IFERROR(__xludf.DUMMYFUNCTION("""COMPUTED_VALUE"""),"ERROR DE ID")</f>
        <v>ERROR DE ID</v>
      </c>
      <c r="E3671" s="36"/>
      <c r="F3671" s="36"/>
      <c r="G3671" s="36"/>
      <c r="H3671" s="36"/>
    </row>
    <row r="3672">
      <c r="A3672" s="36"/>
      <c r="B3672" s="36" t="str">
        <f>IFERROR(__xludf.DUMMYFUNCTION("""COMPUTED_VALUE"""),"LATITUD")</f>
        <v>LATITUD</v>
      </c>
      <c r="C3672" s="36" t="str">
        <f>IFERROR(__xludf.DUMMYFUNCTION("""COMPUTED_VALUE"""),"LONGITUD")</f>
        <v>LONGITUD</v>
      </c>
      <c r="D3672" s="36" t="str">
        <f>IFERROR(__xludf.DUMMYFUNCTION("""COMPUTED_VALUE"""),"ERROR DE ID")</f>
        <v>ERROR DE ID</v>
      </c>
      <c r="E3672" s="36"/>
      <c r="F3672" s="36"/>
      <c r="G3672" s="36"/>
      <c r="H3672" s="36"/>
    </row>
    <row r="3673">
      <c r="A3673" s="36"/>
      <c r="B3673" s="36" t="str">
        <f>IFERROR(__xludf.DUMMYFUNCTION("""COMPUTED_VALUE"""),"LATITUD")</f>
        <v>LATITUD</v>
      </c>
      <c r="C3673" s="36" t="str">
        <f>IFERROR(__xludf.DUMMYFUNCTION("""COMPUTED_VALUE"""),"LONGITUD")</f>
        <v>LONGITUD</v>
      </c>
      <c r="D3673" s="36" t="str">
        <f>IFERROR(__xludf.DUMMYFUNCTION("""COMPUTED_VALUE"""),"ERROR DE ID")</f>
        <v>ERROR DE ID</v>
      </c>
      <c r="E3673" s="36"/>
      <c r="F3673" s="36"/>
      <c r="G3673" s="36"/>
      <c r="H3673" s="36"/>
    </row>
    <row r="3674">
      <c r="A3674" s="36"/>
      <c r="B3674" s="36" t="str">
        <f>IFERROR(__xludf.DUMMYFUNCTION("""COMPUTED_VALUE"""),"LATITUD")</f>
        <v>LATITUD</v>
      </c>
      <c r="C3674" s="36" t="str">
        <f>IFERROR(__xludf.DUMMYFUNCTION("""COMPUTED_VALUE"""),"LONGITUD")</f>
        <v>LONGITUD</v>
      </c>
      <c r="D3674" s="36" t="str">
        <f>IFERROR(__xludf.DUMMYFUNCTION("""COMPUTED_VALUE"""),"ERROR DE ID")</f>
        <v>ERROR DE ID</v>
      </c>
      <c r="E3674" s="36"/>
      <c r="F3674" s="36"/>
      <c r="G3674" s="36"/>
      <c r="H3674" s="36"/>
    </row>
    <row r="3675">
      <c r="A3675" s="36"/>
      <c r="B3675" s="36" t="str">
        <f>IFERROR(__xludf.DUMMYFUNCTION("""COMPUTED_VALUE"""),"LATITUD")</f>
        <v>LATITUD</v>
      </c>
      <c r="C3675" s="36" t="str">
        <f>IFERROR(__xludf.DUMMYFUNCTION("""COMPUTED_VALUE"""),"LONGITUD")</f>
        <v>LONGITUD</v>
      </c>
      <c r="D3675" s="36" t="str">
        <f>IFERROR(__xludf.DUMMYFUNCTION("""COMPUTED_VALUE"""),"ERROR DE ID")</f>
        <v>ERROR DE ID</v>
      </c>
      <c r="E3675" s="36"/>
      <c r="F3675" s="36"/>
      <c r="G3675" s="36"/>
      <c r="H3675" s="36"/>
    </row>
    <row r="3676">
      <c r="A3676" s="36"/>
      <c r="B3676" s="36" t="str">
        <f>IFERROR(__xludf.DUMMYFUNCTION("""COMPUTED_VALUE"""),"LATITUD")</f>
        <v>LATITUD</v>
      </c>
      <c r="C3676" s="36" t="str">
        <f>IFERROR(__xludf.DUMMYFUNCTION("""COMPUTED_VALUE"""),"LONGITUD")</f>
        <v>LONGITUD</v>
      </c>
      <c r="D3676" s="36" t="str">
        <f>IFERROR(__xludf.DUMMYFUNCTION("""COMPUTED_VALUE"""),"ERROR DE ID")</f>
        <v>ERROR DE ID</v>
      </c>
      <c r="E3676" s="36"/>
      <c r="F3676" s="36"/>
      <c r="G3676" s="36"/>
      <c r="H3676" s="36"/>
    </row>
    <row r="3677">
      <c r="A3677" s="36"/>
      <c r="B3677" s="36" t="str">
        <f>IFERROR(__xludf.DUMMYFUNCTION("""COMPUTED_VALUE"""),"LATITUD")</f>
        <v>LATITUD</v>
      </c>
      <c r="C3677" s="36" t="str">
        <f>IFERROR(__xludf.DUMMYFUNCTION("""COMPUTED_VALUE"""),"LONGITUD")</f>
        <v>LONGITUD</v>
      </c>
      <c r="D3677" s="36" t="str">
        <f>IFERROR(__xludf.DUMMYFUNCTION("""COMPUTED_VALUE"""),"ERROR DE ID")</f>
        <v>ERROR DE ID</v>
      </c>
      <c r="E3677" s="36"/>
      <c r="F3677" s="36"/>
      <c r="G3677" s="36"/>
      <c r="H3677" s="36"/>
    </row>
    <row r="3678">
      <c r="A3678" s="36"/>
      <c r="B3678" s="36" t="str">
        <f>IFERROR(__xludf.DUMMYFUNCTION("""COMPUTED_VALUE"""),"LATITUD")</f>
        <v>LATITUD</v>
      </c>
      <c r="C3678" s="36" t="str">
        <f>IFERROR(__xludf.DUMMYFUNCTION("""COMPUTED_VALUE"""),"LONGITUD")</f>
        <v>LONGITUD</v>
      </c>
      <c r="D3678" s="36" t="str">
        <f>IFERROR(__xludf.DUMMYFUNCTION("""COMPUTED_VALUE"""),"ERROR DE ID")</f>
        <v>ERROR DE ID</v>
      </c>
      <c r="E3678" s="36"/>
      <c r="F3678" s="36"/>
      <c r="G3678" s="36"/>
      <c r="H3678" s="36"/>
    </row>
    <row r="3679">
      <c r="A3679" s="36"/>
      <c r="B3679" s="36" t="str">
        <f>IFERROR(__xludf.DUMMYFUNCTION("""COMPUTED_VALUE"""),"LATITUD")</f>
        <v>LATITUD</v>
      </c>
      <c r="C3679" s="36" t="str">
        <f>IFERROR(__xludf.DUMMYFUNCTION("""COMPUTED_VALUE"""),"LONGITUD")</f>
        <v>LONGITUD</v>
      </c>
      <c r="D3679" s="36" t="str">
        <f>IFERROR(__xludf.DUMMYFUNCTION("""COMPUTED_VALUE"""),"ERROR DE ID")</f>
        <v>ERROR DE ID</v>
      </c>
      <c r="E3679" s="36"/>
      <c r="F3679" s="36"/>
      <c r="G3679" s="36"/>
      <c r="H3679" s="36"/>
    </row>
    <row r="3680">
      <c r="A3680" s="36"/>
      <c r="B3680" s="36" t="str">
        <f>IFERROR(__xludf.DUMMYFUNCTION("""COMPUTED_VALUE"""),"LATITUD")</f>
        <v>LATITUD</v>
      </c>
      <c r="C3680" s="36" t="str">
        <f>IFERROR(__xludf.DUMMYFUNCTION("""COMPUTED_VALUE"""),"LONGITUD")</f>
        <v>LONGITUD</v>
      </c>
      <c r="D3680" s="36" t="str">
        <f>IFERROR(__xludf.DUMMYFUNCTION("""COMPUTED_VALUE"""),"ERROR DE ID")</f>
        <v>ERROR DE ID</v>
      </c>
      <c r="E3680" s="36"/>
      <c r="F3680" s="36"/>
      <c r="G3680" s="36"/>
      <c r="H3680" s="36"/>
    </row>
    <row r="3681">
      <c r="A3681" s="36"/>
      <c r="B3681" s="36" t="str">
        <f>IFERROR(__xludf.DUMMYFUNCTION("""COMPUTED_VALUE"""),"LATITUD")</f>
        <v>LATITUD</v>
      </c>
      <c r="C3681" s="36" t="str">
        <f>IFERROR(__xludf.DUMMYFUNCTION("""COMPUTED_VALUE"""),"LONGITUD")</f>
        <v>LONGITUD</v>
      </c>
      <c r="D3681" s="36" t="str">
        <f>IFERROR(__xludf.DUMMYFUNCTION("""COMPUTED_VALUE"""),"ERROR DE ID")</f>
        <v>ERROR DE ID</v>
      </c>
      <c r="E3681" s="36"/>
      <c r="F3681" s="36"/>
      <c r="G3681" s="36"/>
      <c r="H3681" s="36"/>
    </row>
    <row r="3682">
      <c r="A3682" s="36"/>
      <c r="B3682" s="36" t="str">
        <f>IFERROR(__xludf.DUMMYFUNCTION("""COMPUTED_VALUE"""),"LATITUD")</f>
        <v>LATITUD</v>
      </c>
      <c r="C3682" s="36" t="str">
        <f>IFERROR(__xludf.DUMMYFUNCTION("""COMPUTED_VALUE"""),"LONGITUD")</f>
        <v>LONGITUD</v>
      </c>
      <c r="D3682" s="36" t="str">
        <f>IFERROR(__xludf.DUMMYFUNCTION("""COMPUTED_VALUE"""),"ERROR DE ID")</f>
        <v>ERROR DE ID</v>
      </c>
      <c r="E3682" s="36"/>
      <c r="F3682" s="36"/>
      <c r="G3682" s="36"/>
      <c r="H3682" s="36"/>
    </row>
    <row r="3683">
      <c r="A3683" s="36"/>
      <c r="B3683" s="36" t="str">
        <f>IFERROR(__xludf.DUMMYFUNCTION("""COMPUTED_VALUE"""),"LATITUD")</f>
        <v>LATITUD</v>
      </c>
      <c r="C3683" s="36" t="str">
        <f>IFERROR(__xludf.DUMMYFUNCTION("""COMPUTED_VALUE"""),"LONGITUD")</f>
        <v>LONGITUD</v>
      </c>
      <c r="D3683" s="36" t="str">
        <f>IFERROR(__xludf.DUMMYFUNCTION("""COMPUTED_VALUE"""),"ERROR DE ID")</f>
        <v>ERROR DE ID</v>
      </c>
      <c r="E3683" s="36"/>
      <c r="F3683" s="36"/>
      <c r="G3683" s="36"/>
      <c r="H3683" s="36"/>
    </row>
    <row r="3684">
      <c r="A3684" s="36"/>
      <c r="B3684" s="36" t="str">
        <f>IFERROR(__xludf.DUMMYFUNCTION("""COMPUTED_VALUE"""),"LATITUD")</f>
        <v>LATITUD</v>
      </c>
      <c r="C3684" s="36" t="str">
        <f>IFERROR(__xludf.DUMMYFUNCTION("""COMPUTED_VALUE"""),"LONGITUD")</f>
        <v>LONGITUD</v>
      </c>
      <c r="D3684" s="36" t="str">
        <f>IFERROR(__xludf.DUMMYFUNCTION("""COMPUTED_VALUE"""),"ERROR DE ID")</f>
        <v>ERROR DE ID</v>
      </c>
      <c r="E3684" s="36"/>
      <c r="F3684" s="36"/>
      <c r="G3684" s="36"/>
      <c r="H3684" s="36"/>
    </row>
    <row r="3685">
      <c r="A3685" s="36"/>
      <c r="B3685" s="36" t="str">
        <f>IFERROR(__xludf.DUMMYFUNCTION("""COMPUTED_VALUE"""),"LATITUD")</f>
        <v>LATITUD</v>
      </c>
      <c r="C3685" s="36" t="str">
        <f>IFERROR(__xludf.DUMMYFUNCTION("""COMPUTED_VALUE"""),"LONGITUD")</f>
        <v>LONGITUD</v>
      </c>
      <c r="D3685" s="36" t="str">
        <f>IFERROR(__xludf.DUMMYFUNCTION("""COMPUTED_VALUE"""),"ERROR DE ID")</f>
        <v>ERROR DE ID</v>
      </c>
      <c r="E3685" s="36"/>
      <c r="F3685" s="36"/>
      <c r="G3685" s="36"/>
      <c r="H3685" s="36"/>
    </row>
    <row r="3686">
      <c r="A3686" s="36"/>
      <c r="B3686" s="36" t="str">
        <f>IFERROR(__xludf.DUMMYFUNCTION("""COMPUTED_VALUE"""),"LATITUD")</f>
        <v>LATITUD</v>
      </c>
      <c r="C3686" s="36" t="str">
        <f>IFERROR(__xludf.DUMMYFUNCTION("""COMPUTED_VALUE"""),"LONGITUD")</f>
        <v>LONGITUD</v>
      </c>
      <c r="D3686" s="36" t="str">
        <f>IFERROR(__xludf.DUMMYFUNCTION("""COMPUTED_VALUE"""),"ERROR DE ID")</f>
        <v>ERROR DE ID</v>
      </c>
      <c r="E3686" s="36"/>
      <c r="F3686" s="36"/>
      <c r="G3686" s="36"/>
      <c r="H3686" s="36"/>
    </row>
    <row r="3687">
      <c r="A3687" s="36"/>
      <c r="B3687" s="36" t="str">
        <f>IFERROR(__xludf.DUMMYFUNCTION("""COMPUTED_VALUE"""),"LATITUD")</f>
        <v>LATITUD</v>
      </c>
      <c r="C3687" s="36" t="str">
        <f>IFERROR(__xludf.DUMMYFUNCTION("""COMPUTED_VALUE"""),"LONGITUD")</f>
        <v>LONGITUD</v>
      </c>
      <c r="D3687" s="36" t="str">
        <f>IFERROR(__xludf.DUMMYFUNCTION("""COMPUTED_VALUE"""),"ERROR DE ID")</f>
        <v>ERROR DE ID</v>
      </c>
      <c r="E3687" s="36"/>
      <c r="F3687" s="36"/>
      <c r="G3687" s="36"/>
      <c r="H3687" s="36"/>
    </row>
    <row r="3688">
      <c r="A3688" s="36"/>
      <c r="B3688" s="36" t="str">
        <f>IFERROR(__xludf.DUMMYFUNCTION("""COMPUTED_VALUE"""),"LATITUD")</f>
        <v>LATITUD</v>
      </c>
      <c r="C3688" s="36" t="str">
        <f>IFERROR(__xludf.DUMMYFUNCTION("""COMPUTED_VALUE"""),"LONGITUD")</f>
        <v>LONGITUD</v>
      </c>
      <c r="D3688" s="36" t="str">
        <f>IFERROR(__xludf.DUMMYFUNCTION("""COMPUTED_VALUE"""),"ERROR DE ID")</f>
        <v>ERROR DE ID</v>
      </c>
      <c r="E3688" s="36"/>
      <c r="F3688" s="36"/>
      <c r="G3688" s="36"/>
      <c r="H3688" s="36"/>
    </row>
    <row r="3689">
      <c r="A3689" s="36"/>
      <c r="B3689" s="36" t="str">
        <f>IFERROR(__xludf.DUMMYFUNCTION("""COMPUTED_VALUE"""),"LATITUD")</f>
        <v>LATITUD</v>
      </c>
      <c r="C3689" s="36" t="str">
        <f>IFERROR(__xludf.DUMMYFUNCTION("""COMPUTED_VALUE"""),"LONGITUD")</f>
        <v>LONGITUD</v>
      </c>
      <c r="D3689" s="36" t="str">
        <f>IFERROR(__xludf.DUMMYFUNCTION("""COMPUTED_VALUE"""),"ERROR DE ID")</f>
        <v>ERROR DE ID</v>
      </c>
      <c r="E3689" s="36"/>
      <c r="F3689" s="36"/>
      <c r="G3689" s="36"/>
      <c r="H3689" s="36"/>
    </row>
    <row r="3690">
      <c r="A3690" s="36"/>
      <c r="B3690" s="36" t="str">
        <f>IFERROR(__xludf.DUMMYFUNCTION("""COMPUTED_VALUE"""),"LATITUD")</f>
        <v>LATITUD</v>
      </c>
      <c r="C3690" s="36" t="str">
        <f>IFERROR(__xludf.DUMMYFUNCTION("""COMPUTED_VALUE"""),"LONGITUD")</f>
        <v>LONGITUD</v>
      </c>
      <c r="D3690" s="36" t="str">
        <f>IFERROR(__xludf.DUMMYFUNCTION("""COMPUTED_VALUE"""),"ERROR DE ID")</f>
        <v>ERROR DE ID</v>
      </c>
      <c r="E3690" s="36"/>
      <c r="F3690" s="36"/>
      <c r="G3690" s="36"/>
      <c r="H3690" s="36"/>
    </row>
    <row r="3691">
      <c r="A3691" s="36"/>
      <c r="B3691" s="36" t="str">
        <f>IFERROR(__xludf.DUMMYFUNCTION("""COMPUTED_VALUE"""),"LATITUD")</f>
        <v>LATITUD</v>
      </c>
      <c r="C3691" s="36" t="str">
        <f>IFERROR(__xludf.DUMMYFUNCTION("""COMPUTED_VALUE"""),"LONGITUD")</f>
        <v>LONGITUD</v>
      </c>
      <c r="D3691" s="36" t="str">
        <f>IFERROR(__xludf.DUMMYFUNCTION("""COMPUTED_VALUE"""),"ERROR DE ID")</f>
        <v>ERROR DE ID</v>
      </c>
      <c r="E3691" s="36"/>
      <c r="F3691" s="36"/>
      <c r="G3691" s="36"/>
      <c r="H3691" s="36"/>
    </row>
    <row r="3692">
      <c r="A3692" s="36"/>
      <c r="B3692" s="36" t="str">
        <f>IFERROR(__xludf.DUMMYFUNCTION("""COMPUTED_VALUE"""),"LATITUD")</f>
        <v>LATITUD</v>
      </c>
      <c r="C3692" s="36" t="str">
        <f>IFERROR(__xludf.DUMMYFUNCTION("""COMPUTED_VALUE"""),"LONGITUD")</f>
        <v>LONGITUD</v>
      </c>
      <c r="D3692" s="36" t="str">
        <f>IFERROR(__xludf.DUMMYFUNCTION("""COMPUTED_VALUE"""),"ERROR DE ID")</f>
        <v>ERROR DE ID</v>
      </c>
      <c r="E3692" s="36"/>
      <c r="F3692" s="36"/>
      <c r="G3692" s="36"/>
      <c r="H3692" s="36"/>
    </row>
    <row r="3693">
      <c r="A3693" s="36"/>
      <c r="B3693" s="36" t="str">
        <f>IFERROR(__xludf.DUMMYFUNCTION("""COMPUTED_VALUE"""),"LATITUD")</f>
        <v>LATITUD</v>
      </c>
      <c r="C3693" s="36" t="str">
        <f>IFERROR(__xludf.DUMMYFUNCTION("""COMPUTED_VALUE"""),"LONGITUD")</f>
        <v>LONGITUD</v>
      </c>
      <c r="D3693" s="36" t="str">
        <f>IFERROR(__xludf.DUMMYFUNCTION("""COMPUTED_VALUE"""),"ERROR DE ID")</f>
        <v>ERROR DE ID</v>
      </c>
      <c r="E3693" s="36"/>
      <c r="F3693" s="36"/>
      <c r="G3693" s="36"/>
      <c r="H3693" s="36"/>
    </row>
    <row r="3694">
      <c r="A3694" s="36"/>
      <c r="B3694" s="36" t="str">
        <f>IFERROR(__xludf.DUMMYFUNCTION("""COMPUTED_VALUE"""),"LATITUD")</f>
        <v>LATITUD</v>
      </c>
      <c r="C3694" s="36" t="str">
        <f>IFERROR(__xludf.DUMMYFUNCTION("""COMPUTED_VALUE"""),"LONGITUD")</f>
        <v>LONGITUD</v>
      </c>
      <c r="D3694" s="36" t="str">
        <f>IFERROR(__xludf.DUMMYFUNCTION("""COMPUTED_VALUE"""),"ERROR DE ID")</f>
        <v>ERROR DE ID</v>
      </c>
      <c r="E3694" s="36"/>
      <c r="F3694" s="36"/>
      <c r="G3694" s="36"/>
      <c r="H3694" s="36"/>
    </row>
    <row r="3695">
      <c r="A3695" s="36"/>
      <c r="B3695" s="36" t="str">
        <f>IFERROR(__xludf.DUMMYFUNCTION("""COMPUTED_VALUE"""),"LATITUD")</f>
        <v>LATITUD</v>
      </c>
      <c r="C3695" s="36" t="str">
        <f>IFERROR(__xludf.DUMMYFUNCTION("""COMPUTED_VALUE"""),"LONGITUD")</f>
        <v>LONGITUD</v>
      </c>
      <c r="D3695" s="36" t="str">
        <f>IFERROR(__xludf.DUMMYFUNCTION("""COMPUTED_VALUE"""),"ERROR DE ID")</f>
        <v>ERROR DE ID</v>
      </c>
      <c r="E3695" s="36"/>
      <c r="F3695" s="36"/>
      <c r="G3695" s="36"/>
      <c r="H3695" s="36"/>
    </row>
    <row r="3696">
      <c r="A3696" s="36"/>
      <c r="B3696" s="36" t="str">
        <f>IFERROR(__xludf.DUMMYFUNCTION("""COMPUTED_VALUE"""),"LATITUD")</f>
        <v>LATITUD</v>
      </c>
      <c r="C3696" s="36" t="str">
        <f>IFERROR(__xludf.DUMMYFUNCTION("""COMPUTED_VALUE"""),"LONGITUD")</f>
        <v>LONGITUD</v>
      </c>
      <c r="D3696" s="36" t="str">
        <f>IFERROR(__xludf.DUMMYFUNCTION("""COMPUTED_VALUE"""),"ERROR DE ID")</f>
        <v>ERROR DE ID</v>
      </c>
      <c r="E3696" s="36"/>
      <c r="F3696" s="36"/>
      <c r="G3696" s="36"/>
      <c r="H3696" s="36"/>
    </row>
    <row r="3697">
      <c r="A3697" s="36"/>
      <c r="B3697" s="36" t="str">
        <f>IFERROR(__xludf.DUMMYFUNCTION("""COMPUTED_VALUE"""),"LATITUD")</f>
        <v>LATITUD</v>
      </c>
      <c r="C3697" s="36" t="str">
        <f>IFERROR(__xludf.DUMMYFUNCTION("""COMPUTED_VALUE"""),"LONGITUD")</f>
        <v>LONGITUD</v>
      </c>
      <c r="D3697" s="36" t="str">
        <f>IFERROR(__xludf.DUMMYFUNCTION("""COMPUTED_VALUE"""),"ERROR DE ID")</f>
        <v>ERROR DE ID</v>
      </c>
      <c r="E3697" s="36"/>
      <c r="F3697" s="36"/>
      <c r="G3697" s="36"/>
      <c r="H3697" s="36"/>
    </row>
    <row r="3698">
      <c r="A3698" s="36"/>
      <c r="B3698" s="36" t="str">
        <f>IFERROR(__xludf.DUMMYFUNCTION("""COMPUTED_VALUE"""),"LATITUD")</f>
        <v>LATITUD</v>
      </c>
      <c r="C3698" s="36" t="str">
        <f>IFERROR(__xludf.DUMMYFUNCTION("""COMPUTED_VALUE"""),"LONGITUD")</f>
        <v>LONGITUD</v>
      </c>
      <c r="D3698" s="36" t="str">
        <f>IFERROR(__xludf.DUMMYFUNCTION("""COMPUTED_VALUE"""),"ERROR DE ID")</f>
        <v>ERROR DE ID</v>
      </c>
      <c r="E3698" s="36"/>
      <c r="F3698" s="36"/>
      <c r="G3698" s="36"/>
      <c r="H3698" s="36"/>
    </row>
    <row r="3699">
      <c r="A3699" s="36"/>
      <c r="B3699" s="36" t="str">
        <f>IFERROR(__xludf.DUMMYFUNCTION("""COMPUTED_VALUE"""),"LATITUD")</f>
        <v>LATITUD</v>
      </c>
      <c r="C3699" s="36" t="str">
        <f>IFERROR(__xludf.DUMMYFUNCTION("""COMPUTED_VALUE"""),"LONGITUD")</f>
        <v>LONGITUD</v>
      </c>
      <c r="D3699" s="36" t="str">
        <f>IFERROR(__xludf.DUMMYFUNCTION("""COMPUTED_VALUE"""),"ERROR DE ID")</f>
        <v>ERROR DE ID</v>
      </c>
      <c r="E3699" s="36"/>
      <c r="F3699" s="36"/>
      <c r="G3699" s="36"/>
      <c r="H3699" s="36"/>
    </row>
    <row r="3700">
      <c r="A3700" s="36"/>
      <c r="B3700" s="36" t="str">
        <f>IFERROR(__xludf.DUMMYFUNCTION("""COMPUTED_VALUE"""),"LATITUD")</f>
        <v>LATITUD</v>
      </c>
      <c r="C3700" s="36" t="str">
        <f>IFERROR(__xludf.DUMMYFUNCTION("""COMPUTED_VALUE"""),"LONGITUD")</f>
        <v>LONGITUD</v>
      </c>
      <c r="D3700" s="36" t="str">
        <f>IFERROR(__xludf.DUMMYFUNCTION("""COMPUTED_VALUE"""),"ERROR DE ID")</f>
        <v>ERROR DE ID</v>
      </c>
      <c r="E3700" s="36"/>
      <c r="F3700" s="36"/>
      <c r="G3700" s="36"/>
      <c r="H3700" s="36"/>
    </row>
    <row r="3701">
      <c r="A3701" s="36"/>
      <c r="B3701" s="36" t="str">
        <f>IFERROR(__xludf.DUMMYFUNCTION("""COMPUTED_VALUE"""),"LATITUD")</f>
        <v>LATITUD</v>
      </c>
      <c r="C3701" s="36" t="str">
        <f>IFERROR(__xludf.DUMMYFUNCTION("""COMPUTED_VALUE"""),"LONGITUD")</f>
        <v>LONGITUD</v>
      </c>
      <c r="D3701" s="36" t="str">
        <f>IFERROR(__xludf.DUMMYFUNCTION("""COMPUTED_VALUE"""),"ERROR DE ID")</f>
        <v>ERROR DE ID</v>
      </c>
      <c r="E3701" s="36"/>
      <c r="F3701" s="36"/>
      <c r="G3701" s="36"/>
      <c r="H3701" s="36"/>
    </row>
    <row r="3702">
      <c r="A3702" s="36"/>
      <c r="B3702" s="36" t="str">
        <f>IFERROR(__xludf.DUMMYFUNCTION("""COMPUTED_VALUE"""),"LATITUD")</f>
        <v>LATITUD</v>
      </c>
      <c r="C3702" s="36" t="str">
        <f>IFERROR(__xludf.DUMMYFUNCTION("""COMPUTED_VALUE"""),"LONGITUD")</f>
        <v>LONGITUD</v>
      </c>
      <c r="D3702" s="36" t="str">
        <f>IFERROR(__xludf.DUMMYFUNCTION("""COMPUTED_VALUE"""),"ERROR DE ID")</f>
        <v>ERROR DE ID</v>
      </c>
      <c r="E3702" s="36"/>
      <c r="F3702" s="36"/>
      <c r="G3702" s="36"/>
      <c r="H3702" s="36"/>
    </row>
    <row r="3703">
      <c r="A3703" s="36"/>
      <c r="B3703" s="36" t="str">
        <f>IFERROR(__xludf.DUMMYFUNCTION("""COMPUTED_VALUE"""),"LATITUD")</f>
        <v>LATITUD</v>
      </c>
      <c r="C3703" s="36" t="str">
        <f>IFERROR(__xludf.DUMMYFUNCTION("""COMPUTED_VALUE"""),"LONGITUD")</f>
        <v>LONGITUD</v>
      </c>
      <c r="D3703" s="36" t="str">
        <f>IFERROR(__xludf.DUMMYFUNCTION("""COMPUTED_VALUE"""),"ERROR DE ID")</f>
        <v>ERROR DE ID</v>
      </c>
      <c r="E3703" s="36"/>
      <c r="F3703" s="36"/>
      <c r="G3703" s="36"/>
      <c r="H3703" s="36"/>
    </row>
    <row r="3704">
      <c r="A3704" s="36"/>
      <c r="B3704" s="36" t="str">
        <f>IFERROR(__xludf.DUMMYFUNCTION("""COMPUTED_VALUE"""),"LATITUD")</f>
        <v>LATITUD</v>
      </c>
      <c r="C3704" s="36" t="str">
        <f>IFERROR(__xludf.DUMMYFUNCTION("""COMPUTED_VALUE"""),"LONGITUD")</f>
        <v>LONGITUD</v>
      </c>
      <c r="D3704" s="36" t="str">
        <f>IFERROR(__xludf.DUMMYFUNCTION("""COMPUTED_VALUE"""),"ERROR DE ID")</f>
        <v>ERROR DE ID</v>
      </c>
      <c r="E3704" s="36"/>
      <c r="F3704" s="36"/>
      <c r="G3704" s="36"/>
      <c r="H3704" s="36"/>
    </row>
    <row r="3705">
      <c r="A3705" s="36"/>
      <c r="B3705" s="36" t="str">
        <f>IFERROR(__xludf.DUMMYFUNCTION("""COMPUTED_VALUE"""),"LATITUD")</f>
        <v>LATITUD</v>
      </c>
      <c r="C3705" s="36" t="str">
        <f>IFERROR(__xludf.DUMMYFUNCTION("""COMPUTED_VALUE"""),"LONGITUD")</f>
        <v>LONGITUD</v>
      </c>
      <c r="D3705" s="36" t="str">
        <f>IFERROR(__xludf.DUMMYFUNCTION("""COMPUTED_VALUE"""),"ERROR DE ID")</f>
        <v>ERROR DE ID</v>
      </c>
      <c r="E3705" s="36"/>
      <c r="F3705" s="36"/>
      <c r="G3705" s="36"/>
      <c r="H3705" s="36"/>
    </row>
    <row r="3706">
      <c r="A3706" s="36"/>
      <c r="B3706" s="36" t="str">
        <f>IFERROR(__xludf.DUMMYFUNCTION("""COMPUTED_VALUE"""),"LATITUD")</f>
        <v>LATITUD</v>
      </c>
      <c r="C3706" s="36" t="str">
        <f>IFERROR(__xludf.DUMMYFUNCTION("""COMPUTED_VALUE"""),"LONGITUD")</f>
        <v>LONGITUD</v>
      </c>
      <c r="D3706" s="36" t="str">
        <f>IFERROR(__xludf.DUMMYFUNCTION("""COMPUTED_VALUE"""),"ERROR DE ID")</f>
        <v>ERROR DE ID</v>
      </c>
      <c r="E3706" s="36"/>
      <c r="F3706" s="36"/>
      <c r="G3706" s="36"/>
      <c r="H3706" s="36"/>
    </row>
    <row r="3707">
      <c r="A3707" s="36"/>
      <c r="B3707" s="36" t="str">
        <f>IFERROR(__xludf.DUMMYFUNCTION("""COMPUTED_VALUE"""),"LATITUD")</f>
        <v>LATITUD</v>
      </c>
      <c r="C3707" s="36" t="str">
        <f>IFERROR(__xludf.DUMMYFUNCTION("""COMPUTED_VALUE"""),"LONGITUD")</f>
        <v>LONGITUD</v>
      </c>
      <c r="D3707" s="36" t="str">
        <f>IFERROR(__xludf.DUMMYFUNCTION("""COMPUTED_VALUE"""),"ERROR DE ID")</f>
        <v>ERROR DE ID</v>
      </c>
      <c r="E3707" s="36"/>
      <c r="F3707" s="36"/>
      <c r="G3707" s="36"/>
      <c r="H3707" s="36"/>
    </row>
    <row r="3708">
      <c r="A3708" s="36"/>
      <c r="B3708" s="36" t="str">
        <f>IFERROR(__xludf.DUMMYFUNCTION("""COMPUTED_VALUE"""),"LATITUD")</f>
        <v>LATITUD</v>
      </c>
      <c r="C3708" s="36" t="str">
        <f>IFERROR(__xludf.DUMMYFUNCTION("""COMPUTED_VALUE"""),"LONGITUD")</f>
        <v>LONGITUD</v>
      </c>
      <c r="D3708" s="36" t="str">
        <f>IFERROR(__xludf.DUMMYFUNCTION("""COMPUTED_VALUE"""),"ERROR DE ID")</f>
        <v>ERROR DE ID</v>
      </c>
      <c r="E3708" s="36"/>
      <c r="F3708" s="36"/>
      <c r="G3708" s="36"/>
      <c r="H3708" s="36"/>
    </row>
    <row r="3709">
      <c r="A3709" s="36"/>
      <c r="B3709" s="36" t="str">
        <f>IFERROR(__xludf.DUMMYFUNCTION("""COMPUTED_VALUE"""),"LATITUD")</f>
        <v>LATITUD</v>
      </c>
      <c r="C3709" s="36" t="str">
        <f>IFERROR(__xludf.DUMMYFUNCTION("""COMPUTED_VALUE"""),"LONGITUD")</f>
        <v>LONGITUD</v>
      </c>
      <c r="D3709" s="36" t="str">
        <f>IFERROR(__xludf.DUMMYFUNCTION("""COMPUTED_VALUE"""),"ERROR DE ID")</f>
        <v>ERROR DE ID</v>
      </c>
      <c r="E3709" s="36"/>
      <c r="F3709" s="36"/>
      <c r="G3709" s="36"/>
      <c r="H3709" s="36"/>
    </row>
    <row r="3710">
      <c r="A3710" s="36"/>
      <c r="B3710" s="36" t="str">
        <f>IFERROR(__xludf.DUMMYFUNCTION("""COMPUTED_VALUE"""),"LATITUD")</f>
        <v>LATITUD</v>
      </c>
      <c r="C3710" s="36" t="str">
        <f>IFERROR(__xludf.DUMMYFUNCTION("""COMPUTED_VALUE"""),"LONGITUD")</f>
        <v>LONGITUD</v>
      </c>
      <c r="D3710" s="36" t="str">
        <f>IFERROR(__xludf.DUMMYFUNCTION("""COMPUTED_VALUE"""),"ERROR DE ID")</f>
        <v>ERROR DE ID</v>
      </c>
      <c r="E3710" s="36"/>
      <c r="F3710" s="36"/>
      <c r="G3710" s="36"/>
      <c r="H3710" s="36"/>
    </row>
    <row r="3711">
      <c r="A3711" s="36"/>
      <c r="B3711" s="36" t="str">
        <f>IFERROR(__xludf.DUMMYFUNCTION("""COMPUTED_VALUE"""),"LATITUD")</f>
        <v>LATITUD</v>
      </c>
      <c r="C3711" s="36" t="str">
        <f>IFERROR(__xludf.DUMMYFUNCTION("""COMPUTED_VALUE"""),"LONGITUD")</f>
        <v>LONGITUD</v>
      </c>
      <c r="D3711" s="36" t="str">
        <f>IFERROR(__xludf.DUMMYFUNCTION("""COMPUTED_VALUE"""),"ERROR DE ID")</f>
        <v>ERROR DE ID</v>
      </c>
      <c r="E3711" s="36"/>
      <c r="F3711" s="36"/>
      <c r="G3711" s="36"/>
      <c r="H3711" s="36"/>
    </row>
    <row r="3712">
      <c r="A3712" s="36"/>
      <c r="B3712" s="36" t="str">
        <f>IFERROR(__xludf.DUMMYFUNCTION("""COMPUTED_VALUE"""),"LATITUD")</f>
        <v>LATITUD</v>
      </c>
      <c r="C3712" s="36" t="str">
        <f>IFERROR(__xludf.DUMMYFUNCTION("""COMPUTED_VALUE"""),"LONGITUD")</f>
        <v>LONGITUD</v>
      </c>
      <c r="D3712" s="36" t="str">
        <f>IFERROR(__xludf.DUMMYFUNCTION("""COMPUTED_VALUE"""),"ERROR DE ID")</f>
        <v>ERROR DE ID</v>
      </c>
      <c r="E3712" s="36"/>
      <c r="F3712" s="36"/>
      <c r="G3712" s="36"/>
      <c r="H3712" s="36"/>
    </row>
    <row r="3713">
      <c r="A3713" s="36"/>
      <c r="B3713" s="36" t="str">
        <f>IFERROR(__xludf.DUMMYFUNCTION("""COMPUTED_VALUE"""),"LATITUD")</f>
        <v>LATITUD</v>
      </c>
      <c r="C3713" s="36" t="str">
        <f>IFERROR(__xludf.DUMMYFUNCTION("""COMPUTED_VALUE"""),"LONGITUD")</f>
        <v>LONGITUD</v>
      </c>
      <c r="D3713" s="36" t="str">
        <f>IFERROR(__xludf.DUMMYFUNCTION("""COMPUTED_VALUE"""),"ERROR DE ID")</f>
        <v>ERROR DE ID</v>
      </c>
      <c r="E3713" s="36"/>
      <c r="F3713" s="36"/>
      <c r="G3713" s="36"/>
      <c r="H3713" s="36"/>
    </row>
    <row r="3714">
      <c r="A3714" s="36"/>
      <c r="B3714" s="36" t="str">
        <f>IFERROR(__xludf.DUMMYFUNCTION("""COMPUTED_VALUE"""),"LATITUD")</f>
        <v>LATITUD</v>
      </c>
      <c r="C3714" s="36" t="str">
        <f>IFERROR(__xludf.DUMMYFUNCTION("""COMPUTED_VALUE"""),"LONGITUD")</f>
        <v>LONGITUD</v>
      </c>
      <c r="D3714" s="36" t="str">
        <f>IFERROR(__xludf.DUMMYFUNCTION("""COMPUTED_VALUE"""),"ERROR DE ID")</f>
        <v>ERROR DE ID</v>
      </c>
      <c r="E3714" s="36"/>
      <c r="F3714" s="36"/>
      <c r="G3714" s="36"/>
      <c r="H3714" s="36"/>
    </row>
    <row r="3715">
      <c r="A3715" s="36"/>
      <c r="B3715" s="36" t="str">
        <f>IFERROR(__xludf.DUMMYFUNCTION("""COMPUTED_VALUE"""),"LATITUD")</f>
        <v>LATITUD</v>
      </c>
      <c r="C3715" s="36" t="str">
        <f>IFERROR(__xludf.DUMMYFUNCTION("""COMPUTED_VALUE"""),"LONGITUD")</f>
        <v>LONGITUD</v>
      </c>
      <c r="D3715" s="36" t="str">
        <f>IFERROR(__xludf.DUMMYFUNCTION("""COMPUTED_VALUE"""),"ERROR DE ID")</f>
        <v>ERROR DE ID</v>
      </c>
      <c r="E3715" s="36"/>
      <c r="F3715" s="36"/>
      <c r="G3715" s="36"/>
      <c r="H3715" s="36"/>
    </row>
    <row r="3716">
      <c r="A3716" s="36"/>
      <c r="B3716" s="36" t="str">
        <f>IFERROR(__xludf.DUMMYFUNCTION("""COMPUTED_VALUE"""),"LATITUD")</f>
        <v>LATITUD</v>
      </c>
      <c r="C3716" s="36" t="str">
        <f>IFERROR(__xludf.DUMMYFUNCTION("""COMPUTED_VALUE"""),"LONGITUD")</f>
        <v>LONGITUD</v>
      </c>
      <c r="D3716" s="36" t="str">
        <f>IFERROR(__xludf.DUMMYFUNCTION("""COMPUTED_VALUE"""),"ERROR DE ID")</f>
        <v>ERROR DE ID</v>
      </c>
      <c r="E3716" s="36"/>
      <c r="F3716" s="36"/>
      <c r="G3716" s="36"/>
      <c r="H3716" s="36"/>
    </row>
    <row r="3717">
      <c r="A3717" s="36"/>
      <c r="B3717" s="36" t="str">
        <f>IFERROR(__xludf.DUMMYFUNCTION("""COMPUTED_VALUE"""),"LATITUD")</f>
        <v>LATITUD</v>
      </c>
      <c r="C3717" s="36" t="str">
        <f>IFERROR(__xludf.DUMMYFUNCTION("""COMPUTED_VALUE"""),"LONGITUD")</f>
        <v>LONGITUD</v>
      </c>
      <c r="D3717" s="36" t="str">
        <f>IFERROR(__xludf.DUMMYFUNCTION("""COMPUTED_VALUE"""),"ERROR DE ID")</f>
        <v>ERROR DE ID</v>
      </c>
      <c r="E3717" s="36"/>
      <c r="F3717" s="36"/>
      <c r="G3717" s="36"/>
      <c r="H3717" s="36"/>
    </row>
    <row r="3718">
      <c r="A3718" s="36"/>
      <c r="B3718" s="36" t="str">
        <f>IFERROR(__xludf.DUMMYFUNCTION("""COMPUTED_VALUE"""),"LATITUD")</f>
        <v>LATITUD</v>
      </c>
      <c r="C3718" s="36" t="str">
        <f>IFERROR(__xludf.DUMMYFUNCTION("""COMPUTED_VALUE"""),"LONGITUD")</f>
        <v>LONGITUD</v>
      </c>
      <c r="D3718" s="36" t="str">
        <f>IFERROR(__xludf.DUMMYFUNCTION("""COMPUTED_VALUE"""),"ERROR DE ID")</f>
        <v>ERROR DE ID</v>
      </c>
      <c r="E3718" s="36"/>
      <c r="F3718" s="36"/>
      <c r="G3718" s="36"/>
      <c r="H3718" s="36"/>
    </row>
    <row r="3719">
      <c r="A3719" s="36"/>
      <c r="B3719" s="36" t="str">
        <f>IFERROR(__xludf.DUMMYFUNCTION("""COMPUTED_VALUE"""),"LATITUD")</f>
        <v>LATITUD</v>
      </c>
      <c r="C3719" s="36" t="str">
        <f>IFERROR(__xludf.DUMMYFUNCTION("""COMPUTED_VALUE"""),"LONGITUD")</f>
        <v>LONGITUD</v>
      </c>
      <c r="D3719" s="36" t="str">
        <f>IFERROR(__xludf.DUMMYFUNCTION("""COMPUTED_VALUE"""),"ERROR DE ID")</f>
        <v>ERROR DE ID</v>
      </c>
      <c r="E3719" s="36"/>
      <c r="F3719" s="36"/>
      <c r="G3719" s="36"/>
      <c r="H3719" s="36"/>
    </row>
    <row r="3720">
      <c r="A3720" s="36"/>
      <c r="B3720" s="36" t="str">
        <f>IFERROR(__xludf.DUMMYFUNCTION("""COMPUTED_VALUE"""),"LATITUD")</f>
        <v>LATITUD</v>
      </c>
      <c r="C3720" s="36" t="str">
        <f>IFERROR(__xludf.DUMMYFUNCTION("""COMPUTED_VALUE"""),"LONGITUD")</f>
        <v>LONGITUD</v>
      </c>
      <c r="D3720" s="36" t="str">
        <f>IFERROR(__xludf.DUMMYFUNCTION("""COMPUTED_VALUE"""),"ERROR DE ID")</f>
        <v>ERROR DE ID</v>
      </c>
      <c r="E3720" s="36"/>
      <c r="F3720" s="36"/>
      <c r="G3720" s="36"/>
      <c r="H3720" s="36"/>
    </row>
    <row r="3721">
      <c r="A3721" s="36"/>
      <c r="B3721" s="36" t="str">
        <f>IFERROR(__xludf.DUMMYFUNCTION("""COMPUTED_VALUE"""),"LATITUD")</f>
        <v>LATITUD</v>
      </c>
      <c r="C3721" s="36" t="str">
        <f>IFERROR(__xludf.DUMMYFUNCTION("""COMPUTED_VALUE"""),"LONGITUD")</f>
        <v>LONGITUD</v>
      </c>
      <c r="D3721" s="36" t="str">
        <f>IFERROR(__xludf.DUMMYFUNCTION("""COMPUTED_VALUE"""),"ERROR DE ID")</f>
        <v>ERROR DE ID</v>
      </c>
      <c r="E3721" s="36"/>
      <c r="F3721" s="36"/>
      <c r="G3721" s="36"/>
      <c r="H3721" s="36"/>
    </row>
    <row r="3722">
      <c r="A3722" s="36"/>
      <c r="B3722" s="36" t="str">
        <f>IFERROR(__xludf.DUMMYFUNCTION("""COMPUTED_VALUE"""),"LATITUD")</f>
        <v>LATITUD</v>
      </c>
      <c r="C3722" s="36" t="str">
        <f>IFERROR(__xludf.DUMMYFUNCTION("""COMPUTED_VALUE"""),"LONGITUD")</f>
        <v>LONGITUD</v>
      </c>
      <c r="D3722" s="36" t="str">
        <f>IFERROR(__xludf.DUMMYFUNCTION("""COMPUTED_VALUE"""),"ERROR DE ID")</f>
        <v>ERROR DE ID</v>
      </c>
      <c r="E3722" s="36"/>
      <c r="F3722" s="36"/>
      <c r="G3722" s="36"/>
      <c r="H3722" s="36"/>
    </row>
    <row r="3723">
      <c r="A3723" s="36"/>
      <c r="B3723" s="36" t="str">
        <f>IFERROR(__xludf.DUMMYFUNCTION("""COMPUTED_VALUE"""),"LATITUD")</f>
        <v>LATITUD</v>
      </c>
      <c r="C3723" s="36" t="str">
        <f>IFERROR(__xludf.DUMMYFUNCTION("""COMPUTED_VALUE"""),"LONGITUD")</f>
        <v>LONGITUD</v>
      </c>
      <c r="D3723" s="36" t="str">
        <f>IFERROR(__xludf.DUMMYFUNCTION("""COMPUTED_VALUE"""),"ERROR DE ID")</f>
        <v>ERROR DE ID</v>
      </c>
      <c r="E3723" s="36"/>
      <c r="F3723" s="36"/>
      <c r="G3723" s="36"/>
      <c r="H3723" s="36"/>
    </row>
    <row r="3724">
      <c r="A3724" s="36"/>
      <c r="B3724" s="36" t="str">
        <f>IFERROR(__xludf.DUMMYFUNCTION("""COMPUTED_VALUE"""),"LATITUD")</f>
        <v>LATITUD</v>
      </c>
      <c r="C3724" s="36" t="str">
        <f>IFERROR(__xludf.DUMMYFUNCTION("""COMPUTED_VALUE"""),"LONGITUD")</f>
        <v>LONGITUD</v>
      </c>
      <c r="D3724" s="36" t="str">
        <f>IFERROR(__xludf.DUMMYFUNCTION("""COMPUTED_VALUE"""),"ERROR DE ID")</f>
        <v>ERROR DE ID</v>
      </c>
      <c r="E3724" s="36"/>
      <c r="F3724" s="36"/>
      <c r="G3724" s="36"/>
      <c r="H3724" s="36"/>
    </row>
    <row r="3725">
      <c r="A3725" s="36"/>
      <c r="B3725" s="36" t="str">
        <f>IFERROR(__xludf.DUMMYFUNCTION("""COMPUTED_VALUE"""),"LATITUD")</f>
        <v>LATITUD</v>
      </c>
      <c r="C3725" s="36" t="str">
        <f>IFERROR(__xludf.DUMMYFUNCTION("""COMPUTED_VALUE"""),"LONGITUD")</f>
        <v>LONGITUD</v>
      </c>
      <c r="D3725" s="36" t="str">
        <f>IFERROR(__xludf.DUMMYFUNCTION("""COMPUTED_VALUE"""),"ERROR DE ID")</f>
        <v>ERROR DE ID</v>
      </c>
      <c r="E3725" s="36"/>
      <c r="F3725" s="36"/>
      <c r="G3725" s="36"/>
      <c r="H3725" s="36"/>
    </row>
    <row r="3726">
      <c r="A3726" s="36"/>
      <c r="B3726" s="36" t="str">
        <f>IFERROR(__xludf.DUMMYFUNCTION("""COMPUTED_VALUE"""),"LATITUD")</f>
        <v>LATITUD</v>
      </c>
      <c r="C3726" s="36" t="str">
        <f>IFERROR(__xludf.DUMMYFUNCTION("""COMPUTED_VALUE"""),"LONGITUD")</f>
        <v>LONGITUD</v>
      </c>
      <c r="D3726" s="36" t="str">
        <f>IFERROR(__xludf.DUMMYFUNCTION("""COMPUTED_VALUE"""),"ERROR DE ID")</f>
        <v>ERROR DE ID</v>
      </c>
      <c r="E3726" s="36"/>
      <c r="F3726" s="36"/>
      <c r="G3726" s="36"/>
      <c r="H3726" s="36"/>
    </row>
    <row r="3727">
      <c r="A3727" s="36"/>
      <c r="B3727" s="36" t="str">
        <f>IFERROR(__xludf.DUMMYFUNCTION("""COMPUTED_VALUE"""),"LATITUD")</f>
        <v>LATITUD</v>
      </c>
      <c r="C3727" s="36" t="str">
        <f>IFERROR(__xludf.DUMMYFUNCTION("""COMPUTED_VALUE"""),"LONGITUD")</f>
        <v>LONGITUD</v>
      </c>
      <c r="D3727" s="36" t="str">
        <f>IFERROR(__xludf.DUMMYFUNCTION("""COMPUTED_VALUE"""),"ERROR DE ID")</f>
        <v>ERROR DE ID</v>
      </c>
      <c r="E3727" s="36"/>
      <c r="F3727" s="36"/>
      <c r="G3727" s="36"/>
      <c r="H3727" s="36"/>
    </row>
    <row r="3728">
      <c r="A3728" s="36"/>
      <c r="B3728" s="36" t="str">
        <f>IFERROR(__xludf.DUMMYFUNCTION("""COMPUTED_VALUE"""),"LATITUD")</f>
        <v>LATITUD</v>
      </c>
      <c r="C3728" s="36" t="str">
        <f>IFERROR(__xludf.DUMMYFUNCTION("""COMPUTED_VALUE"""),"LONGITUD")</f>
        <v>LONGITUD</v>
      </c>
      <c r="D3728" s="36" t="str">
        <f>IFERROR(__xludf.DUMMYFUNCTION("""COMPUTED_VALUE"""),"ERROR DE ID")</f>
        <v>ERROR DE ID</v>
      </c>
      <c r="E3728" s="36"/>
      <c r="F3728" s="36"/>
      <c r="G3728" s="36"/>
      <c r="H3728" s="36"/>
    </row>
    <row r="3729">
      <c r="A3729" s="36"/>
      <c r="B3729" s="36" t="str">
        <f>IFERROR(__xludf.DUMMYFUNCTION("""COMPUTED_VALUE"""),"LATITUD")</f>
        <v>LATITUD</v>
      </c>
      <c r="C3729" s="36" t="str">
        <f>IFERROR(__xludf.DUMMYFUNCTION("""COMPUTED_VALUE"""),"LONGITUD")</f>
        <v>LONGITUD</v>
      </c>
      <c r="D3729" s="36" t="str">
        <f>IFERROR(__xludf.DUMMYFUNCTION("""COMPUTED_VALUE"""),"ERROR DE ID")</f>
        <v>ERROR DE ID</v>
      </c>
      <c r="E3729" s="36"/>
      <c r="F3729" s="36"/>
      <c r="G3729" s="36"/>
      <c r="H3729" s="36"/>
    </row>
    <row r="3730">
      <c r="A3730" s="36"/>
      <c r="B3730" s="36" t="str">
        <f>IFERROR(__xludf.DUMMYFUNCTION("""COMPUTED_VALUE"""),"LATITUD")</f>
        <v>LATITUD</v>
      </c>
      <c r="C3730" s="36" t="str">
        <f>IFERROR(__xludf.DUMMYFUNCTION("""COMPUTED_VALUE"""),"LONGITUD")</f>
        <v>LONGITUD</v>
      </c>
      <c r="D3730" s="36" t="str">
        <f>IFERROR(__xludf.DUMMYFUNCTION("""COMPUTED_VALUE"""),"ERROR DE ID")</f>
        <v>ERROR DE ID</v>
      </c>
      <c r="E3730" s="36"/>
      <c r="F3730" s="36"/>
      <c r="G3730" s="36"/>
      <c r="H3730" s="36"/>
    </row>
    <row r="3731">
      <c r="A3731" s="36"/>
      <c r="B3731" s="36" t="str">
        <f>IFERROR(__xludf.DUMMYFUNCTION("""COMPUTED_VALUE"""),"LATITUD")</f>
        <v>LATITUD</v>
      </c>
      <c r="C3731" s="36" t="str">
        <f>IFERROR(__xludf.DUMMYFUNCTION("""COMPUTED_VALUE"""),"LONGITUD")</f>
        <v>LONGITUD</v>
      </c>
      <c r="D3731" s="36" t="str">
        <f>IFERROR(__xludf.DUMMYFUNCTION("""COMPUTED_VALUE"""),"ERROR DE ID")</f>
        <v>ERROR DE ID</v>
      </c>
      <c r="E3731" s="36"/>
      <c r="F3731" s="36"/>
      <c r="G3731" s="36"/>
      <c r="H3731" s="36"/>
    </row>
    <row r="3732">
      <c r="A3732" s="36"/>
      <c r="B3732" s="36" t="str">
        <f>IFERROR(__xludf.DUMMYFUNCTION("""COMPUTED_VALUE"""),"LATITUD")</f>
        <v>LATITUD</v>
      </c>
      <c r="C3732" s="36" t="str">
        <f>IFERROR(__xludf.DUMMYFUNCTION("""COMPUTED_VALUE"""),"LONGITUD")</f>
        <v>LONGITUD</v>
      </c>
      <c r="D3732" s="36" t="str">
        <f>IFERROR(__xludf.DUMMYFUNCTION("""COMPUTED_VALUE"""),"ERROR DE ID")</f>
        <v>ERROR DE ID</v>
      </c>
      <c r="E3732" s="36"/>
      <c r="F3732" s="36"/>
      <c r="G3732" s="36"/>
      <c r="H3732" s="36"/>
    </row>
    <row r="3733">
      <c r="A3733" s="36"/>
      <c r="B3733" s="36" t="str">
        <f>IFERROR(__xludf.DUMMYFUNCTION("""COMPUTED_VALUE"""),"LATITUD")</f>
        <v>LATITUD</v>
      </c>
      <c r="C3733" s="36" t="str">
        <f>IFERROR(__xludf.DUMMYFUNCTION("""COMPUTED_VALUE"""),"LONGITUD")</f>
        <v>LONGITUD</v>
      </c>
      <c r="D3733" s="36" t="str">
        <f>IFERROR(__xludf.DUMMYFUNCTION("""COMPUTED_VALUE"""),"ERROR DE ID")</f>
        <v>ERROR DE ID</v>
      </c>
      <c r="E3733" s="36"/>
      <c r="F3733" s="36"/>
      <c r="G3733" s="36"/>
      <c r="H3733" s="36"/>
    </row>
    <row r="3734">
      <c r="A3734" s="36"/>
      <c r="B3734" s="36" t="str">
        <f>IFERROR(__xludf.DUMMYFUNCTION("""COMPUTED_VALUE"""),"LATITUD")</f>
        <v>LATITUD</v>
      </c>
      <c r="C3734" s="36" t="str">
        <f>IFERROR(__xludf.DUMMYFUNCTION("""COMPUTED_VALUE"""),"LONGITUD")</f>
        <v>LONGITUD</v>
      </c>
      <c r="D3734" s="36" t="str">
        <f>IFERROR(__xludf.DUMMYFUNCTION("""COMPUTED_VALUE"""),"ERROR DE ID")</f>
        <v>ERROR DE ID</v>
      </c>
      <c r="E3734" s="36"/>
      <c r="F3734" s="36"/>
      <c r="G3734" s="36"/>
      <c r="H3734" s="36"/>
    </row>
    <row r="3735">
      <c r="A3735" s="36"/>
      <c r="B3735" s="36" t="str">
        <f>IFERROR(__xludf.DUMMYFUNCTION("""COMPUTED_VALUE"""),"LATITUD")</f>
        <v>LATITUD</v>
      </c>
      <c r="C3735" s="36" t="str">
        <f>IFERROR(__xludf.DUMMYFUNCTION("""COMPUTED_VALUE"""),"LONGITUD")</f>
        <v>LONGITUD</v>
      </c>
      <c r="D3735" s="36" t="str">
        <f>IFERROR(__xludf.DUMMYFUNCTION("""COMPUTED_VALUE"""),"ERROR DE ID")</f>
        <v>ERROR DE ID</v>
      </c>
      <c r="E3735" s="36"/>
      <c r="F3735" s="36"/>
      <c r="G3735" s="36"/>
      <c r="H3735" s="36"/>
    </row>
    <row r="3736">
      <c r="A3736" s="36"/>
      <c r="B3736" s="36" t="str">
        <f>IFERROR(__xludf.DUMMYFUNCTION("""COMPUTED_VALUE"""),"LATITUD")</f>
        <v>LATITUD</v>
      </c>
      <c r="C3736" s="36" t="str">
        <f>IFERROR(__xludf.DUMMYFUNCTION("""COMPUTED_VALUE"""),"LONGITUD")</f>
        <v>LONGITUD</v>
      </c>
      <c r="D3736" s="36" t="str">
        <f>IFERROR(__xludf.DUMMYFUNCTION("""COMPUTED_VALUE"""),"ERROR DE ID")</f>
        <v>ERROR DE ID</v>
      </c>
      <c r="E3736" s="36"/>
      <c r="F3736" s="36"/>
      <c r="G3736" s="36"/>
      <c r="H3736" s="36"/>
    </row>
    <row r="3737">
      <c r="A3737" s="36"/>
      <c r="B3737" s="36" t="str">
        <f>IFERROR(__xludf.DUMMYFUNCTION("""COMPUTED_VALUE"""),"LATITUD")</f>
        <v>LATITUD</v>
      </c>
      <c r="C3737" s="36" t="str">
        <f>IFERROR(__xludf.DUMMYFUNCTION("""COMPUTED_VALUE"""),"LONGITUD")</f>
        <v>LONGITUD</v>
      </c>
      <c r="D3737" s="36" t="str">
        <f>IFERROR(__xludf.DUMMYFUNCTION("""COMPUTED_VALUE"""),"ERROR DE ID")</f>
        <v>ERROR DE ID</v>
      </c>
      <c r="E3737" s="36"/>
      <c r="F3737" s="36"/>
      <c r="G3737" s="36"/>
      <c r="H3737" s="36"/>
    </row>
    <row r="3738">
      <c r="A3738" s="36"/>
      <c r="B3738" s="36" t="str">
        <f>IFERROR(__xludf.DUMMYFUNCTION("""COMPUTED_VALUE"""),"LATITUD")</f>
        <v>LATITUD</v>
      </c>
      <c r="C3738" s="36" t="str">
        <f>IFERROR(__xludf.DUMMYFUNCTION("""COMPUTED_VALUE"""),"LONGITUD")</f>
        <v>LONGITUD</v>
      </c>
      <c r="D3738" s="36" t="str">
        <f>IFERROR(__xludf.DUMMYFUNCTION("""COMPUTED_VALUE"""),"ERROR DE ID")</f>
        <v>ERROR DE ID</v>
      </c>
      <c r="E3738" s="36"/>
      <c r="F3738" s="36"/>
      <c r="G3738" s="36"/>
      <c r="H3738" s="36"/>
    </row>
    <row r="3739">
      <c r="A3739" s="36"/>
      <c r="B3739" s="36" t="str">
        <f>IFERROR(__xludf.DUMMYFUNCTION("""COMPUTED_VALUE"""),"LATITUD")</f>
        <v>LATITUD</v>
      </c>
      <c r="C3739" s="36" t="str">
        <f>IFERROR(__xludf.DUMMYFUNCTION("""COMPUTED_VALUE"""),"LONGITUD")</f>
        <v>LONGITUD</v>
      </c>
      <c r="D3739" s="36" t="str">
        <f>IFERROR(__xludf.DUMMYFUNCTION("""COMPUTED_VALUE"""),"ERROR DE ID")</f>
        <v>ERROR DE ID</v>
      </c>
      <c r="E3739" s="36"/>
      <c r="F3739" s="36"/>
      <c r="G3739" s="36"/>
      <c r="H3739" s="36"/>
    </row>
    <row r="3740">
      <c r="A3740" s="36"/>
      <c r="B3740" s="36" t="str">
        <f>IFERROR(__xludf.DUMMYFUNCTION("""COMPUTED_VALUE"""),"LATITUD")</f>
        <v>LATITUD</v>
      </c>
      <c r="C3740" s="36" t="str">
        <f>IFERROR(__xludf.DUMMYFUNCTION("""COMPUTED_VALUE"""),"LONGITUD")</f>
        <v>LONGITUD</v>
      </c>
      <c r="D3740" s="36" t="str">
        <f>IFERROR(__xludf.DUMMYFUNCTION("""COMPUTED_VALUE"""),"ERROR DE ID")</f>
        <v>ERROR DE ID</v>
      </c>
      <c r="E3740" s="36"/>
      <c r="F3740" s="36"/>
      <c r="G3740" s="36"/>
      <c r="H3740" s="36"/>
    </row>
    <row r="3741">
      <c r="A3741" s="36"/>
      <c r="B3741" s="36" t="str">
        <f>IFERROR(__xludf.DUMMYFUNCTION("""COMPUTED_VALUE"""),"LATITUD")</f>
        <v>LATITUD</v>
      </c>
      <c r="C3741" s="36" t="str">
        <f>IFERROR(__xludf.DUMMYFUNCTION("""COMPUTED_VALUE"""),"LONGITUD")</f>
        <v>LONGITUD</v>
      </c>
      <c r="D3741" s="36" t="str">
        <f>IFERROR(__xludf.DUMMYFUNCTION("""COMPUTED_VALUE"""),"ERROR DE ID")</f>
        <v>ERROR DE ID</v>
      </c>
      <c r="E3741" s="36"/>
      <c r="F3741" s="36"/>
      <c r="G3741" s="36"/>
      <c r="H3741" s="36"/>
    </row>
    <row r="3742">
      <c r="A3742" s="36"/>
      <c r="B3742" s="36" t="str">
        <f>IFERROR(__xludf.DUMMYFUNCTION("""COMPUTED_VALUE"""),"LATITUD")</f>
        <v>LATITUD</v>
      </c>
      <c r="C3742" s="36" t="str">
        <f>IFERROR(__xludf.DUMMYFUNCTION("""COMPUTED_VALUE"""),"LONGITUD")</f>
        <v>LONGITUD</v>
      </c>
      <c r="D3742" s="36" t="str">
        <f>IFERROR(__xludf.DUMMYFUNCTION("""COMPUTED_VALUE"""),"ERROR DE ID")</f>
        <v>ERROR DE ID</v>
      </c>
      <c r="E3742" s="36"/>
      <c r="F3742" s="36"/>
      <c r="G3742" s="36"/>
      <c r="H3742" s="36"/>
    </row>
    <row r="3743">
      <c r="A3743" s="36"/>
      <c r="B3743" s="36" t="str">
        <f>IFERROR(__xludf.DUMMYFUNCTION("""COMPUTED_VALUE"""),"LATITUD")</f>
        <v>LATITUD</v>
      </c>
      <c r="C3743" s="36" t="str">
        <f>IFERROR(__xludf.DUMMYFUNCTION("""COMPUTED_VALUE"""),"LONGITUD")</f>
        <v>LONGITUD</v>
      </c>
      <c r="D3743" s="36" t="str">
        <f>IFERROR(__xludf.DUMMYFUNCTION("""COMPUTED_VALUE"""),"ERROR DE ID")</f>
        <v>ERROR DE ID</v>
      </c>
      <c r="E3743" s="36"/>
      <c r="F3743" s="36"/>
      <c r="G3743" s="36"/>
      <c r="H3743" s="36"/>
    </row>
    <row r="3744">
      <c r="A3744" s="36"/>
      <c r="B3744" s="36" t="str">
        <f>IFERROR(__xludf.DUMMYFUNCTION("""COMPUTED_VALUE"""),"LATITUD")</f>
        <v>LATITUD</v>
      </c>
      <c r="C3744" s="36" t="str">
        <f>IFERROR(__xludf.DUMMYFUNCTION("""COMPUTED_VALUE"""),"LONGITUD")</f>
        <v>LONGITUD</v>
      </c>
      <c r="D3744" s="36" t="str">
        <f>IFERROR(__xludf.DUMMYFUNCTION("""COMPUTED_VALUE"""),"ERROR DE ID")</f>
        <v>ERROR DE ID</v>
      </c>
      <c r="E3744" s="36"/>
      <c r="F3744" s="36"/>
      <c r="G3744" s="36"/>
      <c r="H3744" s="36"/>
    </row>
    <row r="3745">
      <c r="A3745" s="36"/>
      <c r="B3745" s="36" t="str">
        <f>IFERROR(__xludf.DUMMYFUNCTION("""COMPUTED_VALUE"""),"LATITUD")</f>
        <v>LATITUD</v>
      </c>
      <c r="C3745" s="36" t="str">
        <f>IFERROR(__xludf.DUMMYFUNCTION("""COMPUTED_VALUE"""),"LONGITUD")</f>
        <v>LONGITUD</v>
      </c>
      <c r="D3745" s="36" t="str">
        <f>IFERROR(__xludf.DUMMYFUNCTION("""COMPUTED_VALUE"""),"ERROR DE ID")</f>
        <v>ERROR DE ID</v>
      </c>
      <c r="E3745" s="36"/>
      <c r="F3745" s="36"/>
      <c r="G3745" s="36"/>
      <c r="H3745" s="36"/>
    </row>
    <row r="3746">
      <c r="A3746" s="36"/>
      <c r="B3746" s="36" t="str">
        <f>IFERROR(__xludf.DUMMYFUNCTION("""COMPUTED_VALUE"""),"LATITUD")</f>
        <v>LATITUD</v>
      </c>
      <c r="C3746" s="36" t="str">
        <f>IFERROR(__xludf.DUMMYFUNCTION("""COMPUTED_VALUE"""),"LONGITUD")</f>
        <v>LONGITUD</v>
      </c>
      <c r="D3746" s="36" t="str">
        <f>IFERROR(__xludf.DUMMYFUNCTION("""COMPUTED_VALUE"""),"ERROR DE ID")</f>
        <v>ERROR DE ID</v>
      </c>
      <c r="E3746" s="36"/>
      <c r="F3746" s="36"/>
      <c r="G3746" s="36"/>
      <c r="H3746" s="36"/>
    </row>
    <row r="3747">
      <c r="A3747" s="36"/>
      <c r="B3747" s="36" t="str">
        <f>IFERROR(__xludf.DUMMYFUNCTION("""COMPUTED_VALUE"""),"LATITUD")</f>
        <v>LATITUD</v>
      </c>
      <c r="C3747" s="36" t="str">
        <f>IFERROR(__xludf.DUMMYFUNCTION("""COMPUTED_VALUE"""),"LONGITUD")</f>
        <v>LONGITUD</v>
      </c>
      <c r="D3747" s="36" t="str">
        <f>IFERROR(__xludf.DUMMYFUNCTION("""COMPUTED_VALUE"""),"ERROR DE ID")</f>
        <v>ERROR DE ID</v>
      </c>
      <c r="E3747" s="36"/>
      <c r="F3747" s="36"/>
      <c r="G3747" s="36"/>
      <c r="H3747" s="36"/>
    </row>
    <row r="3748">
      <c r="A3748" s="36"/>
      <c r="B3748" s="36" t="str">
        <f>IFERROR(__xludf.DUMMYFUNCTION("""COMPUTED_VALUE"""),"LATITUD")</f>
        <v>LATITUD</v>
      </c>
      <c r="C3748" s="36" t="str">
        <f>IFERROR(__xludf.DUMMYFUNCTION("""COMPUTED_VALUE"""),"LONGITUD")</f>
        <v>LONGITUD</v>
      </c>
      <c r="D3748" s="36" t="str">
        <f>IFERROR(__xludf.DUMMYFUNCTION("""COMPUTED_VALUE"""),"ERROR DE ID")</f>
        <v>ERROR DE ID</v>
      </c>
      <c r="E3748" s="36"/>
      <c r="F3748" s="36"/>
      <c r="G3748" s="36"/>
      <c r="H3748" s="36"/>
    </row>
    <row r="3749">
      <c r="A3749" s="36"/>
      <c r="B3749" s="36" t="str">
        <f>IFERROR(__xludf.DUMMYFUNCTION("""COMPUTED_VALUE"""),"LATITUD")</f>
        <v>LATITUD</v>
      </c>
      <c r="C3749" s="36" t="str">
        <f>IFERROR(__xludf.DUMMYFUNCTION("""COMPUTED_VALUE"""),"LONGITUD")</f>
        <v>LONGITUD</v>
      </c>
      <c r="D3749" s="36" t="str">
        <f>IFERROR(__xludf.DUMMYFUNCTION("""COMPUTED_VALUE"""),"ERROR DE ID")</f>
        <v>ERROR DE ID</v>
      </c>
      <c r="E3749" s="36"/>
      <c r="F3749" s="36"/>
      <c r="G3749" s="36"/>
      <c r="H3749" s="36"/>
    </row>
    <row r="3750">
      <c r="A3750" s="36"/>
      <c r="B3750" s="36" t="str">
        <f>IFERROR(__xludf.DUMMYFUNCTION("""COMPUTED_VALUE"""),"LATITUD")</f>
        <v>LATITUD</v>
      </c>
      <c r="C3750" s="36" t="str">
        <f>IFERROR(__xludf.DUMMYFUNCTION("""COMPUTED_VALUE"""),"LONGITUD")</f>
        <v>LONGITUD</v>
      </c>
      <c r="D3750" s="36" t="str">
        <f>IFERROR(__xludf.DUMMYFUNCTION("""COMPUTED_VALUE"""),"ERROR DE ID")</f>
        <v>ERROR DE ID</v>
      </c>
      <c r="E3750" s="36"/>
      <c r="F3750" s="36"/>
      <c r="G3750" s="36"/>
      <c r="H3750" s="36"/>
    </row>
    <row r="3751">
      <c r="A3751" s="36"/>
      <c r="B3751" s="36" t="str">
        <f>IFERROR(__xludf.DUMMYFUNCTION("""COMPUTED_VALUE"""),"LATITUD")</f>
        <v>LATITUD</v>
      </c>
      <c r="C3751" s="36" t="str">
        <f>IFERROR(__xludf.DUMMYFUNCTION("""COMPUTED_VALUE"""),"LONGITUD")</f>
        <v>LONGITUD</v>
      </c>
      <c r="D3751" s="36" t="str">
        <f>IFERROR(__xludf.DUMMYFUNCTION("""COMPUTED_VALUE"""),"ERROR DE ID")</f>
        <v>ERROR DE ID</v>
      </c>
      <c r="E3751" s="36"/>
      <c r="F3751" s="36"/>
      <c r="G3751" s="36"/>
      <c r="H3751" s="36"/>
    </row>
    <row r="3752">
      <c r="A3752" s="36"/>
      <c r="B3752" s="36" t="str">
        <f>IFERROR(__xludf.DUMMYFUNCTION("""COMPUTED_VALUE"""),"LATITUD")</f>
        <v>LATITUD</v>
      </c>
      <c r="C3752" s="36" t="str">
        <f>IFERROR(__xludf.DUMMYFUNCTION("""COMPUTED_VALUE"""),"LONGITUD")</f>
        <v>LONGITUD</v>
      </c>
      <c r="D3752" s="36" t="str">
        <f>IFERROR(__xludf.DUMMYFUNCTION("""COMPUTED_VALUE"""),"ERROR DE ID")</f>
        <v>ERROR DE ID</v>
      </c>
      <c r="E3752" s="36"/>
      <c r="F3752" s="36"/>
      <c r="G3752" s="36"/>
      <c r="H3752" s="36"/>
    </row>
    <row r="3753">
      <c r="A3753" s="36"/>
      <c r="B3753" s="36" t="str">
        <f>IFERROR(__xludf.DUMMYFUNCTION("""COMPUTED_VALUE"""),"LATITUD")</f>
        <v>LATITUD</v>
      </c>
      <c r="C3753" s="36" t="str">
        <f>IFERROR(__xludf.DUMMYFUNCTION("""COMPUTED_VALUE"""),"LONGITUD")</f>
        <v>LONGITUD</v>
      </c>
      <c r="D3753" s="36" t="str">
        <f>IFERROR(__xludf.DUMMYFUNCTION("""COMPUTED_VALUE"""),"ERROR DE ID")</f>
        <v>ERROR DE ID</v>
      </c>
      <c r="E3753" s="36"/>
      <c r="F3753" s="36"/>
      <c r="G3753" s="36"/>
      <c r="H3753" s="36"/>
    </row>
    <row r="3754">
      <c r="A3754" s="36"/>
      <c r="B3754" s="36" t="str">
        <f>IFERROR(__xludf.DUMMYFUNCTION("""COMPUTED_VALUE"""),"LATITUD")</f>
        <v>LATITUD</v>
      </c>
      <c r="C3754" s="36" t="str">
        <f>IFERROR(__xludf.DUMMYFUNCTION("""COMPUTED_VALUE"""),"LONGITUD")</f>
        <v>LONGITUD</v>
      </c>
      <c r="D3754" s="36" t="str">
        <f>IFERROR(__xludf.DUMMYFUNCTION("""COMPUTED_VALUE"""),"ERROR DE ID")</f>
        <v>ERROR DE ID</v>
      </c>
      <c r="E3754" s="36"/>
      <c r="F3754" s="36"/>
      <c r="G3754" s="36"/>
      <c r="H3754" s="36"/>
    </row>
    <row r="3755">
      <c r="A3755" s="36"/>
      <c r="B3755" s="36" t="str">
        <f>IFERROR(__xludf.DUMMYFUNCTION("""COMPUTED_VALUE"""),"LATITUD")</f>
        <v>LATITUD</v>
      </c>
      <c r="C3755" s="36" t="str">
        <f>IFERROR(__xludf.DUMMYFUNCTION("""COMPUTED_VALUE"""),"LONGITUD")</f>
        <v>LONGITUD</v>
      </c>
      <c r="D3755" s="36" t="str">
        <f>IFERROR(__xludf.DUMMYFUNCTION("""COMPUTED_VALUE"""),"ERROR DE ID")</f>
        <v>ERROR DE ID</v>
      </c>
      <c r="E3755" s="36"/>
      <c r="F3755" s="36"/>
      <c r="G3755" s="36"/>
      <c r="H3755" s="36"/>
    </row>
    <row r="3756">
      <c r="A3756" s="36"/>
      <c r="B3756" s="36" t="str">
        <f>IFERROR(__xludf.DUMMYFUNCTION("""COMPUTED_VALUE"""),"LATITUD")</f>
        <v>LATITUD</v>
      </c>
      <c r="C3756" s="36" t="str">
        <f>IFERROR(__xludf.DUMMYFUNCTION("""COMPUTED_VALUE"""),"LONGITUD")</f>
        <v>LONGITUD</v>
      </c>
      <c r="D3756" s="36" t="str">
        <f>IFERROR(__xludf.DUMMYFUNCTION("""COMPUTED_VALUE"""),"ERROR DE ID")</f>
        <v>ERROR DE ID</v>
      </c>
      <c r="E3756" s="36"/>
      <c r="F3756" s="36"/>
      <c r="G3756" s="36"/>
      <c r="H3756" s="36"/>
    </row>
    <row r="3757">
      <c r="A3757" s="36"/>
      <c r="B3757" s="36" t="str">
        <f>IFERROR(__xludf.DUMMYFUNCTION("""COMPUTED_VALUE"""),"LATITUD")</f>
        <v>LATITUD</v>
      </c>
      <c r="C3757" s="36" t="str">
        <f>IFERROR(__xludf.DUMMYFUNCTION("""COMPUTED_VALUE"""),"LONGITUD")</f>
        <v>LONGITUD</v>
      </c>
      <c r="D3757" s="36" t="str">
        <f>IFERROR(__xludf.DUMMYFUNCTION("""COMPUTED_VALUE"""),"ERROR DE ID")</f>
        <v>ERROR DE ID</v>
      </c>
      <c r="E3757" s="36"/>
      <c r="F3757" s="36"/>
      <c r="G3757" s="36"/>
      <c r="H3757" s="36"/>
    </row>
    <row r="3758">
      <c r="A3758" s="36"/>
      <c r="B3758" s="36" t="str">
        <f>IFERROR(__xludf.DUMMYFUNCTION("""COMPUTED_VALUE"""),"LATITUD")</f>
        <v>LATITUD</v>
      </c>
      <c r="C3758" s="36" t="str">
        <f>IFERROR(__xludf.DUMMYFUNCTION("""COMPUTED_VALUE"""),"LONGITUD")</f>
        <v>LONGITUD</v>
      </c>
      <c r="D3758" s="36" t="str">
        <f>IFERROR(__xludf.DUMMYFUNCTION("""COMPUTED_VALUE"""),"ERROR DE ID")</f>
        <v>ERROR DE ID</v>
      </c>
      <c r="E3758" s="36"/>
      <c r="F3758" s="36"/>
      <c r="G3758" s="36"/>
      <c r="H3758" s="36"/>
    </row>
    <row r="3759">
      <c r="A3759" s="36"/>
      <c r="B3759" s="36" t="str">
        <f>IFERROR(__xludf.DUMMYFUNCTION("""COMPUTED_VALUE"""),"LATITUD")</f>
        <v>LATITUD</v>
      </c>
      <c r="C3759" s="36" t="str">
        <f>IFERROR(__xludf.DUMMYFUNCTION("""COMPUTED_VALUE"""),"LONGITUD")</f>
        <v>LONGITUD</v>
      </c>
      <c r="D3759" s="36" t="str">
        <f>IFERROR(__xludf.DUMMYFUNCTION("""COMPUTED_VALUE"""),"ERROR DE ID")</f>
        <v>ERROR DE ID</v>
      </c>
      <c r="E3759" s="36"/>
      <c r="F3759" s="36"/>
      <c r="G3759" s="36"/>
      <c r="H3759" s="36"/>
    </row>
    <row r="3760">
      <c r="A3760" s="36"/>
      <c r="B3760" s="36" t="str">
        <f>IFERROR(__xludf.DUMMYFUNCTION("""COMPUTED_VALUE"""),"LATITUD")</f>
        <v>LATITUD</v>
      </c>
      <c r="C3760" s="36" t="str">
        <f>IFERROR(__xludf.DUMMYFUNCTION("""COMPUTED_VALUE"""),"LONGITUD")</f>
        <v>LONGITUD</v>
      </c>
      <c r="D3760" s="36" t="str">
        <f>IFERROR(__xludf.DUMMYFUNCTION("""COMPUTED_VALUE"""),"ERROR DE ID")</f>
        <v>ERROR DE ID</v>
      </c>
      <c r="E3760" s="36"/>
      <c r="F3760" s="36"/>
      <c r="G3760" s="36"/>
      <c r="H3760" s="36"/>
    </row>
    <row r="3761">
      <c r="A3761" s="36"/>
      <c r="B3761" s="36" t="str">
        <f>IFERROR(__xludf.DUMMYFUNCTION("""COMPUTED_VALUE"""),"LATITUD")</f>
        <v>LATITUD</v>
      </c>
      <c r="C3761" s="36" t="str">
        <f>IFERROR(__xludf.DUMMYFUNCTION("""COMPUTED_VALUE"""),"LONGITUD")</f>
        <v>LONGITUD</v>
      </c>
      <c r="D3761" s="36" t="str">
        <f>IFERROR(__xludf.DUMMYFUNCTION("""COMPUTED_VALUE"""),"ERROR DE ID")</f>
        <v>ERROR DE ID</v>
      </c>
      <c r="E3761" s="36"/>
      <c r="F3761" s="36"/>
      <c r="G3761" s="36"/>
      <c r="H3761" s="36"/>
    </row>
    <row r="3762">
      <c r="A3762" s="36"/>
      <c r="B3762" s="36" t="str">
        <f>IFERROR(__xludf.DUMMYFUNCTION("""COMPUTED_VALUE"""),"LATITUD")</f>
        <v>LATITUD</v>
      </c>
      <c r="C3762" s="36" t="str">
        <f>IFERROR(__xludf.DUMMYFUNCTION("""COMPUTED_VALUE"""),"LONGITUD")</f>
        <v>LONGITUD</v>
      </c>
      <c r="D3762" s="36" t="str">
        <f>IFERROR(__xludf.DUMMYFUNCTION("""COMPUTED_VALUE"""),"ERROR DE ID")</f>
        <v>ERROR DE ID</v>
      </c>
      <c r="E3762" s="36"/>
      <c r="F3762" s="36"/>
      <c r="G3762" s="36"/>
      <c r="H3762" s="36"/>
    </row>
    <row r="3763">
      <c r="A3763" s="36"/>
      <c r="B3763" s="36" t="str">
        <f>IFERROR(__xludf.DUMMYFUNCTION("""COMPUTED_VALUE"""),"LATITUD")</f>
        <v>LATITUD</v>
      </c>
      <c r="C3763" s="36" t="str">
        <f>IFERROR(__xludf.DUMMYFUNCTION("""COMPUTED_VALUE"""),"LONGITUD")</f>
        <v>LONGITUD</v>
      </c>
      <c r="D3763" s="36" t="str">
        <f>IFERROR(__xludf.DUMMYFUNCTION("""COMPUTED_VALUE"""),"ERROR DE ID")</f>
        <v>ERROR DE ID</v>
      </c>
      <c r="E3763" s="36"/>
      <c r="F3763" s="36"/>
      <c r="G3763" s="36"/>
      <c r="H3763" s="36"/>
    </row>
    <row r="3764">
      <c r="A3764" s="36"/>
      <c r="B3764" s="36" t="str">
        <f>IFERROR(__xludf.DUMMYFUNCTION("""COMPUTED_VALUE"""),"LATITUD")</f>
        <v>LATITUD</v>
      </c>
      <c r="C3764" s="36" t="str">
        <f>IFERROR(__xludf.DUMMYFUNCTION("""COMPUTED_VALUE"""),"LONGITUD")</f>
        <v>LONGITUD</v>
      </c>
      <c r="D3764" s="36" t="str">
        <f>IFERROR(__xludf.DUMMYFUNCTION("""COMPUTED_VALUE"""),"ERROR DE ID")</f>
        <v>ERROR DE ID</v>
      </c>
      <c r="E3764" s="36"/>
      <c r="F3764" s="36"/>
      <c r="G3764" s="36"/>
      <c r="H3764" s="36"/>
    </row>
    <row r="3765">
      <c r="A3765" s="36"/>
      <c r="B3765" s="36" t="str">
        <f>IFERROR(__xludf.DUMMYFUNCTION("""COMPUTED_VALUE"""),"LATITUD")</f>
        <v>LATITUD</v>
      </c>
      <c r="C3765" s="36" t="str">
        <f>IFERROR(__xludf.DUMMYFUNCTION("""COMPUTED_VALUE"""),"LONGITUD")</f>
        <v>LONGITUD</v>
      </c>
      <c r="D3765" s="36" t="str">
        <f>IFERROR(__xludf.DUMMYFUNCTION("""COMPUTED_VALUE"""),"ERROR DE ID")</f>
        <v>ERROR DE ID</v>
      </c>
      <c r="E3765" s="36"/>
      <c r="F3765" s="36"/>
      <c r="G3765" s="36"/>
      <c r="H3765" s="36"/>
    </row>
    <row r="3766">
      <c r="A3766" s="36"/>
      <c r="B3766" s="36" t="str">
        <f>IFERROR(__xludf.DUMMYFUNCTION("""COMPUTED_VALUE"""),"LATITUD")</f>
        <v>LATITUD</v>
      </c>
      <c r="C3766" s="36" t="str">
        <f>IFERROR(__xludf.DUMMYFUNCTION("""COMPUTED_VALUE"""),"LONGITUD")</f>
        <v>LONGITUD</v>
      </c>
      <c r="D3766" s="36" t="str">
        <f>IFERROR(__xludf.DUMMYFUNCTION("""COMPUTED_VALUE"""),"ERROR DE ID")</f>
        <v>ERROR DE ID</v>
      </c>
      <c r="E3766" s="36"/>
      <c r="F3766" s="36"/>
      <c r="G3766" s="36"/>
      <c r="H3766" s="36"/>
    </row>
    <row r="3767">
      <c r="A3767" s="36"/>
      <c r="B3767" s="36" t="str">
        <f>IFERROR(__xludf.DUMMYFUNCTION("""COMPUTED_VALUE"""),"LATITUD")</f>
        <v>LATITUD</v>
      </c>
      <c r="C3767" s="36" t="str">
        <f>IFERROR(__xludf.DUMMYFUNCTION("""COMPUTED_VALUE"""),"LONGITUD")</f>
        <v>LONGITUD</v>
      </c>
      <c r="D3767" s="36" t="str">
        <f>IFERROR(__xludf.DUMMYFUNCTION("""COMPUTED_VALUE"""),"ERROR DE ID")</f>
        <v>ERROR DE ID</v>
      </c>
      <c r="E3767" s="36"/>
      <c r="F3767" s="36"/>
      <c r="G3767" s="36"/>
      <c r="H3767" s="36"/>
    </row>
    <row r="3768">
      <c r="A3768" s="36"/>
      <c r="B3768" s="36" t="str">
        <f>IFERROR(__xludf.DUMMYFUNCTION("""COMPUTED_VALUE"""),"LATITUD")</f>
        <v>LATITUD</v>
      </c>
      <c r="C3768" s="36" t="str">
        <f>IFERROR(__xludf.DUMMYFUNCTION("""COMPUTED_VALUE"""),"LONGITUD")</f>
        <v>LONGITUD</v>
      </c>
      <c r="D3768" s="36" t="str">
        <f>IFERROR(__xludf.DUMMYFUNCTION("""COMPUTED_VALUE"""),"ERROR DE ID")</f>
        <v>ERROR DE ID</v>
      </c>
      <c r="E3768" s="36"/>
      <c r="F3768" s="36"/>
      <c r="G3768" s="36"/>
      <c r="H3768" s="36"/>
    </row>
    <row r="3769">
      <c r="A3769" s="36"/>
      <c r="B3769" s="36" t="str">
        <f>IFERROR(__xludf.DUMMYFUNCTION("""COMPUTED_VALUE"""),"LATITUD")</f>
        <v>LATITUD</v>
      </c>
      <c r="C3769" s="36" t="str">
        <f>IFERROR(__xludf.DUMMYFUNCTION("""COMPUTED_VALUE"""),"LONGITUD")</f>
        <v>LONGITUD</v>
      </c>
      <c r="D3769" s="36" t="str">
        <f>IFERROR(__xludf.DUMMYFUNCTION("""COMPUTED_VALUE"""),"ERROR DE ID")</f>
        <v>ERROR DE ID</v>
      </c>
      <c r="E3769" s="36"/>
      <c r="F3769" s="36"/>
      <c r="G3769" s="36"/>
      <c r="H3769" s="36"/>
    </row>
    <row r="3770">
      <c r="A3770" s="36"/>
      <c r="B3770" s="36" t="str">
        <f>IFERROR(__xludf.DUMMYFUNCTION("""COMPUTED_VALUE"""),"LATITUD")</f>
        <v>LATITUD</v>
      </c>
      <c r="C3770" s="36" t="str">
        <f>IFERROR(__xludf.DUMMYFUNCTION("""COMPUTED_VALUE"""),"LONGITUD")</f>
        <v>LONGITUD</v>
      </c>
      <c r="D3770" s="36" t="str">
        <f>IFERROR(__xludf.DUMMYFUNCTION("""COMPUTED_VALUE"""),"ERROR DE ID")</f>
        <v>ERROR DE ID</v>
      </c>
      <c r="E3770" s="36"/>
      <c r="F3770" s="36"/>
      <c r="G3770" s="36"/>
      <c r="H3770" s="36"/>
    </row>
    <row r="3771">
      <c r="A3771" s="36"/>
      <c r="B3771" s="36" t="str">
        <f>IFERROR(__xludf.DUMMYFUNCTION("""COMPUTED_VALUE"""),"LATITUD")</f>
        <v>LATITUD</v>
      </c>
      <c r="C3771" s="36" t="str">
        <f>IFERROR(__xludf.DUMMYFUNCTION("""COMPUTED_VALUE"""),"LONGITUD")</f>
        <v>LONGITUD</v>
      </c>
      <c r="D3771" s="36" t="str">
        <f>IFERROR(__xludf.DUMMYFUNCTION("""COMPUTED_VALUE"""),"ERROR DE ID")</f>
        <v>ERROR DE ID</v>
      </c>
      <c r="E3771" s="36"/>
      <c r="F3771" s="36"/>
      <c r="G3771" s="36"/>
      <c r="H3771" s="36"/>
    </row>
    <row r="3772">
      <c r="A3772" s="36"/>
      <c r="B3772" s="36" t="str">
        <f>IFERROR(__xludf.DUMMYFUNCTION("""COMPUTED_VALUE"""),"LATITUD")</f>
        <v>LATITUD</v>
      </c>
      <c r="C3772" s="36" t="str">
        <f>IFERROR(__xludf.DUMMYFUNCTION("""COMPUTED_VALUE"""),"LONGITUD")</f>
        <v>LONGITUD</v>
      </c>
      <c r="D3772" s="36" t="str">
        <f>IFERROR(__xludf.DUMMYFUNCTION("""COMPUTED_VALUE"""),"ERROR DE ID")</f>
        <v>ERROR DE ID</v>
      </c>
      <c r="E3772" s="36"/>
      <c r="F3772" s="36"/>
      <c r="G3772" s="36"/>
      <c r="H3772" s="36"/>
    </row>
    <row r="3773">
      <c r="A3773" s="36"/>
      <c r="B3773" s="36" t="str">
        <f>IFERROR(__xludf.DUMMYFUNCTION("""COMPUTED_VALUE"""),"LATITUD")</f>
        <v>LATITUD</v>
      </c>
      <c r="C3773" s="36" t="str">
        <f>IFERROR(__xludf.DUMMYFUNCTION("""COMPUTED_VALUE"""),"LONGITUD")</f>
        <v>LONGITUD</v>
      </c>
      <c r="D3773" s="36" t="str">
        <f>IFERROR(__xludf.DUMMYFUNCTION("""COMPUTED_VALUE"""),"ERROR DE ID")</f>
        <v>ERROR DE ID</v>
      </c>
      <c r="E3773" s="36"/>
      <c r="F3773" s="36"/>
      <c r="G3773" s="36"/>
      <c r="H3773" s="36"/>
    </row>
    <row r="3774">
      <c r="A3774" s="36"/>
      <c r="B3774" s="36" t="str">
        <f>IFERROR(__xludf.DUMMYFUNCTION("""COMPUTED_VALUE"""),"LATITUD")</f>
        <v>LATITUD</v>
      </c>
      <c r="C3774" s="36" t="str">
        <f>IFERROR(__xludf.DUMMYFUNCTION("""COMPUTED_VALUE"""),"LONGITUD")</f>
        <v>LONGITUD</v>
      </c>
      <c r="D3774" s="36" t="str">
        <f>IFERROR(__xludf.DUMMYFUNCTION("""COMPUTED_VALUE"""),"ERROR DE ID")</f>
        <v>ERROR DE ID</v>
      </c>
      <c r="E3774" s="36"/>
      <c r="F3774" s="36"/>
      <c r="G3774" s="36"/>
      <c r="H3774" s="36"/>
    </row>
    <row r="3775">
      <c r="A3775" s="36"/>
      <c r="B3775" s="36" t="str">
        <f>IFERROR(__xludf.DUMMYFUNCTION("""COMPUTED_VALUE"""),"LATITUD")</f>
        <v>LATITUD</v>
      </c>
      <c r="C3775" s="36" t="str">
        <f>IFERROR(__xludf.DUMMYFUNCTION("""COMPUTED_VALUE"""),"LONGITUD")</f>
        <v>LONGITUD</v>
      </c>
      <c r="D3775" s="36" t="str">
        <f>IFERROR(__xludf.DUMMYFUNCTION("""COMPUTED_VALUE"""),"ERROR DE ID")</f>
        <v>ERROR DE ID</v>
      </c>
      <c r="E3775" s="36"/>
      <c r="F3775" s="36"/>
      <c r="G3775" s="36"/>
      <c r="H3775" s="36"/>
    </row>
    <row r="3776">
      <c r="A3776" s="36"/>
      <c r="B3776" s="36" t="str">
        <f>IFERROR(__xludf.DUMMYFUNCTION("""COMPUTED_VALUE"""),"LATITUD")</f>
        <v>LATITUD</v>
      </c>
      <c r="C3776" s="36" t="str">
        <f>IFERROR(__xludf.DUMMYFUNCTION("""COMPUTED_VALUE"""),"LONGITUD")</f>
        <v>LONGITUD</v>
      </c>
      <c r="D3776" s="36" t="str">
        <f>IFERROR(__xludf.DUMMYFUNCTION("""COMPUTED_VALUE"""),"ERROR DE ID")</f>
        <v>ERROR DE ID</v>
      </c>
      <c r="E3776" s="36"/>
      <c r="F3776" s="36"/>
      <c r="G3776" s="36"/>
      <c r="H3776" s="36"/>
    </row>
    <row r="3777">
      <c r="A3777" s="36"/>
      <c r="B3777" s="36" t="str">
        <f>IFERROR(__xludf.DUMMYFUNCTION("""COMPUTED_VALUE"""),"LATITUD")</f>
        <v>LATITUD</v>
      </c>
      <c r="C3777" s="36" t="str">
        <f>IFERROR(__xludf.DUMMYFUNCTION("""COMPUTED_VALUE"""),"LONGITUD")</f>
        <v>LONGITUD</v>
      </c>
      <c r="D3777" s="36" t="str">
        <f>IFERROR(__xludf.DUMMYFUNCTION("""COMPUTED_VALUE"""),"ERROR DE ID")</f>
        <v>ERROR DE ID</v>
      </c>
      <c r="E3777" s="36"/>
      <c r="F3777" s="36"/>
      <c r="G3777" s="36"/>
      <c r="H3777" s="36"/>
    </row>
    <row r="3778">
      <c r="A3778" s="36"/>
      <c r="B3778" s="36" t="str">
        <f>IFERROR(__xludf.DUMMYFUNCTION("""COMPUTED_VALUE"""),"LATITUD")</f>
        <v>LATITUD</v>
      </c>
      <c r="C3778" s="36" t="str">
        <f>IFERROR(__xludf.DUMMYFUNCTION("""COMPUTED_VALUE"""),"LONGITUD")</f>
        <v>LONGITUD</v>
      </c>
      <c r="D3778" s="36" t="str">
        <f>IFERROR(__xludf.DUMMYFUNCTION("""COMPUTED_VALUE"""),"ERROR DE ID")</f>
        <v>ERROR DE ID</v>
      </c>
      <c r="E3778" s="36"/>
      <c r="F3778" s="36"/>
      <c r="G3778" s="36"/>
      <c r="H3778" s="36"/>
    </row>
    <row r="3779">
      <c r="A3779" s="36"/>
      <c r="B3779" s="36" t="str">
        <f>IFERROR(__xludf.DUMMYFUNCTION("""COMPUTED_VALUE"""),"LATITUD")</f>
        <v>LATITUD</v>
      </c>
      <c r="C3779" s="36" t="str">
        <f>IFERROR(__xludf.DUMMYFUNCTION("""COMPUTED_VALUE"""),"LONGITUD")</f>
        <v>LONGITUD</v>
      </c>
      <c r="D3779" s="36" t="str">
        <f>IFERROR(__xludf.DUMMYFUNCTION("""COMPUTED_VALUE"""),"ERROR DE ID")</f>
        <v>ERROR DE ID</v>
      </c>
      <c r="E3779" s="36"/>
      <c r="F3779" s="36"/>
      <c r="G3779" s="36"/>
      <c r="H3779" s="36"/>
    </row>
    <row r="3780">
      <c r="A3780" s="36"/>
      <c r="B3780" s="36" t="str">
        <f>IFERROR(__xludf.DUMMYFUNCTION("""COMPUTED_VALUE"""),"LATITUD")</f>
        <v>LATITUD</v>
      </c>
      <c r="C3780" s="36" t="str">
        <f>IFERROR(__xludf.DUMMYFUNCTION("""COMPUTED_VALUE"""),"LONGITUD")</f>
        <v>LONGITUD</v>
      </c>
      <c r="D3780" s="36" t="str">
        <f>IFERROR(__xludf.DUMMYFUNCTION("""COMPUTED_VALUE"""),"ERROR DE ID")</f>
        <v>ERROR DE ID</v>
      </c>
      <c r="E3780" s="36"/>
      <c r="F3780" s="36"/>
      <c r="G3780" s="36"/>
      <c r="H3780" s="36"/>
    </row>
    <row r="3781">
      <c r="A3781" s="36"/>
      <c r="B3781" s="36" t="str">
        <f>IFERROR(__xludf.DUMMYFUNCTION("""COMPUTED_VALUE"""),"LATITUD")</f>
        <v>LATITUD</v>
      </c>
      <c r="C3781" s="36" t="str">
        <f>IFERROR(__xludf.DUMMYFUNCTION("""COMPUTED_VALUE"""),"LONGITUD")</f>
        <v>LONGITUD</v>
      </c>
      <c r="D3781" s="36" t="str">
        <f>IFERROR(__xludf.DUMMYFUNCTION("""COMPUTED_VALUE"""),"ERROR DE ID")</f>
        <v>ERROR DE ID</v>
      </c>
      <c r="E3781" s="36"/>
      <c r="F3781" s="36"/>
      <c r="G3781" s="36"/>
      <c r="H3781" s="36"/>
    </row>
    <row r="3782">
      <c r="A3782" s="36"/>
      <c r="B3782" s="36" t="str">
        <f>IFERROR(__xludf.DUMMYFUNCTION("""COMPUTED_VALUE"""),"LATITUD")</f>
        <v>LATITUD</v>
      </c>
      <c r="C3782" s="36" t="str">
        <f>IFERROR(__xludf.DUMMYFUNCTION("""COMPUTED_VALUE"""),"LONGITUD")</f>
        <v>LONGITUD</v>
      </c>
      <c r="D3782" s="36" t="str">
        <f>IFERROR(__xludf.DUMMYFUNCTION("""COMPUTED_VALUE"""),"ERROR DE ID")</f>
        <v>ERROR DE ID</v>
      </c>
      <c r="E3782" s="36"/>
      <c r="F3782" s="36"/>
      <c r="G3782" s="36"/>
      <c r="H3782" s="36"/>
    </row>
    <row r="3783">
      <c r="A3783" s="36"/>
      <c r="B3783" s="36" t="str">
        <f>IFERROR(__xludf.DUMMYFUNCTION("""COMPUTED_VALUE"""),"LATITUD")</f>
        <v>LATITUD</v>
      </c>
      <c r="C3783" s="36" t="str">
        <f>IFERROR(__xludf.DUMMYFUNCTION("""COMPUTED_VALUE"""),"LONGITUD")</f>
        <v>LONGITUD</v>
      </c>
      <c r="D3783" s="36" t="str">
        <f>IFERROR(__xludf.DUMMYFUNCTION("""COMPUTED_VALUE"""),"ERROR DE ID")</f>
        <v>ERROR DE ID</v>
      </c>
      <c r="E3783" s="36"/>
      <c r="F3783" s="36"/>
      <c r="G3783" s="36"/>
      <c r="H3783" s="36"/>
    </row>
    <row r="3784">
      <c r="A3784" s="36"/>
      <c r="B3784" s="36" t="str">
        <f>IFERROR(__xludf.DUMMYFUNCTION("""COMPUTED_VALUE"""),"LATITUD")</f>
        <v>LATITUD</v>
      </c>
      <c r="C3784" s="36" t="str">
        <f>IFERROR(__xludf.DUMMYFUNCTION("""COMPUTED_VALUE"""),"LONGITUD")</f>
        <v>LONGITUD</v>
      </c>
      <c r="D3784" s="36" t="str">
        <f>IFERROR(__xludf.DUMMYFUNCTION("""COMPUTED_VALUE"""),"ERROR DE ID")</f>
        <v>ERROR DE ID</v>
      </c>
      <c r="E3784" s="36"/>
      <c r="F3784" s="36"/>
      <c r="G3784" s="36"/>
      <c r="H3784" s="36"/>
    </row>
    <row r="3785">
      <c r="A3785" s="36"/>
      <c r="B3785" s="36" t="str">
        <f>IFERROR(__xludf.DUMMYFUNCTION("""COMPUTED_VALUE"""),"LATITUD")</f>
        <v>LATITUD</v>
      </c>
      <c r="C3785" s="36" t="str">
        <f>IFERROR(__xludf.DUMMYFUNCTION("""COMPUTED_VALUE"""),"LONGITUD")</f>
        <v>LONGITUD</v>
      </c>
      <c r="D3785" s="36" t="str">
        <f>IFERROR(__xludf.DUMMYFUNCTION("""COMPUTED_VALUE"""),"ERROR DE ID")</f>
        <v>ERROR DE ID</v>
      </c>
      <c r="E3785" s="36"/>
      <c r="F3785" s="36"/>
      <c r="G3785" s="36"/>
      <c r="H3785" s="36"/>
    </row>
    <row r="3786">
      <c r="A3786" s="36"/>
      <c r="B3786" s="36" t="str">
        <f>IFERROR(__xludf.DUMMYFUNCTION("""COMPUTED_VALUE"""),"LATITUD")</f>
        <v>LATITUD</v>
      </c>
      <c r="C3786" s="36" t="str">
        <f>IFERROR(__xludf.DUMMYFUNCTION("""COMPUTED_VALUE"""),"LONGITUD")</f>
        <v>LONGITUD</v>
      </c>
      <c r="D3786" s="36" t="str">
        <f>IFERROR(__xludf.DUMMYFUNCTION("""COMPUTED_VALUE"""),"ERROR DE ID")</f>
        <v>ERROR DE ID</v>
      </c>
      <c r="E3786" s="36"/>
      <c r="F3786" s="36"/>
      <c r="G3786" s="36"/>
      <c r="H3786" s="36"/>
    </row>
    <row r="3787">
      <c r="A3787" s="36"/>
      <c r="B3787" s="36" t="str">
        <f>IFERROR(__xludf.DUMMYFUNCTION("""COMPUTED_VALUE"""),"LATITUD")</f>
        <v>LATITUD</v>
      </c>
      <c r="C3787" s="36" t="str">
        <f>IFERROR(__xludf.DUMMYFUNCTION("""COMPUTED_VALUE"""),"LONGITUD")</f>
        <v>LONGITUD</v>
      </c>
      <c r="D3787" s="36" t="str">
        <f>IFERROR(__xludf.DUMMYFUNCTION("""COMPUTED_VALUE"""),"ERROR DE ID")</f>
        <v>ERROR DE ID</v>
      </c>
      <c r="E3787" s="36"/>
      <c r="F3787" s="36"/>
      <c r="G3787" s="36"/>
      <c r="H3787" s="36"/>
    </row>
    <row r="3788">
      <c r="A3788" s="36"/>
      <c r="B3788" s="36" t="str">
        <f>IFERROR(__xludf.DUMMYFUNCTION("""COMPUTED_VALUE"""),"LATITUD")</f>
        <v>LATITUD</v>
      </c>
      <c r="C3788" s="36" t="str">
        <f>IFERROR(__xludf.DUMMYFUNCTION("""COMPUTED_VALUE"""),"LONGITUD")</f>
        <v>LONGITUD</v>
      </c>
      <c r="D3788" s="36" t="str">
        <f>IFERROR(__xludf.DUMMYFUNCTION("""COMPUTED_VALUE"""),"ERROR DE ID")</f>
        <v>ERROR DE ID</v>
      </c>
      <c r="E3788" s="36"/>
      <c r="F3788" s="36"/>
      <c r="G3788" s="36"/>
      <c r="H3788" s="36"/>
    </row>
    <row r="3789">
      <c r="A3789" s="36"/>
      <c r="B3789" s="36" t="str">
        <f>IFERROR(__xludf.DUMMYFUNCTION("""COMPUTED_VALUE"""),"LATITUD")</f>
        <v>LATITUD</v>
      </c>
      <c r="C3789" s="36" t="str">
        <f>IFERROR(__xludf.DUMMYFUNCTION("""COMPUTED_VALUE"""),"LONGITUD")</f>
        <v>LONGITUD</v>
      </c>
      <c r="D3789" s="36" t="str">
        <f>IFERROR(__xludf.DUMMYFUNCTION("""COMPUTED_VALUE"""),"ERROR DE ID")</f>
        <v>ERROR DE ID</v>
      </c>
      <c r="E3789" s="36"/>
      <c r="F3789" s="36"/>
      <c r="G3789" s="36"/>
      <c r="H3789" s="36"/>
    </row>
    <row r="3790">
      <c r="A3790" s="36"/>
      <c r="B3790" s="36" t="str">
        <f>IFERROR(__xludf.DUMMYFUNCTION("""COMPUTED_VALUE"""),"LATITUD")</f>
        <v>LATITUD</v>
      </c>
      <c r="C3790" s="36" t="str">
        <f>IFERROR(__xludf.DUMMYFUNCTION("""COMPUTED_VALUE"""),"LONGITUD")</f>
        <v>LONGITUD</v>
      </c>
      <c r="D3790" s="36" t="str">
        <f>IFERROR(__xludf.DUMMYFUNCTION("""COMPUTED_VALUE"""),"ERROR DE ID")</f>
        <v>ERROR DE ID</v>
      </c>
      <c r="E3790" s="36"/>
      <c r="F3790" s="36"/>
      <c r="G3790" s="36"/>
      <c r="H3790" s="36"/>
    </row>
    <row r="3791">
      <c r="A3791" s="36"/>
      <c r="B3791" s="36" t="str">
        <f>IFERROR(__xludf.DUMMYFUNCTION("""COMPUTED_VALUE"""),"LATITUD")</f>
        <v>LATITUD</v>
      </c>
      <c r="C3791" s="36" t="str">
        <f>IFERROR(__xludf.DUMMYFUNCTION("""COMPUTED_VALUE"""),"LONGITUD")</f>
        <v>LONGITUD</v>
      </c>
      <c r="D3791" s="36" t="str">
        <f>IFERROR(__xludf.DUMMYFUNCTION("""COMPUTED_VALUE"""),"ERROR DE ID")</f>
        <v>ERROR DE ID</v>
      </c>
      <c r="E3791" s="36"/>
      <c r="F3791" s="36"/>
      <c r="G3791" s="36"/>
      <c r="H3791" s="36"/>
    </row>
    <row r="3792">
      <c r="A3792" s="36"/>
      <c r="B3792" s="36" t="str">
        <f>IFERROR(__xludf.DUMMYFUNCTION("""COMPUTED_VALUE"""),"LATITUD")</f>
        <v>LATITUD</v>
      </c>
      <c r="C3792" s="36" t="str">
        <f>IFERROR(__xludf.DUMMYFUNCTION("""COMPUTED_VALUE"""),"LONGITUD")</f>
        <v>LONGITUD</v>
      </c>
      <c r="D3792" s="36" t="str">
        <f>IFERROR(__xludf.DUMMYFUNCTION("""COMPUTED_VALUE"""),"ERROR DE ID")</f>
        <v>ERROR DE ID</v>
      </c>
      <c r="E3792" s="36"/>
      <c r="F3792" s="36"/>
      <c r="G3792" s="36"/>
      <c r="H3792" s="36"/>
    </row>
    <row r="3793">
      <c r="A3793" s="36"/>
      <c r="B3793" s="36" t="str">
        <f>IFERROR(__xludf.DUMMYFUNCTION("""COMPUTED_VALUE"""),"LATITUD")</f>
        <v>LATITUD</v>
      </c>
      <c r="C3793" s="36" t="str">
        <f>IFERROR(__xludf.DUMMYFUNCTION("""COMPUTED_VALUE"""),"LONGITUD")</f>
        <v>LONGITUD</v>
      </c>
      <c r="D3793" s="36" t="str">
        <f>IFERROR(__xludf.DUMMYFUNCTION("""COMPUTED_VALUE"""),"ERROR DE ID")</f>
        <v>ERROR DE ID</v>
      </c>
      <c r="E3793" s="36"/>
      <c r="F3793" s="36"/>
      <c r="G3793" s="36"/>
      <c r="H3793" s="36"/>
    </row>
    <row r="3794">
      <c r="A3794" s="36"/>
      <c r="B3794" s="36" t="str">
        <f>IFERROR(__xludf.DUMMYFUNCTION("""COMPUTED_VALUE"""),"LATITUD")</f>
        <v>LATITUD</v>
      </c>
      <c r="C3794" s="36" t="str">
        <f>IFERROR(__xludf.DUMMYFUNCTION("""COMPUTED_VALUE"""),"LONGITUD")</f>
        <v>LONGITUD</v>
      </c>
      <c r="D3794" s="36" t="str">
        <f>IFERROR(__xludf.DUMMYFUNCTION("""COMPUTED_VALUE"""),"ERROR DE ID")</f>
        <v>ERROR DE ID</v>
      </c>
      <c r="E3794" s="36"/>
      <c r="F3794" s="36"/>
      <c r="G3794" s="36"/>
      <c r="H3794" s="36"/>
    </row>
    <row r="3795">
      <c r="A3795" s="36"/>
      <c r="B3795" s="36" t="str">
        <f>IFERROR(__xludf.DUMMYFUNCTION("""COMPUTED_VALUE"""),"LATITUD")</f>
        <v>LATITUD</v>
      </c>
      <c r="C3795" s="36" t="str">
        <f>IFERROR(__xludf.DUMMYFUNCTION("""COMPUTED_VALUE"""),"LONGITUD")</f>
        <v>LONGITUD</v>
      </c>
      <c r="D3795" s="36" t="str">
        <f>IFERROR(__xludf.DUMMYFUNCTION("""COMPUTED_VALUE"""),"ERROR DE ID")</f>
        <v>ERROR DE ID</v>
      </c>
      <c r="E3795" s="36"/>
      <c r="F3795" s="36"/>
      <c r="G3795" s="36"/>
      <c r="H3795" s="36"/>
    </row>
    <row r="3796">
      <c r="A3796" s="36"/>
      <c r="B3796" s="36" t="str">
        <f>IFERROR(__xludf.DUMMYFUNCTION("""COMPUTED_VALUE"""),"LATITUD")</f>
        <v>LATITUD</v>
      </c>
      <c r="C3796" s="36" t="str">
        <f>IFERROR(__xludf.DUMMYFUNCTION("""COMPUTED_VALUE"""),"LONGITUD")</f>
        <v>LONGITUD</v>
      </c>
      <c r="D3796" s="36" t="str">
        <f>IFERROR(__xludf.DUMMYFUNCTION("""COMPUTED_VALUE"""),"ERROR DE ID")</f>
        <v>ERROR DE ID</v>
      </c>
      <c r="E3796" s="36"/>
      <c r="F3796" s="36"/>
      <c r="G3796" s="36"/>
      <c r="H3796" s="36"/>
    </row>
    <row r="3797">
      <c r="A3797" s="36"/>
      <c r="B3797" s="36" t="str">
        <f>IFERROR(__xludf.DUMMYFUNCTION("""COMPUTED_VALUE"""),"LATITUD")</f>
        <v>LATITUD</v>
      </c>
      <c r="C3797" s="36" t="str">
        <f>IFERROR(__xludf.DUMMYFUNCTION("""COMPUTED_VALUE"""),"LONGITUD")</f>
        <v>LONGITUD</v>
      </c>
      <c r="D3797" s="36" t="str">
        <f>IFERROR(__xludf.DUMMYFUNCTION("""COMPUTED_VALUE"""),"ERROR DE ID")</f>
        <v>ERROR DE ID</v>
      </c>
      <c r="E3797" s="36"/>
      <c r="F3797" s="36"/>
      <c r="G3797" s="36"/>
      <c r="H3797" s="36"/>
    </row>
    <row r="3798">
      <c r="A3798" s="36"/>
      <c r="B3798" s="36" t="str">
        <f>IFERROR(__xludf.DUMMYFUNCTION("""COMPUTED_VALUE"""),"LATITUD")</f>
        <v>LATITUD</v>
      </c>
      <c r="C3798" s="36" t="str">
        <f>IFERROR(__xludf.DUMMYFUNCTION("""COMPUTED_VALUE"""),"LONGITUD")</f>
        <v>LONGITUD</v>
      </c>
      <c r="D3798" s="36" t="str">
        <f>IFERROR(__xludf.DUMMYFUNCTION("""COMPUTED_VALUE"""),"ERROR DE ID")</f>
        <v>ERROR DE ID</v>
      </c>
      <c r="E3798" s="36"/>
      <c r="F3798" s="36"/>
      <c r="G3798" s="36"/>
      <c r="H3798" s="36"/>
    </row>
    <row r="3799">
      <c r="A3799" s="36"/>
      <c r="B3799" s="36" t="str">
        <f>IFERROR(__xludf.DUMMYFUNCTION("""COMPUTED_VALUE"""),"LATITUD")</f>
        <v>LATITUD</v>
      </c>
      <c r="C3799" s="36" t="str">
        <f>IFERROR(__xludf.DUMMYFUNCTION("""COMPUTED_VALUE"""),"LONGITUD")</f>
        <v>LONGITUD</v>
      </c>
      <c r="D3799" s="36" t="str">
        <f>IFERROR(__xludf.DUMMYFUNCTION("""COMPUTED_VALUE"""),"ERROR DE ID")</f>
        <v>ERROR DE ID</v>
      </c>
      <c r="E3799" s="36"/>
      <c r="F3799" s="36"/>
      <c r="G3799" s="36"/>
      <c r="H3799" s="36"/>
    </row>
    <row r="3800">
      <c r="A3800" s="36"/>
      <c r="B3800" s="36" t="str">
        <f>IFERROR(__xludf.DUMMYFUNCTION("""COMPUTED_VALUE"""),"LATITUD")</f>
        <v>LATITUD</v>
      </c>
      <c r="C3800" s="36" t="str">
        <f>IFERROR(__xludf.DUMMYFUNCTION("""COMPUTED_VALUE"""),"LONGITUD")</f>
        <v>LONGITUD</v>
      </c>
      <c r="D3800" s="36" t="str">
        <f>IFERROR(__xludf.DUMMYFUNCTION("""COMPUTED_VALUE"""),"ERROR DE ID")</f>
        <v>ERROR DE ID</v>
      </c>
      <c r="E3800" s="36"/>
      <c r="F3800" s="36"/>
      <c r="G3800" s="36"/>
      <c r="H3800" s="36"/>
    </row>
    <row r="3801">
      <c r="A3801" s="36"/>
      <c r="B3801" s="36" t="str">
        <f>IFERROR(__xludf.DUMMYFUNCTION("""COMPUTED_VALUE"""),"LATITUD")</f>
        <v>LATITUD</v>
      </c>
      <c r="C3801" s="36" t="str">
        <f>IFERROR(__xludf.DUMMYFUNCTION("""COMPUTED_VALUE"""),"LONGITUD")</f>
        <v>LONGITUD</v>
      </c>
      <c r="D3801" s="36" t="str">
        <f>IFERROR(__xludf.DUMMYFUNCTION("""COMPUTED_VALUE"""),"ERROR DE ID")</f>
        <v>ERROR DE ID</v>
      </c>
      <c r="E3801" s="36"/>
      <c r="F3801" s="36"/>
      <c r="G3801" s="36"/>
      <c r="H3801" s="36"/>
    </row>
    <row r="3802">
      <c r="A3802" s="36"/>
      <c r="B3802" s="36" t="str">
        <f>IFERROR(__xludf.DUMMYFUNCTION("""COMPUTED_VALUE"""),"LATITUD")</f>
        <v>LATITUD</v>
      </c>
      <c r="C3802" s="36" t="str">
        <f>IFERROR(__xludf.DUMMYFUNCTION("""COMPUTED_VALUE"""),"LONGITUD")</f>
        <v>LONGITUD</v>
      </c>
      <c r="D3802" s="36" t="str">
        <f>IFERROR(__xludf.DUMMYFUNCTION("""COMPUTED_VALUE"""),"ERROR DE ID")</f>
        <v>ERROR DE ID</v>
      </c>
      <c r="E3802" s="36"/>
      <c r="F3802" s="36"/>
      <c r="G3802" s="36"/>
      <c r="H3802" s="36"/>
    </row>
    <row r="3803">
      <c r="A3803" s="36"/>
      <c r="B3803" s="36" t="str">
        <f>IFERROR(__xludf.DUMMYFUNCTION("""COMPUTED_VALUE"""),"LATITUD")</f>
        <v>LATITUD</v>
      </c>
      <c r="C3803" s="36" t="str">
        <f>IFERROR(__xludf.DUMMYFUNCTION("""COMPUTED_VALUE"""),"LONGITUD")</f>
        <v>LONGITUD</v>
      </c>
      <c r="D3803" s="36" t="str">
        <f>IFERROR(__xludf.DUMMYFUNCTION("""COMPUTED_VALUE"""),"ERROR DE ID")</f>
        <v>ERROR DE ID</v>
      </c>
      <c r="E3803" s="36"/>
      <c r="F3803" s="36"/>
      <c r="G3803" s="36"/>
      <c r="H3803" s="36"/>
    </row>
    <row r="3804">
      <c r="A3804" s="36"/>
      <c r="B3804" s="36" t="str">
        <f>IFERROR(__xludf.DUMMYFUNCTION("""COMPUTED_VALUE"""),"LATITUD")</f>
        <v>LATITUD</v>
      </c>
      <c r="C3804" s="36" t="str">
        <f>IFERROR(__xludf.DUMMYFUNCTION("""COMPUTED_VALUE"""),"LONGITUD")</f>
        <v>LONGITUD</v>
      </c>
      <c r="D3804" s="36" t="str">
        <f>IFERROR(__xludf.DUMMYFUNCTION("""COMPUTED_VALUE"""),"ERROR DE ID")</f>
        <v>ERROR DE ID</v>
      </c>
      <c r="E3804" s="36"/>
      <c r="F3804" s="36"/>
      <c r="G3804" s="36"/>
      <c r="H3804" s="36"/>
    </row>
    <row r="3805">
      <c r="A3805" s="36"/>
      <c r="B3805" s="36" t="str">
        <f>IFERROR(__xludf.DUMMYFUNCTION("""COMPUTED_VALUE"""),"LATITUD")</f>
        <v>LATITUD</v>
      </c>
      <c r="C3805" s="36" t="str">
        <f>IFERROR(__xludf.DUMMYFUNCTION("""COMPUTED_VALUE"""),"LONGITUD")</f>
        <v>LONGITUD</v>
      </c>
      <c r="D3805" s="36" t="str">
        <f>IFERROR(__xludf.DUMMYFUNCTION("""COMPUTED_VALUE"""),"ERROR DE ID")</f>
        <v>ERROR DE ID</v>
      </c>
      <c r="E3805" s="36"/>
      <c r="F3805" s="36"/>
      <c r="G3805" s="36"/>
      <c r="H3805" s="36"/>
    </row>
    <row r="3806">
      <c r="A3806" s="36"/>
      <c r="B3806" s="36" t="str">
        <f>IFERROR(__xludf.DUMMYFUNCTION("""COMPUTED_VALUE"""),"LATITUD")</f>
        <v>LATITUD</v>
      </c>
      <c r="C3806" s="36" t="str">
        <f>IFERROR(__xludf.DUMMYFUNCTION("""COMPUTED_VALUE"""),"LONGITUD")</f>
        <v>LONGITUD</v>
      </c>
      <c r="D3806" s="36" t="str">
        <f>IFERROR(__xludf.DUMMYFUNCTION("""COMPUTED_VALUE"""),"ERROR DE ID")</f>
        <v>ERROR DE ID</v>
      </c>
      <c r="E3806" s="36"/>
      <c r="F3806" s="36"/>
      <c r="G3806" s="36"/>
      <c r="H3806" s="36"/>
    </row>
    <row r="3807">
      <c r="A3807" s="36"/>
      <c r="B3807" s="36" t="str">
        <f>IFERROR(__xludf.DUMMYFUNCTION("""COMPUTED_VALUE"""),"LATITUD")</f>
        <v>LATITUD</v>
      </c>
      <c r="C3807" s="36" t="str">
        <f>IFERROR(__xludf.DUMMYFUNCTION("""COMPUTED_VALUE"""),"LONGITUD")</f>
        <v>LONGITUD</v>
      </c>
      <c r="D3807" s="36" t="str">
        <f>IFERROR(__xludf.DUMMYFUNCTION("""COMPUTED_VALUE"""),"ERROR DE ID")</f>
        <v>ERROR DE ID</v>
      </c>
      <c r="E3807" s="36"/>
      <c r="F3807" s="36"/>
      <c r="G3807" s="36"/>
      <c r="H3807" s="36"/>
    </row>
    <row r="3808">
      <c r="A3808" s="36"/>
      <c r="B3808" s="36" t="str">
        <f>IFERROR(__xludf.DUMMYFUNCTION("""COMPUTED_VALUE"""),"LATITUD")</f>
        <v>LATITUD</v>
      </c>
      <c r="C3808" s="36" t="str">
        <f>IFERROR(__xludf.DUMMYFUNCTION("""COMPUTED_VALUE"""),"LONGITUD")</f>
        <v>LONGITUD</v>
      </c>
      <c r="D3808" s="36" t="str">
        <f>IFERROR(__xludf.DUMMYFUNCTION("""COMPUTED_VALUE"""),"ERROR DE ID")</f>
        <v>ERROR DE ID</v>
      </c>
      <c r="E3808" s="36"/>
      <c r="F3808" s="36"/>
      <c r="G3808" s="36"/>
      <c r="H3808" s="36"/>
    </row>
    <row r="3809">
      <c r="A3809" s="36"/>
      <c r="B3809" s="36" t="str">
        <f>IFERROR(__xludf.DUMMYFUNCTION("""COMPUTED_VALUE"""),"LATITUD")</f>
        <v>LATITUD</v>
      </c>
      <c r="C3809" s="36" t="str">
        <f>IFERROR(__xludf.DUMMYFUNCTION("""COMPUTED_VALUE"""),"LONGITUD")</f>
        <v>LONGITUD</v>
      </c>
      <c r="D3809" s="36" t="str">
        <f>IFERROR(__xludf.DUMMYFUNCTION("""COMPUTED_VALUE"""),"ERROR DE ID")</f>
        <v>ERROR DE ID</v>
      </c>
      <c r="E3809" s="36"/>
      <c r="F3809" s="36"/>
      <c r="G3809" s="36"/>
      <c r="H3809" s="36"/>
    </row>
    <row r="3810">
      <c r="A3810" s="36"/>
      <c r="B3810" s="36" t="str">
        <f>IFERROR(__xludf.DUMMYFUNCTION("""COMPUTED_VALUE"""),"LATITUD")</f>
        <v>LATITUD</v>
      </c>
      <c r="C3810" s="36" t="str">
        <f>IFERROR(__xludf.DUMMYFUNCTION("""COMPUTED_VALUE"""),"LONGITUD")</f>
        <v>LONGITUD</v>
      </c>
      <c r="D3810" s="36" t="str">
        <f>IFERROR(__xludf.DUMMYFUNCTION("""COMPUTED_VALUE"""),"ERROR DE ID")</f>
        <v>ERROR DE ID</v>
      </c>
      <c r="E3810" s="36"/>
      <c r="F3810" s="36"/>
      <c r="G3810" s="36"/>
      <c r="H3810" s="36"/>
    </row>
    <row r="3811">
      <c r="A3811" s="36"/>
      <c r="B3811" s="36" t="str">
        <f>IFERROR(__xludf.DUMMYFUNCTION("""COMPUTED_VALUE"""),"LATITUD")</f>
        <v>LATITUD</v>
      </c>
      <c r="C3811" s="36" t="str">
        <f>IFERROR(__xludf.DUMMYFUNCTION("""COMPUTED_VALUE"""),"LONGITUD")</f>
        <v>LONGITUD</v>
      </c>
      <c r="D3811" s="36" t="str">
        <f>IFERROR(__xludf.DUMMYFUNCTION("""COMPUTED_VALUE"""),"ERROR DE ID")</f>
        <v>ERROR DE ID</v>
      </c>
      <c r="E3811" s="36"/>
      <c r="F3811" s="36"/>
      <c r="G3811" s="36"/>
      <c r="H3811" s="36"/>
    </row>
    <row r="3812">
      <c r="A3812" s="36"/>
      <c r="B3812" s="36" t="str">
        <f>IFERROR(__xludf.DUMMYFUNCTION("""COMPUTED_VALUE"""),"LATITUD")</f>
        <v>LATITUD</v>
      </c>
      <c r="C3812" s="36" t="str">
        <f>IFERROR(__xludf.DUMMYFUNCTION("""COMPUTED_VALUE"""),"LONGITUD")</f>
        <v>LONGITUD</v>
      </c>
      <c r="D3812" s="36" t="str">
        <f>IFERROR(__xludf.DUMMYFUNCTION("""COMPUTED_VALUE"""),"ERROR DE ID")</f>
        <v>ERROR DE ID</v>
      </c>
      <c r="E3812" s="36"/>
      <c r="F3812" s="36"/>
      <c r="G3812" s="36"/>
      <c r="H3812" s="36"/>
    </row>
    <row r="3813">
      <c r="A3813" s="36"/>
      <c r="B3813" s="36" t="str">
        <f>IFERROR(__xludf.DUMMYFUNCTION("""COMPUTED_VALUE"""),"LATITUD")</f>
        <v>LATITUD</v>
      </c>
      <c r="C3813" s="36" t="str">
        <f>IFERROR(__xludf.DUMMYFUNCTION("""COMPUTED_VALUE"""),"LONGITUD")</f>
        <v>LONGITUD</v>
      </c>
      <c r="D3813" s="36" t="str">
        <f>IFERROR(__xludf.DUMMYFUNCTION("""COMPUTED_VALUE"""),"ERROR DE ID")</f>
        <v>ERROR DE ID</v>
      </c>
      <c r="E3813" s="36"/>
      <c r="F3813" s="36"/>
      <c r="G3813" s="36"/>
      <c r="H3813" s="36"/>
    </row>
    <row r="3814">
      <c r="A3814" s="36"/>
      <c r="B3814" s="36" t="str">
        <f>IFERROR(__xludf.DUMMYFUNCTION("""COMPUTED_VALUE"""),"LATITUD")</f>
        <v>LATITUD</v>
      </c>
      <c r="C3814" s="36" t="str">
        <f>IFERROR(__xludf.DUMMYFUNCTION("""COMPUTED_VALUE"""),"LONGITUD")</f>
        <v>LONGITUD</v>
      </c>
      <c r="D3814" s="36" t="str">
        <f>IFERROR(__xludf.DUMMYFUNCTION("""COMPUTED_VALUE"""),"ERROR DE ID")</f>
        <v>ERROR DE ID</v>
      </c>
      <c r="E3814" s="36"/>
      <c r="F3814" s="36"/>
      <c r="G3814" s="36"/>
      <c r="H3814" s="36"/>
    </row>
    <row r="3815">
      <c r="A3815" s="36"/>
      <c r="B3815" s="36" t="str">
        <f>IFERROR(__xludf.DUMMYFUNCTION("""COMPUTED_VALUE"""),"LATITUD")</f>
        <v>LATITUD</v>
      </c>
      <c r="C3815" s="36" t="str">
        <f>IFERROR(__xludf.DUMMYFUNCTION("""COMPUTED_VALUE"""),"LONGITUD")</f>
        <v>LONGITUD</v>
      </c>
      <c r="D3815" s="36" t="str">
        <f>IFERROR(__xludf.DUMMYFUNCTION("""COMPUTED_VALUE"""),"ERROR DE ID")</f>
        <v>ERROR DE ID</v>
      </c>
      <c r="E3815" s="36"/>
      <c r="F3815" s="36"/>
      <c r="G3815" s="36"/>
      <c r="H3815" s="36"/>
    </row>
    <row r="3816">
      <c r="A3816" s="36"/>
      <c r="B3816" s="36" t="str">
        <f>IFERROR(__xludf.DUMMYFUNCTION("""COMPUTED_VALUE"""),"LATITUD")</f>
        <v>LATITUD</v>
      </c>
      <c r="C3816" s="36" t="str">
        <f>IFERROR(__xludf.DUMMYFUNCTION("""COMPUTED_VALUE"""),"LONGITUD")</f>
        <v>LONGITUD</v>
      </c>
      <c r="D3816" s="36" t="str">
        <f>IFERROR(__xludf.DUMMYFUNCTION("""COMPUTED_VALUE"""),"ERROR DE ID")</f>
        <v>ERROR DE ID</v>
      </c>
      <c r="E3816" s="36"/>
      <c r="F3816" s="36"/>
      <c r="G3816" s="36"/>
      <c r="H3816" s="36"/>
    </row>
    <row r="3817">
      <c r="A3817" s="36"/>
      <c r="B3817" s="36" t="str">
        <f>IFERROR(__xludf.DUMMYFUNCTION("""COMPUTED_VALUE"""),"LATITUD")</f>
        <v>LATITUD</v>
      </c>
      <c r="C3817" s="36" t="str">
        <f>IFERROR(__xludf.DUMMYFUNCTION("""COMPUTED_VALUE"""),"LONGITUD")</f>
        <v>LONGITUD</v>
      </c>
      <c r="D3817" s="36" t="str">
        <f>IFERROR(__xludf.DUMMYFUNCTION("""COMPUTED_VALUE"""),"ERROR DE ID")</f>
        <v>ERROR DE ID</v>
      </c>
      <c r="E3817" s="36"/>
      <c r="F3817" s="36"/>
      <c r="G3817" s="36"/>
      <c r="H3817" s="36"/>
    </row>
    <row r="3818">
      <c r="A3818" s="36"/>
      <c r="B3818" s="36" t="str">
        <f>IFERROR(__xludf.DUMMYFUNCTION("""COMPUTED_VALUE"""),"LATITUD")</f>
        <v>LATITUD</v>
      </c>
      <c r="C3818" s="36" t="str">
        <f>IFERROR(__xludf.DUMMYFUNCTION("""COMPUTED_VALUE"""),"LONGITUD")</f>
        <v>LONGITUD</v>
      </c>
      <c r="D3818" s="36" t="str">
        <f>IFERROR(__xludf.DUMMYFUNCTION("""COMPUTED_VALUE"""),"ERROR DE ID")</f>
        <v>ERROR DE ID</v>
      </c>
      <c r="E3818" s="36"/>
      <c r="F3818" s="36"/>
      <c r="G3818" s="36"/>
      <c r="H3818" s="36"/>
    </row>
    <row r="3819">
      <c r="A3819" s="36"/>
      <c r="B3819" s="36" t="str">
        <f>IFERROR(__xludf.DUMMYFUNCTION("""COMPUTED_VALUE"""),"LATITUD")</f>
        <v>LATITUD</v>
      </c>
      <c r="C3819" s="36" t="str">
        <f>IFERROR(__xludf.DUMMYFUNCTION("""COMPUTED_VALUE"""),"LONGITUD")</f>
        <v>LONGITUD</v>
      </c>
      <c r="D3819" s="36" t="str">
        <f>IFERROR(__xludf.DUMMYFUNCTION("""COMPUTED_VALUE"""),"ERROR DE ID")</f>
        <v>ERROR DE ID</v>
      </c>
      <c r="E3819" s="36"/>
      <c r="F3819" s="36"/>
      <c r="G3819" s="36"/>
      <c r="H3819" s="36"/>
    </row>
    <row r="3820">
      <c r="A3820" s="36"/>
      <c r="B3820" s="36" t="str">
        <f>IFERROR(__xludf.DUMMYFUNCTION("""COMPUTED_VALUE"""),"LATITUD")</f>
        <v>LATITUD</v>
      </c>
      <c r="C3820" s="36" t="str">
        <f>IFERROR(__xludf.DUMMYFUNCTION("""COMPUTED_VALUE"""),"LONGITUD")</f>
        <v>LONGITUD</v>
      </c>
      <c r="D3820" s="36" t="str">
        <f>IFERROR(__xludf.DUMMYFUNCTION("""COMPUTED_VALUE"""),"ERROR DE ID")</f>
        <v>ERROR DE ID</v>
      </c>
      <c r="E3820" s="36"/>
      <c r="F3820" s="36"/>
      <c r="G3820" s="36"/>
      <c r="H3820" s="36"/>
    </row>
    <row r="3821">
      <c r="A3821" s="36"/>
      <c r="B3821" s="36" t="str">
        <f>IFERROR(__xludf.DUMMYFUNCTION("""COMPUTED_VALUE"""),"LATITUD")</f>
        <v>LATITUD</v>
      </c>
      <c r="C3821" s="36" t="str">
        <f>IFERROR(__xludf.DUMMYFUNCTION("""COMPUTED_VALUE"""),"LONGITUD")</f>
        <v>LONGITUD</v>
      </c>
      <c r="D3821" s="36" t="str">
        <f>IFERROR(__xludf.DUMMYFUNCTION("""COMPUTED_VALUE"""),"ERROR DE ID")</f>
        <v>ERROR DE ID</v>
      </c>
      <c r="E3821" s="36"/>
      <c r="F3821" s="36"/>
      <c r="G3821" s="36"/>
      <c r="H3821" s="36"/>
    </row>
    <row r="3822">
      <c r="A3822" s="36"/>
      <c r="B3822" s="36" t="str">
        <f>IFERROR(__xludf.DUMMYFUNCTION("""COMPUTED_VALUE"""),"LATITUD")</f>
        <v>LATITUD</v>
      </c>
      <c r="C3822" s="36" t="str">
        <f>IFERROR(__xludf.DUMMYFUNCTION("""COMPUTED_VALUE"""),"LONGITUD")</f>
        <v>LONGITUD</v>
      </c>
      <c r="D3822" s="36" t="str">
        <f>IFERROR(__xludf.DUMMYFUNCTION("""COMPUTED_VALUE"""),"ERROR DE ID")</f>
        <v>ERROR DE ID</v>
      </c>
      <c r="E3822" s="36"/>
      <c r="F3822" s="36"/>
      <c r="G3822" s="36"/>
      <c r="H3822" s="36"/>
    </row>
    <row r="3823">
      <c r="A3823" s="36"/>
      <c r="B3823" s="36" t="str">
        <f>IFERROR(__xludf.DUMMYFUNCTION("""COMPUTED_VALUE"""),"LATITUD")</f>
        <v>LATITUD</v>
      </c>
      <c r="C3823" s="36" t="str">
        <f>IFERROR(__xludf.DUMMYFUNCTION("""COMPUTED_VALUE"""),"LONGITUD")</f>
        <v>LONGITUD</v>
      </c>
      <c r="D3823" s="36" t="str">
        <f>IFERROR(__xludf.DUMMYFUNCTION("""COMPUTED_VALUE"""),"ERROR DE ID")</f>
        <v>ERROR DE ID</v>
      </c>
      <c r="E3823" s="36"/>
      <c r="F3823" s="36"/>
      <c r="G3823" s="36"/>
      <c r="H3823" s="36"/>
    </row>
    <row r="3824">
      <c r="A3824" s="36"/>
      <c r="B3824" s="36" t="str">
        <f>IFERROR(__xludf.DUMMYFUNCTION("""COMPUTED_VALUE"""),"LATITUD")</f>
        <v>LATITUD</v>
      </c>
      <c r="C3824" s="36" t="str">
        <f>IFERROR(__xludf.DUMMYFUNCTION("""COMPUTED_VALUE"""),"LONGITUD")</f>
        <v>LONGITUD</v>
      </c>
      <c r="D3824" s="36" t="str">
        <f>IFERROR(__xludf.DUMMYFUNCTION("""COMPUTED_VALUE"""),"ERROR DE ID")</f>
        <v>ERROR DE ID</v>
      </c>
      <c r="E3824" s="36"/>
      <c r="F3824" s="36"/>
      <c r="G3824" s="36"/>
      <c r="H3824" s="36"/>
    </row>
    <row r="3825">
      <c r="A3825" s="36"/>
      <c r="B3825" s="36" t="str">
        <f>IFERROR(__xludf.DUMMYFUNCTION("""COMPUTED_VALUE"""),"LATITUD")</f>
        <v>LATITUD</v>
      </c>
      <c r="C3825" s="36" t="str">
        <f>IFERROR(__xludf.DUMMYFUNCTION("""COMPUTED_VALUE"""),"LONGITUD")</f>
        <v>LONGITUD</v>
      </c>
      <c r="D3825" s="36" t="str">
        <f>IFERROR(__xludf.DUMMYFUNCTION("""COMPUTED_VALUE"""),"ERROR DE ID")</f>
        <v>ERROR DE ID</v>
      </c>
      <c r="E3825" s="36"/>
      <c r="F3825" s="36"/>
      <c r="G3825" s="36"/>
      <c r="H3825" s="36"/>
    </row>
    <row r="3826">
      <c r="A3826" s="36"/>
      <c r="B3826" s="36" t="str">
        <f>IFERROR(__xludf.DUMMYFUNCTION("""COMPUTED_VALUE"""),"LATITUD")</f>
        <v>LATITUD</v>
      </c>
      <c r="C3826" s="36" t="str">
        <f>IFERROR(__xludf.DUMMYFUNCTION("""COMPUTED_VALUE"""),"LONGITUD")</f>
        <v>LONGITUD</v>
      </c>
      <c r="D3826" s="36" t="str">
        <f>IFERROR(__xludf.DUMMYFUNCTION("""COMPUTED_VALUE"""),"ERROR DE ID")</f>
        <v>ERROR DE ID</v>
      </c>
      <c r="E3826" s="36"/>
      <c r="F3826" s="36"/>
      <c r="G3826" s="36"/>
      <c r="H3826" s="36"/>
    </row>
    <row r="3827">
      <c r="A3827" s="36"/>
      <c r="B3827" s="36" t="str">
        <f>IFERROR(__xludf.DUMMYFUNCTION("""COMPUTED_VALUE"""),"LATITUD")</f>
        <v>LATITUD</v>
      </c>
      <c r="C3827" s="36" t="str">
        <f>IFERROR(__xludf.DUMMYFUNCTION("""COMPUTED_VALUE"""),"LONGITUD")</f>
        <v>LONGITUD</v>
      </c>
      <c r="D3827" s="36" t="str">
        <f>IFERROR(__xludf.DUMMYFUNCTION("""COMPUTED_VALUE"""),"ERROR DE ID")</f>
        <v>ERROR DE ID</v>
      </c>
      <c r="E3827" s="36"/>
      <c r="F3827" s="36"/>
      <c r="G3827" s="36"/>
      <c r="H3827" s="36"/>
    </row>
    <row r="3828">
      <c r="A3828" s="36"/>
      <c r="B3828" s="36" t="str">
        <f>IFERROR(__xludf.DUMMYFUNCTION("""COMPUTED_VALUE"""),"LATITUD")</f>
        <v>LATITUD</v>
      </c>
      <c r="C3828" s="36" t="str">
        <f>IFERROR(__xludf.DUMMYFUNCTION("""COMPUTED_VALUE"""),"LONGITUD")</f>
        <v>LONGITUD</v>
      </c>
      <c r="D3828" s="36" t="str">
        <f>IFERROR(__xludf.DUMMYFUNCTION("""COMPUTED_VALUE"""),"ERROR DE ID")</f>
        <v>ERROR DE ID</v>
      </c>
      <c r="E3828" s="36"/>
      <c r="F3828" s="36"/>
      <c r="G3828" s="36"/>
      <c r="H3828" s="36"/>
    </row>
    <row r="3829">
      <c r="A3829" s="36"/>
      <c r="B3829" s="36" t="str">
        <f>IFERROR(__xludf.DUMMYFUNCTION("""COMPUTED_VALUE"""),"LATITUD")</f>
        <v>LATITUD</v>
      </c>
      <c r="C3829" s="36" t="str">
        <f>IFERROR(__xludf.DUMMYFUNCTION("""COMPUTED_VALUE"""),"LONGITUD")</f>
        <v>LONGITUD</v>
      </c>
      <c r="D3829" s="36" t="str">
        <f>IFERROR(__xludf.DUMMYFUNCTION("""COMPUTED_VALUE"""),"ERROR DE ID")</f>
        <v>ERROR DE ID</v>
      </c>
      <c r="E3829" s="36"/>
      <c r="F3829" s="36"/>
      <c r="G3829" s="36"/>
      <c r="H3829" s="36"/>
    </row>
    <row r="3830">
      <c r="A3830" s="36"/>
      <c r="B3830" s="36" t="str">
        <f>IFERROR(__xludf.DUMMYFUNCTION("""COMPUTED_VALUE"""),"LATITUD")</f>
        <v>LATITUD</v>
      </c>
      <c r="C3830" s="36" t="str">
        <f>IFERROR(__xludf.DUMMYFUNCTION("""COMPUTED_VALUE"""),"LONGITUD")</f>
        <v>LONGITUD</v>
      </c>
      <c r="D3830" s="36" t="str">
        <f>IFERROR(__xludf.DUMMYFUNCTION("""COMPUTED_VALUE"""),"ERROR DE ID")</f>
        <v>ERROR DE ID</v>
      </c>
      <c r="E3830" s="36"/>
      <c r="F3830" s="36"/>
      <c r="G3830" s="36"/>
      <c r="H3830" s="36"/>
    </row>
    <row r="3831">
      <c r="A3831" s="36"/>
      <c r="B3831" s="36" t="str">
        <f>IFERROR(__xludf.DUMMYFUNCTION("""COMPUTED_VALUE"""),"LATITUD")</f>
        <v>LATITUD</v>
      </c>
      <c r="C3831" s="36" t="str">
        <f>IFERROR(__xludf.DUMMYFUNCTION("""COMPUTED_VALUE"""),"LONGITUD")</f>
        <v>LONGITUD</v>
      </c>
      <c r="D3831" s="36" t="str">
        <f>IFERROR(__xludf.DUMMYFUNCTION("""COMPUTED_VALUE"""),"ERROR DE ID")</f>
        <v>ERROR DE ID</v>
      </c>
      <c r="E3831" s="36"/>
      <c r="F3831" s="36"/>
      <c r="G3831" s="36"/>
      <c r="H3831" s="36"/>
    </row>
    <row r="3832">
      <c r="A3832" s="36"/>
      <c r="B3832" s="36" t="str">
        <f>IFERROR(__xludf.DUMMYFUNCTION("""COMPUTED_VALUE"""),"LATITUD")</f>
        <v>LATITUD</v>
      </c>
      <c r="C3832" s="36" t="str">
        <f>IFERROR(__xludf.DUMMYFUNCTION("""COMPUTED_VALUE"""),"LONGITUD")</f>
        <v>LONGITUD</v>
      </c>
      <c r="D3832" s="36" t="str">
        <f>IFERROR(__xludf.DUMMYFUNCTION("""COMPUTED_VALUE"""),"ERROR DE ID")</f>
        <v>ERROR DE ID</v>
      </c>
      <c r="E3832" s="36"/>
      <c r="F3832" s="36"/>
      <c r="G3832" s="36"/>
      <c r="H3832" s="36"/>
    </row>
    <row r="3833">
      <c r="A3833" s="36"/>
      <c r="B3833" s="36" t="str">
        <f>IFERROR(__xludf.DUMMYFUNCTION("""COMPUTED_VALUE"""),"LATITUD")</f>
        <v>LATITUD</v>
      </c>
      <c r="C3833" s="36" t="str">
        <f>IFERROR(__xludf.DUMMYFUNCTION("""COMPUTED_VALUE"""),"LONGITUD")</f>
        <v>LONGITUD</v>
      </c>
      <c r="D3833" s="36" t="str">
        <f>IFERROR(__xludf.DUMMYFUNCTION("""COMPUTED_VALUE"""),"ERROR DE ID")</f>
        <v>ERROR DE ID</v>
      </c>
      <c r="E3833" s="36"/>
      <c r="F3833" s="36"/>
      <c r="G3833" s="36"/>
      <c r="H3833" s="36"/>
    </row>
    <row r="3834">
      <c r="A3834" s="36"/>
      <c r="B3834" s="36" t="str">
        <f>IFERROR(__xludf.DUMMYFUNCTION("""COMPUTED_VALUE"""),"LATITUD")</f>
        <v>LATITUD</v>
      </c>
      <c r="C3834" s="36" t="str">
        <f>IFERROR(__xludf.DUMMYFUNCTION("""COMPUTED_VALUE"""),"LONGITUD")</f>
        <v>LONGITUD</v>
      </c>
      <c r="D3834" s="36" t="str">
        <f>IFERROR(__xludf.DUMMYFUNCTION("""COMPUTED_VALUE"""),"ERROR DE ID")</f>
        <v>ERROR DE ID</v>
      </c>
      <c r="E3834" s="36"/>
      <c r="F3834" s="36"/>
      <c r="G3834" s="36"/>
      <c r="H3834" s="36"/>
    </row>
    <row r="3835">
      <c r="A3835" s="36"/>
      <c r="B3835" s="36" t="str">
        <f>IFERROR(__xludf.DUMMYFUNCTION("""COMPUTED_VALUE"""),"LATITUD")</f>
        <v>LATITUD</v>
      </c>
      <c r="C3835" s="36" t="str">
        <f>IFERROR(__xludf.DUMMYFUNCTION("""COMPUTED_VALUE"""),"LONGITUD")</f>
        <v>LONGITUD</v>
      </c>
      <c r="D3835" s="36" t="str">
        <f>IFERROR(__xludf.DUMMYFUNCTION("""COMPUTED_VALUE"""),"ERROR DE ID")</f>
        <v>ERROR DE ID</v>
      </c>
      <c r="E3835" s="36"/>
      <c r="F3835" s="36"/>
      <c r="G3835" s="36"/>
      <c r="H3835" s="36"/>
    </row>
    <row r="3836">
      <c r="A3836" s="36"/>
      <c r="B3836" s="36" t="str">
        <f>IFERROR(__xludf.DUMMYFUNCTION("""COMPUTED_VALUE"""),"LATITUD")</f>
        <v>LATITUD</v>
      </c>
      <c r="C3836" s="36" t="str">
        <f>IFERROR(__xludf.DUMMYFUNCTION("""COMPUTED_VALUE"""),"LONGITUD")</f>
        <v>LONGITUD</v>
      </c>
      <c r="D3836" s="36" t="str">
        <f>IFERROR(__xludf.DUMMYFUNCTION("""COMPUTED_VALUE"""),"ERROR DE ID")</f>
        <v>ERROR DE ID</v>
      </c>
      <c r="E3836" s="36"/>
      <c r="F3836" s="36"/>
      <c r="G3836" s="36"/>
      <c r="H3836" s="36"/>
    </row>
    <row r="3837">
      <c r="A3837" s="36"/>
      <c r="B3837" s="36" t="str">
        <f>IFERROR(__xludf.DUMMYFUNCTION("""COMPUTED_VALUE"""),"LATITUD")</f>
        <v>LATITUD</v>
      </c>
      <c r="C3837" s="36" t="str">
        <f>IFERROR(__xludf.DUMMYFUNCTION("""COMPUTED_VALUE"""),"LONGITUD")</f>
        <v>LONGITUD</v>
      </c>
      <c r="D3837" s="36" t="str">
        <f>IFERROR(__xludf.DUMMYFUNCTION("""COMPUTED_VALUE"""),"ERROR DE ID")</f>
        <v>ERROR DE ID</v>
      </c>
      <c r="E3837" s="36"/>
      <c r="F3837" s="36"/>
      <c r="G3837" s="36"/>
      <c r="H3837" s="36"/>
    </row>
    <row r="3838">
      <c r="A3838" s="36"/>
      <c r="B3838" s="36" t="str">
        <f>IFERROR(__xludf.DUMMYFUNCTION("""COMPUTED_VALUE"""),"LATITUD")</f>
        <v>LATITUD</v>
      </c>
      <c r="C3838" s="36" t="str">
        <f>IFERROR(__xludf.DUMMYFUNCTION("""COMPUTED_VALUE"""),"LONGITUD")</f>
        <v>LONGITUD</v>
      </c>
      <c r="D3838" s="36" t="str">
        <f>IFERROR(__xludf.DUMMYFUNCTION("""COMPUTED_VALUE"""),"ERROR DE ID")</f>
        <v>ERROR DE ID</v>
      </c>
      <c r="E3838" s="36"/>
      <c r="F3838" s="36"/>
      <c r="G3838" s="36"/>
      <c r="H3838" s="36"/>
    </row>
    <row r="3839">
      <c r="A3839" s="36"/>
      <c r="B3839" s="36" t="str">
        <f>IFERROR(__xludf.DUMMYFUNCTION("""COMPUTED_VALUE"""),"LATITUD")</f>
        <v>LATITUD</v>
      </c>
      <c r="C3839" s="36" t="str">
        <f>IFERROR(__xludf.DUMMYFUNCTION("""COMPUTED_VALUE"""),"LONGITUD")</f>
        <v>LONGITUD</v>
      </c>
      <c r="D3839" s="36" t="str">
        <f>IFERROR(__xludf.DUMMYFUNCTION("""COMPUTED_VALUE"""),"ERROR DE ID")</f>
        <v>ERROR DE ID</v>
      </c>
      <c r="E3839" s="36"/>
      <c r="F3839" s="36"/>
      <c r="G3839" s="36"/>
      <c r="H3839" s="36"/>
    </row>
    <row r="3840">
      <c r="A3840" s="36"/>
      <c r="B3840" s="36" t="str">
        <f>IFERROR(__xludf.DUMMYFUNCTION("""COMPUTED_VALUE"""),"LATITUD")</f>
        <v>LATITUD</v>
      </c>
      <c r="C3840" s="36" t="str">
        <f>IFERROR(__xludf.DUMMYFUNCTION("""COMPUTED_VALUE"""),"LONGITUD")</f>
        <v>LONGITUD</v>
      </c>
      <c r="D3840" s="36" t="str">
        <f>IFERROR(__xludf.DUMMYFUNCTION("""COMPUTED_VALUE"""),"ERROR DE ID")</f>
        <v>ERROR DE ID</v>
      </c>
      <c r="E3840" s="36"/>
      <c r="F3840" s="36"/>
      <c r="G3840" s="36"/>
      <c r="H3840" s="36"/>
    </row>
    <row r="3841">
      <c r="A3841" s="36"/>
      <c r="B3841" s="36" t="str">
        <f>IFERROR(__xludf.DUMMYFUNCTION("""COMPUTED_VALUE"""),"LATITUD")</f>
        <v>LATITUD</v>
      </c>
      <c r="C3841" s="36" t="str">
        <f>IFERROR(__xludf.DUMMYFUNCTION("""COMPUTED_VALUE"""),"LONGITUD")</f>
        <v>LONGITUD</v>
      </c>
      <c r="D3841" s="36" t="str">
        <f>IFERROR(__xludf.DUMMYFUNCTION("""COMPUTED_VALUE"""),"ERROR DE ID")</f>
        <v>ERROR DE ID</v>
      </c>
      <c r="E3841" s="36"/>
      <c r="F3841" s="36"/>
      <c r="G3841" s="36"/>
      <c r="H3841" s="36"/>
    </row>
    <row r="3842">
      <c r="A3842" s="36"/>
      <c r="B3842" s="36" t="str">
        <f>IFERROR(__xludf.DUMMYFUNCTION("""COMPUTED_VALUE"""),"LATITUD")</f>
        <v>LATITUD</v>
      </c>
      <c r="C3842" s="36" t="str">
        <f>IFERROR(__xludf.DUMMYFUNCTION("""COMPUTED_VALUE"""),"LONGITUD")</f>
        <v>LONGITUD</v>
      </c>
      <c r="D3842" s="36" t="str">
        <f>IFERROR(__xludf.DUMMYFUNCTION("""COMPUTED_VALUE"""),"ERROR DE ID")</f>
        <v>ERROR DE ID</v>
      </c>
      <c r="E3842" s="36"/>
      <c r="F3842" s="36"/>
      <c r="G3842" s="36"/>
      <c r="H3842" s="36"/>
    </row>
    <row r="3843">
      <c r="A3843" s="36"/>
      <c r="B3843" s="36" t="str">
        <f>IFERROR(__xludf.DUMMYFUNCTION("""COMPUTED_VALUE"""),"LATITUD")</f>
        <v>LATITUD</v>
      </c>
      <c r="C3843" s="36" t="str">
        <f>IFERROR(__xludf.DUMMYFUNCTION("""COMPUTED_VALUE"""),"LONGITUD")</f>
        <v>LONGITUD</v>
      </c>
      <c r="D3843" s="36" t="str">
        <f>IFERROR(__xludf.DUMMYFUNCTION("""COMPUTED_VALUE"""),"ERROR DE ID")</f>
        <v>ERROR DE ID</v>
      </c>
      <c r="E3843" s="36"/>
      <c r="F3843" s="36"/>
      <c r="G3843" s="36"/>
      <c r="H3843" s="36"/>
    </row>
    <row r="3844">
      <c r="A3844" s="36"/>
      <c r="B3844" s="36" t="str">
        <f>IFERROR(__xludf.DUMMYFUNCTION("""COMPUTED_VALUE"""),"LATITUD")</f>
        <v>LATITUD</v>
      </c>
      <c r="C3844" s="36" t="str">
        <f>IFERROR(__xludf.DUMMYFUNCTION("""COMPUTED_VALUE"""),"LONGITUD")</f>
        <v>LONGITUD</v>
      </c>
      <c r="D3844" s="36" t="str">
        <f>IFERROR(__xludf.DUMMYFUNCTION("""COMPUTED_VALUE"""),"ERROR DE ID")</f>
        <v>ERROR DE ID</v>
      </c>
      <c r="E3844" s="36"/>
      <c r="F3844" s="36"/>
      <c r="G3844" s="36"/>
      <c r="H3844" s="36"/>
    </row>
    <row r="3845">
      <c r="A3845" s="36"/>
      <c r="B3845" s="36" t="str">
        <f>IFERROR(__xludf.DUMMYFUNCTION("""COMPUTED_VALUE"""),"LATITUD")</f>
        <v>LATITUD</v>
      </c>
      <c r="C3845" s="36" t="str">
        <f>IFERROR(__xludf.DUMMYFUNCTION("""COMPUTED_VALUE"""),"LONGITUD")</f>
        <v>LONGITUD</v>
      </c>
      <c r="D3845" s="36" t="str">
        <f>IFERROR(__xludf.DUMMYFUNCTION("""COMPUTED_VALUE"""),"ERROR DE ID")</f>
        <v>ERROR DE ID</v>
      </c>
      <c r="E3845" s="36"/>
      <c r="F3845" s="36"/>
      <c r="G3845" s="36"/>
      <c r="H3845" s="36"/>
    </row>
    <row r="3846">
      <c r="A3846" s="36"/>
      <c r="B3846" s="36" t="str">
        <f>IFERROR(__xludf.DUMMYFUNCTION("""COMPUTED_VALUE"""),"LATITUD")</f>
        <v>LATITUD</v>
      </c>
      <c r="C3846" s="36" t="str">
        <f>IFERROR(__xludf.DUMMYFUNCTION("""COMPUTED_VALUE"""),"LONGITUD")</f>
        <v>LONGITUD</v>
      </c>
      <c r="D3846" s="36" t="str">
        <f>IFERROR(__xludf.DUMMYFUNCTION("""COMPUTED_VALUE"""),"ERROR DE ID")</f>
        <v>ERROR DE ID</v>
      </c>
      <c r="E3846" s="36"/>
      <c r="F3846" s="36"/>
      <c r="G3846" s="36"/>
      <c r="H3846" s="36"/>
    </row>
    <row r="3847">
      <c r="A3847" s="36"/>
      <c r="B3847" s="36" t="str">
        <f>IFERROR(__xludf.DUMMYFUNCTION("""COMPUTED_VALUE"""),"LATITUD")</f>
        <v>LATITUD</v>
      </c>
      <c r="C3847" s="36" t="str">
        <f>IFERROR(__xludf.DUMMYFUNCTION("""COMPUTED_VALUE"""),"LONGITUD")</f>
        <v>LONGITUD</v>
      </c>
      <c r="D3847" s="36" t="str">
        <f>IFERROR(__xludf.DUMMYFUNCTION("""COMPUTED_VALUE"""),"ERROR DE ID")</f>
        <v>ERROR DE ID</v>
      </c>
      <c r="E3847" s="36"/>
      <c r="F3847" s="36"/>
      <c r="G3847" s="36"/>
      <c r="H3847" s="36"/>
    </row>
    <row r="3848">
      <c r="A3848" s="36"/>
      <c r="B3848" s="36" t="str">
        <f>IFERROR(__xludf.DUMMYFUNCTION("""COMPUTED_VALUE"""),"LATITUD")</f>
        <v>LATITUD</v>
      </c>
      <c r="C3848" s="36" t="str">
        <f>IFERROR(__xludf.DUMMYFUNCTION("""COMPUTED_VALUE"""),"LONGITUD")</f>
        <v>LONGITUD</v>
      </c>
      <c r="D3848" s="36" t="str">
        <f>IFERROR(__xludf.DUMMYFUNCTION("""COMPUTED_VALUE"""),"ERROR DE ID")</f>
        <v>ERROR DE ID</v>
      </c>
      <c r="E3848" s="36"/>
      <c r="F3848" s="36"/>
      <c r="G3848" s="36"/>
      <c r="H3848" s="36"/>
    </row>
    <row r="3849">
      <c r="A3849" s="36"/>
      <c r="B3849" s="36" t="str">
        <f>IFERROR(__xludf.DUMMYFUNCTION("""COMPUTED_VALUE"""),"LATITUD")</f>
        <v>LATITUD</v>
      </c>
      <c r="C3849" s="36" t="str">
        <f>IFERROR(__xludf.DUMMYFUNCTION("""COMPUTED_VALUE"""),"LONGITUD")</f>
        <v>LONGITUD</v>
      </c>
      <c r="D3849" s="36" t="str">
        <f>IFERROR(__xludf.DUMMYFUNCTION("""COMPUTED_VALUE"""),"ERROR DE ID")</f>
        <v>ERROR DE ID</v>
      </c>
      <c r="E3849" s="36"/>
      <c r="F3849" s="36"/>
      <c r="G3849" s="36"/>
      <c r="H3849" s="36"/>
    </row>
    <row r="3850">
      <c r="A3850" s="36"/>
      <c r="B3850" s="36" t="str">
        <f>IFERROR(__xludf.DUMMYFUNCTION("""COMPUTED_VALUE"""),"LATITUD")</f>
        <v>LATITUD</v>
      </c>
      <c r="C3850" s="36" t="str">
        <f>IFERROR(__xludf.DUMMYFUNCTION("""COMPUTED_VALUE"""),"LONGITUD")</f>
        <v>LONGITUD</v>
      </c>
      <c r="D3850" s="36" t="str">
        <f>IFERROR(__xludf.DUMMYFUNCTION("""COMPUTED_VALUE"""),"ERROR DE ID")</f>
        <v>ERROR DE ID</v>
      </c>
      <c r="E3850" s="36"/>
      <c r="F3850" s="36"/>
      <c r="G3850" s="36"/>
      <c r="H3850" s="36"/>
    </row>
    <row r="3851">
      <c r="A3851" s="36"/>
      <c r="B3851" s="36" t="str">
        <f>IFERROR(__xludf.DUMMYFUNCTION("""COMPUTED_VALUE"""),"LATITUD")</f>
        <v>LATITUD</v>
      </c>
      <c r="C3851" s="36" t="str">
        <f>IFERROR(__xludf.DUMMYFUNCTION("""COMPUTED_VALUE"""),"LONGITUD")</f>
        <v>LONGITUD</v>
      </c>
      <c r="D3851" s="36" t="str">
        <f>IFERROR(__xludf.DUMMYFUNCTION("""COMPUTED_VALUE"""),"ERROR DE ID")</f>
        <v>ERROR DE ID</v>
      </c>
      <c r="E3851" s="36"/>
      <c r="F3851" s="36"/>
      <c r="G3851" s="36"/>
      <c r="H3851" s="36"/>
    </row>
    <row r="3852">
      <c r="A3852" s="36"/>
      <c r="B3852" s="36" t="str">
        <f>IFERROR(__xludf.DUMMYFUNCTION("""COMPUTED_VALUE"""),"LATITUD")</f>
        <v>LATITUD</v>
      </c>
      <c r="C3852" s="36" t="str">
        <f>IFERROR(__xludf.DUMMYFUNCTION("""COMPUTED_VALUE"""),"LONGITUD")</f>
        <v>LONGITUD</v>
      </c>
      <c r="D3852" s="36" t="str">
        <f>IFERROR(__xludf.DUMMYFUNCTION("""COMPUTED_VALUE"""),"ERROR DE ID")</f>
        <v>ERROR DE ID</v>
      </c>
      <c r="E3852" s="36"/>
      <c r="F3852" s="36"/>
      <c r="G3852" s="36"/>
      <c r="H3852" s="36"/>
    </row>
    <row r="3853">
      <c r="A3853" s="36"/>
      <c r="B3853" s="36" t="str">
        <f>IFERROR(__xludf.DUMMYFUNCTION("""COMPUTED_VALUE"""),"LATITUD")</f>
        <v>LATITUD</v>
      </c>
      <c r="C3853" s="36" t="str">
        <f>IFERROR(__xludf.DUMMYFUNCTION("""COMPUTED_VALUE"""),"LONGITUD")</f>
        <v>LONGITUD</v>
      </c>
      <c r="D3853" s="36" t="str">
        <f>IFERROR(__xludf.DUMMYFUNCTION("""COMPUTED_VALUE"""),"ERROR DE ID")</f>
        <v>ERROR DE ID</v>
      </c>
      <c r="E3853" s="36"/>
      <c r="F3853" s="36"/>
      <c r="G3853" s="36"/>
      <c r="H3853" s="36"/>
    </row>
    <row r="3854">
      <c r="A3854" s="36"/>
      <c r="B3854" s="36" t="str">
        <f>IFERROR(__xludf.DUMMYFUNCTION("""COMPUTED_VALUE"""),"LATITUD")</f>
        <v>LATITUD</v>
      </c>
      <c r="C3854" s="36" t="str">
        <f>IFERROR(__xludf.DUMMYFUNCTION("""COMPUTED_VALUE"""),"LONGITUD")</f>
        <v>LONGITUD</v>
      </c>
      <c r="D3854" s="36" t="str">
        <f>IFERROR(__xludf.DUMMYFUNCTION("""COMPUTED_VALUE"""),"ERROR DE ID")</f>
        <v>ERROR DE ID</v>
      </c>
      <c r="E3854" s="36"/>
      <c r="F3854" s="36"/>
      <c r="G3854" s="36"/>
      <c r="H3854" s="36"/>
    </row>
    <row r="3855">
      <c r="A3855" s="36"/>
      <c r="B3855" s="36" t="str">
        <f>IFERROR(__xludf.DUMMYFUNCTION("""COMPUTED_VALUE"""),"LATITUD")</f>
        <v>LATITUD</v>
      </c>
      <c r="C3855" s="36" t="str">
        <f>IFERROR(__xludf.DUMMYFUNCTION("""COMPUTED_VALUE"""),"LONGITUD")</f>
        <v>LONGITUD</v>
      </c>
      <c r="D3855" s="36" t="str">
        <f>IFERROR(__xludf.DUMMYFUNCTION("""COMPUTED_VALUE"""),"ERROR DE ID")</f>
        <v>ERROR DE ID</v>
      </c>
      <c r="E3855" s="36"/>
      <c r="F3855" s="36"/>
      <c r="G3855" s="36"/>
      <c r="H3855" s="36"/>
    </row>
    <row r="3856">
      <c r="A3856" s="36"/>
      <c r="B3856" s="36" t="str">
        <f>IFERROR(__xludf.DUMMYFUNCTION("""COMPUTED_VALUE"""),"LATITUD")</f>
        <v>LATITUD</v>
      </c>
      <c r="C3856" s="36" t="str">
        <f>IFERROR(__xludf.DUMMYFUNCTION("""COMPUTED_VALUE"""),"LONGITUD")</f>
        <v>LONGITUD</v>
      </c>
      <c r="D3856" s="36" t="str">
        <f>IFERROR(__xludf.DUMMYFUNCTION("""COMPUTED_VALUE"""),"ERROR DE ID")</f>
        <v>ERROR DE ID</v>
      </c>
      <c r="E3856" s="36"/>
      <c r="F3856" s="36"/>
      <c r="G3856" s="36"/>
      <c r="H3856" s="36"/>
    </row>
    <row r="3857">
      <c r="A3857" s="36"/>
      <c r="B3857" s="36" t="str">
        <f>IFERROR(__xludf.DUMMYFUNCTION("""COMPUTED_VALUE"""),"LATITUD")</f>
        <v>LATITUD</v>
      </c>
      <c r="C3857" s="36" t="str">
        <f>IFERROR(__xludf.DUMMYFUNCTION("""COMPUTED_VALUE"""),"LONGITUD")</f>
        <v>LONGITUD</v>
      </c>
      <c r="D3857" s="36" t="str">
        <f>IFERROR(__xludf.DUMMYFUNCTION("""COMPUTED_VALUE"""),"ERROR DE ID")</f>
        <v>ERROR DE ID</v>
      </c>
      <c r="E3857" s="36"/>
      <c r="F3857" s="36"/>
      <c r="G3857" s="36"/>
      <c r="H3857" s="36"/>
    </row>
    <row r="3858">
      <c r="A3858" s="36"/>
      <c r="B3858" s="36" t="str">
        <f>IFERROR(__xludf.DUMMYFUNCTION("""COMPUTED_VALUE"""),"LATITUD")</f>
        <v>LATITUD</v>
      </c>
      <c r="C3858" s="36" t="str">
        <f>IFERROR(__xludf.DUMMYFUNCTION("""COMPUTED_VALUE"""),"LONGITUD")</f>
        <v>LONGITUD</v>
      </c>
      <c r="D3858" s="36" t="str">
        <f>IFERROR(__xludf.DUMMYFUNCTION("""COMPUTED_VALUE"""),"ERROR DE ID")</f>
        <v>ERROR DE ID</v>
      </c>
      <c r="E3858" s="36"/>
      <c r="F3858" s="36"/>
      <c r="G3858" s="36"/>
      <c r="H3858" s="36"/>
    </row>
    <row r="3859">
      <c r="A3859" s="36"/>
      <c r="B3859" s="36" t="str">
        <f>IFERROR(__xludf.DUMMYFUNCTION("""COMPUTED_VALUE"""),"LATITUD")</f>
        <v>LATITUD</v>
      </c>
      <c r="C3859" s="36" t="str">
        <f>IFERROR(__xludf.DUMMYFUNCTION("""COMPUTED_VALUE"""),"LONGITUD")</f>
        <v>LONGITUD</v>
      </c>
      <c r="D3859" s="36" t="str">
        <f>IFERROR(__xludf.DUMMYFUNCTION("""COMPUTED_VALUE"""),"ERROR DE ID")</f>
        <v>ERROR DE ID</v>
      </c>
      <c r="E3859" s="36"/>
      <c r="F3859" s="36"/>
      <c r="G3859" s="36"/>
      <c r="H3859" s="36"/>
    </row>
    <row r="3860">
      <c r="A3860" s="36"/>
      <c r="B3860" s="36" t="str">
        <f>IFERROR(__xludf.DUMMYFUNCTION("""COMPUTED_VALUE"""),"LATITUD")</f>
        <v>LATITUD</v>
      </c>
      <c r="C3860" s="36" t="str">
        <f>IFERROR(__xludf.DUMMYFUNCTION("""COMPUTED_VALUE"""),"LONGITUD")</f>
        <v>LONGITUD</v>
      </c>
      <c r="D3860" s="36" t="str">
        <f>IFERROR(__xludf.DUMMYFUNCTION("""COMPUTED_VALUE"""),"ERROR DE ID")</f>
        <v>ERROR DE ID</v>
      </c>
      <c r="E3860" s="36"/>
      <c r="F3860" s="36"/>
      <c r="G3860" s="36"/>
      <c r="H3860" s="36"/>
    </row>
    <row r="3861">
      <c r="A3861" s="36"/>
      <c r="B3861" s="36" t="str">
        <f>IFERROR(__xludf.DUMMYFUNCTION("""COMPUTED_VALUE"""),"LATITUD")</f>
        <v>LATITUD</v>
      </c>
      <c r="C3861" s="36" t="str">
        <f>IFERROR(__xludf.DUMMYFUNCTION("""COMPUTED_VALUE"""),"LONGITUD")</f>
        <v>LONGITUD</v>
      </c>
      <c r="D3861" s="36" t="str">
        <f>IFERROR(__xludf.DUMMYFUNCTION("""COMPUTED_VALUE"""),"ERROR DE ID")</f>
        <v>ERROR DE ID</v>
      </c>
      <c r="E3861" s="36"/>
      <c r="F3861" s="36"/>
      <c r="G3861" s="36"/>
      <c r="H3861" s="36"/>
    </row>
    <row r="3862">
      <c r="A3862" s="36"/>
      <c r="B3862" s="36" t="str">
        <f>IFERROR(__xludf.DUMMYFUNCTION("""COMPUTED_VALUE"""),"LATITUD")</f>
        <v>LATITUD</v>
      </c>
      <c r="C3862" s="36" t="str">
        <f>IFERROR(__xludf.DUMMYFUNCTION("""COMPUTED_VALUE"""),"LONGITUD")</f>
        <v>LONGITUD</v>
      </c>
      <c r="D3862" s="36" t="str">
        <f>IFERROR(__xludf.DUMMYFUNCTION("""COMPUTED_VALUE"""),"ERROR DE ID")</f>
        <v>ERROR DE ID</v>
      </c>
      <c r="E3862" s="36"/>
      <c r="F3862" s="36"/>
      <c r="G3862" s="36"/>
      <c r="H3862" s="36"/>
    </row>
    <row r="3863">
      <c r="A3863" s="36"/>
      <c r="B3863" s="36" t="str">
        <f>IFERROR(__xludf.DUMMYFUNCTION("""COMPUTED_VALUE"""),"LATITUD")</f>
        <v>LATITUD</v>
      </c>
      <c r="C3863" s="36" t="str">
        <f>IFERROR(__xludf.DUMMYFUNCTION("""COMPUTED_VALUE"""),"LONGITUD")</f>
        <v>LONGITUD</v>
      </c>
      <c r="D3863" s="36" t="str">
        <f>IFERROR(__xludf.DUMMYFUNCTION("""COMPUTED_VALUE"""),"ERROR DE ID")</f>
        <v>ERROR DE ID</v>
      </c>
      <c r="E3863" s="36"/>
      <c r="F3863" s="36"/>
      <c r="G3863" s="36"/>
      <c r="H3863" s="36"/>
    </row>
    <row r="3864">
      <c r="A3864" s="36"/>
      <c r="B3864" s="36" t="str">
        <f>IFERROR(__xludf.DUMMYFUNCTION("""COMPUTED_VALUE"""),"LATITUD")</f>
        <v>LATITUD</v>
      </c>
      <c r="C3864" s="36" t="str">
        <f>IFERROR(__xludf.DUMMYFUNCTION("""COMPUTED_VALUE"""),"LONGITUD")</f>
        <v>LONGITUD</v>
      </c>
      <c r="D3864" s="36" t="str">
        <f>IFERROR(__xludf.DUMMYFUNCTION("""COMPUTED_VALUE"""),"ERROR DE ID")</f>
        <v>ERROR DE ID</v>
      </c>
      <c r="E3864" s="36"/>
      <c r="F3864" s="36"/>
      <c r="G3864" s="36"/>
      <c r="H3864" s="36"/>
    </row>
    <row r="3865">
      <c r="A3865" s="36"/>
      <c r="B3865" s="36" t="str">
        <f>IFERROR(__xludf.DUMMYFUNCTION("""COMPUTED_VALUE"""),"LATITUD")</f>
        <v>LATITUD</v>
      </c>
      <c r="C3865" s="36" t="str">
        <f>IFERROR(__xludf.DUMMYFUNCTION("""COMPUTED_VALUE"""),"LONGITUD")</f>
        <v>LONGITUD</v>
      </c>
      <c r="D3865" s="36" t="str">
        <f>IFERROR(__xludf.DUMMYFUNCTION("""COMPUTED_VALUE"""),"ERROR DE ID")</f>
        <v>ERROR DE ID</v>
      </c>
      <c r="E3865" s="36"/>
      <c r="F3865" s="36"/>
      <c r="G3865" s="36"/>
      <c r="H3865" s="36"/>
    </row>
    <row r="3866">
      <c r="A3866" s="36"/>
      <c r="B3866" s="36" t="str">
        <f>IFERROR(__xludf.DUMMYFUNCTION("""COMPUTED_VALUE"""),"LATITUD")</f>
        <v>LATITUD</v>
      </c>
      <c r="C3866" s="36" t="str">
        <f>IFERROR(__xludf.DUMMYFUNCTION("""COMPUTED_VALUE"""),"LONGITUD")</f>
        <v>LONGITUD</v>
      </c>
      <c r="D3866" s="36" t="str">
        <f>IFERROR(__xludf.DUMMYFUNCTION("""COMPUTED_VALUE"""),"ERROR DE ID")</f>
        <v>ERROR DE ID</v>
      </c>
      <c r="E3866" s="36"/>
      <c r="F3866" s="36"/>
      <c r="G3866" s="36"/>
      <c r="H3866" s="36"/>
    </row>
    <row r="3867">
      <c r="A3867" s="36"/>
      <c r="B3867" s="36" t="str">
        <f>IFERROR(__xludf.DUMMYFUNCTION("""COMPUTED_VALUE"""),"LATITUD")</f>
        <v>LATITUD</v>
      </c>
      <c r="C3867" s="36" t="str">
        <f>IFERROR(__xludf.DUMMYFUNCTION("""COMPUTED_VALUE"""),"LONGITUD")</f>
        <v>LONGITUD</v>
      </c>
      <c r="D3867" s="36" t="str">
        <f>IFERROR(__xludf.DUMMYFUNCTION("""COMPUTED_VALUE"""),"ERROR DE ID")</f>
        <v>ERROR DE ID</v>
      </c>
      <c r="E3867" s="36"/>
      <c r="F3867" s="36"/>
      <c r="G3867" s="36"/>
      <c r="H3867" s="36"/>
    </row>
    <row r="3868">
      <c r="A3868" s="36"/>
      <c r="B3868" s="36" t="str">
        <f>IFERROR(__xludf.DUMMYFUNCTION("""COMPUTED_VALUE"""),"LATITUD")</f>
        <v>LATITUD</v>
      </c>
      <c r="C3868" s="36" t="str">
        <f>IFERROR(__xludf.DUMMYFUNCTION("""COMPUTED_VALUE"""),"LONGITUD")</f>
        <v>LONGITUD</v>
      </c>
      <c r="D3868" s="36" t="str">
        <f>IFERROR(__xludf.DUMMYFUNCTION("""COMPUTED_VALUE"""),"ERROR DE ID")</f>
        <v>ERROR DE ID</v>
      </c>
      <c r="E3868" s="36"/>
      <c r="F3868" s="36"/>
      <c r="G3868" s="36"/>
      <c r="H3868" s="36"/>
    </row>
    <row r="3869">
      <c r="A3869" s="36"/>
      <c r="B3869" s="36" t="str">
        <f>IFERROR(__xludf.DUMMYFUNCTION("""COMPUTED_VALUE"""),"LATITUD")</f>
        <v>LATITUD</v>
      </c>
      <c r="C3869" s="36" t="str">
        <f>IFERROR(__xludf.DUMMYFUNCTION("""COMPUTED_VALUE"""),"LONGITUD")</f>
        <v>LONGITUD</v>
      </c>
      <c r="D3869" s="36" t="str">
        <f>IFERROR(__xludf.DUMMYFUNCTION("""COMPUTED_VALUE"""),"ERROR DE ID")</f>
        <v>ERROR DE ID</v>
      </c>
      <c r="E3869" s="36"/>
      <c r="F3869" s="36"/>
      <c r="G3869" s="36"/>
      <c r="H3869" s="36"/>
    </row>
    <row r="3870">
      <c r="A3870" s="36"/>
      <c r="B3870" s="36" t="str">
        <f>IFERROR(__xludf.DUMMYFUNCTION("""COMPUTED_VALUE"""),"LATITUD")</f>
        <v>LATITUD</v>
      </c>
      <c r="C3870" s="36" t="str">
        <f>IFERROR(__xludf.DUMMYFUNCTION("""COMPUTED_VALUE"""),"LONGITUD")</f>
        <v>LONGITUD</v>
      </c>
      <c r="D3870" s="36" t="str">
        <f>IFERROR(__xludf.DUMMYFUNCTION("""COMPUTED_VALUE"""),"ERROR DE ID")</f>
        <v>ERROR DE ID</v>
      </c>
      <c r="E3870" s="36"/>
      <c r="F3870" s="36"/>
      <c r="G3870" s="36"/>
      <c r="H3870" s="36"/>
    </row>
    <row r="3871">
      <c r="A3871" s="36"/>
      <c r="B3871" s="36" t="str">
        <f>IFERROR(__xludf.DUMMYFUNCTION("""COMPUTED_VALUE"""),"LATITUD")</f>
        <v>LATITUD</v>
      </c>
      <c r="C3871" s="36" t="str">
        <f>IFERROR(__xludf.DUMMYFUNCTION("""COMPUTED_VALUE"""),"LONGITUD")</f>
        <v>LONGITUD</v>
      </c>
      <c r="D3871" s="36" t="str">
        <f>IFERROR(__xludf.DUMMYFUNCTION("""COMPUTED_VALUE"""),"ERROR DE ID")</f>
        <v>ERROR DE ID</v>
      </c>
      <c r="E3871" s="36"/>
      <c r="F3871" s="36"/>
      <c r="G3871" s="36"/>
      <c r="H3871" s="36"/>
    </row>
    <row r="3872">
      <c r="A3872" s="36"/>
      <c r="B3872" s="36" t="str">
        <f>IFERROR(__xludf.DUMMYFUNCTION("""COMPUTED_VALUE"""),"LATITUD")</f>
        <v>LATITUD</v>
      </c>
      <c r="C3872" s="36" t="str">
        <f>IFERROR(__xludf.DUMMYFUNCTION("""COMPUTED_VALUE"""),"LONGITUD")</f>
        <v>LONGITUD</v>
      </c>
      <c r="D3872" s="36" t="str">
        <f>IFERROR(__xludf.DUMMYFUNCTION("""COMPUTED_VALUE"""),"ERROR DE ID")</f>
        <v>ERROR DE ID</v>
      </c>
      <c r="E3872" s="36"/>
      <c r="F3872" s="36"/>
      <c r="G3872" s="36"/>
      <c r="H3872" s="36"/>
    </row>
    <row r="3873">
      <c r="A3873" s="36"/>
      <c r="B3873" s="36" t="str">
        <f>IFERROR(__xludf.DUMMYFUNCTION("""COMPUTED_VALUE"""),"LATITUD")</f>
        <v>LATITUD</v>
      </c>
      <c r="C3873" s="36" t="str">
        <f>IFERROR(__xludf.DUMMYFUNCTION("""COMPUTED_VALUE"""),"LONGITUD")</f>
        <v>LONGITUD</v>
      </c>
      <c r="D3873" s="36" t="str">
        <f>IFERROR(__xludf.DUMMYFUNCTION("""COMPUTED_VALUE"""),"ERROR DE ID")</f>
        <v>ERROR DE ID</v>
      </c>
      <c r="E3873" s="36"/>
      <c r="F3873" s="36"/>
      <c r="G3873" s="36"/>
      <c r="H3873" s="36"/>
    </row>
    <row r="3874">
      <c r="A3874" s="36"/>
      <c r="B3874" s="36" t="str">
        <f>IFERROR(__xludf.DUMMYFUNCTION("""COMPUTED_VALUE"""),"LATITUD")</f>
        <v>LATITUD</v>
      </c>
      <c r="C3874" s="36" t="str">
        <f>IFERROR(__xludf.DUMMYFUNCTION("""COMPUTED_VALUE"""),"LONGITUD")</f>
        <v>LONGITUD</v>
      </c>
      <c r="D3874" s="36" t="str">
        <f>IFERROR(__xludf.DUMMYFUNCTION("""COMPUTED_VALUE"""),"ERROR DE ID")</f>
        <v>ERROR DE ID</v>
      </c>
      <c r="E3874" s="36"/>
      <c r="F3874" s="36"/>
      <c r="G3874" s="36"/>
      <c r="H3874" s="36"/>
    </row>
    <row r="3875">
      <c r="A3875" s="36"/>
      <c r="B3875" s="36" t="str">
        <f>IFERROR(__xludf.DUMMYFUNCTION("""COMPUTED_VALUE"""),"LATITUD")</f>
        <v>LATITUD</v>
      </c>
      <c r="C3875" s="36" t="str">
        <f>IFERROR(__xludf.DUMMYFUNCTION("""COMPUTED_VALUE"""),"LONGITUD")</f>
        <v>LONGITUD</v>
      </c>
      <c r="D3875" s="36" t="str">
        <f>IFERROR(__xludf.DUMMYFUNCTION("""COMPUTED_VALUE"""),"ERROR DE ID")</f>
        <v>ERROR DE ID</v>
      </c>
      <c r="E3875" s="36"/>
      <c r="F3875" s="36"/>
      <c r="G3875" s="36"/>
      <c r="H3875" s="36"/>
    </row>
    <row r="3876">
      <c r="A3876" s="36"/>
      <c r="B3876" s="36" t="str">
        <f>IFERROR(__xludf.DUMMYFUNCTION("""COMPUTED_VALUE"""),"LATITUD")</f>
        <v>LATITUD</v>
      </c>
      <c r="C3876" s="36" t="str">
        <f>IFERROR(__xludf.DUMMYFUNCTION("""COMPUTED_VALUE"""),"LONGITUD")</f>
        <v>LONGITUD</v>
      </c>
      <c r="D3876" s="36" t="str">
        <f>IFERROR(__xludf.DUMMYFUNCTION("""COMPUTED_VALUE"""),"ERROR DE ID")</f>
        <v>ERROR DE ID</v>
      </c>
      <c r="E3876" s="36"/>
      <c r="F3876" s="36"/>
      <c r="G3876" s="36"/>
      <c r="H3876" s="36"/>
    </row>
    <row r="3877">
      <c r="A3877" s="36"/>
      <c r="B3877" s="36" t="str">
        <f>IFERROR(__xludf.DUMMYFUNCTION("""COMPUTED_VALUE"""),"LATITUD")</f>
        <v>LATITUD</v>
      </c>
      <c r="C3877" s="36" t="str">
        <f>IFERROR(__xludf.DUMMYFUNCTION("""COMPUTED_VALUE"""),"LONGITUD")</f>
        <v>LONGITUD</v>
      </c>
      <c r="D3877" s="36" t="str">
        <f>IFERROR(__xludf.DUMMYFUNCTION("""COMPUTED_VALUE"""),"ERROR DE ID")</f>
        <v>ERROR DE ID</v>
      </c>
      <c r="E3877" s="36"/>
      <c r="F3877" s="36"/>
      <c r="G3877" s="36"/>
      <c r="H3877" s="36"/>
    </row>
    <row r="3878">
      <c r="A3878" s="36"/>
      <c r="B3878" s="36" t="str">
        <f>IFERROR(__xludf.DUMMYFUNCTION("""COMPUTED_VALUE"""),"LATITUD")</f>
        <v>LATITUD</v>
      </c>
      <c r="C3878" s="36" t="str">
        <f>IFERROR(__xludf.DUMMYFUNCTION("""COMPUTED_VALUE"""),"LONGITUD")</f>
        <v>LONGITUD</v>
      </c>
      <c r="D3878" s="36" t="str">
        <f>IFERROR(__xludf.DUMMYFUNCTION("""COMPUTED_VALUE"""),"ERROR DE ID")</f>
        <v>ERROR DE ID</v>
      </c>
      <c r="E3878" s="36"/>
      <c r="F3878" s="36"/>
      <c r="G3878" s="36"/>
      <c r="H3878" s="36"/>
    </row>
    <row r="3879">
      <c r="A3879" s="36"/>
      <c r="B3879" s="36" t="str">
        <f>IFERROR(__xludf.DUMMYFUNCTION("""COMPUTED_VALUE"""),"LATITUD")</f>
        <v>LATITUD</v>
      </c>
      <c r="C3879" s="36" t="str">
        <f>IFERROR(__xludf.DUMMYFUNCTION("""COMPUTED_VALUE"""),"LONGITUD")</f>
        <v>LONGITUD</v>
      </c>
      <c r="D3879" s="36" t="str">
        <f>IFERROR(__xludf.DUMMYFUNCTION("""COMPUTED_VALUE"""),"ERROR DE ID")</f>
        <v>ERROR DE ID</v>
      </c>
      <c r="E3879" s="36"/>
      <c r="F3879" s="36"/>
      <c r="G3879" s="36"/>
      <c r="H3879" s="36"/>
    </row>
    <row r="3880">
      <c r="A3880" s="36"/>
      <c r="B3880" s="36" t="str">
        <f>IFERROR(__xludf.DUMMYFUNCTION("""COMPUTED_VALUE"""),"LATITUD")</f>
        <v>LATITUD</v>
      </c>
      <c r="C3880" s="36" t="str">
        <f>IFERROR(__xludf.DUMMYFUNCTION("""COMPUTED_VALUE"""),"LONGITUD")</f>
        <v>LONGITUD</v>
      </c>
      <c r="D3880" s="36" t="str">
        <f>IFERROR(__xludf.DUMMYFUNCTION("""COMPUTED_VALUE"""),"ERROR DE ID")</f>
        <v>ERROR DE ID</v>
      </c>
      <c r="E3880" s="36"/>
      <c r="F3880" s="36"/>
      <c r="G3880" s="36"/>
      <c r="H3880" s="36"/>
    </row>
    <row r="3881">
      <c r="A3881" s="36"/>
      <c r="B3881" s="36" t="str">
        <f>IFERROR(__xludf.DUMMYFUNCTION("""COMPUTED_VALUE"""),"LATITUD")</f>
        <v>LATITUD</v>
      </c>
      <c r="C3881" s="36" t="str">
        <f>IFERROR(__xludf.DUMMYFUNCTION("""COMPUTED_VALUE"""),"LONGITUD")</f>
        <v>LONGITUD</v>
      </c>
      <c r="D3881" s="36" t="str">
        <f>IFERROR(__xludf.DUMMYFUNCTION("""COMPUTED_VALUE"""),"ERROR DE ID")</f>
        <v>ERROR DE ID</v>
      </c>
      <c r="E3881" s="36"/>
      <c r="F3881" s="36"/>
      <c r="G3881" s="36"/>
      <c r="H3881" s="36"/>
    </row>
    <row r="3882">
      <c r="A3882" s="36"/>
      <c r="B3882" s="36" t="str">
        <f>IFERROR(__xludf.DUMMYFUNCTION("""COMPUTED_VALUE"""),"LATITUD")</f>
        <v>LATITUD</v>
      </c>
      <c r="C3882" s="36" t="str">
        <f>IFERROR(__xludf.DUMMYFUNCTION("""COMPUTED_VALUE"""),"LONGITUD")</f>
        <v>LONGITUD</v>
      </c>
      <c r="D3882" s="36" t="str">
        <f>IFERROR(__xludf.DUMMYFUNCTION("""COMPUTED_VALUE"""),"ERROR DE ID")</f>
        <v>ERROR DE ID</v>
      </c>
      <c r="E3882" s="36"/>
      <c r="F3882" s="36"/>
      <c r="G3882" s="36"/>
      <c r="H3882" s="36"/>
    </row>
    <row r="3883">
      <c r="A3883" s="36"/>
      <c r="B3883" s="36" t="str">
        <f>IFERROR(__xludf.DUMMYFUNCTION("""COMPUTED_VALUE"""),"LATITUD")</f>
        <v>LATITUD</v>
      </c>
      <c r="C3883" s="36" t="str">
        <f>IFERROR(__xludf.DUMMYFUNCTION("""COMPUTED_VALUE"""),"LONGITUD")</f>
        <v>LONGITUD</v>
      </c>
      <c r="D3883" s="36" t="str">
        <f>IFERROR(__xludf.DUMMYFUNCTION("""COMPUTED_VALUE"""),"ERROR DE ID")</f>
        <v>ERROR DE ID</v>
      </c>
      <c r="E3883" s="36"/>
      <c r="F3883" s="36"/>
      <c r="G3883" s="36"/>
      <c r="H3883" s="36"/>
    </row>
    <row r="3884">
      <c r="A3884" s="36"/>
      <c r="B3884" s="36" t="str">
        <f>IFERROR(__xludf.DUMMYFUNCTION("""COMPUTED_VALUE"""),"LATITUD")</f>
        <v>LATITUD</v>
      </c>
      <c r="C3884" s="36" t="str">
        <f>IFERROR(__xludf.DUMMYFUNCTION("""COMPUTED_VALUE"""),"LONGITUD")</f>
        <v>LONGITUD</v>
      </c>
      <c r="D3884" s="36" t="str">
        <f>IFERROR(__xludf.DUMMYFUNCTION("""COMPUTED_VALUE"""),"ERROR DE ID")</f>
        <v>ERROR DE ID</v>
      </c>
      <c r="E3884" s="36"/>
      <c r="F3884" s="36"/>
      <c r="G3884" s="36"/>
      <c r="H3884" s="36"/>
    </row>
    <row r="3885">
      <c r="A3885" s="36"/>
      <c r="B3885" s="36" t="str">
        <f>IFERROR(__xludf.DUMMYFUNCTION("""COMPUTED_VALUE"""),"LATITUD")</f>
        <v>LATITUD</v>
      </c>
      <c r="C3885" s="36" t="str">
        <f>IFERROR(__xludf.DUMMYFUNCTION("""COMPUTED_VALUE"""),"LONGITUD")</f>
        <v>LONGITUD</v>
      </c>
      <c r="D3885" s="36" t="str">
        <f>IFERROR(__xludf.DUMMYFUNCTION("""COMPUTED_VALUE"""),"ERROR DE ID")</f>
        <v>ERROR DE ID</v>
      </c>
      <c r="E3885" s="36"/>
      <c r="F3885" s="36"/>
      <c r="G3885" s="36"/>
      <c r="H3885" s="36"/>
    </row>
    <row r="3886">
      <c r="A3886" s="36"/>
      <c r="B3886" s="36" t="str">
        <f>IFERROR(__xludf.DUMMYFUNCTION("""COMPUTED_VALUE"""),"LATITUD")</f>
        <v>LATITUD</v>
      </c>
      <c r="C3886" s="36" t="str">
        <f>IFERROR(__xludf.DUMMYFUNCTION("""COMPUTED_VALUE"""),"LONGITUD")</f>
        <v>LONGITUD</v>
      </c>
      <c r="D3886" s="36" t="str">
        <f>IFERROR(__xludf.DUMMYFUNCTION("""COMPUTED_VALUE"""),"ERROR DE ID")</f>
        <v>ERROR DE ID</v>
      </c>
      <c r="E3886" s="36"/>
      <c r="F3886" s="36"/>
      <c r="G3886" s="36"/>
      <c r="H3886" s="36"/>
    </row>
    <row r="3887">
      <c r="A3887" s="36"/>
      <c r="B3887" s="36" t="str">
        <f>IFERROR(__xludf.DUMMYFUNCTION("""COMPUTED_VALUE"""),"LATITUD")</f>
        <v>LATITUD</v>
      </c>
      <c r="C3887" s="36" t="str">
        <f>IFERROR(__xludf.DUMMYFUNCTION("""COMPUTED_VALUE"""),"LONGITUD")</f>
        <v>LONGITUD</v>
      </c>
      <c r="D3887" s="36" t="str">
        <f>IFERROR(__xludf.DUMMYFUNCTION("""COMPUTED_VALUE"""),"ERROR DE ID")</f>
        <v>ERROR DE ID</v>
      </c>
      <c r="E3887" s="36"/>
      <c r="F3887" s="36"/>
      <c r="G3887" s="36"/>
      <c r="H3887" s="36"/>
    </row>
    <row r="3888">
      <c r="A3888" s="36"/>
      <c r="B3888" s="36" t="str">
        <f>IFERROR(__xludf.DUMMYFUNCTION("""COMPUTED_VALUE"""),"LATITUD")</f>
        <v>LATITUD</v>
      </c>
      <c r="C3888" s="36" t="str">
        <f>IFERROR(__xludf.DUMMYFUNCTION("""COMPUTED_VALUE"""),"LONGITUD")</f>
        <v>LONGITUD</v>
      </c>
      <c r="D3888" s="36" t="str">
        <f>IFERROR(__xludf.DUMMYFUNCTION("""COMPUTED_VALUE"""),"ERROR DE ID")</f>
        <v>ERROR DE ID</v>
      </c>
      <c r="E3888" s="36"/>
      <c r="F3888" s="36"/>
      <c r="G3888" s="36"/>
      <c r="H3888" s="36"/>
    </row>
    <row r="3889">
      <c r="A3889" s="36"/>
      <c r="B3889" s="36" t="str">
        <f>IFERROR(__xludf.DUMMYFUNCTION("""COMPUTED_VALUE"""),"LATITUD")</f>
        <v>LATITUD</v>
      </c>
      <c r="C3889" s="36" t="str">
        <f>IFERROR(__xludf.DUMMYFUNCTION("""COMPUTED_VALUE"""),"LONGITUD")</f>
        <v>LONGITUD</v>
      </c>
      <c r="D3889" s="36" t="str">
        <f>IFERROR(__xludf.DUMMYFUNCTION("""COMPUTED_VALUE"""),"ERROR DE ID")</f>
        <v>ERROR DE ID</v>
      </c>
      <c r="E3889" s="36"/>
      <c r="F3889" s="36"/>
      <c r="G3889" s="36"/>
      <c r="H3889" s="36"/>
    </row>
    <row r="3890">
      <c r="A3890" s="36"/>
      <c r="B3890" s="36" t="str">
        <f>IFERROR(__xludf.DUMMYFUNCTION("""COMPUTED_VALUE"""),"LATITUD")</f>
        <v>LATITUD</v>
      </c>
      <c r="C3890" s="36" t="str">
        <f>IFERROR(__xludf.DUMMYFUNCTION("""COMPUTED_VALUE"""),"LONGITUD")</f>
        <v>LONGITUD</v>
      </c>
      <c r="D3890" s="36" t="str">
        <f>IFERROR(__xludf.DUMMYFUNCTION("""COMPUTED_VALUE"""),"ERROR DE ID")</f>
        <v>ERROR DE ID</v>
      </c>
      <c r="E3890" s="36"/>
      <c r="F3890" s="36"/>
      <c r="G3890" s="36"/>
      <c r="H3890" s="36"/>
    </row>
    <row r="3891">
      <c r="A3891" s="36"/>
      <c r="B3891" s="36" t="str">
        <f>IFERROR(__xludf.DUMMYFUNCTION("""COMPUTED_VALUE"""),"LATITUD")</f>
        <v>LATITUD</v>
      </c>
      <c r="C3891" s="36" t="str">
        <f>IFERROR(__xludf.DUMMYFUNCTION("""COMPUTED_VALUE"""),"LONGITUD")</f>
        <v>LONGITUD</v>
      </c>
      <c r="D3891" s="36" t="str">
        <f>IFERROR(__xludf.DUMMYFUNCTION("""COMPUTED_VALUE"""),"ERROR DE ID")</f>
        <v>ERROR DE ID</v>
      </c>
      <c r="E3891" s="36"/>
      <c r="F3891" s="36"/>
      <c r="G3891" s="36"/>
      <c r="H3891" s="36"/>
    </row>
    <row r="3892">
      <c r="A3892" s="36"/>
      <c r="B3892" s="36" t="str">
        <f>IFERROR(__xludf.DUMMYFUNCTION("""COMPUTED_VALUE"""),"LATITUD")</f>
        <v>LATITUD</v>
      </c>
      <c r="C3892" s="36" t="str">
        <f>IFERROR(__xludf.DUMMYFUNCTION("""COMPUTED_VALUE"""),"LONGITUD")</f>
        <v>LONGITUD</v>
      </c>
      <c r="D3892" s="36" t="str">
        <f>IFERROR(__xludf.DUMMYFUNCTION("""COMPUTED_VALUE"""),"ERROR DE ID")</f>
        <v>ERROR DE ID</v>
      </c>
      <c r="E3892" s="36"/>
      <c r="F3892" s="36"/>
      <c r="G3892" s="36"/>
      <c r="H3892" s="36"/>
    </row>
    <row r="3893">
      <c r="A3893" s="36"/>
      <c r="B3893" s="36" t="str">
        <f>IFERROR(__xludf.DUMMYFUNCTION("""COMPUTED_VALUE"""),"LATITUD")</f>
        <v>LATITUD</v>
      </c>
      <c r="C3893" s="36" t="str">
        <f>IFERROR(__xludf.DUMMYFUNCTION("""COMPUTED_VALUE"""),"LONGITUD")</f>
        <v>LONGITUD</v>
      </c>
      <c r="D3893" s="36" t="str">
        <f>IFERROR(__xludf.DUMMYFUNCTION("""COMPUTED_VALUE"""),"ERROR DE ID")</f>
        <v>ERROR DE ID</v>
      </c>
      <c r="E3893" s="36"/>
      <c r="F3893" s="36"/>
      <c r="G3893" s="36"/>
      <c r="H3893" s="36"/>
    </row>
    <row r="3894">
      <c r="A3894" s="36"/>
      <c r="B3894" s="36" t="str">
        <f>IFERROR(__xludf.DUMMYFUNCTION("""COMPUTED_VALUE"""),"LATITUD")</f>
        <v>LATITUD</v>
      </c>
      <c r="C3894" s="36" t="str">
        <f>IFERROR(__xludf.DUMMYFUNCTION("""COMPUTED_VALUE"""),"LONGITUD")</f>
        <v>LONGITUD</v>
      </c>
      <c r="D3894" s="36" t="str">
        <f>IFERROR(__xludf.DUMMYFUNCTION("""COMPUTED_VALUE"""),"ERROR DE ID")</f>
        <v>ERROR DE ID</v>
      </c>
      <c r="E3894" s="36"/>
      <c r="F3894" s="36"/>
      <c r="G3894" s="36"/>
      <c r="H3894" s="36"/>
    </row>
    <row r="3895">
      <c r="A3895" s="36"/>
      <c r="B3895" s="36" t="str">
        <f>IFERROR(__xludf.DUMMYFUNCTION("""COMPUTED_VALUE"""),"LATITUD")</f>
        <v>LATITUD</v>
      </c>
      <c r="C3895" s="36" t="str">
        <f>IFERROR(__xludf.DUMMYFUNCTION("""COMPUTED_VALUE"""),"LONGITUD")</f>
        <v>LONGITUD</v>
      </c>
      <c r="D3895" s="36" t="str">
        <f>IFERROR(__xludf.DUMMYFUNCTION("""COMPUTED_VALUE"""),"ERROR DE ID")</f>
        <v>ERROR DE ID</v>
      </c>
      <c r="E3895" s="36"/>
      <c r="F3895" s="36"/>
      <c r="G3895" s="36"/>
      <c r="H3895" s="36"/>
    </row>
    <row r="3896">
      <c r="A3896" s="36"/>
      <c r="B3896" s="36" t="str">
        <f>IFERROR(__xludf.DUMMYFUNCTION("""COMPUTED_VALUE"""),"LATITUD")</f>
        <v>LATITUD</v>
      </c>
      <c r="C3896" s="36" t="str">
        <f>IFERROR(__xludf.DUMMYFUNCTION("""COMPUTED_VALUE"""),"LONGITUD")</f>
        <v>LONGITUD</v>
      </c>
      <c r="D3896" s="36" t="str">
        <f>IFERROR(__xludf.DUMMYFUNCTION("""COMPUTED_VALUE"""),"ERROR DE ID")</f>
        <v>ERROR DE ID</v>
      </c>
      <c r="E3896" s="36"/>
      <c r="F3896" s="36"/>
      <c r="G3896" s="36"/>
      <c r="H3896" s="36"/>
    </row>
    <row r="3897">
      <c r="A3897" s="36"/>
      <c r="B3897" s="36" t="str">
        <f>IFERROR(__xludf.DUMMYFUNCTION("""COMPUTED_VALUE"""),"LATITUD")</f>
        <v>LATITUD</v>
      </c>
      <c r="C3897" s="36" t="str">
        <f>IFERROR(__xludf.DUMMYFUNCTION("""COMPUTED_VALUE"""),"LONGITUD")</f>
        <v>LONGITUD</v>
      </c>
      <c r="D3897" s="36" t="str">
        <f>IFERROR(__xludf.DUMMYFUNCTION("""COMPUTED_VALUE"""),"ERROR DE ID")</f>
        <v>ERROR DE ID</v>
      </c>
      <c r="E3897" s="36"/>
      <c r="F3897" s="36"/>
      <c r="G3897" s="36"/>
      <c r="H3897" s="36"/>
    </row>
    <row r="3898">
      <c r="A3898" s="36"/>
      <c r="B3898" s="36" t="str">
        <f>IFERROR(__xludf.DUMMYFUNCTION("""COMPUTED_VALUE"""),"LATITUD")</f>
        <v>LATITUD</v>
      </c>
      <c r="C3898" s="36" t="str">
        <f>IFERROR(__xludf.DUMMYFUNCTION("""COMPUTED_VALUE"""),"LONGITUD")</f>
        <v>LONGITUD</v>
      </c>
      <c r="D3898" s="36" t="str">
        <f>IFERROR(__xludf.DUMMYFUNCTION("""COMPUTED_VALUE"""),"ERROR DE ID")</f>
        <v>ERROR DE ID</v>
      </c>
      <c r="E3898" s="36"/>
      <c r="F3898" s="36"/>
      <c r="G3898" s="36"/>
      <c r="H3898" s="36"/>
    </row>
    <row r="3899">
      <c r="A3899" s="36"/>
      <c r="B3899" s="36" t="str">
        <f>IFERROR(__xludf.DUMMYFUNCTION("""COMPUTED_VALUE"""),"LATITUD")</f>
        <v>LATITUD</v>
      </c>
      <c r="C3899" s="36" t="str">
        <f>IFERROR(__xludf.DUMMYFUNCTION("""COMPUTED_VALUE"""),"LONGITUD")</f>
        <v>LONGITUD</v>
      </c>
      <c r="D3899" s="36" t="str">
        <f>IFERROR(__xludf.DUMMYFUNCTION("""COMPUTED_VALUE"""),"ERROR DE ID")</f>
        <v>ERROR DE ID</v>
      </c>
      <c r="E3899" s="36"/>
      <c r="F3899" s="36"/>
      <c r="G3899" s="36"/>
      <c r="H3899" s="36"/>
    </row>
    <row r="3900">
      <c r="A3900" s="36"/>
      <c r="B3900" s="36" t="str">
        <f>IFERROR(__xludf.DUMMYFUNCTION("""COMPUTED_VALUE"""),"LATITUD")</f>
        <v>LATITUD</v>
      </c>
      <c r="C3900" s="36" t="str">
        <f>IFERROR(__xludf.DUMMYFUNCTION("""COMPUTED_VALUE"""),"LONGITUD")</f>
        <v>LONGITUD</v>
      </c>
      <c r="D3900" s="36" t="str">
        <f>IFERROR(__xludf.DUMMYFUNCTION("""COMPUTED_VALUE"""),"ERROR DE ID")</f>
        <v>ERROR DE ID</v>
      </c>
      <c r="E3900" s="36"/>
      <c r="F3900" s="36"/>
      <c r="G3900" s="36"/>
      <c r="H3900" s="36"/>
    </row>
    <row r="3901">
      <c r="A3901" s="36"/>
      <c r="B3901" s="36" t="str">
        <f>IFERROR(__xludf.DUMMYFUNCTION("""COMPUTED_VALUE"""),"LATITUD")</f>
        <v>LATITUD</v>
      </c>
      <c r="C3901" s="36" t="str">
        <f>IFERROR(__xludf.DUMMYFUNCTION("""COMPUTED_VALUE"""),"LONGITUD")</f>
        <v>LONGITUD</v>
      </c>
      <c r="D3901" s="36" t="str">
        <f>IFERROR(__xludf.DUMMYFUNCTION("""COMPUTED_VALUE"""),"ERROR DE ID")</f>
        <v>ERROR DE ID</v>
      </c>
      <c r="E3901" s="36"/>
      <c r="F3901" s="36"/>
      <c r="G3901" s="36"/>
      <c r="H3901" s="36"/>
    </row>
    <row r="3902">
      <c r="A3902" s="36"/>
      <c r="B3902" s="36" t="str">
        <f>IFERROR(__xludf.DUMMYFUNCTION("""COMPUTED_VALUE"""),"LATITUD")</f>
        <v>LATITUD</v>
      </c>
      <c r="C3902" s="36" t="str">
        <f>IFERROR(__xludf.DUMMYFUNCTION("""COMPUTED_VALUE"""),"LONGITUD")</f>
        <v>LONGITUD</v>
      </c>
      <c r="D3902" s="36" t="str">
        <f>IFERROR(__xludf.DUMMYFUNCTION("""COMPUTED_VALUE"""),"ERROR DE ID")</f>
        <v>ERROR DE ID</v>
      </c>
      <c r="E3902" s="36"/>
      <c r="F3902" s="36"/>
      <c r="G3902" s="36"/>
      <c r="H3902" s="36"/>
    </row>
    <row r="3903">
      <c r="A3903" s="36"/>
      <c r="B3903" s="36" t="str">
        <f>IFERROR(__xludf.DUMMYFUNCTION("""COMPUTED_VALUE"""),"LATITUD")</f>
        <v>LATITUD</v>
      </c>
      <c r="C3903" s="36" t="str">
        <f>IFERROR(__xludf.DUMMYFUNCTION("""COMPUTED_VALUE"""),"LONGITUD")</f>
        <v>LONGITUD</v>
      </c>
      <c r="D3903" s="36" t="str">
        <f>IFERROR(__xludf.DUMMYFUNCTION("""COMPUTED_VALUE"""),"ERROR DE ID")</f>
        <v>ERROR DE ID</v>
      </c>
      <c r="E3903" s="36"/>
      <c r="F3903" s="36"/>
      <c r="G3903" s="36"/>
      <c r="H3903" s="36"/>
    </row>
    <row r="3904">
      <c r="A3904" s="36"/>
      <c r="B3904" s="36" t="str">
        <f>IFERROR(__xludf.DUMMYFUNCTION("""COMPUTED_VALUE"""),"LATITUD")</f>
        <v>LATITUD</v>
      </c>
      <c r="C3904" s="36" t="str">
        <f>IFERROR(__xludf.DUMMYFUNCTION("""COMPUTED_VALUE"""),"LONGITUD")</f>
        <v>LONGITUD</v>
      </c>
      <c r="D3904" s="36" t="str">
        <f>IFERROR(__xludf.DUMMYFUNCTION("""COMPUTED_VALUE"""),"ERROR DE ID")</f>
        <v>ERROR DE ID</v>
      </c>
      <c r="E3904" s="36"/>
      <c r="F3904" s="36"/>
      <c r="G3904" s="36"/>
      <c r="H3904" s="36"/>
    </row>
    <row r="3905">
      <c r="A3905" s="36"/>
      <c r="B3905" s="36" t="str">
        <f>IFERROR(__xludf.DUMMYFUNCTION("""COMPUTED_VALUE"""),"LATITUD")</f>
        <v>LATITUD</v>
      </c>
      <c r="C3905" s="36" t="str">
        <f>IFERROR(__xludf.DUMMYFUNCTION("""COMPUTED_VALUE"""),"LONGITUD")</f>
        <v>LONGITUD</v>
      </c>
      <c r="D3905" s="36" t="str">
        <f>IFERROR(__xludf.DUMMYFUNCTION("""COMPUTED_VALUE"""),"ERROR DE ID")</f>
        <v>ERROR DE ID</v>
      </c>
      <c r="E3905" s="36"/>
      <c r="F3905" s="36"/>
      <c r="G3905" s="36"/>
      <c r="H3905" s="36"/>
    </row>
    <row r="3906">
      <c r="A3906" s="36"/>
      <c r="B3906" s="36" t="str">
        <f>IFERROR(__xludf.DUMMYFUNCTION("""COMPUTED_VALUE"""),"LATITUD")</f>
        <v>LATITUD</v>
      </c>
      <c r="C3906" s="36" t="str">
        <f>IFERROR(__xludf.DUMMYFUNCTION("""COMPUTED_VALUE"""),"LONGITUD")</f>
        <v>LONGITUD</v>
      </c>
      <c r="D3906" s="36" t="str">
        <f>IFERROR(__xludf.DUMMYFUNCTION("""COMPUTED_VALUE"""),"ERROR DE ID")</f>
        <v>ERROR DE ID</v>
      </c>
      <c r="E3906" s="36"/>
      <c r="F3906" s="36"/>
      <c r="G3906" s="36"/>
      <c r="H3906" s="36"/>
    </row>
    <row r="3907">
      <c r="A3907" s="36"/>
      <c r="B3907" s="36" t="str">
        <f>IFERROR(__xludf.DUMMYFUNCTION("""COMPUTED_VALUE"""),"LATITUD")</f>
        <v>LATITUD</v>
      </c>
      <c r="C3907" s="36" t="str">
        <f>IFERROR(__xludf.DUMMYFUNCTION("""COMPUTED_VALUE"""),"LONGITUD")</f>
        <v>LONGITUD</v>
      </c>
      <c r="D3907" s="36" t="str">
        <f>IFERROR(__xludf.DUMMYFUNCTION("""COMPUTED_VALUE"""),"ERROR DE ID")</f>
        <v>ERROR DE ID</v>
      </c>
      <c r="E3907" s="36"/>
      <c r="F3907" s="36"/>
      <c r="G3907" s="36"/>
      <c r="H3907" s="36"/>
    </row>
    <row r="3908">
      <c r="A3908" s="36"/>
      <c r="B3908" s="36" t="str">
        <f>IFERROR(__xludf.DUMMYFUNCTION("""COMPUTED_VALUE"""),"LATITUD")</f>
        <v>LATITUD</v>
      </c>
      <c r="C3908" s="36" t="str">
        <f>IFERROR(__xludf.DUMMYFUNCTION("""COMPUTED_VALUE"""),"LONGITUD")</f>
        <v>LONGITUD</v>
      </c>
      <c r="D3908" s="36" t="str">
        <f>IFERROR(__xludf.DUMMYFUNCTION("""COMPUTED_VALUE"""),"ERROR DE ID")</f>
        <v>ERROR DE ID</v>
      </c>
      <c r="E3908" s="36"/>
      <c r="F3908" s="36"/>
      <c r="G3908" s="36"/>
      <c r="H3908" s="36"/>
    </row>
    <row r="3909">
      <c r="A3909" s="36"/>
      <c r="B3909" s="36" t="str">
        <f>IFERROR(__xludf.DUMMYFUNCTION("""COMPUTED_VALUE"""),"LATITUD")</f>
        <v>LATITUD</v>
      </c>
      <c r="C3909" s="36" t="str">
        <f>IFERROR(__xludf.DUMMYFUNCTION("""COMPUTED_VALUE"""),"LONGITUD")</f>
        <v>LONGITUD</v>
      </c>
      <c r="D3909" s="36" t="str">
        <f>IFERROR(__xludf.DUMMYFUNCTION("""COMPUTED_VALUE"""),"ERROR DE ID")</f>
        <v>ERROR DE ID</v>
      </c>
      <c r="E3909" s="36"/>
      <c r="F3909" s="36"/>
      <c r="G3909" s="36"/>
      <c r="H3909" s="36"/>
    </row>
    <row r="3910">
      <c r="A3910" s="36"/>
      <c r="B3910" s="36" t="str">
        <f>IFERROR(__xludf.DUMMYFUNCTION("""COMPUTED_VALUE"""),"LATITUD")</f>
        <v>LATITUD</v>
      </c>
      <c r="C3910" s="36" t="str">
        <f>IFERROR(__xludf.DUMMYFUNCTION("""COMPUTED_VALUE"""),"LONGITUD")</f>
        <v>LONGITUD</v>
      </c>
      <c r="D3910" s="36" t="str">
        <f>IFERROR(__xludf.DUMMYFUNCTION("""COMPUTED_VALUE"""),"ERROR DE ID")</f>
        <v>ERROR DE ID</v>
      </c>
      <c r="E3910" s="36"/>
      <c r="F3910" s="36"/>
      <c r="G3910" s="36"/>
      <c r="H3910" s="36"/>
    </row>
    <row r="3911">
      <c r="A3911" s="36"/>
      <c r="B3911" s="36" t="str">
        <f>IFERROR(__xludf.DUMMYFUNCTION("""COMPUTED_VALUE"""),"LATITUD")</f>
        <v>LATITUD</v>
      </c>
      <c r="C3911" s="36" t="str">
        <f>IFERROR(__xludf.DUMMYFUNCTION("""COMPUTED_VALUE"""),"LONGITUD")</f>
        <v>LONGITUD</v>
      </c>
      <c r="D3911" s="36" t="str">
        <f>IFERROR(__xludf.DUMMYFUNCTION("""COMPUTED_VALUE"""),"ERROR DE ID")</f>
        <v>ERROR DE ID</v>
      </c>
      <c r="E3911" s="36"/>
      <c r="F3911" s="36"/>
      <c r="G3911" s="36"/>
      <c r="H3911" s="36"/>
    </row>
    <row r="3912">
      <c r="A3912" s="36"/>
      <c r="B3912" s="36" t="str">
        <f>IFERROR(__xludf.DUMMYFUNCTION("""COMPUTED_VALUE"""),"LATITUD")</f>
        <v>LATITUD</v>
      </c>
      <c r="C3912" s="36" t="str">
        <f>IFERROR(__xludf.DUMMYFUNCTION("""COMPUTED_VALUE"""),"LONGITUD")</f>
        <v>LONGITUD</v>
      </c>
      <c r="D3912" s="36" t="str">
        <f>IFERROR(__xludf.DUMMYFUNCTION("""COMPUTED_VALUE"""),"ERROR DE ID")</f>
        <v>ERROR DE ID</v>
      </c>
      <c r="E3912" s="36"/>
      <c r="F3912" s="36"/>
      <c r="G3912" s="36"/>
      <c r="H3912" s="36"/>
    </row>
    <row r="3913">
      <c r="A3913" s="36"/>
      <c r="B3913" s="36" t="str">
        <f>IFERROR(__xludf.DUMMYFUNCTION("""COMPUTED_VALUE"""),"LATITUD")</f>
        <v>LATITUD</v>
      </c>
      <c r="C3913" s="36" t="str">
        <f>IFERROR(__xludf.DUMMYFUNCTION("""COMPUTED_VALUE"""),"LONGITUD")</f>
        <v>LONGITUD</v>
      </c>
      <c r="D3913" s="36" t="str">
        <f>IFERROR(__xludf.DUMMYFUNCTION("""COMPUTED_VALUE"""),"ERROR DE ID")</f>
        <v>ERROR DE ID</v>
      </c>
      <c r="E3913" s="36"/>
      <c r="F3913" s="36"/>
      <c r="G3913" s="36"/>
      <c r="H3913" s="36"/>
    </row>
    <row r="3914">
      <c r="A3914" s="36"/>
      <c r="B3914" s="36" t="str">
        <f>IFERROR(__xludf.DUMMYFUNCTION("""COMPUTED_VALUE"""),"LATITUD")</f>
        <v>LATITUD</v>
      </c>
      <c r="C3914" s="36" t="str">
        <f>IFERROR(__xludf.DUMMYFUNCTION("""COMPUTED_VALUE"""),"LONGITUD")</f>
        <v>LONGITUD</v>
      </c>
      <c r="D3914" s="36" t="str">
        <f>IFERROR(__xludf.DUMMYFUNCTION("""COMPUTED_VALUE"""),"ERROR DE ID")</f>
        <v>ERROR DE ID</v>
      </c>
      <c r="E3914" s="36"/>
      <c r="F3914" s="36"/>
      <c r="G3914" s="36"/>
      <c r="H3914" s="36"/>
    </row>
    <row r="3915">
      <c r="A3915" s="36"/>
      <c r="B3915" s="36" t="str">
        <f>IFERROR(__xludf.DUMMYFUNCTION("""COMPUTED_VALUE"""),"LATITUD")</f>
        <v>LATITUD</v>
      </c>
      <c r="C3915" s="36" t="str">
        <f>IFERROR(__xludf.DUMMYFUNCTION("""COMPUTED_VALUE"""),"LONGITUD")</f>
        <v>LONGITUD</v>
      </c>
      <c r="D3915" s="36" t="str">
        <f>IFERROR(__xludf.DUMMYFUNCTION("""COMPUTED_VALUE"""),"ERROR DE ID")</f>
        <v>ERROR DE ID</v>
      </c>
      <c r="E3915" s="36"/>
      <c r="F3915" s="36"/>
      <c r="G3915" s="36"/>
      <c r="H3915" s="36"/>
    </row>
    <row r="3916">
      <c r="A3916" s="36"/>
      <c r="B3916" s="36" t="str">
        <f>IFERROR(__xludf.DUMMYFUNCTION("""COMPUTED_VALUE"""),"LATITUD")</f>
        <v>LATITUD</v>
      </c>
      <c r="C3916" s="36" t="str">
        <f>IFERROR(__xludf.DUMMYFUNCTION("""COMPUTED_VALUE"""),"LONGITUD")</f>
        <v>LONGITUD</v>
      </c>
      <c r="D3916" s="36" t="str">
        <f>IFERROR(__xludf.DUMMYFUNCTION("""COMPUTED_VALUE"""),"ERROR DE ID")</f>
        <v>ERROR DE ID</v>
      </c>
      <c r="E3916" s="36"/>
      <c r="F3916" s="36"/>
      <c r="G3916" s="36"/>
      <c r="H3916" s="36"/>
    </row>
    <row r="3917">
      <c r="A3917" s="36"/>
      <c r="B3917" s="36" t="str">
        <f>IFERROR(__xludf.DUMMYFUNCTION("""COMPUTED_VALUE"""),"LATITUD")</f>
        <v>LATITUD</v>
      </c>
      <c r="C3917" s="36" t="str">
        <f>IFERROR(__xludf.DUMMYFUNCTION("""COMPUTED_VALUE"""),"LONGITUD")</f>
        <v>LONGITUD</v>
      </c>
      <c r="D3917" s="36" t="str">
        <f>IFERROR(__xludf.DUMMYFUNCTION("""COMPUTED_VALUE"""),"ERROR DE ID")</f>
        <v>ERROR DE ID</v>
      </c>
      <c r="E3917" s="36"/>
      <c r="F3917" s="36"/>
      <c r="G3917" s="36"/>
      <c r="H3917" s="36"/>
    </row>
    <row r="3918">
      <c r="A3918" s="36"/>
      <c r="B3918" s="36" t="str">
        <f>IFERROR(__xludf.DUMMYFUNCTION("""COMPUTED_VALUE"""),"LATITUD")</f>
        <v>LATITUD</v>
      </c>
      <c r="C3918" s="36" t="str">
        <f>IFERROR(__xludf.DUMMYFUNCTION("""COMPUTED_VALUE"""),"LONGITUD")</f>
        <v>LONGITUD</v>
      </c>
      <c r="D3918" s="36" t="str">
        <f>IFERROR(__xludf.DUMMYFUNCTION("""COMPUTED_VALUE"""),"ERROR DE ID")</f>
        <v>ERROR DE ID</v>
      </c>
      <c r="E3918" s="36"/>
      <c r="F3918" s="36"/>
      <c r="G3918" s="36"/>
      <c r="H3918" s="36"/>
    </row>
    <row r="3919">
      <c r="A3919" s="36"/>
      <c r="B3919" s="36" t="str">
        <f>IFERROR(__xludf.DUMMYFUNCTION("""COMPUTED_VALUE"""),"LATITUD")</f>
        <v>LATITUD</v>
      </c>
      <c r="C3919" s="36" t="str">
        <f>IFERROR(__xludf.DUMMYFUNCTION("""COMPUTED_VALUE"""),"LONGITUD")</f>
        <v>LONGITUD</v>
      </c>
      <c r="D3919" s="36" t="str">
        <f>IFERROR(__xludf.DUMMYFUNCTION("""COMPUTED_VALUE"""),"ERROR DE ID")</f>
        <v>ERROR DE ID</v>
      </c>
      <c r="E3919" s="36"/>
      <c r="F3919" s="36"/>
      <c r="G3919" s="36"/>
      <c r="H3919" s="36"/>
    </row>
    <row r="3920">
      <c r="A3920" s="36"/>
      <c r="B3920" s="36" t="str">
        <f>IFERROR(__xludf.DUMMYFUNCTION("""COMPUTED_VALUE"""),"LATITUD")</f>
        <v>LATITUD</v>
      </c>
      <c r="C3920" s="36" t="str">
        <f>IFERROR(__xludf.DUMMYFUNCTION("""COMPUTED_VALUE"""),"LONGITUD")</f>
        <v>LONGITUD</v>
      </c>
      <c r="D3920" s="36" t="str">
        <f>IFERROR(__xludf.DUMMYFUNCTION("""COMPUTED_VALUE"""),"ERROR DE ID")</f>
        <v>ERROR DE ID</v>
      </c>
      <c r="E3920" s="36"/>
      <c r="F3920" s="36"/>
      <c r="G3920" s="36"/>
      <c r="H3920" s="36"/>
    </row>
    <row r="3921">
      <c r="A3921" s="36"/>
      <c r="B3921" s="36" t="str">
        <f>IFERROR(__xludf.DUMMYFUNCTION("""COMPUTED_VALUE"""),"LATITUD")</f>
        <v>LATITUD</v>
      </c>
      <c r="C3921" s="36" t="str">
        <f>IFERROR(__xludf.DUMMYFUNCTION("""COMPUTED_VALUE"""),"LONGITUD")</f>
        <v>LONGITUD</v>
      </c>
      <c r="D3921" s="36" t="str">
        <f>IFERROR(__xludf.DUMMYFUNCTION("""COMPUTED_VALUE"""),"ERROR DE ID")</f>
        <v>ERROR DE ID</v>
      </c>
      <c r="E3921" s="36"/>
      <c r="F3921" s="36"/>
      <c r="G3921" s="36"/>
      <c r="H3921" s="36"/>
    </row>
    <row r="3922">
      <c r="A3922" s="36"/>
      <c r="B3922" s="36" t="str">
        <f>IFERROR(__xludf.DUMMYFUNCTION("""COMPUTED_VALUE"""),"LATITUD")</f>
        <v>LATITUD</v>
      </c>
      <c r="C3922" s="36" t="str">
        <f>IFERROR(__xludf.DUMMYFUNCTION("""COMPUTED_VALUE"""),"LONGITUD")</f>
        <v>LONGITUD</v>
      </c>
      <c r="D3922" s="36" t="str">
        <f>IFERROR(__xludf.DUMMYFUNCTION("""COMPUTED_VALUE"""),"ERROR DE ID")</f>
        <v>ERROR DE ID</v>
      </c>
      <c r="E3922" s="36"/>
      <c r="F3922" s="36"/>
      <c r="G3922" s="36"/>
      <c r="H3922" s="36"/>
    </row>
    <row r="3923">
      <c r="A3923" s="36"/>
      <c r="B3923" s="36" t="str">
        <f>IFERROR(__xludf.DUMMYFUNCTION("""COMPUTED_VALUE"""),"LATITUD")</f>
        <v>LATITUD</v>
      </c>
      <c r="C3923" s="36" t="str">
        <f>IFERROR(__xludf.DUMMYFUNCTION("""COMPUTED_VALUE"""),"LONGITUD")</f>
        <v>LONGITUD</v>
      </c>
      <c r="D3923" s="36" t="str">
        <f>IFERROR(__xludf.DUMMYFUNCTION("""COMPUTED_VALUE"""),"ERROR DE ID")</f>
        <v>ERROR DE ID</v>
      </c>
      <c r="E3923" s="36"/>
      <c r="F3923" s="36"/>
      <c r="G3923" s="36"/>
      <c r="H3923" s="36"/>
    </row>
    <row r="3924">
      <c r="A3924" s="36"/>
      <c r="B3924" s="36" t="str">
        <f>IFERROR(__xludf.DUMMYFUNCTION("""COMPUTED_VALUE"""),"LATITUD")</f>
        <v>LATITUD</v>
      </c>
      <c r="C3924" s="36" t="str">
        <f>IFERROR(__xludf.DUMMYFUNCTION("""COMPUTED_VALUE"""),"LONGITUD")</f>
        <v>LONGITUD</v>
      </c>
      <c r="D3924" s="36" t="str">
        <f>IFERROR(__xludf.DUMMYFUNCTION("""COMPUTED_VALUE"""),"ERROR DE ID")</f>
        <v>ERROR DE ID</v>
      </c>
      <c r="E3924" s="36"/>
      <c r="F3924" s="36"/>
      <c r="G3924" s="36"/>
      <c r="H3924" s="36"/>
    </row>
    <row r="3925">
      <c r="A3925" s="36"/>
      <c r="B3925" s="36" t="str">
        <f>IFERROR(__xludf.DUMMYFUNCTION("""COMPUTED_VALUE"""),"LATITUD")</f>
        <v>LATITUD</v>
      </c>
      <c r="C3925" s="36" t="str">
        <f>IFERROR(__xludf.DUMMYFUNCTION("""COMPUTED_VALUE"""),"LONGITUD")</f>
        <v>LONGITUD</v>
      </c>
      <c r="D3925" s="36" t="str">
        <f>IFERROR(__xludf.DUMMYFUNCTION("""COMPUTED_VALUE"""),"ERROR DE ID")</f>
        <v>ERROR DE ID</v>
      </c>
      <c r="E3925" s="36"/>
      <c r="F3925" s="36"/>
      <c r="G3925" s="36"/>
      <c r="H3925" s="36"/>
    </row>
    <row r="3926">
      <c r="A3926" s="36"/>
      <c r="B3926" s="36" t="str">
        <f>IFERROR(__xludf.DUMMYFUNCTION("""COMPUTED_VALUE"""),"LATITUD")</f>
        <v>LATITUD</v>
      </c>
      <c r="C3926" s="36" t="str">
        <f>IFERROR(__xludf.DUMMYFUNCTION("""COMPUTED_VALUE"""),"LONGITUD")</f>
        <v>LONGITUD</v>
      </c>
      <c r="D3926" s="36" t="str">
        <f>IFERROR(__xludf.DUMMYFUNCTION("""COMPUTED_VALUE"""),"ERROR DE ID")</f>
        <v>ERROR DE ID</v>
      </c>
      <c r="E3926" s="36"/>
      <c r="F3926" s="36"/>
      <c r="G3926" s="36"/>
      <c r="H3926" s="36"/>
    </row>
    <row r="3927">
      <c r="A3927" s="36"/>
      <c r="B3927" s="36" t="str">
        <f>IFERROR(__xludf.DUMMYFUNCTION("""COMPUTED_VALUE"""),"LATITUD")</f>
        <v>LATITUD</v>
      </c>
      <c r="C3927" s="36" t="str">
        <f>IFERROR(__xludf.DUMMYFUNCTION("""COMPUTED_VALUE"""),"LONGITUD")</f>
        <v>LONGITUD</v>
      </c>
      <c r="D3927" s="36" t="str">
        <f>IFERROR(__xludf.DUMMYFUNCTION("""COMPUTED_VALUE"""),"ERROR DE ID")</f>
        <v>ERROR DE ID</v>
      </c>
      <c r="E3927" s="36"/>
      <c r="F3927" s="36"/>
      <c r="G3927" s="36"/>
      <c r="H3927" s="36"/>
    </row>
    <row r="3928">
      <c r="A3928" s="36"/>
      <c r="B3928" s="36" t="str">
        <f>IFERROR(__xludf.DUMMYFUNCTION("""COMPUTED_VALUE"""),"LATITUD")</f>
        <v>LATITUD</v>
      </c>
      <c r="C3928" s="36" t="str">
        <f>IFERROR(__xludf.DUMMYFUNCTION("""COMPUTED_VALUE"""),"LONGITUD")</f>
        <v>LONGITUD</v>
      </c>
      <c r="D3928" s="36" t="str">
        <f>IFERROR(__xludf.DUMMYFUNCTION("""COMPUTED_VALUE"""),"ERROR DE ID")</f>
        <v>ERROR DE ID</v>
      </c>
      <c r="E3928" s="36"/>
      <c r="F3928" s="36"/>
      <c r="G3928" s="36"/>
      <c r="H3928" s="36"/>
    </row>
    <row r="3929">
      <c r="A3929" s="36"/>
      <c r="B3929" s="36" t="str">
        <f>IFERROR(__xludf.DUMMYFUNCTION("""COMPUTED_VALUE"""),"LATITUD")</f>
        <v>LATITUD</v>
      </c>
      <c r="C3929" s="36" t="str">
        <f>IFERROR(__xludf.DUMMYFUNCTION("""COMPUTED_VALUE"""),"LONGITUD")</f>
        <v>LONGITUD</v>
      </c>
      <c r="D3929" s="36" t="str">
        <f>IFERROR(__xludf.DUMMYFUNCTION("""COMPUTED_VALUE"""),"ERROR DE ID")</f>
        <v>ERROR DE ID</v>
      </c>
      <c r="E3929" s="36"/>
      <c r="F3929" s="36"/>
      <c r="G3929" s="36"/>
      <c r="H3929" s="36"/>
    </row>
    <row r="3930">
      <c r="A3930" s="36"/>
      <c r="B3930" s="36" t="str">
        <f>IFERROR(__xludf.DUMMYFUNCTION("""COMPUTED_VALUE"""),"LATITUD")</f>
        <v>LATITUD</v>
      </c>
      <c r="C3930" s="36" t="str">
        <f>IFERROR(__xludf.DUMMYFUNCTION("""COMPUTED_VALUE"""),"LONGITUD")</f>
        <v>LONGITUD</v>
      </c>
      <c r="D3930" s="36" t="str">
        <f>IFERROR(__xludf.DUMMYFUNCTION("""COMPUTED_VALUE"""),"ERROR DE ID")</f>
        <v>ERROR DE ID</v>
      </c>
      <c r="E3930" s="36"/>
      <c r="F3930" s="36"/>
      <c r="G3930" s="36"/>
      <c r="H3930" s="36"/>
    </row>
    <row r="3931">
      <c r="A3931" s="36"/>
      <c r="B3931" s="36" t="str">
        <f>IFERROR(__xludf.DUMMYFUNCTION("""COMPUTED_VALUE"""),"LATITUD")</f>
        <v>LATITUD</v>
      </c>
      <c r="C3931" s="36" t="str">
        <f>IFERROR(__xludf.DUMMYFUNCTION("""COMPUTED_VALUE"""),"LONGITUD")</f>
        <v>LONGITUD</v>
      </c>
      <c r="D3931" s="36" t="str">
        <f>IFERROR(__xludf.DUMMYFUNCTION("""COMPUTED_VALUE"""),"ERROR DE ID")</f>
        <v>ERROR DE ID</v>
      </c>
      <c r="E3931" s="36"/>
      <c r="F3931" s="36"/>
      <c r="G3931" s="36"/>
      <c r="H3931" s="36"/>
    </row>
    <row r="3932">
      <c r="A3932" s="36"/>
      <c r="B3932" s="36" t="str">
        <f>IFERROR(__xludf.DUMMYFUNCTION("""COMPUTED_VALUE"""),"LATITUD")</f>
        <v>LATITUD</v>
      </c>
      <c r="C3932" s="36" t="str">
        <f>IFERROR(__xludf.DUMMYFUNCTION("""COMPUTED_VALUE"""),"LONGITUD")</f>
        <v>LONGITUD</v>
      </c>
      <c r="D3932" s="36" t="str">
        <f>IFERROR(__xludf.DUMMYFUNCTION("""COMPUTED_VALUE"""),"ERROR DE ID")</f>
        <v>ERROR DE ID</v>
      </c>
      <c r="E3932" s="36"/>
      <c r="F3932" s="36"/>
      <c r="G3932" s="36"/>
      <c r="H3932" s="36"/>
    </row>
    <row r="3933">
      <c r="A3933" s="36"/>
      <c r="B3933" s="36" t="str">
        <f>IFERROR(__xludf.DUMMYFUNCTION("""COMPUTED_VALUE"""),"LATITUD")</f>
        <v>LATITUD</v>
      </c>
      <c r="C3933" s="36" t="str">
        <f>IFERROR(__xludf.DUMMYFUNCTION("""COMPUTED_VALUE"""),"LONGITUD")</f>
        <v>LONGITUD</v>
      </c>
      <c r="D3933" s="36" t="str">
        <f>IFERROR(__xludf.DUMMYFUNCTION("""COMPUTED_VALUE"""),"ERROR DE ID")</f>
        <v>ERROR DE ID</v>
      </c>
      <c r="E3933" s="36"/>
      <c r="F3933" s="36"/>
      <c r="G3933" s="36"/>
      <c r="H3933" s="36"/>
    </row>
    <row r="3934">
      <c r="A3934" s="36"/>
      <c r="B3934" s="36" t="str">
        <f>IFERROR(__xludf.DUMMYFUNCTION("""COMPUTED_VALUE"""),"LATITUD")</f>
        <v>LATITUD</v>
      </c>
      <c r="C3934" s="36" t="str">
        <f>IFERROR(__xludf.DUMMYFUNCTION("""COMPUTED_VALUE"""),"LONGITUD")</f>
        <v>LONGITUD</v>
      </c>
      <c r="D3934" s="36" t="str">
        <f>IFERROR(__xludf.DUMMYFUNCTION("""COMPUTED_VALUE"""),"ERROR DE ID")</f>
        <v>ERROR DE ID</v>
      </c>
      <c r="E3934" s="36"/>
      <c r="F3934" s="36"/>
      <c r="G3934" s="36"/>
      <c r="H3934" s="36"/>
    </row>
    <row r="3935">
      <c r="A3935" s="36"/>
      <c r="B3935" s="36" t="str">
        <f>IFERROR(__xludf.DUMMYFUNCTION("""COMPUTED_VALUE"""),"LATITUD")</f>
        <v>LATITUD</v>
      </c>
      <c r="C3935" s="36" t="str">
        <f>IFERROR(__xludf.DUMMYFUNCTION("""COMPUTED_VALUE"""),"LONGITUD")</f>
        <v>LONGITUD</v>
      </c>
      <c r="D3935" s="36" t="str">
        <f>IFERROR(__xludf.DUMMYFUNCTION("""COMPUTED_VALUE"""),"ERROR DE ID")</f>
        <v>ERROR DE ID</v>
      </c>
      <c r="E3935" s="36"/>
      <c r="F3935" s="36"/>
      <c r="G3935" s="36"/>
      <c r="H3935" s="36"/>
    </row>
    <row r="3936">
      <c r="A3936" s="36"/>
      <c r="B3936" s="36" t="str">
        <f>IFERROR(__xludf.DUMMYFUNCTION("""COMPUTED_VALUE"""),"LATITUD")</f>
        <v>LATITUD</v>
      </c>
      <c r="C3936" s="36" t="str">
        <f>IFERROR(__xludf.DUMMYFUNCTION("""COMPUTED_VALUE"""),"LONGITUD")</f>
        <v>LONGITUD</v>
      </c>
      <c r="D3936" s="36" t="str">
        <f>IFERROR(__xludf.DUMMYFUNCTION("""COMPUTED_VALUE"""),"ERROR DE ID")</f>
        <v>ERROR DE ID</v>
      </c>
      <c r="E3936" s="36"/>
      <c r="F3936" s="36"/>
      <c r="G3936" s="36"/>
      <c r="H3936" s="36"/>
    </row>
    <row r="3937">
      <c r="A3937" s="36"/>
      <c r="B3937" s="36" t="str">
        <f>IFERROR(__xludf.DUMMYFUNCTION("""COMPUTED_VALUE"""),"LATITUD")</f>
        <v>LATITUD</v>
      </c>
      <c r="C3937" s="36" t="str">
        <f>IFERROR(__xludf.DUMMYFUNCTION("""COMPUTED_VALUE"""),"LONGITUD")</f>
        <v>LONGITUD</v>
      </c>
      <c r="D3937" s="36" t="str">
        <f>IFERROR(__xludf.DUMMYFUNCTION("""COMPUTED_VALUE"""),"ERROR DE ID")</f>
        <v>ERROR DE ID</v>
      </c>
      <c r="E3937" s="36"/>
      <c r="F3937" s="36"/>
      <c r="G3937" s="36"/>
      <c r="H3937" s="36"/>
    </row>
    <row r="3938">
      <c r="A3938" s="36"/>
      <c r="B3938" s="36" t="str">
        <f>IFERROR(__xludf.DUMMYFUNCTION("""COMPUTED_VALUE"""),"LATITUD")</f>
        <v>LATITUD</v>
      </c>
      <c r="C3938" s="36" t="str">
        <f>IFERROR(__xludf.DUMMYFUNCTION("""COMPUTED_VALUE"""),"LONGITUD")</f>
        <v>LONGITUD</v>
      </c>
      <c r="D3938" s="36" t="str">
        <f>IFERROR(__xludf.DUMMYFUNCTION("""COMPUTED_VALUE"""),"ERROR DE ID")</f>
        <v>ERROR DE ID</v>
      </c>
      <c r="E3938" s="36"/>
      <c r="F3938" s="36"/>
      <c r="G3938" s="36"/>
      <c r="H3938" s="36"/>
    </row>
    <row r="3939">
      <c r="A3939" s="36"/>
      <c r="B3939" s="36" t="str">
        <f>IFERROR(__xludf.DUMMYFUNCTION("""COMPUTED_VALUE"""),"LATITUD")</f>
        <v>LATITUD</v>
      </c>
      <c r="C3939" s="36" t="str">
        <f>IFERROR(__xludf.DUMMYFUNCTION("""COMPUTED_VALUE"""),"LONGITUD")</f>
        <v>LONGITUD</v>
      </c>
      <c r="D3939" s="36" t="str">
        <f>IFERROR(__xludf.DUMMYFUNCTION("""COMPUTED_VALUE"""),"ERROR DE ID")</f>
        <v>ERROR DE ID</v>
      </c>
      <c r="E3939" s="36"/>
      <c r="F3939" s="36"/>
      <c r="G3939" s="36"/>
      <c r="H3939" s="36"/>
    </row>
    <row r="3940">
      <c r="A3940" s="36"/>
      <c r="B3940" s="36" t="str">
        <f>IFERROR(__xludf.DUMMYFUNCTION("""COMPUTED_VALUE"""),"LATITUD")</f>
        <v>LATITUD</v>
      </c>
      <c r="C3940" s="36" t="str">
        <f>IFERROR(__xludf.DUMMYFUNCTION("""COMPUTED_VALUE"""),"LONGITUD")</f>
        <v>LONGITUD</v>
      </c>
      <c r="D3940" s="36" t="str">
        <f>IFERROR(__xludf.DUMMYFUNCTION("""COMPUTED_VALUE"""),"ERROR DE ID")</f>
        <v>ERROR DE ID</v>
      </c>
      <c r="E3940" s="36"/>
      <c r="F3940" s="36"/>
      <c r="G3940" s="36"/>
      <c r="H3940" s="36"/>
    </row>
    <row r="3941">
      <c r="A3941" s="36"/>
      <c r="B3941" s="36" t="str">
        <f>IFERROR(__xludf.DUMMYFUNCTION("""COMPUTED_VALUE"""),"LATITUD")</f>
        <v>LATITUD</v>
      </c>
      <c r="C3941" s="36" t="str">
        <f>IFERROR(__xludf.DUMMYFUNCTION("""COMPUTED_VALUE"""),"LONGITUD")</f>
        <v>LONGITUD</v>
      </c>
      <c r="D3941" s="36" t="str">
        <f>IFERROR(__xludf.DUMMYFUNCTION("""COMPUTED_VALUE"""),"ERROR DE ID")</f>
        <v>ERROR DE ID</v>
      </c>
      <c r="E3941" s="36"/>
      <c r="F3941" s="36"/>
      <c r="G3941" s="36"/>
      <c r="H3941" s="36"/>
    </row>
    <row r="3942">
      <c r="A3942" s="36"/>
      <c r="B3942" s="36" t="str">
        <f>IFERROR(__xludf.DUMMYFUNCTION("""COMPUTED_VALUE"""),"LATITUD")</f>
        <v>LATITUD</v>
      </c>
      <c r="C3942" s="36" t="str">
        <f>IFERROR(__xludf.DUMMYFUNCTION("""COMPUTED_VALUE"""),"LONGITUD")</f>
        <v>LONGITUD</v>
      </c>
      <c r="D3942" s="36" t="str">
        <f>IFERROR(__xludf.DUMMYFUNCTION("""COMPUTED_VALUE"""),"ERROR DE ID")</f>
        <v>ERROR DE ID</v>
      </c>
      <c r="E3942" s="36"/>
      <c r="F3942" s="36"/>
      <c r="G3942" s="36"/>
      <c r="H3942" s="36"/>
    </row>
    <row r="3943">
      <c r="A3943" s="36"/>
      <c r="B3943" s="36" t="str">
        <f>IFERROR(__xludf.DUMMYFUNCTION("""COMPUTED_VALUE"""),"LATITUD")</f>
        <v>LATITUD</v>
      </c>
      <c r="C3943" s="36" t="str">
        <f>IFERROR(__xludf.DUMMYFUNCTION("""COMPUTED_VALUE"""),"LONGITUD")</f>
        <v>LONGITUD</v>
      </c>
      <c r="D3943" s="36" t="str">
        <f>IFERROR(__xludf.DUMMYFUNCTION("""COMPUTED_VALUE"""),"ERROR DE ID")</f>
        <v>ERROR DE ID</v>
      </c>
      <c r="E3943" s="36"/>
      <c r="F3943" s="36"/>
      <c r="G3943" s="36"/>
      <c r="H3943" s="36"/>
    </row>
    <row r="3944">
      <c r="A3944" s="36"/>
      <c r="B3944" s="36" t="str">
        <f>IFERROR(__xludf.DUMMYFUNCTION("""COMPUTED_VALUE"""),"LATITUD")</f>
        <v>LATITUD</v>
      </c>
      <c r="C3944" s="36" t="str">
        <f>IFERROR(__xludf.DUMMYFUNCTION("""COMPUTED_VALUE"""),"LONGITUD")</f>
        <v>LONGITUD</v>
      </c>
      <c r="D3944" s="36" t="str">
        <f>IFERROR(__xludf.DUMMYFUNCTION("""COMPUTED_VALUE"""),"ERROR DE ID")</f>
        <v>ERROR DE ID</v>
      </c>
      <c r="E3944" s="36"/>
      <c r="F3944" s="36"/>
      <c r="G3944" s="36"/>
      <c r="H3944" s="36"/>
    </row>
    <row r="3945">
      <c r="A3945" s="36"/>
      <c r="B3945" s="36" t="str">
        <f>IFERROR(__xludf.DUMMYFUNCTION("""COMPUTED_VALUE"""),"LATITUD")</f>
        <v>LATITUD</v>
      </c>
      <c r="C3945" s="36" t="str">
        <f>IFERROR(__xludf.DUMMYFUNCTION("""COMPUTED_VALUE"""),"LONGITUD")</f>
        <v>LONGITUD</v>
      </c>
      <c r="D3945" s="36" t="str">
        <f>IFERROR(__xludf.DUMMYFUNCTION("""COMPUTED_VALUE"""),"ERROR DE ID")</f>
        <v>ERROR DE ID</v>
      </c>
      <c r="E3945" s="36"/>
      <c r="F3945" s="36"/>
      <c r="G3945" s="36"/>
      <c r="H3945" s="36"/>
    </row>
    <row r="3946">
      <c r="A3946" s="36"/>
      <c r="B3946" s="36" t="str">
        <f>IFERROR(__xludf.DUMMYFUNCTION("""COMPUTED_VALUE"""),"LATITUD")</f>
        <v>LATITUD</v>
      </c>
      <c r="C3946" s="36" t="str">
        <f>IFERROR(__xludf.DUMMYFUNCTION("""COMPUTED_VALUE"""),"LONGITUD")</f>
        <v>LONGITUD</v>
      </c>
      <c r="D3946" s="36" t="str">
        <f>IFERROR(__xludf.DUMMYFUNCTION("""COMPUTED_VALUE"""),"ERROR DE ID")</f>
        <v>ERROR DE ID</v>
      </c>
      <c r="E3946" s="36"/>
      <c r="F3946" s="36"/>
      <c r="G3946" s="36"/>
      <c r="H3946" s="36"/>
    </row>
    <row r="3947">
      <c r="A3947" s="36"/>
      <c r="B3947" s="36" t="str">
        <f>IFERROR(__xludf.DUMMYFUNCTION("""COMPUTED_VALUE"""),"LATITUD")</f>
        <v>LATITUD</v>
      </c>
      <c r="C3947" s="36" t="str">
        <f>IFERROR(__xludf.DUMMYFUNCTION("""COMPUTED_VALUE"""),"LONGITUD")</f>
        <v>LONGITUD</v>
      </c>
      <c r="D3947" s="36" t="str">
        <f>IFERROR(__xludf.DUMMYFUNCTION("""COMPUTED_VALUE"""),"ERROR DE ID")</f>
        <v>ERROR DE ID</v>
      </c>
      <c r="E3947" s="36"/>
      <c r="F3947" s="36"/>
      <c r="G3947" s="36"/>
      <c r="H3947" s="36"/>
    </row>
    <row r="3948">
      <c r="A3948" s="36"/>
      <c r="B3948" s="36" t="str">
        <f>IFERROR(__xludf.DUMMYFUNCTION("""COMPUTED_VALUE"""),"LATITUD")</f>
        <v>LATITUD</v>
      </c>
      <c r="C3948" s="36" t="str">
        <f>IFERROR(__xludf.DUMMYFUNCTION("""COMPUTED_VALUE"""),"LONGITUD")</f>
        <v>LONGITUD</v>
      </c>
      <c r="D3948" s="36" t="str">
        <f>IFERROR(__xludf.DUMMYFUNCTION("""COMPUTED_VALUE"""),"ERROR DE ID")</f>
        <v>ERROR DE ID</v>
      </c>
      <c r="E3948" s="36"/>
      <c r="F3948" s="36"/>
      <c r="G3948" s="36"/>
      <c r="H3948" s="36"/>
    </row>
    <row r="3949">
      <c r="A3949" s="36"/>
      <c r="B3949" s="36" t="str">
        <f>IFERROR(__xludf.DUMMYFUNCTION("""COMPUTED_VALUE"""),"LATITUD")</f>
        <v>LATITUD</v>
      </c>
      <c r="C3949" s="36" t="str">
        <f>IFERROR(__xludf.DUMMYFUNCTION("""COMPUTED_VALUE"""),"LONGITUD")</f>
        <v>LONGITUD</v>
      </c>
      <c r="D3949" s="36" t="str">
        <f>IFERROR(__xludf.DUMMYFUNCTION("""COMPUTED_VALUE"""),"ERROR DE ID")</f>
        <v>ERROR DE ID</v>
      </c>
      <c r="E3949" s="36"/>
      <c r="F3949" s="36"/>
      <c r="G3949" s="36"/>
      <c r="H3949" s="36"/>
    </row>
    <row r="3950">
      <c r="A3950" s="36"/>
      <c r="B3950" s="36" t="str">
        <f>IFERROR(__xludf.DUMMYFUNCTION("""COMPUTED_VALUE"""),"LATITUD")</f>
        <v>LATITUD</v>
      </c>
      <c r="C3950" s="36" t="str">
        <f>IFERROR(__xludf.DUMMYFUNCTION("""COMPUTED_VALUE"""),"LONGITUD")</f>
        <v>LONGITUD</v>
      </c>
      <c r="D3950" s="36" t="str">
        <f>IFERROR(__xludf.DUMMYFUNCTION("""COMPUTED_VALUE"""),"ERROR DE ID")</f>
        <v>ERROR DE ID</v>
      </c>
      <c r="E3950" s="36"/>
      <c r="F3950" s="36"/>
      <c r="G3950" s="36"/>
      <c r="H3950" s="36"/>
    </row>
    <row r="3951">
      <c r="A3951" s="36"/>
      <c r="B3951" s="36" t="str">
        <f>IFERROR(__xludf.DUMMYFUNCTION("""COMPUTED_VALUE"""),"LATITUD")</f>
        <v>LATITUD</v>
      </c>
      <c r="C3951" s="36" t="str">
        <f>IFERROR(__xludf.DUMMYFUNCTION("""COMPUTED_VALUE"""),"LONGITUD")</f>
        <v>LONGITUD</v>
      </c>
      <c r="D3951" s="36" t="str">
        <f>IFERROR(__xludf.DUMMYFUNCTION("""COMPUTED_VALUE"""),"ERROR DE ID")</f>
        <v>ERROR DE ID</v>
      </c>
      <c r="E3951" s="36"/>
      <c r="F3951" s="36"/>
      <c r="G3951" s="36"/>
      <c r="H3951" s="36"/>
    </row>
    <row r="3952">
      <c r="A3952" s="36"/>
      <c r="B3952" s="36" t="str">
        <f>IFERROR(__xludf.DUMMYFUNCTION("""COMPUTED_VALUE"""),"LATITUD")</f>
        <v>LATITUD</v>
      </c>
      <c r="C3952" s="36" t="str">
        <f>IFERROR(__xludf.DUMMYFUNCTION("""COMPUTED_VALUE"""),"LONGITUD")</f>
        <v>LONGITUD</v>
      </c>
      <c r="D3952" s="36" t="str">
        <f>IFERROR(__xludf.DUMMYFUNCTION("""COMPUTED_VALUE"""),"ERROR DE ID")</f>
        <v>ERROR DE ID</v>
      </c>
      <c r="E3952" s="36"/>
      <c r="F3952" s="36"/>
      <c r="G3952" s="36"/>
      <c r="H3952" s="36"/>
    </row>
    <row r="3953">
      <c r="A3953" s="36"/>
      <c r="B3953" s="36" t="str">
        <f>IFERROR(__xludf.DUMMYFUNCTION("""COMPUTED_VALUE"""),"LATITUD")</f>
        <v>LATITUD</v>
      </c>
      <c r="C3953" s="36" t="str">
        <f>IFERROR(__xludf.DUMMYFUNCTION("""COMPUTED_VALUE"""),"LONGITUD")</f>
        <v>LONGITUD</v>
      </c>
      <c r="D3953" s="36" t="str">
        <f>IFERROR(__xludf.DUMMYFUNCTION("""COMPUTED_VALUE"""),"ERROR DE ID")</f>
        <v>ERROR DE ID</v>
      </c>
      <c r="E3953" s="36"/>
      <c r="F3953" s="36"/>
      <c r="G3953" s="36"/>
      <c r="H3953" s="36"/>
    </row>
    <row r="3954">
      <c r="A3954" s="36"/>
      <c r="B3954" s="36" t="str">
        <f>IFERROR(__xludf.DUMMYFUNCTION("""COMPUTED_VALUE"""),"LATITUD")</f>
        <v>LATITUD</v>
      </c>
      <c r="C3954" s="36" t="str">
        <f>IFERROR(__xludf.DUMMYFUNCTION("""COMPUTED_VALUE"""),"LONGITUD")</f>
        <v>LONGITUD</v>
      </c>
      <c r="D3954" s="36" t="str">
        <f>IFERROR(__xludf.DUMMYFUNCTION("""COMPUTED_VALUE"""),"ERROR DE ID")</f>
        <v>ERROR DE ID</v>
      </c>
      <c r="E3954" s="36"/>
      <c r="F3954" s="36"/>
      <c r="G3954" s="36"/>
      <c r="H3954" s="36"/>
    </row>
    <row r="3955">
      <c r="A3955" s="36"/>
      <c r="B3955" s="36" t="str">
        <f>IFERROR(__xludf.DUMMYFUNCTION("""COMPUTED_VALUE"""),"LATITUD")</f>
        <v>LATITUD</v>
      </c>
      <c r="C3955" s="36" t="str">
        <f>IFERROR(__xludf.DUMMYFUNCTION("""COMPUTED_VALUE"""),"LONGITUD")</f>
        <v>LONGITUD</v>
      </c>
      <c r="D3955" s="36" t="str">
        <f>IFERROR(__xludf.DUMMYFUNCTION("""COMPUTED_VALUE"""),"ERROR DE ID")</f>
        <v>ERROR DE ID</v>
      </c>
      <c r="E3955" s="36"/>
      <c r="F3955" s="36"/>
      <c r="G3955" s="36"/>
      <c r="H3955" s="36"/>
    </row>
    <row r="3956">
      <c r="A3956" s="36"/>
      <c r="B3956" s="36" t="str">
        <f>IFERROR(__xludf.DUMMYFUNCTION("""COMPUTED_VALUE"""),"LATITUD")</f>
        <v>LATITUD</v>
      </c>
      <c r="C3956" s="36" t="str">
        <f>IFERROR(__xludf.DUMMYFUNCTION("""COMPUTED_VALUE"""),"LONGITUD")</f>
        <v>LONGITUD</v>
      </c>
      <c r="D3956" s="36" t="str">
        <f>IFERROR(__xludf.DUMMYFUNCTION("""COMPUTED_VALUE"""),"ERROR DE ID")</f>
        <v>ERROR DE ID</v>
      </c>
      <c r="E3956" s="36"/>
      <c r="F3956" s="36"/>
      <c r="G3956" s="36"/>
      <c r="H3956" s="36"/>
    </row>
    <row r="3957">
      <c r="A3957" s="36"/>
      <c r="B3957" s="36" t="str">
        <f>IFERROR(__xludf.DUMMYFUNCTION("""COMPUTED_VALUE"""),"LATITUD")</f>
        <v>LATITUD</v>
      </c>
      <c r="C3957" s="36" t="str">
        <f>IFERROR(__xludf.DUMMYFUNCTION("""COMPUTED_VALUE"""),"LONGITUD")</f>
        <v>LONGITUD</v>
      </c>
      <c r="D3957" s="36" t="str">
        <f>IFERROR(__xludf.DUMMYFUNCTION("""COMPUTED_VALUE"""),"ERROR DE ID")</f>
        <v>ERROR DE ID</v>
      </c>
      <c r="E3957" s="36"/>
      <c r="F3957" s="36"/>
      <c r="G3957" s="36"/>
      <c r="H3957" s="36"/>
    </row>
    <row r="3958">
      <c r="A3958" s="36"/>
      <c r="B3958" s="36" t="str">
        <f>IFERROR(__xludf.DUMMYFUNCTION("""COMPUTED_VALUE"""),"LATITUD")</f>
        <v>LATITUD</v>
      </c>
      <c r="C3958" s="36" t="str">
        <f>IFERROR(__xludf.DUMMYFUNCTION("""COMPUTED_VALUE"""),"LONGITUD")</f>
        <v>LONGITUD</v>
      </c>
      <c r="D3958" s="36" t="str">
        <f>IFERROR(__xludf.DUMMYFUNCTION("""COMPUTED_VALUE"""),"ERROR DE ID")</f>
        <v>ERROR DE ID</v>
      </c>
      <c r="E3958" s="36"/>
      <c r="F3958" s="36"/>
      <c r="G3958" s="36"/>
      <c r="H3958" s="36"/>
    </row>
    <row r="3959">
      <c r="A3959" s="36"/>
      <c r="B3959" s="36" t="str">
        <f>IFERROR(__xludf.DUMMYFUNCTION("""COMPUTED_VALUE"""),"LATITUD")</f>
        <v>LATITUD</v>
      </c>
      <c r="C3959" s="36" t="str">
        <f>IFERROR(__xludf.DUMMYFUNCTION("""COMPUTED_VALUE"""),"LONGITUD")</f>
        <v>LONGITUD</v>
      </c>
      <c r="D3959" s="36" t="str">
        <f>IFERROR(__xludf.DUMMYFUNCTION("""COMPUTED_VALUE"""),"ERROR DE ID")</f>
        <v>ERROR DE ID</v>
      </c>
      <c r="E3959" s="36"/>
      <c r="F3959" s="36"/>
      <c r="G3959" s="36"/>
      <c r="H3959" s="36"/>
    </row>
    <row r="3960">
      <c r="A3960" s="36"/>
      <c r="B3960" s="36" t="str">
        <f>IFERROR(__xludf.DUMMYFUNCTION("""COMPUTED_VALUE"""),"LATITUD")</f>
        <v>LATITUD</v>
      </c>
      <c r="C3960" s="36" t="str">
        <f>IFERROR(__xludf.DUMMYFUNCTION("""COMPUTED_VALUE"""),"LONGITUD")</f>
        <v>LONGITUD</v>
      </c>
      <c r="D3960" s="36" t="str">
        <f>IFERROR(__xludf.DUMMYFUNCTION("""COMPUTED_VALUE"""),"ERROR DE ID")</f>
        <v>ERROR DE ID</v>
      </c>
      <c r="E3960" s="36"/>
      <c r="F3960" s="36"/>
      <c r="G3960" s="36"/>
      <c r="H3960" s="36"/>
    </row>
    <row r="3961">
      <c r="A3961" s="36"/>
      <c r="B3961" s="36" t="str">
        <f>IFERROR(__xludf.DUMMYFUNCTION("""COMPUTED_VALUE"""),"LATITUD")</f>
        <v>LATITUD</v>
      </c>
      <c r="C3961" s="36" t="str">
        <f>IFERROR(__xludf.DUMMYFUNCTION("""COMPUTED_VALUE"""),"LONGITUD")</f>
        <v>LONGITUD</v>
      </c>
      <c r="D3961" s="36" t="str">
        <f>IFERROR(__xludf.DUMMYFUNCTION("""COMPUTED_VALUE"""),"ERROR DE ID")</f>
        <v>ERROR DE ID</v>
      </c>
      <c r="E3961" s="36"/>
      <c r="F3961" s="36"/>
      <c r="G3961" s="36"/>
      <c r="H3961" s="36"/>
    </row>
    <row r="3962">
      <c r="A3962" s="36"/>
      <c r="B3962" s="36" t="str">
        <f>IFERROR(__xludf.DUMMYFUNCTION("""COMPUTED_VALUE"""),"LATITUD")</f>
        <v>LATITUD</v>
      </c>
      <c r="C3962" s="36" t="str">
        <f>IFERROR(__xludf.DUMMYFUNCTION("""COMPUTED_VALUE"""),"LONGITUD")</f>
        <v>LONGITUD</v>
      </c>
      <c r="D3962" s="36" t="str">
        <f>IFERROR(__xludf.DUMMYFUNCTION("""COMPUTED_VALUE"""),"ERROR DE ID")</f>
        <v>ERROR DE ID</v>
      </c>
      <c r="E3962" s="36"/>
      <c r="F3962" s="36"/>
      <c r="G3962" s="36"/>
      <c r="H3962" s="36"/>
    </row>
    <row r="3963">
      <c r="A3963" s="36"/>
      <c r="B3963" s="36" t="str">
        <f>IFERROR(__xludf.DUMMYFUNCTION("""COMPUTED_VALUE"""),"LATITUD")</f>
        <v>LATITUD</v>
      </c>
      <c r="C3963" s="36" t="str">
        <f>IFERROR(__xludf.DUMMYFUNCTION("""COMPUTED_VALUE"""),"LONGITUD")</f>
        <v>LONGITUD</v>
      </c>
      <c r="D3963" s="36" t="str">
        <f>IFERROR(__xludf.DUMMYFUNCTION("""COMPUTED_VALUE"""),"ERROR DE ID")</f>
        <v>ERROR DE ID</v>
      </c>
      <c r="E3963" s="36"/>
      <c r="F3963" s="36"/>
      <c r="G3963" s="36"/>
      <c r="H3963" s="36"/>
    </row>
    <row r="3964">
      <c r="A3964" s="36"/>
      <c r="B3964" s="36" t="str">
        <f>IFERROR(__xludf.DUMMYFUNCTION("""COMPUTED_VALUE"""),"LATITUD")</f>
        <v>LATITUD</v>
      </c>
      <c r="C3964" s="36" t="str">
        <f>IFERROR(__xludf.DUMMYFUNCTION("""COMPUTED_VALUE"""),"LONGITUD")</f>
        <v>LONGITUD</v>
      </c>
      <c r="D3964" s="36" t="str">
        <f>IFERROR(__xludf.DUMMYFUNCTION("""COMPUTED_VALUE"""),"ERROR DE ID")</f>
        <v>ERROR DE ID</v>
      </c>
      <c r="E3964" s="36"/>
      <c r="F3964" s="36"/>
      <c r="G3964" s="36"/>
      <c r="H3964" s="36"/>
    </row>
    <row r="3965">
      <c r="A3965" s="36"/>
      <c r="B3965" s="36" t="str">
        <f>IFERROR(__xludf.DUMMYFUNCTION("""COMPUTED_VALUE"""),"LATITUD")</f>
        <v>LATITUD</v>
      </c>
      <c r="C3965" s="36" t="str">
        <f>IFERROR(__xludf.DUMMYFUNCTION("""COMPUTED_VALUE"""),"LONGITUD")</f>
        <v>LONGITUD</v>
      </c>
      <c r="D3965" s="36" t="str">
        <f>IFERROR(__xludf.DUMMYFUNCTION("""COMPUTED_VALUE"""),"ERROR DE ID")</f>
        <v>ERROR DE ID</v>
      </c>
      <c r="E3965" s="36"/>
      <c r="F3965" s="36"/>
      <c r="G3965" s="36"/>
      <c r="H3965" s="36"/>
    </row>
    <row r="3966">
      <c r="A3966" s="36"/>
      <c r="B3966" s="36" t="str">
        <f>IFERROR(__xludf.DUMMYFUNCTION("""COMPUTED_VALUE"""),"LATITUD")</f>
        <v>LATITUD</v>
      </c>
      <c r="C3966" s="36" t="str">
        <f>IFERROR(__xludf.DUMMYFUNCTION("""COMPUTED_VALUE"""),"LONGITUD")</f>
        <v>LONGITUD</v>
      </c>
      <c r="D3966" s="36" t="str">
        <f>IFERROR(__xludf.DUMMYFUNCTION("""COMPUTED_VALUE"""),"ERROR DE ID")</f>
        <v>ERROR DE ID</v>
      </c>
      <c r="E3966" s="36"/>
      <c r="F3966" s="36"/>
      <c r="G3966" s="36"/>
      <c r="H3966" s="36"/>
    </row>
    <row r="3967">
      <c r="A3967" s="36"/>
      <c r="B3967" s="36" t="str">
        <f>IFERROR(__xludf.DUMMYFUNCTION("""COMPUTED_VALUE"""),"LATITUD")</f>
        <v>LATITUD</v>
      </c>
      <c r="C3967" s="36" t="str">
        <f>IFERROR(__xludf.DUMMYFUNCTION("""COMPUTED_VALUE"""),"LONGITUD")</f>
        <v>LONGITUD</v>
      </c>
      <c r="D3967" s="36" t="str">
        <f>IFERROR(__xludf.DUMMYFUNCTION("""COMPUTED_VALUE"""),"ERROR DE ID")</f>
        <v>ERROR DE ID</v>
      </c>
      <c r="E3967" s="36"/>
      <c r="F3967" s="36"/>
      <c r="G3967" s="36"/>
      <c r="H3967" s="36"/>
    </row>
    <row r="3968">
      <c r="A3968" s="36"/>
      <c r="B3968" s="36" t="str">
        <f>IFERROR(__xludf.DUMMYFUNCTION("""COMPUTED_VALUE"""),"LATITUD")</f>
        <v>LATITUD</v>
      </c>
      <c r="C3968" s="36" t="str">
        <f>IFERROR(__xludf.DUMMYFUNCTION("""COMPUTED_VALUE"""),"LONGITUD")</f>
        <v>LONGITUD</v>
      </c>
      <c r="D3968" s="36" t="str">
        <f>IFERROR(__xludf.DUMMYFUNCTION("""COMPUTED_VALUE"""),"ERROR DE ID")</f>
        <v>ERROR DE ID</v>
      </c>
      <c r="E3968" s="36"/>
      <c r="F3968" s="36"/>
      <c r="G3968" s="36"/>
      <c r="H3968" s="36"/>
    </row>
    <row r="3969">
      <c r="A3969" s="36"/>
      <c r="B3969" s="36" t="str">
        <f>IFERROR(__xludf.DUMMYFUNCTION("""COMPUTED_VALUE"""),"LATITUD")</f>
        <v>LATITUD</v>
      </c>
      <c r="C3969" s="36" t="str">
        <f>IFERROR(__xludf.DUMMYFUNCTION("""COMPUTED_VALUE"""),"LONGITUD")</f>
        <v>LONGITUD</v>
      </c>
      <c r="D3969" s="36" t="str">
        <f>IFERROR(__xludf.DUMMYFUNCTION("""COMPUTED_VALUE"""),"ERROR DE ID")</f>
        <v>ERROR DE ID</v>
      </c>
      <c r="E3969" s="36"/>
      <c r="F3969" s="36"/>
      <c r="G3969" s="36"/>
      <c r="H3969" s="36"/>
    </row>
    <row r="3970">
      <c r="A3970" s="36"/>
      <c r="B3970" s="36" t="str">
        <f>IFERROR(__xludf.DUMMYFUNCTION("""COMPUTED_VALUE"""),"LATITUD")</f>
        <v>LATITUD</v>
      </c>
      <c r="C3970" s="36" t="str">
        <f>IFERROR(__xludf.DUMMYFUNCTION("""COMPUTED_VALUE"""),"LONGITUD")</f>
        <v>LONGITUD</v>
      </c>
      <c r="D3970" s="36" t="str">
        <f>IFERROR(__xludf.DUMMYFUNCTION("""COMPUTED_VALUE"""),"ERROR DE ID")</f>
        <v>ERROR DE ID</v>
      </c>
      <c r="E3970" s="36"/>
      <c r="F3970" s="36"/>
      <c r="G3970" s="36"/>
      <c r="H3970" s="36"/>
    </row>
    <row r="3971">
      <c r="A3971" s="36"/>
      <c r="B3971" s="36" t="str">
        <f>IFERROR(__xludf.DUMMYFUNCTION("""COMPUTED_VALUE"""),"LATITUD")</f>
        <v>LATITUD</v>
      </c>
      <c r="C3971" s="36" t="str">
        <f>IFERROR(__xludf.DUMMYFUNCTION("""COMPUTED_VALUE"""),"LONGITUD")</f>
        <v>LONGITUD</v>
      </c>
      <c r="D3971" s="36" t="str">
        <f>IFERROR(__xludf.DUMMYFUNCTION("""COMPUTED_VALUE"""),"ERROR DE ID")</f>
        <v>ERROR DE ID</v>
      </c>
      <c r="E3971" s="36"/>
      <c r="F3971" s="36"/>
      <c r="G3971" s="36"/>
      <c r="H3971" s="36"/>
    </row>
    <row r="3972">
      <c r="A3972" s="36"/>
      <c r="B3972" s="36" t="str">
        <f>IFERROR(__xludf.DUMMYFUNCTION("""COMPUTED_VALUE"""),"LATITUD")</f>
        <v>LATITUD</v>
      </c>
      <c r="C3972" s="36" t="str">
        <f>IFERROR(__xludf.DUMMYFUNCTION("""COMPUTED_VALUE"""),"LONGITUD")</f>
        <v>LONGITUD</v>
      </c>
      <c r="D3972" s="36" t="str">
        <f>IFERROR(__xludf.DUMMYFUNCTION("""COMPUTED_VALUE"""),"ERROR DE ID")</f>
        <v>ERROR DE ID</v>
      </c>
      <c r="E3972" s="36"/>
      <c r="F3972" s="36"/>
      <c r="G3972" s="36"/>
      <c r="H3972" s="36"/>
    </row>
    <row r="3973">
      <c r="A3973" s="36"/>
      <c r="B3973" s="36" t="str">
        <f>IFERROR(__xludf.DUMMYFUNCTION("""COMPUTED_VALUE"""),"LATITUD")</f>
        <v>LATITUD</v>
      </c>
      <c r="C3973" s="36" t="str">
        <f>IFERROR(__xludf.DUMMYFUNCTION("""COMPUTED_VALUE"""),"LONGITUD")</f>
        <v>LONGITUD</v>
      </c>
      <c r="D3973" s="36" t="str">
        <f>IFERROR(__xludf.DUMMYFUNCTION("""COMPUTED_VALUE"""),"ERROR DE ID")</f>
        <v>ERROR DE ID</v>
      </c>
      <c r="E3973" s="36"/>
      <c r="F3973" s="36"/>
      <c r="G3973" s="36"/>
      <c r="H3973" s="36"/>
    </row>
    <row r="3974">
      <c r="A3974" s="36"/>
      <c r="B3974" s="36" t="str">
        <f>IFERROR(__xludf.DUMMYFUNCTION("""COMPUTED_VALUE"""),"LATITUD")</f>
        <v>LATITUD</v>
      </c>
      <c r="C3974" s="36" t="str">
        <f>IFERROR(__xludf.DUMMYFUNCTION("""COMPUTED_VALUE"""),"LONGITUD")</f>
        <v>LONGITUD</v>
      </c>
      <c r="D3974" s="36" t="str">
        <f>IFERROR(__xludf.DUMMYFUNCTION("""COMPUTED_VALUE"""),"ERROR DE ID")</f>
        <v>ERROR DE ID</v>
      </c>
      <c r="E3974" s="36"/>
      <c r="F3974" s="36"/>
      <c r="G3974" s="36"/>
      <c r="H3974" s="36"/>
    </row>
    <row r="3975">
      <c r="A3975" s="36"/>
      <c r="B3975" s="36" t="str">
        <f>IFERROR(__xludf.DUMMYFUNCTION("""COMPUTED_VALUE"""),"LATITUD")</f>
        <v>LATITUD</v>
      </c>
      <c r="C3975" s="36" t="str">
        <f>IFERROR(__xludf.DUMMYFUNCTION("""COMPUTED_VALUE"""),"LONGITUD")</f>
        <v>LONGITUD</v>
      </c>
      <c r="D3975" s="36" t="str">
        <f>IFERROR(__xludf.DUMMYFUNCTION("""COMPUTED_VALUE"""),"ERROR DE ID")</f>
        <v>ERROR DE ID</v>
      </c>
      <c r="E3975" s="36"/>
      <c r="F3975" s="36"/>
      <c r="G3975" s="36"/>
      <c r="H3975" s="36"/>
    </row>
    <row r="3976">
      <c r="A3976" s="36"/>
      <c r="B3976" s="36" t="str">
        <f>IFERROR(__xludf.DUMMYFUNCTION("""COMPUTED_VALUE"""),"LATITUD")</f>
        <v>LATITUD</v>
      </c>
      <c r="C3976" s="36" t="str">
        <f>IFERROR(__xludf.DUMMYFUNCTION("""COMPUTED_VALUE"""),"LONGITUD")</f>
        <v>LONGITUD</v>
      </c>
      <c r="D3976" s="36" t="str">
        <f>IFERROR(__xludf.DUMMYFUNCTION("""COMPUTED_VALUE"""),"ERROR DE ID")</f>
        <v>ERROR DE ID</v>
      </c>
      <c r="E3976" s="36"/>
      <c r="F3976" s="36"/>
      <c r="G3976" s="36"/>
      <c r="H3976" s="36"/>
    </row>
    <row r="3977">
      <c r="A3977" s="36"/>
      <c r="B3977" s="36" t="str">
        <f>IFERROR(__xludf.DUMMYFUNCTION("""COMPUTED_VALUE"""),"LATITUD")</f>
        <v>LATITUD</v>
      </c>
      <c r="C3977" s="36" t="str">
        <f>IFERROR(__xludf.DUMMYFUNCTION("""COMPUTED_VALUE"""),"LONGITUD")</f>
        <v>LONGITUD</v>
      </c>
      <c r="D3977" s="36" t="str">
        <f>IFERROR(__xludf.DUMMYFUNCTION("""COMPUTED_VALUE"""),"ERROR DE ID")</f>
        <v>ERROR DE ID</v>
      </c>
      <c r="E3977" s="36"/>
      <c r="F3977" s="36"/>
      <c r="G3977" s="36"/>
      <c r="H3977" s="36"/>
    </row>
    <row r="3978">
      <c r="A3978" s="36"/>
      <c r="B3978" s="36" t="str">
        <f>IFERROR(__xludf.DUMMYFUNCTION("""COMPUTED_VALUE"""),"LATITUD")</f>
        <v>LATITUD</v>
      </c>
      <c r="C3978" s="36" t="str">
        <f>IFERROR(__xludf.DUMMYFUNCTION("""COMPUTED_VALUE"""),"LONGITUD")</f>
        <v>LONGITUD</v>
      </c>
      <c r="D3978" s="36" t="str">
        <f>IFERROR(__xludf.DUMMYFUNCTION("""COMPUTED_VALUE"""),"ERROR DE ID")</f>
        <v>ERROR DE ID</v>
      </c>
      <c r="E3978" s="36"/>
      <c r="F3978" s="36"/>
      <c r="G3978" s="36"/>
      <c r="H3978" s="36"/>
    </row>
    <row r="3979">
      <c r="A3979" s="36"/>
      <c r="B3979" s="36" t="str">
        <f>IFERROR(__xludf.DUMMYFUNCTION("""COMPUTED_VALUE"""),"LATITUD")</f>
        <v>LATITUD</v>
      </c>
      <c r="C3979" s="36" t="str">
        <f>IFERROR(__xludf.DUMMYFUNCTION("""COMPUTED_VALUE"""),"LONGITUD")</f>
        <v>LONGITUD</v>
      </c>
      <c r="D3979" s="36" t="str">
        <f>IFERROR(__xludf.DUMMYFUNCTION("""COMPUTED_VALUE"""),"ERROR DE ID")</f>
        <v>ERROR DE ID</v>
      </c>
      <c r="E3979" s="36"/>
      <c r="F3979" s="36"/>
      <c r="G3979" s="36"/>
      <c r="H3979" s="36"/>
    </row>
    <row r="3980">
      <c r="A3980" s="36"/>
      <c r="B3980" s="36" t="str">
        <f>IFERROR(__xludf.DUMMYFUNCTION("""COMPUTED_VALUE"""),"LATITUD")</f>
        <v>LATITUD</v>
      </c>
      <c r="C3980" s="36" t="str">
        <f>IFERROR(__xludf.DUMMYFUNCTION("""COMPUTED_VALUE"""),"LONGITUD")</f>
        <v>LONGITUD</v>
      </c>
      <c r="D3980" s="36" t="str">
        <f>IFERROR(__xludf.DUMMYFUNCTION("""COMPUTED_VALUE"""),"ERROR DE ID")</f>
        <v>ERROR DE ID</v>
      </c>
      <c r="E3980" s="36"/>
      <c r="F3980" s="36"/>
      <c r="G3980" s="36"/>
      <c r="H3980" s="36"/>
    </row>
    <row r="3981">
      <c r="A3981" s="36"/>
      <c r="B3981" s="36" t="str">
        <f>IFERROR(__xludf.DUMMYFUNCTION("""COMPUTED_VALUE"""),"LATITUD")</f>
        <v>LATITUD</v>
      </c>
      <c r="C3981" s="36" t="str">
        <f>IFERROR(__xludf.DUMMYFUNCTION("""COMPUTED_VALUE"""),"LONGITUD")</f>
        <v>LONGITUD</v>
      </c>
      <c r="D3981" s="36" t="str">
        <f>IFERROR(__xludf.DUMMYFUNCTION("""COMPUTED_VALUE"""),"ERROR DE ID")</f>
        <v>ERROR DE ID</v>
      </c>
      <c r="E3981" s="36"/>
      <c r="F3981" s="36"/>
      <c r="G3981" s="36"/>
      <c r="H3981" s="36"/>
    </row>
    <row r="3982">
      <c r="A3982" s="36"/>
      <c r="B3982" s="36" t="str">
        <f>IFERROR(__xludf.DUMMYFUNCTION("""COMPUTED_VALUE"""),"LATITUD")</f>
        <v>LATITUD</v>
      </c>
      <c r="C3982" s="36" t="str">
        <f>IFERROR(__xludf.DUMMYFUNCTION("""COMPUTED_VALUE"""),"LONGITUD")</f>
        <v>LONGITUD</v>
      </c>
      <c r="D3982" s="36" t="str">
        <f>IFERROR(__xludf.DUMMYFUNCTION("""COMPUTED_VALUE"""),"ERROR DE ID")</f>
        <v>ERROR DE ID</v>
      </c>
      <c r="E3982" s="36"/>
      <c r="F3982" s="36"/>
      <c r="G3982" s="36"/>
      <c r="H3982" s="36"/>
    </row>
    <row r="3983">
      <c r="A3983" s="36"/>
      <c r="B3983" s="36" t="str">
        <f>IFERROR(__xludf.DUMMYFUNCTION("""COMPUTED_VALUE"""),"LATITUD")</f>
        <v>LATITUD</v>
      </c>
      <c r="C3983" s="36" t="str">
        <f>IFERROR(__xludf.DUMMYFUNCTION("""COMPUTED_VALUE"""),"LONGITUD")</f>
        <v>LONGITUD</v>
      </c>
      <c r="D3983" s="36" t="str">
        <f>IFERROR(__xludf.DUMMYFUNCTION("""COMPUTED_VALUE"""),"ERROR DE ID")</f>
        <v>ERROR DE ID</v>
      </c>
      <c r="E3983" s="36"/>
      <c r="F3983" s="36"/>
      <c r="G3983" s="36"/>
      <c r="H3983" s="36"/>
    </row>
    <row r="3984">
      <c r="A3984" s="36"/>
      <c r="B3984" s="36" t="str">
        <f>IFERROR(__xludf.DUMMYFUNCTION("""COMPUTED_VALUE"""),"LATITUD")</f>
        <v>LATITUD</v>
      </c>
      <c r="C3984" s="36" t="str">
        <f>IFERROR(__xludf.DUMMYFUNCTION("""COMPUTED_VALUE"""),"LONGITUD")</f>
        <v>LONGITUD</v>
      </c>
      <c r="D3984" s="36" t="str">
        <f>IFERROR(__xludf.DUMMYFUNCTION("""COMPUTED_VALUE"""),"ERROR DE ID")</f>
        <v>ERROR DE ID</v>
      </c>
      <c r="E3984" s="36"/>
      <c r="F3984" s="36"/>
      <c r="G3984" s="36"/>
      <c r="H3984" s="36"/>
    </row>
    <row r="3985">
      <c r="A3985" s="36"/>
      <c r="B3985" s="36" t="str">
        <f>IFERROR(__xludf.DUMMYFUNCTION("""COMPUTED_VALUE"""),"LATITUD")</f>
        <v>LATITUD</v>
      </c>
      <c r="C3985" s="36" t="str">
        <f>IFERROR(__xludf.DUMMYFUNCTION("""COMPUTED_VALUE"""),"LONGITUD")</f>
        <v>LONGITUD</v>
      </c>
      <c r="D3985" s="36" t="str">
        <f>IFERROR(__xludf.DUMMYFUNCTION("""COMPUTED_VALUE"""),"ERROR DE ID")</f>
        <v>ERROR DE ID</v>
      </c>
      <c r="E3985" s="36"/>
      <c r="F3985" s="36"/>
      <c r="G3985" s="36"/>
      <c r="H3985" s="36"/>
    </row>
    <row r="3986">
      <c r="A3986" s="36"/>
      <c r="B3986" s="36" t="str">
        <f>IFERROR(__xludf.DUMMYFUNCTION("""COMPUTED_VALUE"""),"LATITUD")</f>
        <v>LATITUD</v>
      </c>
      <c r="C3986" s="36" t="str">
        <f>IFERROR(__xludf.DUMMYFUNCTION("""COMPUTED_VALUE"""),"LONGITUD")</f>
        <v>LONGITUD</v>
      </c>
      <c r="D3986" s="36" t="str">
        <f>IFERROR(__xludf.DUMMYFUNCTION("""COMPUTED_VALUE"""),"ERROR DE ID")</f>
        <v>ERROR DE ID</v>
      </c>
      <c r="E3986" s="36"/>
      <c r="F3986" s="36"/>
      <c r="G3986" s="36"/>
      <c r="H3986" s="36"/>
    </row>
    <row r="3987">
      <c r="A3987" s="36"/>
      <c r="B3987" s="36" t="str">
        <f>IFERROR(__xludf.DUMMYFUNCTION("""COMPUTED_VALUE"""),"LATITUD")</f>
        <v>LATITUD</v>
      </c>
      <c r="C3987" s="36" t="str">
        <f>IFERROR(__xludf.DUMMYFUNCTION("""COMPUTED_VALUE"""),"LONGITUD")</f>
        <v>LONGITUD</v>
      </c>
      <c r="D3987" s="36" t="str">
        <f>IFERROR(__xludf.DUMMYFUNCTION("""COMPUTED_VALUE"""),"ERROR DE ID")</f>
        <v>ERROR DE ID</v>
      </c>
      <c r="E3987" s="36"/>
      <c r="F3987" s="36"/>
      <c r="G3987" s="36"/>
      <c r="H3987" s="36"/>
    </row>
    <row r="3988">
      <c r="A3988" s="36"/>
      <c r="B3988" s="36" t="str">
        <f>IFERROR(__xludf.DUMMYFUNCTION("""COMPUTED_VALUE"""),"LATITUD")</f>
        <v>LATITUD</v>
      </c>
      <c r="C3988" s="36" t="str">
        <f>IFERROR(__xludf.DUMMYFUNCTION("""COMPUTED_VALUE"""),"LONGITUD")</f>
        <v>LONGITUD</v>
      </c>
      <c r="D3988" s="36" t="str">
        <f>IFERROR(__xludf.DUMMYFUNCTION("""COMPUTED_VALUE"""),"ERROR DE ID")</f>
        <v>ERROR DE ID</v>
      </c>
      <c r="E3988" s="36"/>
      <c r="F3988" s="36"/>
      <c r="G3988" s="36"/>
      <c r="H3988" s="36"/>
    </row>
    <row r="3989">
      <c r="A3989" s="36"/>
      <c r="B3989" s="36" t="str">
        <f>IFERROR(__xludf.DUMMYFUNCTION("""COMPUTED_VALUE"""),"LATITUD")</f>
        <v>LATITUD</v>
      </c>
      <c r="C3989" s="36" t="str">
        <f>IFERROR(__xludf.DUMMYFUNCTION("""COMPUTED_VALUE"""),"LONGITUD")</f>
        <v>LONGITUD</v>
      </c>
      <c r="D3989" s="36" t="str">
        <f>IFERROR(__xludf.DUMMYFUNCTION("""COMPUTED_VALUE"""),"ERROR DE ID")</f>
        <v>ERROR DE ID</v>
      </c>
      <c r="E3989" s="36"/>
      <c r="F3989" s="36"/>
      <c r="G3989" s="36"/>
      <c r="H3989" s="36"/>
    </row>
    <row r="3990">
      <c r="A3990" s="36"/>
      <c r="B3990" s="36" t="str">
        <f>IFERROR(__xludf.DUMMYFUNCTION("""COMPUTED_VALUE"""),"LATITUD")</f>
        <v>LATITUD</v>
      </c>
      <c r="C3990" s="36" t="str">
        <f>IFERROR(__xludf.DUMMYFUNCTION("""COMPUTED_VALUE"""),"LONGITUD")</f>
        <v>LONGITUD</v>
      </c>
      <c r="D3990" s="36" t="str">
        <f>IFERROR(__xludf.DUMMYFUNCTION("""COMPUTED_VALUE"""),"ERROR DE ID")</f>
        <v>ERROR DE ID</v>
      </c>
      <c r="E3990" s="36"/>
      <c r="F3990" s="36"/>
      <c r="G3990" s="36"/>
      <c r="H3990" s="36"/>
    </row>
    <row r="3991">
      <c r="A3991" s="36"/>
      <c r="B3991" s="36" t="str">
        <f>IFERROR(__xludf.DUMMYFUNCTION("""COMPUTED_VALUE"""),"LATITUD")</f>
        <v>LATITUD</v>
      </c>
      <c r="C3991" s="36" t="str">
        <f>IFERROR(__xludf.DUMMYFUNCTION("""COMPUTED_VALUE"""),"LONGITUD")</f>
        <v>LONGITUD</v>
      </c>
      <c r="D3991" s="36" t="str">
        <f>IFERROR(__xludf.DUMMYFUNCTION("""COMPUTED_VALUE"""),"ERROR DE ID")</f>
        <v>ERROR DE ID</v>
      </c>
      <c r="E3991" s="36"/>
      <c r="F3991" s="36"/>
      <c r="G3991" s="36"/>
      <c r="H3991" s="36"/>
    </row>
    <row r="3992">
      <c r="A3992" s="36"/>
      <c r="B3992" s="36" t="str">
        <f>IFERROR(__xludf.DUMMYFUNCTION("""COMPUTED_VALUE"""),"LATITUD")</f>
        <v>LATITUD</v>
      </c>
      <c r="C3992" s="36" t="str">
        <f>IFERROR(__xludf.DUMMYFUNCTION("""COMPUTED_VALUE"""),"LONGITUD")</f>
        <v>LONGITUD</v>
      </c>
      <c r="D3992" s="36" t="str">
        <f>IFERROR(__xludf.DUMMYFUNCTION("""COMPUTED_VALUE"""),"ERROR DE ID")</f>
        <v>ERROR DE ID</v>
      </c>
      <c r="E3992" s="36"/>
      <c r="F3992" s="36"/>
      <c r="G3992" s="36"/>
      <c r="H3992" s="36"/>
    </row>
    <row r="3993">
      <c r="A3993" s="36"/>
      <c r="B3993" s="36" t="str">
        <f>IFERROR(__xludf.DUMMYFUNCTION("""COMPUTED_VALUE"""),"LATITUD")</f>
        <v>LATITUD</v>
      </c>
      <c r="C3993" s="36" t="str">
        <f>IFERROR(__xludf.DUMMYFUNCTION("""COMPUTED_VALUE"""),"LONGITUD")</f>
        <v>LONGITUD</v>
      </c>
      <c r="D3993" s="36" t="str">
        <f>IFERROR(__xludf.DUMMYFUNCTION("""COMPUTED_VALUE"""),"ERROR DE ID")</f>
        <v>ERROR DE ID</v>
      </c>
      <c r="E3993" s="36"/>
      <c r="F3993" s="36"/>
      <c r="G3993" s="36"/>
      <c r="H3993" s="36"/>
    </row>
    <row r="3994">
      <c r="A3994" s="36"/>
      <c r="B3994" s="36" t="str">
        <f>IFERROR(__xludf.DUMMYFUNCTION("""COMPUTED_VALUE"""),"LATITUD")</f>
        <v>LATITUD</v>
      </c>
      <c r="C3994" s="36" t="str">
        <f>IFERROR(__xludf.DUMMYFUNCTION("""COMPUTED_VALUE"""),"LONGITUD")</f>
        <v>LONGITUD</v>
      </c>
      <c r="D3994" s="36" t="str">
        <f>IFERROR(__xludf.DUMMYFUNCTION("""COMPUTED_VALUE"""),"ERROR DE ID")</f>
        <v>ERROR DE ID</v>
      </c>
      <c r="E3994" s="36"/>
      <c r="F3994" s="36"/>
      <c r="G3994" s="36"/>
      <c r="H3994" s="36"/>
    </row>
    <row r="3995">
      <c r="A3995" s="36"/>
      <c r="B3995" s="36" t="str">
        <f>IFERROR(__xludf.DUMMYFUNCTION("""COMPUTED_VALUE"""),"LATITUD")</f>
        <v>LATITUD</v>
      </c>
      <c r="C3995" s="36" t="str">
        <f>IFERROR(__xludf.DUMMYFUNCTION("""COMPUTED_VALUE"""),"LONGITUD")</f>
        <v>LONGITUD</v>
      </c>
      <c r="D3995" s="36" t="str">
        <f>IFERROR(__xludf.DUMMYFUNCTION("""COMPUTED_VALUE"""),"ERROR DE ID")</f>
        <v>ERROR DE ID</v>
      </c>
      <c r="E3995" s="36"/>
      <c r="F3995" s="36"/>
      <c r="G3995" s="36"/>
      <c r="H3995" s="36"/>
    </row>
    <row r="3996">
      <c r="A3996" s="36"/>
      <c r="B3996" s="36" t="str">
        <f>IFERROR(__xludf.DUMMYFUNCTION("""COMPUTED_VALUE"""),"LATITUD")</f>
        <v>LATITUD</v>
      </c>
      <c r="C3996" s="36" t="str">
        <f>IFERROR(__xludf.DUMMYFUNCTION("""COMPUTED_VALUE"""),"LONGITUD")</f>
        <v>LONGITUD</v>
      </c>
      <c r="D3996" s="36" t="str">
        <f>IFERROR(__xludf.DUMMYFUNCTION("""COMPUTED_VALUE"""),"ERROR DE ID")</f>
        <v>ERROR DE ID</v>
      </c>
      <c r="E3996" s="36"/>
      <c r="F3996" s="36"/>
      <c r="G3996" s="36"/>
      <c r="H3996" s="36"/>
    </row>
    <row r="3997">
      <c r="A3997" s="36"/>
      <c r="B3997" s="36" t="str">
        <f>IFERROR(__xludf.DUMMYFUNCTION("""COMPUTED_VALUE"""),"LATITUD")</f>
        <v>LATITUD</v>
      </c>
      <c r="C3997" s="36" t="str">
        <f>IFERROR(__xludf.DUMMYFUNCTION("""COMPUTED_VALUE"""),"LONGITUD")</f>
        <v>LONGITUD</v>
      </c>
      <c r="D3997" s="36" t="str">
        <f>IFERROR(__xludf.DUMMYFUNCTION("""COMPUTED_VALUE"""),"ERROR DE ID")</f>
        <v>ERROR DE ID</v>
      </c>
      <c r="E3997" s="36"/>
      <c r="F3997" s="36"/>
      <c r="G3997" s="36"/>
      <c r="H3997" s="36"/>
    </row>
    <row r="3998">
      <c r="A3998" s="36"/>
      <c r="B3998" s="36" t="str">
        <f>IFERROR(__xludf.DUMMYFUNCTION("""COMPUTED_VALUE"""),"LATITUD")</f>
        <v>LATITUD</v>
      </c>
      <c r="C3998" s="36" t="str">
        <f>IFERROR(__xludf.DUMMYFUNCTION("""COMPUTED_VALUE"""),"LONGITUD")</f>
        <v>LONGITUD</v>
      </c>
      <c r="D3998" s="36" t="str">
        <f>IFERROR(__xludf.DUMMYFUNCTION("""COMPUTED_VALUE"""),"ERROR DE ID")</f>
        <v>ERROR DE ID</v>
      </c>
      <c r="E3998" s="36"/>
      <c r="F3998" s="36"/>
      <c r="G3998" s="36"/>
      <c r="H3998" s="36"/>
    </row>
    <row r="3999">
      <c r="A3999" s="36"/>
      <c r="B3999" s="36" t="str">
        <f>IFERROR(__xludf.DUMMYFUNCTION("""COMPUTED_VALUE"""),"LATITUD")</f>
        <v>LATITUD</v>
      </c>
      <c r="C3999" s="36" t="str">
        <f>IFERROR(__xludf.DUMMYFUNCTION("""COMPUTED_VALUE"""),"LONGITUD")</f>
        <v>LONGITUD</v>
      </c>
      <c r="D3999" s="36" t="str">
        <f>IFERROR(__xludf.DUMMYFUNCTION("""COMPUTED_VALUE"""),"ERROR DE ID")</f>
        <v>ERROR DE ID</v>
      </c>
      <c r="E3999" s="36"/>
      <c r="F3999" s="36"/>
      <c r="G3999" s="36"/>
      <c r="H3999" s="36"/>
    </row>
    <row r="4000">
      <c r="A4000" s="36"/>
      <c r="B4000" s="36" t="str">
        <f>IFERROR(__xludf.DUMMYFUNCTION("""COMPUTED_VALUE"""),"LATITUD")</f>
        <v>LATITUD</v>
      </c>
      <c r="C4000" s="36" t="str">
        <f>IFERROR(__xludf.DUMMYFUNCTION("""COMPUTED_VALUE"""),"LONGITUD")</f>
        <v>LONGITUD</v>
      </c>
      <c r="D4000" s="36" t="str">
        <f>IFERROR(__xludf.DUMMYFUNCTION("""COMPUTED_VALUE"""),"ERROR DE ID")</f>
        <v>ERROR DE ID</v>
      </c>
      <c r="E4000" s="36"/>
      <c r="F4000" s="36"/>
      <c r="G4000" s="36"/>
      <c r="H4000" s="36"/>
    </row>
    <row r="4001">
      <c r="A4001" s="36"/>
      <c r="B4001" s="36" t="str">
        <f>IFERROR(__xludf.DUMMYFUNCTION("""COMPUTED_VALUE"""),"LATITUD")</f>
        <v>LATITUD</v>
      </c>
      <c r="C4001" s="36" t="str">
        <f>IFERROR(__xludf.DUMMYFUNCTION("""COMPUTED_VALUE"""),"LONGITUD")</f>
        <v>LONGITUD</v>
      </c>
      <c r="D4001" s="36" t="str">
        <f>IFERROR(__xludf.DUMMYFUNCTION("""COMPUTED_VALUE"""),"ERROR DE ID")</f>
        <v>ERROR DE ID</v>
      </c>
      <c r="E4001" s="36"/>
      <c r="F4001" s="36"/>
      <c r="G4001" s="36"/>
      <c r="H4001" s="36"/>
    </row>
    <row r="4002">
      <c r="A4002" s="36"/>
      <c r="B4002" s="36" t="str">
        <f>IFERROR(__xludf.DUMMYFUNCTION("""COMPUTED_VALUE"""),"LATITUD")</f>
        <v>LATITUD</v>
      </c>
      <c r="C4002" s="36" t="str">
        <f>IFERROR(__xludf.DUMMYFUNCTION("""COMPUTED_VALUE"""),"LONGITUD")</f>
        <v>LONGITUD</v>
      </c>
      <c r="D4002" s="36" t="str">
        <f>IFERROR(__xludf.DUMMYFUNCTION("""COMPUTED_VALUE"""),"ERROR DE ID")</f>
        <v>ERROR DE ID</v>
      </c>
      <c r="E4002" s="36"/>
      <c r="F4002" s="36"/>
      <c r="G4002" s="36"/>
      <c r="H4002" s="36"/>
    </row>
    <row r="4003">
      <c r="A4003" s="36"/>
      <c r="B4003" s="36" t="str">
        <f>IFERROR(__xludf.DUMMYFUNCTION("""COMPUTED_VALUE"""),"LATITUD")</f>
        <v>LATITUD</v>
      </c>
      <c r="C4003" s="36" t="str">
        <f>IFERROR(__xludf.DUMMYFUNCTION("""COMPUTED_VALUE"""),"LONGITUD")</f>
        <v>LONGITUD</v>
      </c>
      <c r="D4003" s="36" t="str">
        <f>IFERROR(__xludf.DUMMYFUNCTION("""COMPUTED_VALUE"""),"ERROR DE ID")</f>
        <v>ERROR DE ID</v>
      </c>
      <c r="E4003" s="36"/>
      <c r="F4003" s="36"/>
      <c r="G4003" s="36"/>
      <c r="H4003" s="36"/>
    </row>
    <row r="4004">
      <c r="A4004" s="36"/>
      <c r="B4004" s="36" t="str">
        <f>IFERROR(__xludf.DUMMYFUNCTION("""COMPUTED_VALUE"""),"LATITUD")</f>
        <v>LATITUD</v>
      </c>
      <c r="C4004" s="36" t="str">
        <f>IFERROR(__xludf.DUMMYFUNCTION("""COMPUTED_VALUE"""),"LONGITUD")</f>
        <v>LONGITUD</v>
      </c>
      <c r="D4004" s="36" t="str">
        <f>IFERROR(__xludf.DUMMYFUNCTION("""COMPUTED_VALUE"""),"ERROR DE ID")</f>
        <v>ERROR DE ID</v>
      </c>
      <c r="E4004" s="36"/>
      <c r="F4004" s="36"/>
      <c r="G4004" s="36"/>
      <c r="H4004" s="36"/>
    </row>
    <row r="4005">
      <c r="A4005" s="36"/>
      <c r="B4005" s="36" t="str">
        <f>IFERROR(__xludf.DUMMYFUNCTION("""COMPUTED_VALUE"""),"LATITUD")</f>
        <v>LATITUD</v>
      </c>
      <c r="C4005" s="36" t="str">
        <f>IFERROR(__xludf.DUMMYFUNCTION("""COMPUTED_VALUE"""),"LONGITUD")</f>
        <v>LONGITUD</v>
      </c>
      <c r="D4005" s="36" t="str">
        <f>IFERROR(__xludf.DUMMYFUNCTION("""COMPUTED_VALUE"""),"ERROR DE ID")</f>
        <v>ERROR DE ID</v>
      </c>
      <c r="E4005" s="36"/>
      <c r="F4005" s="36"/>
      <c r="G4005" s="36"/>
      <c r="H4005" s="36"/>
    </row>
    <row r="4006">
      <c r="A4006" s="36"/>
      <c r="B4006" s="36" t="str">
        <f>IFERROR(__xludf.DUMMYFUNCTION("""COMPUTED_VALUE"""),"LATITUD")</f>
        <v>LATITUD</v>
      </c>
      <c r="C4006" s="36" t="str">
        <f>IFERROR(__xludf.DUMMYFUNCTION("""COMPUTED_VALUE"""),"LONGITUD")</f>
        <v>LONGITUD</v>
      </c>
      <c r="D4006" s="36" t="str">
        <f>IFERROR(__xludf.DUMMYFUNCTION("""COMPUTED_VALUE"""),"ERROR DE ID")</f>
        <v>ERROR DE ID</v>
      </c>
      <c r="E4006" s="36"/>
      <c r="F4006" s="36"/>
      <c r="G4006" s="36"/>
      <c r="H4006" s="36"/>
    </row>
    <row r="4007">
      <c r="A4007" s="36"/>
      <c r="B4007" s="36" t="str">
        <f>IFERROR(__xludf.DUMMYFUNCTION("""COMPUTED_VALUE"""),"LATITUD")</f>
        <v>LATITUD</v>
      </c>
      <c r="C4007" s="36" t="str">
        <f>IFERROR(__xludf.DUMMYFUNCTION("""COMPUTED_VALUE"""),"LONGITUD")</f>
        <v>LONGITUD</v>
      </c>
      <c r="D4007" s="36" t="str">
        <f>IFERROR(__xludf.DUMMYFUNCTION("""COMPUTED_VALUE"""),"ERROR DE ID")</f>
        <v>ERROR DE ID</v>
      </c>
      <c r="E4007" s="36"/>
      <c r="F4007" s="36"/>
      <c r="G4007" s="36"/>
      <c r="H4007" s="36"/>
    </row>
    <row r="4008">
      <c r="A4008" s="36"/>
      <c r="B4008" s="36" t="str">
        <f>IFERROR(__xludf.DUMMYFUNCTION("""COMPUTED_VALUE"""),"LATITUD")</f>
        <v>LATITUD</v>
      </c>
      <c r="C4008" s="36" t="str">
        <f>IFERROR(__xludf.DUMMYFUNCTION("""COMPUTED_VALUE"""),"LONGITUD")</f>
        <v>LONGITUD</v>
      </c>
      <c r="D4008" s="36" t="str">
        <f>IFERROR(__xludf.DUMMYFUNCTION("""COMPUTED_VALUE"""),"ERROR DE ID")</f>
        <v>ERROR DE ID</v>
      </c>
      <c r="E4008" s="36"/>
      <c r="F4008" s="36"/>
      <c r="G4008" s="36"/>
      <c r="H4008" s="36"/>
    </row>
    <row r="4009">
      <c r="A4009" s="36"/>
      <c r="B4009" s="36" t="str">
        <f>IFERROR(__xludf.DUMMYFUNCTION("""COMPUTED_VALUE"""),"LATITUD")</f>
        <v>LATITUD</v>
      </c>
      <c r="C4009" s="36" t="str">
        <f>IFERROR(__xludf.DUMMYFUNCTION("""COMPUTED_VALUE"""),"LONGITUD")</f>
        <v>LONGITUD</v>
      </c>
      <c r="D4009" s="36" t="str">
        <f>IFERROR(__xludf.DUMMYFUNCTION("""COMPUTED_VALUE"""),"ERROR DE ID")</f>
        <v>ERROR DE ID</v>
      </c>
      <c r="E4009" s="36"/>
      <c r="F4009" s="36"/>
      <c r="G4009" s="36"/>
      <c r="H4009" s="36"/>
    </row>
    <row r="4010">
      <c r="A4010" s="36"/>
      <c r="B4010" s="36" t="str">
        <f>IFERROR(__xludf.DUMMYFUNCTION("""COMPUTED_VALUE"""),"LATITUD")</f>
        <v>LATITUD</v>
      </c>
      <c r="C4010" s="36" t="str">
        <f>IFERROR(__xludf.DUMMYFUNCTION("""COMPUTED_VALUE"""),"LONGITUD")</f>
        <v>LONGITUD</v>
      </c>
      <c r="D4010" s="36" t="str">
        <f>IFERROR(__xludf.DUMMYFUNCTION("""COMPUTED_VALUE"""),"ERROR DE ID")</f>
        <v>ERROR DE ID</v>
      </c>
      <c r="E4010" s="36"/>
      <c r="F4010" s="36"/>
      <c r="G4010" s="36"/>
      <c r="H4010" s="36"/>
    </row>
    <row r="4011">
      <c r="A4011" s="36"/>
      <c r="B4011" s="36" t="str">
        <f>IFERROR(__xludf.DUMMYFUNCTION("""COMPUTED_VALUE"""),"LATITUD")</f>
        <v>LATITUD</v>
      </c>
      <c r="C4011" s="36" t="str">
        <f>IFERROR(__xludf.DUMMYFUNCTION("""COMPUTED_VALUE"""),"LONGITUD")</f>
        <v>LONGITUD</v>
      </c>
      <c r="D4011" s="36" t="str">
        <f>IFERROR(__xludf.DUMMYFUNCTION("""COMPUTED_VALUE"""),"ERROR DE ID")</f>
        <v>ERROR DE ID</v>
      </c>
      <c r="E4011" s="36"/>
      <c r="F4011" s="36"/>
      <c r="G4011" s="36"/>
      <c r="H4011" s="36"/>
    </row>
    <row r="4012">
      <c r="A4012" s="36"/>
      <c r="B4012" s="36" t="str">
        <f>IFERROR(__xludf.DUMMYFUNCTION("""COMPUTED_VALUE"""),"LATITUD")</f>
        <v>LATITUD</v>
      </c>
      <c r="C4012" s="36" t="str">
        <f>IFERROR(__xludf.DUMMYFUNCTION("""COMPUTED_VALUE"""),"LONGITUD")</f>
        <v>LONGITUD</v>
      </c>
      <c r="D4012" s="36" t="str">
        <f>IFERROR(__xludf.DUMMYFUNCTION("""COMPUTED_VALUE"""),"ERROR DE ID")</f>
        <v>ERROR DE ID</v>
      </c>
      <c r="E4012" s="36"/>
      <c r="F4012" s="36"/>
      <c r="G4012" s="36"/>
      <c r="H4012" s="36"/>
    </row>
    <row r="4013">
      <c r="A4013" s="36"/>
      <c r="B4013" s="36" t="str">
        <f>IFERROR(__xludf.DUMMYFUNCTION("""COMPUTED_VALUE"""),"LATITUD")</f>
        <v>LATITUD</v>
      </c>
      <c r="C4013" s="36" t="str">
        <f>IFERROR(__xludf.DUMMYFUNCTION("""COMPUTED_VALUE"""),"LONGITUD")</f>
        <v>LONGITUD</v>
      </c>
      <c r="D4013" s="36" t="str">
        <f>IFERROR(__xludf.DUMMYFUNCTION("""COMPUTED_VALUE"""),"ERROR DE ID")</f>
        <v>ERROR DE ID</v>
      </c>
      <c r="E4013" s="36"/>
      <c r="F4013" s="36"/>
      <c r="G4013" s="36"/>
      <c r="H4013" s="36"/>
    </row>
    <row r="4014">
      <c r="A4014" s="36"/>
      <c r="B4014" s="36" t="str">
        <f>IFERROR(__xludf.DUMMYFUNCTION("""COMPUTED_VALUE"""),"LATITUD")</f>
        <v>LATITUD</v>
      </c>
      <c r="C4014" s="36" t="str">
        <f>IFERROR(__xludf.DUMMYFUNCTION("""COMPUTED_VALUE"""),"LONGITUD")</f>
        <v>LONGITUD</v>
      </c>
      <c r="D4014" s="36" t="str">
        <f>IFERROR(__xludf.DUMMYFUNCTION("""COMPUTED_VALUE"""),"ERROR DE ID")</f>
        <v>ERROR DE ID</v>
      </c>
      <c r="E4014" s="36"/>
      <c r="F4014" s="36"/>
      <c r="G4014" s="36"/>
      <c r="H4014" s="36"/>
    </row>
    <row r="4015">
      <c r="A4015" s="36"/>
      <c r="B4015" s="36" t="str">
        <f>IFERROR(__xludf.DUMMYFUNCTION("""COMPUTED_VALUE"""),"LATITUD")</f>
        <v>LATITUD</v>
      </c>
      <c r="C4015" s="36" t="str">
        <f>IFERROR(__xludf.DUMMYFUNCTION("""COMPUTED_VALUE"""),"LONGITUD")</f>
        <v>LONGITUD</v>
      </c>
      <c r="D4015" s="36" t="str">
        <f>IFERROR(__xludf.DUMMYFUNCTION("""COMPUTED_VALUE"""),"ERROR DE ID")</f>
        <v>ERROR DE ID</v>
      </c>
      <c r="E4015" s="36"/>
      <c r="F4015" s="36"/>
      <c r="G4015" s="36"/>
      <c r="H4015" s="36"/>
    </row>
    <row r="4016">
      <c r="A4016" s="36"/>
      <c r="B4016" s="36" t="str">
        <f>IFERROR(__xludf.DUMMYFUNCTION("""COMPUTED_VALUE"""),"LATITUD")</f>
        <v>LATITUD</v>
      </c>
      <c r="C4016" s="36" t="str">
        <f>IFERROR(__xludf.DUMMYFUNCTION("""COMPUTED_VALUE"""),"LONGITUD")</f>
        <v>LONGITUD</v>
      </c>
      <c r="D4016" s="36" t="str">
        <f>IFERROR(__xludf.DUMMYFUNCTION("""COMPUTED_VALUE"""),"ERROR DE ID")</f>
        <v>ERROR DE ID</v>
      </c>
      <c r="E4016" s="36"/>
      <c r="F4016" s="36"/>
      <c r="G4016" s="36"/>
      <c r="H4016" s="36"/>
    </row>
    <row r="4017">
      <c r="A4017" s="36"/>
      <c r="B4017" s="36" t="str">
        <f>IFERROR(__xludf.DUMMYFUNCTION("""COMPUTED_VALUE"""),"LATITUD")</f>
        <v>LATITUD</v>
      </c>
      <c r="C4017" s="36" t="str">
        <f>IFERROR(__xludf.DUMMYFUNCTION("""COMPUTED_VALUE"""),"LONGITUD")</f>
        <v>LONGITUD</v>
      </c>
      <c r="D4017" s="36" t="str">
        <f>IFERROR(__xludf.DUMMYFUNCTION("""COMPUTED_VALUE"""),"ERROR DE ID")</f>
        <v>ERROR DE ID</v>
      </c>
      <c r="E4017" s="36"/>
      <c r="F4017" s="36"/>
      <c r="G4017" s="36"/>
      <c r="H4017" s="36"/>
    </row>
    <row r="4018">
      <c r="A4018" s="36"/>
      <c r="B4018" s="36" t="str">
        <f>IFERROR(__xludf.DUMMYFUNCTION("""COMPUTED_VALUE"""),"LATITUD")</f>
        <v>LATITUD</v>
      </c>
      <c r="C4018" s="36" t="str">
        <f>IFERROR(__xludf.DUMMYFUNCTION("""COMPUTED_VALUE"""),"LONGITUD")</f>
        <v>LONGITUD</v>
      </c>
      <c r="D4018" s="36" t="str">
        <f>IFERROR(__xludf.DUMMYFUNCTION("""COMPUTED_VALUE"""),"ERROR DE ID")</f>
        <v>ERROR DE ID</v>
      </c>
      <c r="E4018" s="36"/>
      <c r="F4018" s="36"/>
      <c r="G4018" s="36"/>
      <c r="H4018" s="36"/>
    </row>
    <row r="4019">
      <c r="A4019" s="36"/>
      <c r="B4019" s="36" t="str">
        <f>IFERROR(__xludf.DUMMYFUNCTION("""COMPUTED_VALUE"""),"LATITUD")</f>
        <v>LATITUD</v>
      </c>
      <c r="C4019" s="36" t="str">
        <f>IFERROR(__xludf.DUMMYFUNCTION("""COMPUTED_VALUE"""),"LONGITUD")</f>
        <v>LONGITUD</v>
      </c>
      <c r="D4019" s="36" t="str">
        <f>IFERROR(__xludf.DUMMYFUNCTION("""COMPUTED_VALUE"""),"ERROR DE ID")</f>
        <v>ERROR DE ID</v>
      </c>
      <c r="E4019" s="36"/>
      <c r="F4019" s="36"/>
      <c r="G4019" s="36"/>
      <c r="H4019" s="36"/>
    </row>
    <row r="4020">
      <c r="A4020" s="36"/>
      <c r="B4020" s="36" t="str">
        <f>IFERROR(__xludf.DUMMYFUNCTION("""COMPUTED_VALUE"""),"LATITUD")</f>
        <v>LATITUD</v>
      </c>
      <c r="C4020" s="36" t="str">
        <f>IFERROR(__xludf.DUMMYFUNCTION("""COMPUTED_VALUE"""),"LONGITUD")</f>
        <v>LONGITUD</v>
      </c>
      <c r="D4020" s="36" t="str">
        <f>IFERROR(__xludf.DUMMYFUNCTION("""COMPUTED_VALUE"""),"ERROR DE ID")</f>
        <v>ERROR DE ID</v>
      </c>
      <c r="E4020" s="36"/>
      <c r="F4020" s="36"/>
      <c r="G4020" s="36"/>
      <c r="H4020" s="36"/>
    </row>
    <row r="4021">
      <c r="A4021" s="36"/>
      <c r="B4021" s="36" t="str">
        <f>IFERROR(__xludf.DUMMYFUNCTION("""COMPUTED_VALUE"""),"LATITUD")</f>
        <v>LATITUD</v>
      </c>
      <c r="C4021" s="36" t="str">
        <f>IFERROR(__xludf.DUMMYFUNCTION("""COMPUTED_VALUE"""),"LONGITUD")</f>
        <v>LONGITUD</v>
      </c>
      <c r="D4021" s="36" t="str">
        <f>IFERROR(__xludf.DUMMYFUNCTION("""COMPUTED_VALUE"""),"ERROR DE ID")</f>
        <v>ERROR DE ID</v>
      </c>
      <c r="E4021" s="36"/>
      <c r="F4021" s="36"/>
      <c r="G4021" s="36"/>
      <c r="H4021" s="36"/>
    </row>
    <row r="4022">
      <c r="A4022" s="36"/>
      <c r="B4022" s="36" t="str">
        <f>IFERROR(__xludf.DUMMYFUNCTION("""COMPUTED_VALUE"""),"LATITUD")</f>
        <v>LATITUD</v>
      </c>
      <c r="C4022" s="36" t="str">
        <f>IFERROR(__xludf.DUMMYFUNCTION("""COMPUTED_VALUE"""),"LONGITUD")</f>
        <v>LONGITUD</v>
      </c>
      <c r="D4022" s="36" t="str">
        <f>IFERROR(__xludf.DUMMYFUNCTION("""COMPUTED_VALUE"""),"ERROR DE ID")</f>
        <v>ERROR DE ID</v>
      </c>
      <c r="E4022" s="36"/>
      <c r="F4022" s="36"/>
      <c r="G4022" s="36"/>
      <c r="H4022" s="36"/>
    </row>
    <row r="4023">
      <c r="A4023" s="36"/>
      <c r="B4023" s="36" t="str">
        <f>IFERROR(__xludf.DUMMYFUNCTION("""COMPUTED_VALUE"""),"LATITUD")</f>
        <v>LATITUD</v>
      </c>
      <c r="C4023" s="36" t="str">
        <f>IFERROR(__xludf.DUMMYFUNCTION("""COMPUTED_VALUE"""),"LONGITUD")</f>
        <v>LONGITUD</v>
      </c>
      <c r="D4023" s="36" t="str">
        <f>IFERROR(__xludf.DUMMYFUNCTION("""COMPUTED_VALUE"""),"ERROR DE ID")</f>
        <v>ERROR DE ID</v>
      </c>
      <c r="E4023" s="36"/>
      <c r="F4023" s="36"/>
      <c r="G4023" s="36"/>
      <c r="H4023" s="36"/>
    </row>
    <row r="4024">
      <c r="A4024" s="36"/>
      <c r="B4024" s="36" t="str">
        <f>IFERROR(__xludf.DUMMYFUNCTION("""COMPUTED_VALUE"""),"LATITUD")</f>
        <v>LATITUD</v>
      </c>
      <c r="C4024" s="36" t="str">
        <f>IFERROR(__xludf.DUMMYFUNCTION("""COMPUTED_VALUE"""),"LONGITUD")</f>
        <v>LONGITUD</v>
      </c>
      <c r="D4024" s="36" t="str">
        <f>IFERROR(__xludf.DUMMYFUNCTION("""COMPUTED_VALUE"""),"ERROR DE ID")</f>
        <v>ERROR DE ID</v>
      </c>
      <c r="E4024" s="36"/>
      <c r="F4024" s="36"/>
      <c r="G4024" s="36"/>
      <c r="H4024" s="36"/>
    </row>
    <row r="4025">
      <c r="A4025" s="36"/>
      <c r="B4025" s="36" t="str">
        <f>IFERROR(__xludf.DUMMYFUNCTION("""COMPUTED_VALUE"""),"LATITUD")</f>
        <v>LATITUD</v>
      </c>
      <c r="C4025" s="36" t="str">
        <f>IFERROR(__xludf.DUMMYFUNCTION("""COMPUTED_VALUE"""),"LONGITUD")</f>
        <v>LONGITUD</v>
      </c>
      <c r="D4025" s="36" t="str">
        <f>IFERROR(__xludf.DUMMYFUNCTION("""COMPUTED_VALUE"""),"ERROR DE ID")</f>
        <v>ERROR DE ID</v>
      </c>
      <c r="E4025" s="36"/>
      <c r="F4025" s="36"/>
      <c r="G4025" s="36"/>
      <c r="H4025" s="36"/>
    </row>
    <row r="4026">
      <c r="A4026" s="36"/>
      <c r="B4026" s="36" t="str">
        <f>IFERROR(__xludf.DUMMYFUNCTION("""COMPUTED_VALUE"""),"LATITUD")</f>
        <v>LATITUD</v>
      </c>
      <c r="C4026" s="36" t="str">
        <f>IFERROR(__xludf.DUMMYFUNCTION("""COMPUTED_VALUE"""),"LONGITUD")</f>
        <v>LONGITUD</v>
      </c>
      <c r="D4026" s="36" t="str">
        <f>IFERROR(__xludf.DUMMYFUNCTION("""COMPUTED_VALUE"""),"ERROR DE ID")</f>
        <v>ERROR DE ID</v>
      </c>
      <c r="E4026" s="36"/>
      <c r="F4026" s="36"/>
      <c r="G4026" s="36"/>
      <c r="H4026" s="36"/>
    </row>
    <row r="4027">
      <c r="A4027" s="36"/>
      <c r="B4027" s="36" t="str">
        <f>IFERROR(__xludf.DUMMYFUNCTION("""COMPUTED_VALUE"""),"LATITUD")</f>
        <v>LATITUD</v>
      </c>
      <c r="C4027" s="36" t="str">
        <f>IFERROR(__xludf.DUMMYFUNCTION("""COMPUTED_VALUE"""),"LONGITUD")</f>
        <v>LONGITUD</v>
      </c>
      <c r="D4027" s="36" t="str">
        <f>IFERROR(__xludf.DUMMYFUNCTION("""COMPUTED_VALUE"""),"ERROR DE ID")</f>
        <v>ERROR DE ID</v>
      </c>
      <c r="E4027" s="36"/>
      <c r="F4027" s="36"/>
      <c r="G4027" s="36"/>
      <c r="H4027" s="36"/>
    </row>
    <row r="4028">
      <c r="A4028" s="36"/>
      <c r="B4028" s="36" t="str">
        <f>IFERROR(__xludf.DUMMYFUNCTION("""COMPUTED_VALUE"""),"LATITUD")</f>
        <v>LATITUD</v>
      </c>
      <c r="C4028" s="36" t="str">
        <f>IFERROR(__xludf.DUMMYFUNCTION("""COMPUTED_VALUE"""),"LONGITUD")</f>
        <v>LONGITUD</v>
      </c>
      <c r="D4028" s="36" t="str">
        <f>IFERROR(__xludf.DUMMYFUNCTION("""COMPUTED_VALUE"""),"ERROR DE ID")</f>
        <v>ERROR DE ID</v>
      </c>
      <c r="E4028" s="36"/>
      <c r="F4028" s="36"/>
      <c r="G4028" s="36"/>
      <c r="H4028" s="36"/>
    </row>
    <row r="4029">
      <c r="A4029" s="36"/>
      <c r="B4029" s="36" t="str">
        <f>IFERROR(__xludf.DUMMYFUNCTION("""COMPUTED_VALUE"""),"LATITUD")</f>
        <v>LATITUD</v>
      </c>
      <c r="C4029" s="36" t="str">
        <f>IFERROR(__xludf.DUMMYFUNCTION("""COMPUTED_VALUE"""),"LONGITUD")</f>
        <v>LONGITUD</v>
      </c>
      <c r="D4029" s="36" t="str">
        <f>IFERROR(__xludf.DUMMYFUNCTION("""COMPUTED_VALUE"""),"ERROR DE ID")</f>
        <v>ERROR DE ID</v>
      </c>
      <c r="E4029" s="36"/>
      <c r="F4029" s="36"/>
      <c r="G4029" s="36"/>
      <c r="H4029" s="36"/>
    </row>
    <row r="4030">
      <c r="A4030" s="36"/>
      <c r="B4030" s="36" t="str">
        <f>IFERROR(__xludf.DUMMYFUNCTION("""COMPUTED_VALUE"""),"LATITUD")</f>
        <v>LATITUD</v>
      </c>
      <c r="C4030" s="36" t="str">
        <f>IFERROR(__xludf.DUMMYFUNCTION("""COMPUTED_VALUE"""),"LONGITUD")</f>
        <v>LONGITUD</v>
      </c>
      <c r="D4030" s="36" t="str">
        <f>IFERROR(__xludf.DUMMYFUNCTION("""COMPUTED_VALUE"""),"ERROR DE ID")</f>
        <v>ERROR DE ID</v>
      </c>
      <c r="E4030" s="36"/>
      <c r="F4030" s="36"/>
      <c r="G4030" s="36"/>
      <c r="H4030" s="36"/>
    </row>
    <row r="4031">
      <c r="A4031" s="36"/>
      <c r="B4031" s="36" t="str">
        <f>IFERROR(__xludf.DUMMYFUNCTION("""COMPUTED_VALUE"""),"LATITUD")</f>
        <v>LATITUD</v>
      </c>
      <c r="C4031" s="36" t="str">
        <f>IFERROR(__xludf.DUMMYFUNCTION("""COMPUTED_VALUE"""),"LONGITUD")</f>
        <v>LONGITUD</v>
      </c>
      <c r="D4031" s="36" t="str">
        <f>IFERROR(__xludf.DUMMYFUNCTION("""COMPUTED_VALUE"""),"ERROR DE ID")</f>
        <v>ERROR DE ID</v>
      </c>
      <c r="E4031" s="36"/>
      <c r="F4031" s="36"/>
      <c r="G4031" s="36"/>
      <c r="H4031" s="36"/>
    </row>
    <row r="4032">
      <c r="A4032" s="36"/>
      <c r="B4032" s="36" t="str">
        <f>IFERROR(__xludf.DUMMYFUNCTION("""COMPUTED_VALUE"""),"LATITUD")</f>
        <v>LATITUD</v>
      </c>
      <c r="C4032" s="36" t="str">
        <f>IFERROR(__xludf.DUMMYFUNCTION("""COMPUTED_VALUE"""),"LONGITUD")</f>
        <v>LONGITUD</v>
      </c>
      <c r="D4032" s="36" t="str">
        <f>IFERROR(__xludf.DUMMYFUNCTION("""COMPUTED_VALUE"""),"ERROR DE ID")</f>
        <v>ERROR DE ID</v>
      </c>
      <c r="E4032" s="36"/>
      <c r="F4032" s="36"/>
      <c r="G4032" s="36"/>
      <c r="H4032" s="36"/>
    </row>
    <row r="4033">
      <c r="A4033" s="36"/>
      <c r="B4033" s="36" t="str">
        <f>IFERROR(__xludf.DUMMYFUNCTION("""COMPUTED_VALUE"""),"LATITUD")</f>
        <v>LATITUD</v>
      </c>
      <c r="C4033" s="36" t="str">
        <f>IFERROR(__xludf.DUMMYFUNCTION("""COMPUTED_VALUE"""),"LONGITUD")</f>
        <v>LONGITUD</v>
      </c>
      <c r="D4033" s="36" t="str">
        <f>IFERROR(__xludf.DUMMYFUNCTION("""COMPUTED_VALUE"""),"ERROR DE ID")</f>
        <v>ERROR DE ID</v>
      </c>
      <c r="E4033" s="36"/>
      <c r="F4033" s="36"/>
      <c r="G4033" s="36"/>
      <c r="H4033" s="36"/>
    </row>
    <row r="4034">
      <c r="A4034" s="36"/>
      <c r="B4034" s="36" t="str">
        <f>IFERROR(__xludf.DUMMYFUNCTION("""COMPUTED_VALUE"""),"LATITUD")</f>
        <v>LATITUD</v>
      </c>
      <c r="C4034" s="36" t="str">
        <f>IFERROR(__xludf.DUMMYFUNCTION("""COMPUTED_VALUE"""),"LONGITUD")</f>
        <v>LONGITUD</v>
      </c>
      <c r="D4034" s="36" t="str">
        <f>IFERROR(__xludf.DUMMYFUNCTION("""COMPUTED_VALUE"""),"ERROR DE ID")</f>
        <v>ERROR DE ID</v>
      </c>
      <c r="E4034" s="36"/>
      <c r="F4034" s="36"/>
      <c r="G4034" s="36"/>
      <c r="H4034" s="36"/>
    </row>
    <row r="4035">
      <c r="A4035" s="36"/>
      <c r="B4035" s="36" t="str">
        <f>IFERROR(__xludf.DUMMYFUNCTION("""COMPUTED_VALUE"""),"LATITUD")</f>
        <v>LATITUD</v>
      </c>
      <c r="C4035" s="36" t="str">
        <f>IFERROR(__xludf.DUMMYFUNCTION("""COMPUTED_VALUE"""),"LONGITUD")</f>
        <v>LONGITUD</v>
      </c>
      <c r="D4035" s="36" t="str">
        <f>IFERROR(__xludf.DUMMYFUNCTION("""COMPUTED_VALUE"""),"ERROR DE ID")</f>
        <v>ERROR DE ID</v>
      </c>
      <c r="E4035" s="36"/>
      <c r="F4035" s="36"/>
      <c r="G4035" s="36"/>
      <c r="H4035" s="36"/>
    </row>
    <row r="4036">
      <c r="A4036" s="36"/>
      <c r="B4036" s="36" t="str">
        <f>IFERROR(__xludf.DUMMYFUNCTION("""COMPUTED_VALUE"""),"LATITUD")</f>
        <v>LATITUD</v>
      </c>
      <c r="C4036" s="36" t="str">
        <f>IFERROR(__xludf.DUMMYFUNCTION("""COMPUTED_VALUE"""),"LONGITUD")</f>
        <v>LONGITUD</v>
      </c>
      <c r="D4036" s="36" t="str">
        <f>IFERROR(__xludf.DUMMYFUNCTION("""COMPUTED_VALUE"""),"ERROR DE ID")</f>
        <v>ERROR DE ID</v>
      </c>
      <c r="E4036" s="36"/>
      <c r="F4036" s="36"/>
      <c r="G4036" s="36"/>
      <c r="H4036" s="36"/>
    </row>
    <row r="4037">
      <c r="A4037" s="36"/>
      <c r="B4037" s="36" t="str">
        <f>IFERROR(__xludf.DUMMYFUNCTION("""COMPUTED_VALUE"""),"LATITUD")</f>
        <v>LATITUD</v>
      </c>
      <c r="C4037" s="36" t="str">
        <f>IFERROR(__xludf.DUMMYFUNCTION("""COMPUTED_VALUE"""),"LONGITUD")</f>
        <v>LONGITUD</v>
      </c>
      <c r="D4037" s="36" t="str">
        <f>IFERROR(__xludf.DUMMYFUNCTION("""COMPUTED_VALUE"""),"ERROR DE ID")</f>
        <v>ERROR DE ID</v>
      </c>
      <c r="E4037" s="36"/>
      <c r="F4037" s="36"/>
      <c r="G4037" s="36"/>
      <c r="H4037" s="36"/>
    </row>
    <row r="4038">
      <c r="A4038" s="36"/>
      <c r="B4038" s="36" t="str">
        <f>IFERROR(__xludf.DUMMYFUNCTION("""COMPUTED_VALUE"""),"LATITUD")</f>
        <v>LATITUD</v>
      </c>
      <c r="C4038" s="36" t="str">
        <f>IFERROR(__xludf.DUMMYFUNCTION("""COMPUTED_VALUE"""),"LONGITUD")</f>
        <v>LONGITUD</v>
      </c>
      <c r="D4038" s="36" t="str">
        <f>IFERROR(__xludf.DUMMYFUNCTION("""COMPUTED_VALUE"""),"ERROR DE ID")</f>
        <v>ERROR DE ID</v>
      </c>
      <c r="E4038" s="36"/>
      <c r="F4038" s="36"/>
      <c r="G4038" s="36"/>
      <c r="H4038" s="36"/>
    </row>
    <row r="4039">
      <c r="A4039" s="36"/>
      <c r="B4039" s="36" t="str">
        <f>IFERROR(__xludf.DUMMYFUNCTION("""COMPUTED_VALUE"""),"LATITUD")</f>
        <v>LATITUD</v>
      </c>
      <c r="C4039" s="36" t="str">
        <f>IFERROR(__xludf.DUMMYFUNCTION("""COMPUTED_VALUE"""),"LONGITUD")</f>
        <v>LONGITUD</v>
      </c>
      <c r="D4039" s="36" t="str">
        <f>IFERROR(__xludf.DUMMYFUNCTION("""COMPUTED_VALUE"""),"ERROR DE ID")</f>
        <v>ERROR DE ID</v>
      </c>
      <c r="E4039" s="36"/>
      <c r="F4039" s="36"/>
      <c r="G4039" s="36"/>
      <c r="H4039" s="36"/>
    </row>
    <row r="4040">
      <c r="A4040" s="36"/>
      <c r="B4040" s="36" t="str">
        <f>IFERROR(__xludf.DUMMYFUNCTION("""COMPUTED_VALUE"""),"LATITUD")</f>
        <v>LATITUD</v>
      </c>
      <c r="C4040" s="36" t="str">
        <f>IFERROR(__xludf.DUMMYFUNCTION("""COMPUTED_VALUE"""),"LONGITUD")</f>
        <v>LONGITUD</v>
      </c>
      <c r="D4040" s="36" t="str">
        <f>IFERROR(__xludf.DUMMYFUNCTION("""COMPUTED_VALUE"""),"ERROR DE ID")</f>
        <v>ERROR DE ID</v>
      </c>
      <c r="E4040" s="36"/>
      <c r="F4040" s="36"/>
      <c r="G4040" s="36"/>
      <c r="H4040" s="36"/>
    </row>
    <row r="4041">
      <c r="A4041" s="36"/>
      <c r="B4041" s="36" t="str">
        <f>IFERROR(__xludf.DUMMYFUNCTION("""COMPUTED_VALUE"""),"LATITUD")</f>
        <v>LATITUD</v>
      </c>
      <c r="C4041" s="36" t="str">
        <f>IFERROR(__xludf.DUMMYFUNCTION("""COMPUTED_VALUE"""),"LONGITUD")</f>
        <v>LONGITUD</v>
      </c>
      <c r="D4041" s="36" t="str">
        <f>IFERROR(__xludf.DUMMYFUNCTION("""COMPUTED_VALUE"""),"ERROR DE ID")</f>
        <v>ERROR DE ID</v>
      </c>
      <c r="E4041" s="36"/>
      <c r="F4041" s="36"/>
      <c r="G4041" s="36"/>
      <c r="H4041" s="36"/>
    </row>
    <row r="4042">
      <c r="A4042" s="36"/>
      <c r="B4042" s="36" t="str">
        <f>IFERROR(__xludf.DUMMYFUNCTION("""COMPUTED_VALUE"""),"LATITUD")</f>
        <v>LATITUD</v>
      </c>
      <c r="C4042" s="36" t="str">
        <f>IFERROR(__xludf.DUMMYFUNCTION("""COMPUTED_VALUE"""),"LONGITUD")</f>
        <v>LONGITUD</v>
      </c>
      <c r="D4042" s="36" t="str">
        <f>IFERROR(__xludf.DUMMYFUNCTION("""COMPUTED_VALUE"""),"ERROR DE ID")</f>
        <v>ERROR DE ID</v>
      </c>
      <c r="E4042" s="36"/>
      <c r="F4042" s="36"/>
      <c r="G4042" s="36"/>
      <c r="H4042" s="36"/>
    </row>
    <row r="4043">
      <c r="A4043" s="36"/>
      <c r="B4043" s="36" t="str">
        <f>IFERROR(__xludf.DUMMYFUNCTION("""COMPUTED_VALUE"""),"LATITUD")</f>
        <v>LATITUD</v>
      </c>
      <c r="C4043" s="36" t="str">
        <f>IFERROR(__xludf.DUMMYFUNCTION("""COMPUTED_VALUE"""),"LONGITUD")</f>
        <v>LONGITUD</v>
      </c>
      <c r="D4043" s="36" t="str">
        <f>IFERROR(__xludf.DUMMYFUNCTION("""COMPUTED_VALUE"""),"ERROR DE ID")</f>
        <v>ERROR DE ID</v>
      </c>
      <c r="E4043" s="36"/>
      <c r="F4043" s="36"/>
      <c r="G4043" s="36"/>
      <c r="H4043" s="36"/>
    </row>
    <row r="4044">
      <c r="A4044" s="36"/>
      <c r="B4044" s="36" t="str">
        <f>IFERROR(__xludf.DUMMYFUNCTION("""COMPUTED_VALUE"""),"LATITUD")</f>
        <v>LATITUD</v>
      </c>
      <c r="C4044" s="36" t="str">
        <f>IFERROR(__xludf.DUMMYFUNCTION("""COMPUTED_VALUE"""),"LONGITUD")</f>
        <v>LONGITUD</v>
      </c>
      <c r="D4044" s="36" t="str">
        <f>IFERROR(__xludf.DUMMYFUNCTION("""COMPUTED_VALUE"""),"ERROR DE ID")</f>
        <v>ERROR DE ID</v>
      </c>
      <c r="E4044" s="36"/>
      <c r="F4044" s="36"/>
      <c r="G4044" s="36"/>
      <c r="H4044" s="36"/>
    </row>
    <row r="4045">
      <c r="A4045" s="36"/>
      <c r="B4045" s="36" t="str">
        <f>IFERROR(__xludf.DUMMYFUNCTION("""COMPUTED_VALUE"""),"LATITUD")</f>
        <v>LATITUD</v>
      </c>
      <c r="C4045" s="36" t="str">
        <f>IFERROR(__xludf.DUMMYFUNCTION("""COMPUTED_VALUE"""),"LONGITUD")</f>
        <v>LONGITUD</v>
      </c>
      <c r="D4045" s="36" t="str">
        <f>IFERROR(__xludf.DUMMYFUNCTION("""COMPUTED_VALUE"""),"ERROR DE ID")</f>
        <v>ERROR DE ID</v>
      </c>
      <c r="E4045" s="36"/>
      <c r="F4045" s="36"/>
      <c r="G4045" s="36"/>
      <c r="H4045" s="36"/>
    </row>
    <row r="4046">
      <c r="A4046" s="36"/>
      <c r="B4046" s="36" t="str">
        <f>IFERROR(__xludf.DUMMYFUNCTION("""COMPUTED_VALUE"""),"LATITUD")</f>
        <v>LATITUD</v>
      </c>
      <c r="C4046" s="36" t="str">
        <f>IFERROR(__xludf.DUMMYFUNCTION("""COMPUTED_VALUE"""),"LONGITUD")</f>
        <v>LONGITUD</v>
      </c>
      <c r="D4046" s="36" t="str">
        <f>IFERROR(__xludf.DUMMYFUNCTION("""COMPUTED_VALUE"""),"ERROR DE ID")</f>
        <v>ERROR DE ID</v>
      </c>
      <c r="E4046" s="36"/>
      <c r="F4046" s="36"/>
      <c r="G4046" s="36"/>
      <c r="H4046" s="36"/>
    </row>
    <row r="4047">
      <c r="A4047" s="36"/>
      <c r="B4047" s="36" t="str">
        <f>IFERROR(__xludf.DUMMYFUNCTION("""COMPUTED_VALUE"""),"LATITUD")</f>
        <v>LATITUD</v>
      </c>
      <c r="C4047" s="36" t="str">
        <f>IFERROR(__xludf.DUMMYFUNCTION("""COMPUTED_VALUE"""),"LONGITUD")</f>
        <v>LONGITUD</v>
      </c>
      <c r="D4047" s="36" t="str">
        <f>IFERROR(__xludf.DUMMYFUNCTION("""COMPUTED_VALUE"""),"ERROR DE ID")</f>
        <v>ERROR DE ID</v>
      </c>
      <c r="E4047" s="36"/>
      <c r="F4047" s="36"/>
      <c r="G4047" s="36"/>
      <c r="H4047" s="36"/>
    </row>
    <row r="4048">
      <c r="A4048" s="36"/>
      <c r="B4048" s="36" t="str">
        <f>IFERROR(__xludf.DUMMYFUNCTION("""COMPUTED_VALUE"""),"LATITUD")</f>
        <v>LATITUD</v>
      </c>
      <c r="C4048" s="36" t="str">
        <f>IFERROR(__xludf.DUMMYFUNCTION("""COMPUTED_VALUE"""),"LONGITUD")</f>
        <v>LONGITUD</v>
      </c>
      <c r="D4048" s="36" t="str">
        <f>IFERROR(__xludf.DUMMYFUNCTION("""COMPUTED_VALUE"""),"ERROR DE ID")</f>
        <v>ERROR DE ID</v>
      </c>
      <c r="E4048" s="36"/>
      <c r="F4048" s="36"/>
      <c r="G4048" s="36"/>
      <c r="H4048" s="36"/>
    </row>
    <row r="4049">
      <c r="A4049" s="36"/>
      <c r="B4049" s="36" t="str">
        <f>IFERROR(__xludf.DUMMYFUNCTION("""COMPUTED_VALUE"""),"LATITUD")</f>
        <v>LATITUD</v>
      </c>
      <c r="C4049" s="36" t="str">
        <f>IFERROR(__xludf.DUMMYFUNCTION("""COMPUTED_VALUE"""),"LONGITUD")</f>
        <v>LONGITUD</v>
      </c>
      <c r="D4049" s="36" t="str">
        <f>IFERROR(__xludf.DUMMYFUNCTION("""COMPUTED_VALUE"""),"ERROR DE ID")</f>
        <v>ERROR DE ID</v>
      </c>
      <c r="E4049" s="36"/>
      <c r="F4049" s="36"/>
      <c r="G4049" s="36"/>
      <c r="H4049" s="36"/>
    </row>
    <row r="4050">
      <c r="A4050" s="36"/>
      <c r="B4050" s="36" t="str">
        <f>IFERROR(__xludf.DUMMYFUNCTION("""COMPUTED_VALUE"""),"LATITUD")</f>
        <v>LATITUD</v>
      </c>
      <c r="C4050" s="36" t="str">
        <f>IFERROR(__xludf.DUMMYFUNCTION("""COMPUTED_VALUE"""),"LONGITUD")</f>
        <v>LONGITUD</v>
      </c>
      <c r="D4050" s="36" t="str">
        <f>IFERROR(__xludf.DUMMYFUNCTION("""COMPUTED_VALUE"""),"ERROR DE ID")</f>
        <v>ERROR DE ID</v>
      </c>
      <c r="E4050" s="36"/>
      <c r="F4050" s="36"/>
      <c r="G4050" s="36"/>
      <c r="H4050" s="36"/>
    </row>
    <row r="4051">
      <c r="A4051" s="36"/>
      <c r="B4051" s="36" t="str">
        <f>IFERROR(__xludf.DUMMYFUNCTION("""COMPUTED_VALUE"""),"LATITUD")</f>
        <v>LATITUD</v>
      </c>
      <c r="C4051" s="36" t="str">
        <f>IFERROR(__xludf.DUMMYFUNCTION("""COMPUTED_VALUE"""),"LONGITUD")</f>
        <v>LONGITUD</v>
      </c>
      <c r="D4051" s="36" t="str">
        <f>IFERROR(__xludf.DUMMYFUNCTION("""COMPUTED_VALUE"""),"ERROR DE ID")</f>
        <v>ERROR DE ID</v>
      </c>
      <c r="E4051" s="36"/>
      <c r="F4051" s="36"/>
      <c r="G4051" s="36"/>
      <c r="H4051" s="36"/>
    </row>
    <row r="4052">
      <c r="A4052" s="36"/>
      <c r="B4052" s="36" t="str">
        <f>IFERROR(__xludf.DUMMYFUNCTION("""COMPUTED_VALUE"""),"LATITUD")</f>
        <v>LATITUD</v>
      </c>
      <c r="C4052" s="36" t="str">
        <f>IFERROR(__xludf.DUMMYFUNCTION("""COMPUTED_VALUE"""),"LONGITUD")</f>
        <v>LONGITUD</v>
      </c>
      <c r="D4052" s="36" t="str">
        <f>IFERROR(__xludf.DUMMYFUNCTION("""COMPUTED_VALUE"""),"ERROR DE ID")</f>
        <v>ERROR DE ID</v>
      </c>
      <c r="E4052" s="36"/>
      <c r="F4052" s="36"/>
      <c r="G4052" s="36"/>
      <c r="H4052" s="36"/>
    </row>
    <row r="4053">
      <c r="A4053" s="36"/>
      <c r="B4053" s="36" t="str">
        <f>IFERROR(__xludf.DUMMYFUNCTION("""COMPUTED_VALUE"""),"LATITUD")</f>
        <v>LATITUD</v>
      </c>
      <c r="C4053" s="36" t="str">
        <f>IFERROR(__xludf.DUMMYFUNCTION("""COMPUTED_VALUE"""),"LONGITUD")</f>
        <v>LONGITUD</v>
      </c>
      <c r="D4053" s="36" t="str">
        <f>IFERROR(__xludf.DUMMYFUNCTION("""COMPUTED_VALUE"""),"ERROR DE ID")</f>
        <v>ERROR DE ID</v>
      </c>
      <c r="E4053" s="36"/>
      <c r="F4053" s="36"/>
      <c r="G4053" s="36"/>
      <c r="H4053" s="36"/>
    </row>
    <row r="4054">
      <c r="A4054" s="36"/>
      <c r="B4054" s="36" t="str">
        <f>IFERROR(__xludf.DUMMYFUNCTION("""COMPUTED_VALUE"""),"LATITUD")</f>
        <v>LATITUD</v>
      </c>
      <c r="C4054" s="36" t="str">
        <f>IFERROR(__xludf.DUMMYFUNCTION("""COMPUTED_VALUE"""),"LONGITUD")</f>
        <v>LONGITUD</v>
      </c>
      <c r="D4054" s="36" t="str">
        <f>IFERROR(__xludf.DUMMYFUNCTION("""COMPUTED_VALUE"""),"ERROR DE ID")</f>
        <v>ERROR DE ID</v>
      </c>
      <c r="E4054" s="36"/>
      <c r="F4054" s="36"/>
      <c r="G4054" s="36"/>
      <c r="H4054" s="36"/>
    </row>
    <row r="4055">
      <c r="A4055" s="36"/>
      <c r="B4055" s="36" t="str">
        <f>IFERROR(__xludf.DUMMYFUNCTION("""COMPUTED_VALUE"""),"LATITUD")</f>
        <v>LATITUD</v>
      </c>
      <c r="C4055" s="36" t="str">
        <f>IFERROR(__xludf.DUMMYFUNCTION("""COMPUTED_VALUE"""),"LONGITUD")</f>
        <v>LONGITUD</v>
      </c>
      <c r="D4055" s="36" t="str">
        <f>IFERROR(__xludf.DUMMYFUNCTION("""COMPUTED_VALUE"""),"ERROR DE ID")</f>
        <v>ERROR DE ID</v>
      </c>
      <c r="E4055" s="36"/>
      <c r="F4055" s="36"/>
      <c r="G4055" s="36"/>
      <c r="H4055" s="36"/>
    </row>
    <row r="4056">
      <c r="A4056" s="36"/>
      <c r="B4056" s="36" t="str">
        <f>IFERROR(__xludf.DUMMYFUNCTION("""COMPUTED_VALUE"""),"LATITUD")</f>
        <v>LATITUD</v>
      </c>
      <c r="C4056" s="36" t="str">
        <f>IFERROR(__xludf.DUMMYFUNCTION("""COMPUTED_VALUE"""),"LONGITUD")</f>
        <v>LONGITUD</v>
      </c>
      <c r="D4056" s="36" t="str">
        <f>IFERROR(__xludf.DUMMYFUNCTION("""COMPUTED_VALUE"""),"ERROR DE ID")</f>
        <v>ERROR DE ID</v>
      </c>
      <c r="E4056" s="36"/>
      <c r="F4056" s="36"/>
      <c r="G4056" s="36"/>
      <c r="H4056" s="36"/>
    </row>
    <row r="4057">
      <c r="A4057" s="36"/>
      <c r="B4057" s="36" t="str">
        <f>IFERROR(__xludf.DUMMYFUNCTION("""COMPUTED_VALUE"""),"LATITUD")</f>
        <v>LATITUD</v>
      </c>
      <c r="C4057" s="36" t="str">
        <f>IFERROR(__xludf.DUMMYFUNCTION("""COMPUTED_VALUE"""),"LONGITUD")</f>
        <v>LONGITUD</v>
      </c>
      <c r="D4057" s="36" t="str">
        <f>IFERROR(__xludf.DUMMYFUNCTION("""COMPUTED_VALUE"""),"ERROR DE ID")</f>
        <v>ERROR DE ID</v>
      </c>
      <c r="E4057" s="36"/>
      <c r="F4057" s="36"/>
      <c r="G4057" s="36"/>
      <c r="H4057" s="36"/>
    </row>
    <row r="4058">
      <c r="A4058" s="36"/>
      <c r="B4058" s="36" t="str">
        <f>IFERROR(__xludf.DUMMYFUNCTION("""COMPUTED_VALUE"""),"LATITUD")</f>
        <v>LATITUD</v>
      </c>
      <c r="C4058" s="36" t="str">
        <f>IFERROR(__xludf.DUMMYFUNCTION("""COMPUTED_VALUE"""),"LONGITUD")</f>
        <v>LONGITUD</v>
      </c>
      <c r="D4058" s="36" t="str">
        <f>IFERROR(__xludf.DUMMYFUNCTION("""COMPUTED_VALUE"""),"ERROR DE ID")</f>
        <v>ERROR DE ID</v>
      </c>
      <c r="E4058" s="36"/>
      <c r="F4058" s="36"/>
      <c r="G4058" s="36"/>
      <c r="H4058" s="36"/>
    </row>
    <row r="4059">
      <c r="A4059" s="36"/>
      <c r="B4059" s="36" t="str">
        <f>IFERROR(__xludf.DUMMYFUNCTION("""COMPUTED_VALUE"""),"LATITUD")</f>
        <v>LATITUD</v>
      </c>
      <c r="C4059" s="36" t="str">
        <f>IFERROR(__xludf.DUMMYFUNCTION("""COMPUTED_VALUE"""),"LONGITUD")</f>
        <v>LONGITUD</v>
      </c>
      <c r="D4059" s="36" t="str">
        <f>IFERROR(__xludf.DUMMYFUNCTION("""COMPUTED_VALUE"""),"ERROR DE ID")</f>
        <v>ERROR DE ID</v>
      </c>
      <c r="E4059" s="36"/>
      <c r="F4059" s="36"/>
      <c r="G4059" s="36"/>
      <c r="H4059" s="36"/>
    </row>
    <row r="4060">
      <c r="A4060" s="36"/>
      <c r="B4060" s="36" t="str">
        <f>IFERROR(__xludf.DUMMYFUNCTION("""COMPUTED_VALUE"""),"LATITUD")</f>
        <v>LATITUD</v>
      </c>
      <c r="C4060" s="36" t="str">
        <f>IFERROR(__xludf.DUMMYFUNCTION("""COMPUTED_VALUE"""),"LONGITUD")</f>
        <v>LONGITUD</v>
      </c>
      <c r="D4060" s="36" t="str">
        <f>IFERROR(__xludf.DUMMYFUNCTION("""COMPUTED_VALUE"""),"ERROR DE ID")</f>
        <v>ERROR DE ID</v>
      </c>
      <c r="E4060" s="36"/>
      <c r="F4060" s="36"/>
      <c r="G4060" s="36"/>
      <c r="H4060" s="36"/>
    </row>
    <row r="4061">
      <c r="A4061" s="36"/>
      <c r="B4061" s="36" t="str">
        <f>IFERROR(__xludf.DUMMYFUNCTION("""COMPUTED_VALUE"""),"LATITUD")</f>
        <v>LATITUD</v>
      </c>
      <c r="C4061" s="36" t="str">
        <f>IFERROR(__xludf.DUMMYFUNCTION("""COMPUTED_VALUE"""),"LONGITUD")</f>
        <v>LONGITUD</v>
      </c>
      <c r="D4061" s="36" t="str">
        <f>IFERROR(__xludf.DUMMYFUNCTION("""COMPUTED_VALUE"""),"ERROR DE ID")</f>
        <v>ERROR DE ID</v>
      </c>
      <c r="E4061" s="36"/>
      <c r="F4061" s="36"/>
      <c r="G4061" s="36"/>
      <c r="H4061" s="36"/>
    </row>
    <row r="4062">
      <c r="A4062" s="36"/>
      <c r="B4062" s="36" t="str">
        <f>IFERROR(__xludf.DUMMYFUNCTION("""COMPUTED_VALUE"""),"LATITUD")</f>
        <v>LATITUD</v>
      </c>
      <c r="C4062" s="36" t="str">
        <f>IFERROR(__xludf.DUMMYFUNCTION("""COMPUTED_VALUE"""),"LONGITUD")</f>
        <v>LONGITUD</v>
      </c>
      <c r="D4062" s="36" t="str">
        <f>IFERROR(__xludf.DUMMYFUNCTION("""COMPUTED_VALUE"""),"ERROR DE ID")</f>
        <v>ERROR DE ID</v>
      </c>
      <c r="E4062" s="36"/>
      <c r="F4062" s="36"/>
      <c r="G4062" s="36"/>
      <c r="H4062" s="36"/>
    </row>
    <row r="4063">
      <c r="A4063" s="36"/>
      <c r="B4063" s="36" t="str">
        <f>IFERROR(__xludf.DUMMYFUNCTION("""COMPUTED_VALUE"""),"LATITUD")</f>
        <v>LATITUD</v>
      </c>
      <c r="C4063" s="36" t="str">
        <f>IFERROR(__xludf.DUMMYFUNCTION("""COMPUTED_VALUE"""),"LONGITUD")</f>
        <v>LONGITUD</v>
      </c>
      <c r="D4063" s="36" t="str">
        <f>IFERROR(__xludf.DUMMYFUNCTION("""COMPUTED_VALUE"""),"ERROR DE ID")</f>
        <v>ERROR DE ID</v>
      </c>
      <c r="E4063" s="36"/>
      <c r="F4063" s="36"/>
      <c r="G4063" s="36"/>
      <c r="H4063" s="36"/>
    </row>
    <row r="4064">
      <c r="A4064" s="36"/>
      <c r="B4064" s="36" t="str">
        <f>IFERROR(__xludf.DUMMYFUNCTION("""COMPUTED_VALUE"""),"LATITUD")</f>
        <v>LATITUD</v>
      </c>
      <c r="C4064" s="36" t="str">
        <f>IFERROR(__xludf.DUMMYFUNCTION("""COMPUTED_VALUE"""),"LONGITUD")</f>
        <v>LONGITUD</v>
      </c>
      <c r="D4064" s="36" t="str">
        <f>IFERROR(__xludf.DUMMYFUNCTION("""COMPUTED_VALUE"""),"ERROR DE ID")</f>
        <v>ERROR DE ID</v>
      </c>
      <c r="E4064" s="36"/>
      <c r="F4064" s="36"/>
      <c r="G4064" s="36"/>
      <c r="H4064" s="36"/>
    </row>
    <row r="4065">
      <c r="A4065" s="36"/>
      <c r="B4065" s="36" t="str">
        <f>IFERROR(__xludf.DUMMYFUNCTION("""COMPUTED_VALUE"""),"LATITUD")</f>
        <v>LATITUD</v>
      </c>
      <c r="C4065" s="36" t="str">
        <f>IFERROR(__xludf.DUMMYFUNCTION("""COMPUTED_VALUE"""),"LONGITUD")</f>
        <v>LONGITUD</v>
      </c>
      <c r="D4065" s="36" t="str">
        <f>IFERROR(__xludf.DUMMYFUNCTION("""COMPUTED_VALUE"""),"ERROR DE ID")</f>
        <v>ERROR DE ID</v>
      </c>
      <c r="E4065" s="36"/>
      <c r="F4065" s="36"/>
      <c r="G4065" s="36"/>
      <c r="H4065" s="36"/>
    </row>
    <row r="4066">
      <c r="A4066" s="36"/>
      <c r="B4066" s="36" t="str">
        <f>IFERROR(__xludf.DUMMYFUNCTION("""COMPUTED_VALUE"""),"LATITUD")</f>
        <v>LATITUD</v>
      </c>
      <c r="C4066" s="36" t="str">
        <f>IFERROR(__xludf.DUMMYFUNCTION("""COMPUTED_VALUE"""),"LONGITUD")</f>
        <v>LONGITUD</v>
      </c>
      <c r="D4066" s="36" t="str">
        <f>IFERROR(__xludf.DUMMYFUNCTION("""COMPUTED_VALUE"""),"ERROR DE ID")</f>
        <v>ERROR DE ID</v>
      </c>
      <c r="E4066" s="36"/>
      <c r="F4066" s="36"/>
      <c r="G4066" s="36"/>
      <c r="H4066" s="36"/>
    </row>
    <row r="4067">
      <c r="A4067" s="36"/>
      <c r="B4067" s="36" t="str">
        <f>IFERROR(__xludf.DUMMYFUNCTION("""COMPUTED_VALUE"""),"LATITUD")</f>
        <v>LATITUD</v>
      </c>
      <c r="C4067" s="36" t="str">
        <f>IFERROR(__xludf.DUMMYFUNCTION("""COMPUTED_VALUE"""),"LONGITUD")</f>
        <v>LONGITUD</v>
      </c>
      <c r="D4067" s="36" t="str">
        <f>IFERROR(__xludf.DUMMYFUNCTION("""COMPUTED_VALUE"""),"ERROR DE ID")</f>
        <v>ERROR DE ID</v>
      </c>
      <c r="E4067" s="36"/>
      <c r="F4067" s="36"/>
      <c r="G4067" s="36"/>
      <c r="H4067" s="36"/>
    </row>
    <row r="4068">
      <c r="A4068" s="36"/>
      <c r="B4068" s="36" t="str">
        <f>IFERROR(__xludf.DUMMYFUNCTION("""COMPUTED_VALUE"""),"LATITUD")</f>
        <v>LATITUD</v>
      </c>
      <c r="C4068" s="36" t="str">
        <f>IFERROR(__xludf.DUMMYFUNCTION("""COMPUTED_VALUE"""),"LONGITUD")</f>
        <v>LONGITUD</v>
      </c>
      <c r="D4068" s="36" t="str">
        <f>IFERROR(__xludf.DUMMYFUNCTION("""COMPUTED_VALUE"""),"ERROR DE ID")</f>
        <v>ERROR DE ID</v>
      </c>
      <c r="E4068" s="36"/>
      <c r="F4068" s="36"/>
      <c r="G4068" s="36"/>
      <c r="H4068" s="36"/>
    </row>
    <row r="4069">
      <c r="A4069" s="36"/>
      <c r="B4069" s="36" t="str">
        <f>IFERROR(__xludf.DUMMYFUNCTION("""COMPUTED_VALUE"""),"LATITUD")</f>
        <v>LATITUD</v>
      </c>
      <c r="C4069" s="36" t="str">
        <f>IFERROR(__xludf.DUMMYFUNCTION("""COMPUTED_VALUE"""),"LONGITUD")</f>
        <v>LONGITUD</v>
      </c>
      <c r="D4069" s="36" t="str">
        <f>IFERROR(__xludf.DUMMYFUNCTION("""COMPUTED_VALUE"""),"ERROR DE ID")</f>
        <v>ERROR DE ID</v>
      </c>
      <c r="E4069" s="36"/>
      <c r="F4069" s="36"/>
      <c r="G4069" s="36"/>
      <c r="H4069" s="36"/>
    </row>
    <row r="4070">
      <c r="A4070" s="36"/>
      <c r="B4070" s="36" t="str">
        <f>IFERROR(__xludf.DUMMYFUNCTION("""COMPUTED_VALUE"""),"LATITUD")</f>
        <v>LATITUD</v>
      </c>
      <c r="C4070" s="36" t="str">
        <f>IFERROR(__xludf.DUMMYFUNCTION("""COMPUTED_VALUE"""),"LONGITUD")</f>
        <v>LONGITUD</v>
      </c>
      <c r="D4070" s="36" t="str">
        <f>IFERROR(__xludf.DUMMYFUNCTION("""COMPUTED_VALUE"""),"ERROR DE ID")</f>
        <v>ERROR DE ID</v>
      </c>
      <c r="E4070" s="36"/>
      <c r="F4070" s="36"/>
      <c r="G4070" s="36"/>
      <c r="H4070" s="36"/>
    </row>
    <row r="4071">
      <c r="A4071" s="36"/>
      <c r="B4071" s="36" t="str">
        <f>IFERROR(__xludf.DUMMYFUNCTION("""COMPUTED_VALUE"""),"LATITUD")</f>
        <v>LATITUD</v>
      </c>
      <c r="C4071" s="36" t="str">
        <f>IFERROR(__xludf.DUMMYFUNCTION("""COMPUTED_VALUE"""),"LONGITUD")</f>
        <v>LONGITUD</v>
      </c>
      <c r="D4071" s="36" t="str">
        <f>IFERROR(__xludf.DUMMYFUNCTION("""COMPUTED_VALUE"""),"ERROR DE ID")</f>
        <v>ERROR DE ID</v>
      </c>
      <c r="E4071" s="36"/>
      <c r="F4071" s="36"/>
      <c r="G4071" s="36"/>
      <c r="H4071" s="36"/>
    </row>
    <row r="4072">
      <c r="A4072" s="36"/>
      <c r="B4072" s="36" t="str">
        <f>IFERROR(__xludf.DUMMYFUNCTION("""COMPUTED_VALUE"""),"LATITUD")</f>
        <v>LATITUD</v>
      </c>
      <c r="C4072" s="36" t="str">
        <f>IFERROR(__xludf.DUMMYFUNCTION("""COMPUTED_VALUE"""),"LONGITUD")</f>
        <v>LONGITUD</v>
      </c>
      <c r="D4072" s="36" t="str">
        <f>IFERROR(__xludf.DUMMYFUNCTION("""COMPUTED_VALUE"""),"ERROR DE ID")</f>
        <v>ERROR DE ID</v>
      </c>
      <c r="E4072" s="36"/>
      <c r="F4072" s="36"/>
      <c r="G4072" s="36"/>
      <c r="H4072" s="36"/>
    </row>
    <row r="4073">
      <c r="A4073" s="36"/>
      <c r="B4073" s="36" t="str">
        <f>IFERROR(__xludf.DUMMYFUNCTION("""COMPUTED_VALUE"""),"LATITUD")</f>
        <v>LATITUD</v>
      </c>
      <c r="C4073" s="36" t="str">
        <f>IFERROR(__xludf.DUMMYFUNCTION("""COMPUTED_VALUE"""),"LONGITUD")</f>
        <v>LONGITUD</v>
      </c>
      <c r="D4073" s="36" t="str">
        <f>IFERROR(__xludf.DUMMYFUNCTION("""COMPUTED_VALUE"""),"ERROR DE ID")</f>
        <v>ERROR DE ID</v>
      </c>
      <c r="E4073" s="36"/>
      <c r="F4073" s="36"/>
      <c r="G4073" s="36"/>
      <c r="H4073" s="36"/>
    </row>
    <row r="4074">
      <c r="A4074" s="36"/>
      <c r="B4074" s="36" t="str">
        <f>IFERROR(__xludf.DUMMYFUNCTION("""COMPUTED_VALUE"""),"LATITUD")</f>
        <v>LATITUD</v>
      </c>
      <c r="C4074" s="36" t="str">
        <f>IFERROR(__xludf.DUMMYFUNCTION("""COMPUTED_VALUE"""),"LONGITUD")</f>
        <v>LONGITUD</v>
      </c>
      <c r="D4074" s="36" t="str">
        <f>IFERROR(__xludf.DUMMYFUNCTION("""COMPUTED_VALUE"""),"ERROR DE ID")</f>
        <v>ERROR DE ID</v>
      </c>
      <c r="E4074" s="36"/>
      <c r="F4074" s="36"/>
      <c r="G4074" s="36"/>
      <c r="H4074" s="36"/>
    </row>
    <row r="4075">
      <c r="A4075" s="36"/>
      <c r="B4075" s="36" t="str">
        <f>IFERROR(__xludf.DUMMYFUNCTION("""COMPUTED_VALUE"""),"LATITUD")</f>
        <v>LATITUD</v>
      </c>
      <c r="C4075" s="36" t="str">
        <f>IFERROR(__xludf.DUMMYFUNCTION("""COMPUTED_VALUE"""),"LONGITUD")</f>
        <v>LONGITUD</v>
      </c>
      <c r="D4075" s="36" t="str">
        <f>IFERROR(__xludf.DUMMYFUNCTION("""COMPUTED_VALUE"""),"ERROR DE ID")</f>
        <v>ERROR DE ID</v>
      </c>
      <c r="E4075" s="36"/>
      <c r="F4075" s="36"/>
      <c r="G4075" s="36"/>
      <c r="H4075" s="36"/>
    </row>
    <row r="4076">
      <c r="A4076" s="36"/>
      <c r="B4076" s="36" t="str">
        <f>IFERROR(__xludf.DUMMYFUNCTION("""COMPUTED_VALUE"""),"LATITUD")</f>
        <v>LATITUD</v>
      </c>
      <c r="C4076" s="36" t="str">
        <f>IFERROR(__xludf.DUMMYFUNCTION("""COMPUTED_VALUE"""),"LONGITUD")</f>
        <v>LONGITUD</v>
      </c>
      <c r="D4076" s="36" t="str">
        <f>IFERROR(__xludf.DUMMYFUNCTION("""COMPUTED_VALUE"""),"ERROR DE ID")</f>
        <v>ERROR DE ID</v>
      </c>
      <c r="E4076" s="36"/>
      <c r="F4076" s="36"/>
      <c r="G4076" s="36"/>
      <c r="H4076" s="36"/>
    </row>
    <row r="4077">
      <c r="A4077" s="36"/>
      <c r="B4077" s="36" t="str">
        <f>IFERROR(__xludf.DUMMYFUNCTION("""COMPUTED_VALUE"""),"LATITUD")</f>
        <v>LATITUD</v>
      </c>
      <c r="C4077" s="36" t="str">
        <f>IFERROR(__xludf.DUMMYFUNCTION("""COMPUTED_VALUE"""),"LONGITUD")</f>
        <v>LONGITUD</v>
      </c>
      <c r="D4077" s="36" t="str">
        <f>IFERROR(__xludf.DUMMYFUNCTION("""COMPUTED_VALUE"""),"ERROR DE ID")</f>
        <v>ERROR DE ID</v>
      </c>
      <c r="E4077" s="36"/>
      <c r="F4077" s="36"/>
      <c r="G4077" s="36"/>
      <c r="H4077" s="36"/>
    </row>
    <row r="4078">
      <c r="A4078" s="36"/>
      <c r="B4078" s="36" t="str">
        <f>IFERROR(__xludf.DUMMYFUNCTION("""COMPUTED_VALUE"""),"LATITUD")</f>
        <v>LATITUD</v>
      </c>
      <c r="C4078" s="36" t="str">
        <f>IFERROR(__xludf.DUMMYFUNCTION("""COMPUTED_VALUE"""),"LONGITUD")</f>
        <v>LONGITUD</v>
      </c>
      <c r="D4078" s="36" t="str">
        <f>IFERROR(__xludf.DUMMYFUNCTION("""COMPUTED_VALUE"""),"ERROR DE ID")</f>
        <v>ERROR DE ID</v>
      </c>
      <c r="E4078" s="36"/>
      <c r="F4078" s="36"/>
      <c r="G4078" s="36"/>
      <c r="H4078" s="36"/>
    </row>
    <row r="4079">
      <c r="A4079" s="36"/>
      <c r="B4079" s="36" t="str">
        <f>IFERROR(__xludf.DUMMYFUNCTION("""COMPUTED_VALUE"""),"LATITUD")</f>
        <v>LATITUD</v>
      </c>
      <c r="C4079" s="36" t="str">
        <f>IFERROR(__xludf.DUMMYFUNCTION("""COMPUTED_VALUE"""),"LONGITUD")</f>
        <v>LONGITUD</v>
      </c>
      <c r="D4079" s="36" t="str">
        <f>IFERROR(__xludf.DUMMYFUNCTION("""COMPUTED_VALUE"""),"ERROR DE ID")</f>
        <v>ERROR DE ID</v>
      </c>
      <c r="E4079" s="36"/>
      <c r="F4079" s="36"/>
      <c r="G4079" s="36"/>
      <c r="H4079" s="36"/>
    </row>
    <row r="4080">
      <c r="A4080" s="36"/>
      <c r="B4080" s="36" t="str">
        <f>IFERROR(__xludf.DUMMYFUNCTION("""COMPUTED_VALUE"""),"LATITUD")</f>
        <v>LATITUD</v>
      </c>
      <c r="C4080" s="36" t="str">
        <f>IFERROR(__xludf.DUMMYFUNCTION("""COMPUTED_VALUE"""),"LONGITUD")</f>
        <v>LONGITUD</v>
      </c>
      <c r="D4080" s="36" t="str">
        <f>IFERROR(__xludf.DUMMYFUNCTION("""COMPUTED_VALUE"""),"ERROR DE ID")</f>
        <v>ERROR DE ID</v>
      </c>
      <c r="E4080" s="36"/>
      <c r="F4080" s="36"/>
      <c r="G4080" s="36"/>
      <c r="H4080" s="36"/>
    </row>
    <row r="4081">
      <c r="A4081" s="36"/>
      <c r="B4081" s="36" t="str">
        <f>IFERROR(__xludf.DUMMYFUNCTION("""COMPUTED_VALUE"""),"LATITUD")</f>
        <v>LATITUD</v>
      </c>
      <c r="C4081" s="36" t="str">
        <f>IFERROR(__xludf.DUMMYFUNCTION("""COMPUTED_VALUE"""),"LONGITUD")</f>
        <v>LONGITUD</v>
      </c>
      <c r="D4081" s="36" t="str">
        <f>IFERROR(__xludf.DUMMYFUNCTION("""COMPUTED_VALUE"""),"ERROR DE ID")</f>
        <v>ERROR DE ID</v>
      </c>
      <c r="E4081" s="36"/>
      <c r="F4081" s="36"/>
      <c r="G4081" s="36"/>
      <c r="H4081" s="36"/>
    </row>
    <row r="4082">
      <c r="A4082" s="36"/>
      <c r="B4082" s="36" t="str">
        <f>IFERROR(__xludf.DUMMYFUNCTION("""COMPUTED_VALUE"""),"LATITUD")</f>
        <v>LATITUD</v>
      </c>
      <c r="C4082" s="36" t="str">
        <f>IFERROR(__xludf.DUMMYFUNCTION("""COMPUTED_VALUE"""),"LONGITUD")</f>
        <v>LONGITUD</v>
      </c>
      <c r="D4082" s="36" t="str">
        <f>IFERROR(__xludf.DUMMYFUNCTION("""COMPUTED_VALUE"""),"ERROR DE ID")</f>
        <v>ERROR DE ID</v>
      </c>
      <c r="E4082" s="36"/>
      <c r="F4082" s="36"/>
      <c r="G4082" s="36"/>
      <c r="H4082" s="36"/>
    </row>
    <row r="4083">
      <c r="A4083" s="36"/>
      <c r="B4083" s="36" t="str">
        <f>IFERROR(__xludf.DUMMYFUNCTION("""COMPUTED_VALUE"""),"LATITUD")</f>
        <v>LATITUD</v>
      </c>
      <c r="C4083" s="36" t="str">
        <f>IFERROR(__xludf.DUMMYFUNCTION("""COMPUTED_VALUE"""),"LONGITUD")</f>
        <v>LONGITUD</v>
      </c>
      <c r="D4083" s="36" t="str">
        <f>IFERROR(__xludf.DUMMYFUNCTION("""COMPUTED_VALUE"""),"ERROR DE ID")</f>
        <v>ERROR DE ID</v>
      </c>
      <c r="E4083" s="36"/>
      <c r="F4083" s="36"/>
      <c r="G4083" s="36"/>
      <c r="H4083" s="36"/>
    </row>
    <row r="4084">
      <c r="A4084" s="36"/>
      <c r="B4084" s="36" t="str">
        <f>IFERROR(__xludf.DUMMYFUNCTION("""COMPUTED_VALUE"""),"LATITUD")</f>
        <v>LATITUD</v>
      </c>
      <c r="C4084" s="36" t="str">
        <f>IFERROR(__xludf.DUMMYFUNCTION("""COMPUTED_VALUE"""),"LONGITUD")</f>
        <v>LONGITUD</v>
      </c>
      <c r="D4084" s="36" t="str">
        <f>IFERROR(__xludf.DUMMYFUNCTION("""COMPUTED_VALUE"""),"ERROR DE ID")</f>
        <v>ERROR DE ID</v>
      </c>
      <c r="E4084" s="36"/>
      <c r="F4084" s="36"/>
      <c r="G4084" s="36"/>
      <c r="H4084" s="36"/>
    </row>
    <row r="4085">
      <c r="A4085" s="36"/>
      <c r="B4085" s="36" t="str">
        <f>IFERROR(__xludf.DUMMYFUNCTION("""COMPUTED_VALUE"""),"LATITUD")</f>
        <v>LATITUD</v>
      </c>
      <c r="C4085" s="36" t="str">
        <f>IFERROR(__xludf.DUMMYFUNCTION("""COMPUTED_VALUE"""),"LONGITUD")</f>
        <v>LONGITUD</v>
      </c>
      <c r="D4085" s="36" t="str">
        <f>IFERROR(__xludf.DUMMYFUNCTION("""COMPUTED_VALUE"""),"ERROR DE ID")</f>
        <v>ERROR DE ID</v>
      </c>
      <c r="E4085" s="36"/>
      <c r="F4085" s="36"/>
      <c r="G4085" s="36"/>
      <c r="H4085" s="36"/>
    </row>
    <row r="4086">
      <c r="A4086" s="36"/>
      <c r="B4086" s="36" t="str">
        <f>IFERROR(__xludf.DUMMYFUNCTION("""COMPUTED_VALUE"""),"LATITUD")</f>
        <v>LATITUD</v>
      </c>
      <c r="C4086" s="36" t="str">
        <f>IFERROR(__xludf.DUMMYFUNCTION("""COMPUTED_VALUE"""),"LONGITUD")</f>
        <v>LONGITUD</v>
      </c>
      <c r="D4086" s="36" t="str">
        <f>IFERROR(__xludf.DUMMYFUNCTION("""COMPUTED_VALUE"""),"ERROR DE ID")</f>
        <v>ERROR DE ID</v>
      </c>
      <c r="E4086" s="36"/>
      <c r="F4086" s="36"/>
      <c r="G4086" s="36"/>
      <c r="H4086" s="36"/>
    </row>
    <row r="4087">
      <c r="A4087" s="36"/>
      <c r="B4087" s="36" t="str">
        <f>IFERROR(__xludf.DUMMYFUNCTION("""COMPUTED_VALUE"""),"LATITUD")</f>
        <v>LATITUD</v>
      </c>
      <c r="C4087" s="36" t="str">
        <f>IFERROR(__xludf.DUMMYFUNCTION("""COMPUTED_VALUE"""),"LONGITUD")</f>
        <v>LONGITUD</v>
      </c>
      <c r="D4087" s="36" t="str">
        <f>IFERROR(__xludf.DUMMYFUNCTION("""COMPUTED_VALUE"""),"ERROR DE ID")</f>
        <v>ERROR DE ID</v>
      </c>
      <c r="E4087" s="36"/>
      <c r="F4087" s="36"/>
      <c r="G4087" s="36"/>
      <c r="H4087" s="36"/>
    </row>
    <row r="4088">
      <c r="A4088" s="36"/>
      <c r="B4088" s="36" t="str">
        <f>IFERROR(__xludf.DUMMYFUNCTION("""COMPUTED_VALUE"""),"LATITUD")</f>
        <v>LATITUD</v>
      </c>
      <c r="C4088" s="36" t="str">
        <f>IFERROR(__xludf.DUMMYFUNCTION("""COMPUTED_VALUE"""),"LONGITUD")</f>
        <v>LONGITUD</v>
      </c>
      <c r="D4088" s="36" t="str">
        <f>IFERROR(__xludf.DUMMYFUNCTION("""COMPUTED_VALUE"""),"ERROR DE ID")</f>
        <v>ERROR DE ID</v>
      </c>
      <c r="E4088" s="36"/>
      <c r="F4088" s="36"/>
      <c r="G4088" s="36"/>
      <c r="H4088" s="36"/>
    </row>
    <row r="4089">
      <c r="A4089" s="36"/>
      <c r="B4089" s="36" t="str">
        <f>IFERROR(__xludf.DUMMYFUNCTION("""COMPUTED_VALUE"""),"LATITUD")</f>
        <v>LATITUD</v>
      </c>
      <c r="C4089" s="36" t="str">
        <f>IFERROR(__xludf.DUMMYFUNCTION("""COMPUTED_VALUE"""),"LONGITUD")</f>
        <v>LONGITUD</v>
      </c>
      <c r="D4089" s="36" t="str">
        <f>IFERROR(__xludf.DUMMYFUNCTION("""COMPUTED_VALUE"""),"ERROR DE ID")</f>
        <v>ERROR DE ID</v>
      </c>
      <c r="E4089" s="36"/>
      <c r="F4089" s="36"/>
      <c r="G4089" s="36"/>
      <c r="H4089" s="36"/>
    </row>
    <row r="4090">
      <c r="A4090" s="36"/>
      <c r="B4090" s="36" t="str">
        <f>IFERROR(__xludf.DUMMYFUNCTION("""COMPUTED_VALUE"""),"LATITUD")</f>
        <v>LATITUD</v>
      </c>
      <c r="C4090" s="36" t="str">
        <f>IFERROR(__xludf.DUMMYFUNCTION("""COMPUTED_VALUE"""),"LONGITUD")</f>
        <v>LONGITUD</v>
      </c>
      <c r="D4090" s="36" t="str">
        <f>IFERROR(__xludf.DUMMYFUNCTION("""COMPUTED_VALUE"""),"ERROR DE ID")</f>
        <v>ERROR DE ID</v>
      </c>
      <c r="E4090" s="36"/>
      <c r="F4090" s="36"/>
      <c r="G4090" s="36"/>
      <c r="H4090" s="36"/>
    </row>
    <row r="4091">
      <c r="A4091" s="36"/>
      <c r="B4091" s="36" t="str">
        <f>IFERROR(__xludf.DUMMYFUNCTION("""COMPUTED_VALUE"""),"LATITUD")</f>
        <v>LATITUD</v>
      </c>
      <c r="C4091" s="36" t="str">
        <f>IFERROR(__xludf.DUMMYFUNCTION("""COMPUTED_VALUE"""),"LONGITUD")</f>
        <v>LONGITUD</v>
      </c>
      <c r="D4091" s="36" t="str">
        <f>IFERROR(__xludf.DUMMYFUNCTION("""COMPUTED_VALUE"""),"ERROR DE ID")</f>
        <v>ERROR DE ID</v>
      </c>
      <c r="E4091" s="36"/>
      <c r="F4091" s="36"/>
      <c r="G4091" s="36"/>
      <c r="H4091" s="36"/>
    </row>
    <row r="4092">
      <c r="A4092" s="36"/>
      <c r="B4092" s="36" t="str">
        <f>IFERROR(__xludf.DUMMYFUNCTION("""COMPUTED_VALUE"""),"LATITUD")</f>
        <v>LATITUD</v>
      </c>
      <c r="C4092" s="36" t="str">
        <f>IFERROR(__xludf.DUMMYFUNCTION("""COMPUTED_VALUE"""),"LONGITUD")</f>
        <v>LONGITUD</v>
      </c>
      <c r="D4092" s="36" t="str">
        <f>IFERROR(__xludf.DUMMYFUNCTION("""COMPUTED_VALUE"""),"ERROR DE ID")</f>
        <v>ERROR DE ID</v>
      </c>
      <c r="E4092" s="36"/>
      <c r="F4092" s="36"/>
      <c r="G4092" s="36"/>
      <c r="H4092" s="36"/>
    </row>
    <row r="4093">
      <c r="A4093" s="36"/>
      <c r="B4093" s="36" t="str">
        <f>IFERROR(__xludf.DUMMYFUNCTION("""COMPUTED_VALUE"""),"LATITUD")</f>
        <v>LATITUD</v>
      </c>
      <c r="C4093" s="36" t="str">
        <f>IFERROR(__xludf.DUMMYFUNCTION("""COMPUTED_VALUE"""),"LONGITUD")</f>
        <v>LONGITUD</v>
      </c>
      <c r="D4093" s="36" t="str">
        <f>IFERROR(__xludf.DUMMYFUNCTION("""COMPUTED_VALUE"""),"ERROR DE ID")</f>
        <v>ERROR DE ID</v>
      </c>
      <c r="E4093" s="36"/>
      <c r="F4093" s="36"/>
      <c r="G4093" s="36"/>
      <c r="H4093" s="36"/>
    </row>
    <row r="4094">
      <c r="A4094" s="36"/>
      <c r="B4094" s="36" t="str">
        <f>IFERROR(__xludf.DUMMYFUNCTION("""COMPUTED_VALUE"""),"LATITUD")</f>
        <v>LATITUD</v>
      </c>
      <c r="C4094" s="36" t="str">
        <f>IFERROR(__xludf.DUMMYFUNCTION("""COMPUTED_VALUE"""),"LONGITUD")</f>
        <v>LONGITUD</v>
      </c>
      <c r="D4094" s="36" t="str">
        <f>IFERROR(__xludf.DUMMYFUNCTION("""COMPUTED_VALUE"""),"ERROR DE ID")</f>
        <v>ERROR DE ID</v>
      </c>
      <c r="E4094" s="36"/>
      <c r="F4094" s="36"/>
      <c r="G4094" s="36"/>
      <c r="H4094" s="36"/>
    </row>
    <row r="4095">
      <c r="A4095" s="36"/>
      <c r="B4095" s="36" t="str">
        <f>IFERROR(__xludf.DUMMYFUNCTION("""COMPUTED_VALUE"""),"LATITUD")</f>
        <v>LATITUD</v>
      </c>
      <c r="C4095" s="36" t="str">
        <f>IFERROR(__xludf.DUMMYFUNCTION("""COMPUTED_VALUE"""),"LONGITUD")</f>
        <v>LONGITUD</v>
      </c>
      <c r="D4095" s="36" t="str">
        <f>IFERROR(__xludf.DUMMYFUNCTION("""COMPUTED_VALUE"""),"ERROR DE ID")</f>
        <v>ERROR DE ID</v>
      </c>
      <c r="E4095" s="36"/>
      <c r="F4095" s="36"/>
      <c r="G4095" s="36"/>
      <c r="H4095" s="36"/>
    </row>
    <row r="4096">
      <c r="A4096" s="36"/>
      <c r="B4096" s="36" t="str">
        <f>IFERROR(__xludf.DUMMYFUNCTION("""COMPUTED_VALUE"""),"LATITUD")</f>
        <v>LATITUD</v>
      </c>
      <c r="C4096" s="36" t="str">
        <f>IFERROR(__xludf.DUMMYFUNCTION("""COMPUTED_VALUE"""),"LONGITUD")</f>
        <v>LONGITUD</v>
      </c>
      <c r="D4096" s="36" t="str">
        <f>IFERROR(__xludf.DUMMYFUNCTION("""COMPUTED_VALUE"""),"ERROR DE ID")</f>
        <v>ERROR DE ID</v>
      </c>
      <c r="E4096" s="36"/>
      <c r="F4096" s="36"/>
      <c r="G4096" s="36"/>
      <c r="H4096" s="36"/>
    </row>
    <row r="4097">
      <c r="A4097" s="36"/>
      <c r="B4097" s="36" t="str">
        <f>IFERROR(__xludf.DUMMYFUNCTION("""COMPUTED_VALUE"""),"LATITUD")</f>
        <v>LATITUD</v>
      </c>
      <c r="C4097" s="36" t="str">
        <f>IFERROR(__xludf.DUMMYFUNCTION("""COMPUTED_VALUE"""),"LONGITUD")</f>
        <v>LONGITUD</v>
      </c>
      <c r="D4097" s="36" t="str">
        <f>IFERROR(__xludf.DUMMYFUNCTION("""COMPUTED_VALUE"""),"ERROR DE ID")</f>
        <v>ERROR DE ID</v>
      </c>
      <c r="E4097" s="36"/>
      <c r="F4097" s="36"/>
      <c r="G4097" s="36"/>
      <c r="H4097" s="36"/>
    </row>
    <row r="4098">
      <c r="A4098" s="36"/>
      <c r="B4098" s="36" t="str">
        <f>IFERROR(__xludf.DUMMYFUNCTION("""COMPUTED_VALUE"""),"LATITUD")</f>
        <v>LATITUD</v>
      </c>
      <c r="C4098" s="36" t="str">
        <f>IFERROR(__xludf.DUMMYFUNCTION("""COMPUTED_VALUE"""),"LONGITUD")</f>
        <v>LONGITUD</v>
      </c>
      <c r="D4098" s="36" t="str">
        <f>IFERROR(__xludf.DUMMYFUNCTION("""COMPUTED_VALUE"""),"ERROR DE ID")</f>
        <v>ERROR DE ID</v>
      </c>
      <c r="E4098" s="36"/>
      <c r="F4098" s="36"/>
      <c r="G4098" s="36"/>
      <c r="H4098" s="36"/>
    </row>
    <row r="4099">
      <c r="A4099" s="36"/>
      <c r="B4099" s="36" t="str">
        <f>IFERROR(__xludf.DUMMYFUNCTION("""COMPUTED_VALUE"""),"LATITUD")</f>
        <v>LATITUD</v>
      </c>
      <c r="C4099" s="36" t="str">
        <f>IFERROR(__xludf.DUMMYFUNCTION("""COMPUTED_VALUE"""),"LONGITUD")</f>
        <v>LONGITUD</v>
      </c>
      <c r="D4099" s="36" t="str">
        <f>IFERROR(__xludf.DUMMYFUNCTION("""COMPUTED_VALUE"""),"ERROR DE ID")</f>
        <v>ERROR DE ID</v>
      </c>
      <c r="E4099" s="36"/>
      <c r="F4099" s="36"/>
      <c r="G4099" s="36"/>
      <c r="H4099" s="36"/>
    </row>
    <row r="4100">
      <c r="A4100" s="36"/>
      <c r="B4100" s="36" t="str">
        <f>IFERROR(__xludf.DUMMYFUNCTION("""COMPUTED_VALUE"""),"LATITUD")</f>
        <v>LATITUD</v>
      </c>
      <c r="C4100" s="36" t="str">
        <f>IFERROR(__xludf.DUMMYFUNCTION("""COMPUTED_VALUE"""),"LONGITUD")</f>
        <v>LONGITUD</v>
      </c>
      <c r="D4100" s="36" t="str">
        <f>IFERROR(__xludf.DUMMYFUNCTION("""COMPUTED_VALUE"""),"ERROR DE ID")</f>
        <v>ERROR DE ID</v>
      </c>
      <c r="E4100" s="36"/>
      <c r="F4100" s="36"/>
      <c r="G4100" s="36"/>
      <c r="H4100" s="36"/>
    </row>
    <row r="4101">
      <c r="A4101" s="36"/>
      <c r="B4101" s="36" t="str">
        <f>IFERROR(__xludf.DUMMYFUNCTION("""COMPUTED_VALUE"""),"LATITUD")</f>
        <v>LATITUD</v>
      </c>
      <c r="C4101" s="36" t="str">
        <f>IFERROR(__xludf.DUMMYFUNCTION("""COMPUTED_VALUE"""),"LONGITUD")</f>
        <v>LONGITUD</v>
      </c>
      <c r="D4101" s="36" t="str">
        <f>IFERROR(__xludf.DUMMYFUNCTION("""COMPUTED_VALUE"""),"ERROR DE ID")</f>
        <v>ERROR DE ID</v>
      </c>
      <c r="E4101" s="36"/>
      <c r="F4101" s="36"/>
      <c r="G4101" s="36"/>
      <c r="H4101" s="36"/>
    </row>
    <row r="4102">
      <c r="A4102" s="36"/>
      <c r="B4102" s="36" t="str">
        <f>IFERROR(__xludf.DUMMYFUNCTION("""COMPUTED_VALUE"""),"LATITUD")</f>
        <v>LATITUD</v>
      </c>
      <c r="C4102" s="36" t="str">
        <f>IFERROR(__xludf.DUMMYFUNCTION("""COMPUTED_VALUE"""),"LONGITUD")</f>
        <v>LONGITUD</v>
      </c>
      <c r="D4102" s="36" t="str">
        <f>IFERROR(__xludf.DUMMYFUNCTION("""COMPUTED_VALUE"""),"ERROR DE ID")</f>
        <v>ERROR DE ID</v>
      </c>
      <c r="E4102" s="36"/>
      <c r="F4102" s="36"/>
      <c r="G4102" s="36"/>
      <c r="H4102" s="36"/>
    </row>
    <row r="4103">
      <c r="A4103" s="36"/>
      <c r="B4103" s="36" t="str">
        <f>IFERROR(__xludf.DUMMYFUNCTION("""COMPUTED_VALUE"""),"LATITUD")</f>
        <v>LATITUD</v>
      </c>
      <c r="C4103" s="36" t="str">
        <f>IFERROR(__xludf.DUMMYFUNCTION("""COMPUTED_VALUE"""),"LONGITUD")</f>
        <v>LONGITUD</v>
      </c>
      <c r="D4103" s="36" t="str">
        <f>IFERROR(__xludf.DUMMYFUNCTION("""COMPUTED_VALUE"""),"ERROR DE ID")</f>
        <v>ERROR DE ID</v>
      </c>
      <c r="E4103" s="36"/>
      <c r="F4103" s="36"/>
      <c r="G4103" s="36"/>
      <c r="H4103" s="36"/>
    </row>
    <row r="4104">
      <c r="A4104" s="36"/>
      <c r="B4104" s="36" t="str">
        <f>IFERROR(__xludf.DUMMYFUNCTION("""COMPUTED_VALUE"""),"LATITUD")</f>
        <v>LATITUD</v>
      </c>
      <c r="C4104" s="36" t="str">
        <f>IFERROR(__xludf.DUMMYFUNCTION("""COMPUTED_VALUE"""),"LONGITUD")</f>
        <v>LONGITUD</v>
      </c>
      <c r="D4104" s="36" t="str">
        <f>IFERROR(__xludf.DUMMYFUNCTION("""COMPUTED_VALUE"""),"ERROR DE ID")</f>
        <v>ERROR DE ID</v>
      </c>
      <c r="E4104" s="36"/>
      <c r="F4104" s="36"/>
      <c r="G4104" s="36"/>
      <c r="H4104" s="36"/>
    </row>
    <row r="4105">
      <c r="A4105" s="36"/>
      <c r="B4105" s="36" t="str">
        <f>IFERROR(__xludf.DUMMYFUNCTION("""COMPUTED_VALUE"""),"LATITUD")</f>
        <v>LATITUD</v>
      </c>
      <c r="C4105" s="36" t="str">
        <f>IFERROR(__xludf.DUMMYFUNCTION("""COMPUTED_VALUE"""),"LONGITUD")</f>
        <v>LONGITUD</v>
      </c>
      <c r="D4105" s="36" t="str">
        <f>IFERROR(__xludf.DUMMYFUNCTION("""COMPUTED_VALUE"""),"ERROR DE ID")</f>
        <v>ERROR DE ID</v>
      </c>
      <c r="E4105" s="36"/>
      <c r="F4105" s="36"/>
      <c r="G4105" s="36"/>
      <c r="H4105" s="36"/>
    </row>
    <row r="4106">
      <c r="A4106" s="36"/>
      <c r="B4106" s="36" t="str">
        <f>IFERROR(__xludf.DUMMYFUNCTION("""COMPUTED_VALUE"""),"LATITUD")</f>
        <v>LATITUD</v>
      </c>
      <c r="C4106" s="36" t="str">
        <f>IFERROR(__xludf.DUMMYFUNCTION("""COMPUTED_VALUE"""),"LONGITUD")</f>
        <v>LONGITUD</v>
      </c>
      <c r="D4106" s="36" t="str">
        <f>IFERROR(__xludf.DUMMYFUNCTION("""COMPUTED_VALUE"""),"ERROR DE ID")</f>
        <v>ERROR DE ID</v>
      </c>
      <c r="E4106" s="36"/>
      <c r="F4106" s="36"/>
      <c r="G4106" s="36"/>
      <c r="H4106" s="36"/>
    </row>
    <row r="4107">
      <c r="A4107" s="36"/>
      <c r="B4107" s="36" t="str">
        <f>IFERROR(__xludf.DUMMYFUNCTION("""COMPUTED_VALUE"""),"LATITUD")</f>
        <v>LATITUD</v>
      </c>
      <c r="C4107" s="36" t="str">
        <f>IFERROR(__xludf.DUMMYFUNCTION("""COMPUTED_VALUE"""),"LONGITUD")</f>
        <v>LONGITUD</v>
      </c>
      <c r="D4107" s="36" t="str">
        <f>IFERROR(__xludf.DUMMYFUNCTION("""COMPUTED_VALUE"""),"ERROR DE ID")</f>
        <v>ERROR DE ID</v>
      </c>
      <c r="E4107" s="36"/>
      <c r="F4107" s="36"/>
      <c r="G4107" s="36"/>
      <c r="H4107" s="36"/>
    </row>
    <row r="4108">
      <c r="A4108" s="36"/>
      <c r="B4108" s="36" t="str">
        <f>IFERROR(__xludf.DUMMYFUNCTION("""COMPUTED_VALUE"""),"LATITUD")</f>
        <v>LATITUD</v>
      </c>
      <c r="C4108" s="36" t="str">
        <f>IFERROR(__xludf.DUMMYFUNCTION("""COMPUTED_VALUE"""),"LONGITUD")</f>
        <v>LONGITUD</v>
      </c>
      <c r="D4108" s="36" t="str">
        <f>IFERROR(__xludf.DUMMYFUNCTION("""COMPUTED_VALUE"""),"ERROR DE ID")</f>
        <v>ERROR DE ID</v>
      </c>
      <c r="E4108" s="36"/>
      <c r="F4108" s="36"/>
      <c r="G4108" s="36"/>
      <c r="H4108" s="36"/>
    </row>
    <row r="4109">
      <c r="A4109" s="36"/>
      <c r="B4109" s="36" t="str">
        <f>IFERROR(__xludf.DUMMYFUNCTION("""COMPUTED_VALUE"""),"LATITUD")</f>
        <v>LATITUD</v>
      </c>
      <c r="C4109" s="36" t="str">
        <f>IFERROR(__xludf.DUMMYFUNCTION("""COMPUTED_VALUE"""),"LONGITUD")</f>
        <v>LONGITUD</v>
      </c>
      <c r="D4109" s="36" t="str">
        <f>IFERROR(__xludf.DUMMYFUNCTION("""COMPUTED_VALUE"""),"ERROR DE ID")</f>
        <v>ERROR DE ID</v>
      </c>
      <c r="E4109" s="36"/>
      <c r="F4109" s="36"/>
      <c r="G4109" s="36"/>
      <c r="H4109" s="36"/>
    </row>
    <row r="4110">
      <c r="A4110" s="36"/>
      <c r="B4110" s="36" t="str">
        <f>IFERROR(__xludf.DUMMYFUNCTION("""COMPUTED_VALUE"""),"LATITUD")</f>
        <v>LATITUD</v>
      </c>
      <c r="C4110" s="36" t="str">
        <f>IFERROR(__xludf.DUMMYFUNCTION("""COMPUTED_VALUE"""),"LONGITUD")</f>
        <v>LONGITUD</v>
      </c>
      <c r="D4110" s="36" t="str">
        <f>IFERROR(__xludf.DUMMYFUNCTION("""COMPUTED_VALUE"""),"ERROR DE ID")</f>
        <v>ERROR DE ID</v>
      </c>
      <c r="E4110" s="36"/>
      <c r="F4110" s="36"/>
      <c r="G4110" s="36"/>
      <c r="H4110" s="36"/>
    </row>
    <row r="4111">
      <c r="A4111" s="36"/>
      <c r="B4111" s="36" t="str">
        <f>IFERROR(__xludf.DUMMYFUNCTION("""COMPUTED_VALUE"""),"LATITUD")</f>
        <v>LATITUD</v>
      </c>
      <c r="C4111" s="36" t="str">
        <f>IFERROR(__xludf.DUMMYFUNCTION("""COMPUTED_VALUE"""),"LONGITUD")</f>
        <v>LONGITUD</v>
      </c>
      <c r="D4111" s="36" t="str">
        <f>IFERROR(__xludf.DUMMYFUNCTION("""COMPUTED_VALUE"""),"ERROR DE ID")</f>
        <v>ERROR DE ID</v>
      </c>
      <c r="E4111" s="36"/>
      <c r="F4111" s="36"/>
      <c r="G4111" s="36"/>
      <c r="H4111" s="36"/>
    </row>
    <row r="4112">
      <c r="A4112" s="36"/>
      <c r="B4112" s="36" t="str">
        <f>IFERROR(__xludf.DUMMYFUNCTION("""COMPUTED_VALUE"""),"LATITUD")</f>
        <v>LATITUD</v>
      </c>
      <c r="C4112" s="36" t="str">
        <f>IFERROR(__xludf.DUMMYFUNCTION("""COMPUTED_VALUE"""),"LONGITUD")</f>
        <v>LONGITUD</v>
      </c>
      <c r="D4112" s="36" t="str">
        <f>IFERROR(__xludf.DUMMYFUNCTION("""COMPUTED_VALUE"""),"ERROR DE ID")</f>
        <v>ERROR DE ID</v>
      </c>
      <c r="E4112" s="36"/>
      <c r="F4112" s="36"/>
      <c r="G4112" s="36"/>
      <c r="H4112" s="36"/>
    </row>
    <row r="4113">
      <c r="A4113" s="36"/>
      <c r="B4113" s="36" t="str">
        <f>IFERROR(__xludf.DUMMYFUNCTION("""COMPUTED_VALUE"""),"LATITUD")</f>
        <v>LATITUD</v>
      </c>
      <c r="C4113" s="36" t="str">
        <f>IFERROR(__xludf.DUMMYFUNCTION("""COMPUTED_VALUE"""),"LONGITUD")</f>
        <v>LONGITUD</v>
      </c>
      <c r="D4113" s="36" t="str">
        <f>IFERROR(__xludf.DUMMYFUNCTION("""COMPUTED_VALUE"""),"ERROR DE ID")</f>
        <v>ERROR DE ID</v>
      </c>
      <c r="E4113" s="36"/>
      <c r="F4113" s="36"/>
      <c r="G4113" s="36"/>
      <c r="H4113" s="36"/>
    </row>
    <row r="4114">
      <c r="A4114" s="36"/>
      <c r="B4114" s="36" t="str">
        <f>IFERROR(__xludf.DUMMYFUNCTION("""COMPUTED_VALUE"""),"LATITUD")</f>
        <v>LATITUD</v>
      </c>
      <c r="C4114" s="36" t="str">
        <f>IFERROR(__xludf.DUMMYFUNCTION("""COMPUTED_VALUE"""),"LONGITUD")</f>
        <v>LONGITUD</v>
      </c>
      <c r="D4114" s="36" t="str">
        <f>IFERROR(__xludf.DUMMYFUNCTION("""COMPUTED_VALUE"""),"ERROR DE ID")</f>
        <v>ERROR DE ID</v>
      </c>
      <c r="E4114" s="36"/>
      <c r="F4114" s="36"/>
      <c r="G4114" s="36"/>
      <c r="H4114" s="36"/>
    </row>
    <row r="4115">
      <c r="A4115" s="36"/>
      <c r="B4115" s="36" t="str">
        <f>IFERROR(__xludf.DUMMYFUNCTION("""COMPUTED_VALUE"""),"LATITUD")</f>
        <v>LATITUD</v>
      </c>
      <c r="C4115" s="36" t="str">
        <f>IFERROR(__xludf.DUMMYFUNCTION("""COMPUTED_VALUE"""),"LONGITUD")</f>
        <v>LONGITUD</v>
      </c>
      <c r="D4115" s="36" t="str">
        <f>IFERROR(__xludf.DUMMYFUNCTION("""COMPUTED_VALUE"""),"ERROR DE ID")</f>
        <v>ERROR DE ID</v>
      </c>
      <c r="E4115" s="36"/>
      <c r="F4115" s="36"/>
      <c r="G4115" s="36"/>
      <c r="H4115" s="36"/>
    </row>
    <row r="4116">
      <c r="A4116" s="36"/>
      <c r="B4116" s="36" t="str">
        <f>IFERROR(__xludf.DUMMYFUNCTION("""COMPUTED_VALUE"""),"LATITUD")</f>
        <v>LATITUD</v>
      </c>
      <c r="C4116" s="36" t="str">
        <f>IFERROR(__xludf.DUMMYFUNCTION("""COMPUTED_VALUE"""),"LONGITUD")</f>
        <v>LONGITUD</v>
      </c>
      <c r="D4116" s="36" t="str">
        <f>IFERROR(__xludf.DUMMYFUNCTION("""COMPUTED_VALUE"""),"ERROR DE ID")</f>
        <v>ERROR DE ID</v>
      </c>
      <c r="E4116" s="36"/>
      <c r="F4116" s="36"/>
      <c r="G4116" s="36"/>
      <c r="H4116" s="36"/>
    </row>
    <row r="4117">
      <c r="A4117" s="36"/>
      <c r="B4117" s="36" t="str">
        <f>IFERROR(__xludf.DUMMYFUNCTION("""COMPUTED_VALUE"""),"LATITUD")</f>
        <v>LATITUD</v>
      </c>
      <c r="C4117" s="36" t="str">
        <f>IFERROR(__xludf.DUMMYFUNCTION("""COMPUTED_VALUE"""),"LONGITUD")</f>
        <v>LONGITUD</v>
      </c>
      <c r="D4117" s="36" t="str">
        <f>IFERROR(__xludf.DUMMYFUNCTION("""COMPUTED_VALUE"""),"ERROR DE ID")</f>
        <v>ERROR DE ID</v>
      </c>
      <c r="E4117" s="36"/>
      <c r="F4117" s="36"/>
      <c r="G4117" s="36"/>
      <c r="H4117" s="36"/>
    </row>
    <row r="4118">
      <c r="A4118" s="36"/>
      <c r="B4118" s="36" t="str">
        <f>IFERROR(__xludf.DUMMYFUNCTION("""COMPUTED_VALUE"""),"LATITUD")</f>
        <v>LATITUD</v>
      </c>
      <c r="C4118" s="36" t="str">
        <f>IFERROR(__xludf.DUMMYFUNCTION("""COMPUTED_VALUE"""),"LONGITUD")</f>
        <v>LONGITUD</v>
      </c>
      <c r="D4118" s="36" t="str">
        <f>IFERROR(__xludf.DUMMYFUNCTION("""COMPUTED_VALUE"""),"ERROR DE ID")</f>
        <v>ERROR DE ID</v>
      </c>
      <c r="E4118" s="36"/>
      <c r="F4118" s="36"/>
      <c r="G4118" s="36"/>
      <c r="H4118" s="36"/>
    </row>
    <row r="4119">
      <c r="A4119" s="36"/>
      <c r="B4119" s="36" t="str">
        <f>IFERROR(__xludf.DUMMYFUNCTION("""COMPUTED_VALUE"""),"LATITUD")</f>
        <v>LATITUD</v>
      </c>
      <c r="C4119" s="36" t="str">
        <f>IFERROR(__xludf.DUMMYFUNCTION("""COMPUTED_VALUE"""),"LONGITUD")</f>
        <v>LONGITUD</v>
      </c>
      <c r="D4119" s="36" t="str">
        <f>IFERROR(__xludf.DUMMYFUNCTION("""COMPUTED_VALUE"""),"ERROR DE ID")</f>
        <v>ERROR DE ID</v>
      </c>
      <c r="E4119" s="36"/>
      <c r="F4119" s="36"/>
      <c r="G4119" s="36"/>
      <c r="H4119" s="36"/>
    </row>
    <row r="4120">
      <c r="A4120" s="36"/>
      <c r="B4120" s="36" t="str">
        <f>IFERROR(__xludf.DUMMYFUNCTION("""COMPUTED_VALUE"""),"LATITUD")</f>
        <v>LATITUD</v>
      </c>
      <c r="C4120" s="36" t="str">
        <f>IFERROR(__xludf.DUMMYFUNCTION("""COMPUTED_VALUE"""),"LONGITUD")</f>
        <v>LONGITUD</v>
      </c>
      <c r="D4120" s="36" t="str">
        <f>IFERROR(__xludf.DUMMYFUNCTION("""COMPUTED_VALUE"""),"ERROR DE ID")</f>
        <v>ERROR DE ID</v>
      </c>
      <c r="E4120" s="36"/>
      <c r="F4120" s="36"/>
      <c r="G4120" s="36"/>
      <c r="H4120" s="36"/>
    </row>
    <row r="4121">
      <c r="A4121" s="36"/>
      <c r="B4121" s="36" t="str">
        <f>IFERROR(__xludf.DUMMYFUNCTION("""COMPUTED_VALUE"""),"LATITUD")</f>
        <v>LATITUD</v>
      </c>
      <c r="C4121" s="36" t="str">
        <f>IFERROR(__xludf.DUMMYFUNCTION("""COMPUTED_VALUE"""),"LONGITUD")</f>
        <v>LONGITUD</v>
      </c>
      <c r="D4121" s="36" t="str">
        <f>IFERROR(__xludf.DUMMYFUNCTION("""COMPUTED_VALUE"""),"ERROR DE ID")</f>
        <v>ERROR DE ID</v>
      </c>
      <c r="E4121" s="36"/>
      <c r="F4121" s="36"/>
      <c r="G4121" s="36"/>
      <c r="H4121" s="36"/>
    </row>
    <row r="4122">
      <c r="A4122" s="36"/>
      <c r="B4122" s="36" t="str">
        <f>IFERROR(__xludf.DUMMYFUNCTION("""COMPUTED_VALUE"""),"LATITUD")</f>
        <v>LATITUD</v>
      </c>
      <c r="C4122" s="36" t="str">
        <f>IFERROR(__xludf.DUMMYFUNCTION("""COMPUTED_VALUE"""),"LONGITUD")</f>
        <v>LONGITUD</v>
      </c>
      <c r="D4122" s="36" t="str">
        <f>IFERROR(__xludf.DUMMYFUNCTION("""COMPUTED_VALUE"""),"ERROR DE ID")</f>
        <v>ERROR DE ID</v>
      </c>
      <c r="E4122" s="36"/>
      <c r="F4122" s="36"/>
      <c r="G4122" s="36"/>
      <c r="H4122" s="36"/>
    </row>
    <row r="4123">
      <c r="A4123" s="36"/>
      <c r="B4123" s="36" t="str">
        <f>IFERROR(__xludf.DUMMYFUNCTION("""COMPUTED_VALUE"""),"LATITUD")</f>
        <v>LATITUD</v>
      </c>
      <c r="C4123" s="36" t="str">
        <f>IFERROR(__xludf.DUMMYFUNCTION("""COMPUTED_VALUE"""),"LONGITUD")</f>
        <v>LONGITUD</v>
      </c>
      <c r="D4123" s="36" t="str">
        <f>IFERROR(__xludf.DUMMYFUNCTION("""COMPUTED_VALUE"""),"ERROR DE ID")</f>
        <v>ERROR DE ID</v>
      </c>
      <c r="E4123" s="36"/>
      <c r="F4123" s="36"/>
      <c r="G4123" s="36"/>
      <c r="H4123" s="36"/>
    </row>
    <row r="4124">
      <c r="A4124" s="36"/>
      <c r="B4124" s="36" t="str">
        <f>IFERROR(__xludf.DUMMYFUNCTION("""COMPUTED_VALUE"""),"LATITUD")</f>
        <v>LATITUD</v>
      </c>
      <c r="C4124" s="36" t="str">
        <f>IFERROR(__xludf.DUMMYFUNCTION("""COMPUTED_VALUE"""),"LONGITUD")</f>
        <v>LONGITUD</v>
      </c>
      <c r="D4124" s="36" t="str">
        <f>IFERROR(__xludf.DUMMYFUNCTION("""COMPUTED_VALUE"""),"ERROR DE ID")</f>
        <v>ERROR DE ID</v>
      </c>
      <c r="E4124" s="36"/>
      <c r="F4124" s="36"/>
      <c r="G4124" s="36"/>
      <c r="H4124" s="36"/>
    </row>
    <row r="4125">
      <c r="A4125" s="36"/>
      <c r="B4125" s="36" t="str">
        <f>IFERROR(__xludf.DUMMYFUNCTION("""COMPUTED_VALUE"""),"LATITUD")</f>
        <v>LATITUD</v>
      </c>
      <c r="C4125" s="36" t="str">
        <f>IFERROR(__xludf.DUMMYFUNCTION("""COMPUTED_VALUE"""),"LONGITUD")</f>
        <v>LONGITUD</v>
      </c>
      <c r="D4125" s="36" t="str">
        <f>IFERROR(__xludf.DUMMYFUNCTION("""COMPUTED_VALUE"""),"ERROR DE ID")</f>
        <v>ERROR DE ID</v>
      </c>
      <c r="E4125" s="36"/>
      <c r="F4125" s="36"/>
      <c r="G4125" s="36"/>
      <c r="H4125" s="36"/>
    </row>
    <row r="4126">
      <c r="A4126" s="36"/>
      <c r="B4126" s="36" t="str">
        <f>IFERROR(__xludf.DUMMYFUNCTION("""COMPUTED_VALUE"""),"LATITUD")</f>
        <v>LATITUD</v>
      </c>
      <c r="C4126" s="36" t="str">
        <f>IFERROR(__xludf.DUMMYFUNCTION("""COMPUTED_VALUE"""),"LONGITUD")</f>
        <v>LONGITUD</v>
      </c>
      <c r="D4126" s="36" t="str">
        <f>IFERROR(__xludf.DUMMYFUNCTION("""COMPUTED_VALUE"""),"ERROR DE ID")</f>
        <v>ERROR DE ID</v>
      </c>
      <c r="E4126" s="36"/>
      <c r="F4126" s="36"/>
      <c r="G4126" s="36"/>
      <c r="H4126" s="36"/>
    </row>
    <row r="4127">
      <c r="A4127" s="36"/>
      <c r="B4127" s="36" t="str">
        <f>IFERROR(__xludf.DUMMYFUNCTION("""COMPUTED_VALUE"""),"LATITUD")</f>
        <v>LATITUD</v>
      </c>
      <c r="C4127" s="36" t="str">
        <f>IFERROR(__xludf.DUMMYFUNCTION("""COMPUTED_VALUE"""),"LONGITUD")</f>
        <v>LONGITUD</v>
      </c>
      <c r="D4127" s="36" t="str">
        <f>IFERROR(__xludf.DUMMYFUNCTION("""COMPUTED_VALUE"""),"ERROR DE ID")</f>
        <v>ERROR DE ID</v>
      </c>
      <c r="E4127" s="36"/>
      <c r="F4127" s="36"/>
      <c r="G4127" s="36"/>
      <c r="H4127" s="36"/>
    </row>
    <row r="4128">
      <c r="A4128" s="36"/>
      <c r="B4128" s="36" t="str">
        <f>IFERROR(__xludf.DUMMYFUNCTION("""COMPUTED_VALUE"""),"LATITUD")</f>
        <v>LATITUD</v>
      </c>
      <c r="C4128" s="36" t="str">
        <f>IFERROR(__xludf.DUMMYFUNCTION("""COMPUTED_VALUE"""),"LONGITUD")</f>
        <v>LONGITUD</v>
      </c>
      <c r="D4128" s="36" t="str">
        <f>IFERROR(__xludf.DUMMYFUNCTION("""COMPUTED_VALUE"""),"ERROR DE ID")</f>
        <v>ERROR DE ID</v>
      </c>
      <c r="E4128" s="36"/>
      <c r="F4128" s="36"/>
      <c r="G4128" s="36"/>
      <c r="H4128" s="36"/>
    </row>
    <row r="4129">
      <c r="A4129" s="36"/>
      <c r="B4129" s="36" t="str">
        <f>IFERROR(__xludf.DUMMYFUNCTION("""COMPUTED_VALUE"""),"LATITUD")</f>
        <v>LATITUD</v>
      </c>
      <c r="C4129" s="36" t="str">
        <f>IFERROR(__xludf.DUMMYFUNCTION("""COMPUTED_VALUE"""),"LONGITUD")</f>
        <v>LONGITUD</v>
      </c>
      <c r="D4129" s="36" t="str">
        <f>IFERROR(__xludf.DUMMYFUNCTION("""COMPUTED_VALUE"""),"ERROR DE ID")</f>
        <v>ERROR DE ID</v>
      </c>
      <c r="E4129" s="36"/>
      <c r="F4129" s="36"/>
      <c r="G4129" s="36"/>
      <c r="H4129" s="36"/>
    </row>
    <row r="4130">
      <c r="A4130" s="36"/>
      <c r="B4130" s="36" t="str">
        <f>IFERROR(__xludf.DUMMYFUNCTION("""COMPUTED_VALUE"""),"LATITUD")</f>
        <v>LATITUD</v>
      </c>
      <c r="C4130" s="36" t="str">
        <f>IFERROR(__xludf.DUMMYFUNCTION("""COMPUTED_VALUE"""),"LONGITUD")</f>
        <v>LONGITUD</v>
      </c>
      <c r="D4130" s="36" t="str">
        <f>IFERROR(__xludf.DUMMYFUNCTION("""COMPUTED_VALUE"""),"ERROR DE ID")</f>
        <v>ERROR DE ID</v>
      </c>
      <c r="E4130" s="36"/>
      <c r="F4130" s="36"/>
      <c r="G4130" s="36"/>
      <c r="H4130" s="36"/>
    </row>
    <row r="4131">
      <c r="A4131" s="36"/>
      <c r="B4131" s="36" t="str">
        <f>IFERROR(__xludf.DUMMYFUNCTION("""COMPUTED_VALUE"""),"LATITUD")</f>
        <v>LATITUD</v>
      </c>
      <c r="C4131" s="36" t="str">
        <f>IFERROR(__xludf.DUMMYFUNCTION("""COMPUTED_VALUE"""),"LONGITUD")</f>
        <v>LONGITUD</v>
      </c>
      <c r="D4131" s="36" t="str">
        <f>IFERROR(__xludf.DUMMYFUNCTION("""COMPUTED_VALUE"""),"ERROR DE ID")</f>
        <v>ERROR DE ID</v>
      </c>
      <c r="E4131" s="36"/>
      <c r="F4131" s="36"/>
      <c r="G4131" s="36"/>
      <c r="H4131" s="36"/>
    </row>
    <row r="4132">
      <c r="A4132" s="36"/>
      <c r="B4132" s="36" t="str">
        <f>IFERROR(__xludf.DUMMYFUNCTION("""COMPUTED_VALUE"""),"LATITUD")</f>
        <v>LATITUD</v>
      </c>
      <c r="C4132" s="36" t="str">
        <f>IFERROR(__xludf.DUMMYFUNCTION("""COMPUTED_VALUE"""),"LONGITUD")</f>
        <v>LONGITUD</v>
      </c>
      <c r="D4132" s="36" t="str">
        <f>IFERROR(__xludf.DUMMYFUNCTION("""COMPUTED_VALUE"""),"ERROR DE ID")</f>
        <v>ERROR DE ID</v>
      </c>
      <c r="E4132" s="36"/>
      <c r="F4132" s="36"/>
      <c r="G4132" s="36"/>
      <c r="H4132" s="36"/>
    </row>
    <row r="4133">
      <c r="A4133" s="36"/>
      <c r="B4133" s="36" t="str">
        <f>IFERROR(__xludf.DUMMYFUNCTION("""COMPUTED_VALUE"""),"LATITUD")</f>
        <v>LATITUD</v>
      </c>
      <c r="C4133" s="36" t="str">
        <f>IFERROR(__xludf.DUMMYFUNCTION("""COMPUTED_VALUE"""),"LONGITUD")</f>
        <v>LONGITUD</v>
      </c>
      <c r="D4133" s="36" t="str">
        <f>IFERROR(__xludf.DUMMYFUNCTION("""COMPUTED_VALUE"""),"ERROR DE ID")</f>
        <v>ERROR DE ID</v>
      </c>
      <c r="E4133" s="36"/>
      <c r="F4133" s="36"/>
      <c r="G4133" s="36"/>
      <c r="H4133" s="36"/>
    </row>
    <row r="4134">
      <c r="A4134" s="36"/>
      <c r="B4134" s="36" t="str">
        <f>IFERROR(__xludf.DUMMYFUNCTION("""COMPUTED_VALUE"""),"LATITUD")</f>
        <v>LATITUD</v>
      </c>
      <c r="C4134" s="36" t="str">
        <f>IFERROR(__xludf.DUMMYFUNCTION("""COMPUTED_VALUE"""),"LONGITUD")</f>
        <v>LONGITUD</v>
      </c>
      <c r="D4134" s="36" t="str">
        <f>IFERROR(__xludf.DUMMYFUNCTION("""COMPUTED_VALUE"""),"ERROR DE ID")</f>
        <v>ERROR DE ID</v>
      </c>
      <c r="E4134" s="36"/>
      <c r="F4134" s="36"/>
      <c r="G4134" s="36"/>
      <c r="H4134" s="36"/>
    </row>
    <row r="4135">
      <c r="A4135" s="36"/>
      <c r="B4135" s="36" t="str">
        <f>IFERROR(__xludf.DUMMYFUNCTION("""COMPUTED_VALUE"""),"LATITUD")</f>
        <v>LATITUD</v>
      </c>
      <c r="C4135" s="36" t="str">
        <f>IFERROR(__xludf.DUMMYFUNCTION("""COMPUTED_VALUE"""),"LONGITUD")</f>
        <v>LONGITUD</v>
      </c>
      <c r="D4135" s="36" t="str">
        <f>IFERROR(__xludf.DUMMYFUNCTION("""COMPUTED_VALUE"""),"ERROR DE ID")</f>
        <v>ERROR DE ID</v>
      </c>
      <c r="E4135" s="36"/>
      <c r="F4135" s="36"/>
      <c r="G4135" s="36"/>
      <c r="H4135" s="36"/>
    </row>
    <row r="4136">
      <c r="A4136" s="36"/>
      <c r="B4136" s="36" t="str">
        <f>IFERROR(__xludf.DUMMYFUNCTION("""COMPUTED_VALUE"""),"LATITUD")</f>
        <v>LATITUD</v>
      </c>
      <c r="C4136" s="36" t="str">
        <f>IFERROR(__xludf.DUMMYFUNCTION("""COMPUTED_VALUE"""),"LONGITUD")</f>
        <v>LONGITUD</v>
      </c>
      <c r="D4136" s="36" t="str">
        <f>IFERROR(__xludf.DUMMYFUNCTION("""COMPUTED_VALUE"""),"ERROR DE ID")</f>
        <v>ERROR DE ID</v>
      </c>
      <c r="E4136" s="36"/>
      <c r="F4136" s="36"/>
      <c r="G4136" s="36"/>
      <c r="H4136" s="36"/>
    </row>
    <row r="4137">
      <c r="A4137" s="36"/>
      <c r="B4137" s="36" t="str">
        <f>IFERROR(__xludf.DUMMYFUNCTION("""COMPUTED_VALUE"""),"LATITUD")</f>
        <v>LATITUD</v>
      </c>
      <c r="C4137" s="36" t="str">
        <f>IFERROR(__xludf.DUMMYFUNCTION("""COMPUTED_VALUE"""),"LONGITUD")</f>
        <v>LONGITUD</v>
      </c>
      <c r="D4137" s="36" t="str">
        <f>IFERROR(__xludf.DUMMYFUNCTION("""COMPUTED_VALUE"""),"ERROR DE ID")</f>
        <v>ERROR DE ID</v>
      </c>
      <c r="E4137" s="36"/>
      <c r="F4137" s="36"/>
      <c r="G4137" s="36"/>
      <c r="H4137" s="36"/>
    </row>
    <row r="4138">
      <c r="A4138" s="36"/>
      <c r="B4138" s="36" t="str">
        <f>IFERROR(__xludf.DUMMYFUNCTION("""COMPUTED_VALUE"""),"LATITUD")</f>
        <v>LATITUD</v>
      </c>
      <c r="C4138" s="36" t="str">
        <f>IFERROR(__xludf.DUMMYFUNCTION("""COMPUTED_VALUE"""),"LONGITUD")</f>
        <v>LONGITUD</v>
      </c>
      <c r="D4138" s="36" t="str">
        <f>IFERROR(__xludf.DUMMYFUNCTION("""COMPUTED_VALUE"""),"ERROR DE ID")</f>
        <v>ERROR DE ID</v>
      </c>
      <c r="E4138" s="36"/>
      <c r="F4138" s="36"/>
      <c r="G4138" s="36"/>
      <c r="H4138" s="36"/>
    </row>
    <row r="4139">
      <c r="A4139" s="36"/>
      <c r="B4139" s="36" t="str">
        <f>IFERROR(__xludf.DUMMYFUNCTION("""COMPUTED_VALUE"""),"LATITUD")</f>
        <v>LATITUD</v>
      </c>
      <c r="C4139" s="36" t="str">
        <f>IFERROR(__xludf.DUMMYFUNCTION("""COMPUTED_VALUE"""),"LONGITUD")</f>
        <v>LONGITUD</v>
      </c>
      <c r="D4139" s="36" t="str">
        <f>IFERROR(__xludf.DUMMYFUNCTION("""COMPUTED_VALUE"""),"ERROR DE ID")</f>
        <v>ERROR DE ID</v>
      </c>
      <c r="E4139" s="36"/>
      <c r="F4139" s="36"/>
      <c r="G4139" s="36"/>
      <c r="H4139" s="36"/>
    </row>
    <row r="4140">
      <c r="A4140" s="36"/>
      <c r="B4140" s="36" t="str">
        <f>IFERROR(__xludf.DUMMYFUNCTION("""COMPUTED_VALUE"""),"LATITUD")</f>
        <v>LATITUD</v>
      </c>
      <c r="C4140" s="36" t="str">
        <f>IFERROR(__xludf.DUMMYFUNCTION("""COMPUTED_VALUE"""),"LONGITUD")</f>
        <v>LONGITUD</v>
      </c>
      <c r="D4140" s="36" t="str">
        <f>IFERROR(__xludf.DUMMYFUNCTION("""COMPUTED_VALUE"""),"ERROR DE ID")</f>
        <v>ERROR DE ID</v>
      </c>
      <c r="E4140" s="36"/>
      <c r="F4140" s="36"/>
      <c r="G4140" s="36"/>
      <c r="H4140" s="36"/>
    </row>
    <row r="4141">
      <c r="A4141" s="36"/>
      <c r="B4141" s="36" t="str">
        <f>IFERROR(__xludf.DUMMYFUNCTION("""COMPUTED_VALUE"""),"LATITUD")</f>
        <v>LATITUD</v>
      </c>
      <c r="C4141" s="36" t="str">
        <f>IFERROR(__xludf.DUMMYFUNCTION("""COMPUTED_VALUE"""),"LONGITUD")</f>
        <v>LONGITUD</v>
      </c>
      <c r="D4141" s="36" t="str">
        <f>IFERROR(__xludf.DUMMYFUNCTION("""COMPUTED_VALUE"""),"ERROR DE ID")</f>
        <v>ERROR DE ID</v>
      </c>
      <c r="E4141" s="36"/>
      <c r="F4141" s="36"/>
      <c r="G4141" s="36"/>
      <c r="H4141" s="36"/>
    </row>
    <row r="4142">
      <c r="A4142" s="36"/>
      <c r="B4142" s="36" t="str">
        <f>IFERROR(__xludf.DUMMYFUNCTION("""COMPUTED_VALUE"""),"LATITUD")</f>
        <v>LATITUD</v>
      </c>
      <c r="C4142" s="36" t="str">
        <f>IFERROR(__xludf.DUMMYFUNCTION("""COMPUTED_VALUE"""),"LONGITUD")</f>
        <v>LONGITUD</v>
      </c>
      <c r="D4142" s="36" t="str">
        <f>IFERROR(__xludf.DUMMYFUNCTION("""COMPUTED_VALUE"""),"ERROR DE ID")</f>
        <v>ERROR DE ID</v>
      </c>
      <c r="E4142" s="36"/>
      <c r="F4142" s="36"/>
      <c r="G4142" s="36"/>
      <c r="H4142" s="36"/>
    </row>
    <row r="4143">
      <c r="A4143" s="36"/>
      <c r="B4143" s="36" t="str">
        <f>IFERROR(__xludf.DUMMYFUNCTION("""COMPUTED_VALUE"""),"LATITUD")</f>
        <v>LATITUD</v>
      </c>
      <c r="C4143" s="36" t="str">
        <f>IFERROR(__xludf.DUMMYFUNCTION("""COMPUTED_VALUE"""),"LONGITUD")</f>
        <v>LONGITUD</v>
      </c>
      <c r="D4143" s="36" t="str">
        <f>IFERROR(__xludf.DUMMYFUNCTION("""COMPUTED_VALUE"""),"ERROR DE ID")</f>
        <v>ERROR DE ID</v>
      </c>
      <c r="E4143" s="36"/>
      <c r="F4143" s="36"/>
      <c r="G4143" s="36"/>
      <c r="H4143" s="36"/>
    </row>
    <row r="4144">
      <c r="A4144" s="36"/>
      <c r="B4144" s="36" t="str">
        <f>IFERROR(__xludf.DUMMYFUNCTION("""COMPUTED_VALUE"""),"LATITUD")</f>
        <v>LATITUD</v>
      </c>
      <c r="C4144" s="36" t="str">
        <f>IFERROR(__xludf.DUMMYFUNCTION("""COMPUTED_VALUE"""),"LONGITUD")</f>
        <v>LONGITUD</v>
      </c>
      <c r="D4144" s="36" t="str">
        <f>IFERROR(__xludf.DUMMYFUNCTION("""COMPUTED_VALUE"""),"ERROR DE ID")</f>
        <v>ERROR DE ID</v>
      </c>
      <c r="E4144" s="36"/>
      <c r="F4144" s="36"/>
      <c r="G4144" s="36"/>
      <c r="H4144" s="36"/>
    </row>
    <row r="4145">
      <c r="A4145" s="36"/>
      <c r="B4145" s="36" t="str">
        <f>IFERROR(__xludf.DUMMYFUNCTION("""COMPUTED_VALUE"""),"LATITUD")</f>
        <v>LATITUD</v>
      </c>
      <c r="C4145" s="36" t="str">
        <f>IFERROR(__xludf.DUMMYFUNCTION("""COMPUTED_VALUE"""),"LONGITUD")</f>
        <v>LONGITUD</v>
      </c>
      <c r="D4145" s="36" t="str">
        <f>IFERROR(__xludf.DUMMYFUNCTION("""COMPUTED_VALUE"""),"ERROR DE ID")</f>
        <v>ERROR DE ID</v>
      </c>
      <c r="E4145" s="36"/>
      <c r="F4145" s="36"/>
      <c r="G4145" s="36"/>
      <c r="H4145" s="36"/>
    </row>
    <row r="4146">
      <c r="A4146" s="36"/>
      <c r="B4146" s="36" t="str">
        <f>IFERROR(__xludf.DUMMYFUNCTION("""COMPUTED_VALUE"""),"LATITUD")</f>
        <v>LATITUD</v>
      </c>
      <c r="C4146" s="36" t="str">
        <f>IFERROR(__xludf.DUMMYFUNCTION("""COMPUTED_VALUE"""),"LONGITUD")</f>
        <v>LONGITUD</v>
      </c>
      <c r="D4146" s="36" t="str">
        <f>IFERROR(__xludf.DUMMYFUNCTION("""COMPUTED_VALUE"""),"ERROR DE ID")</f>
        <v>ERROR DE ID</v>
      </c>
      <c r="E4146" s="36"/>
      <c r="F4146" s="36"/>
      <c r="G4146" s="36"/>
      <c r="H4146" s="36"/>
    </row>
    <row r="4147">
      <c r="A4147" s="36"/>
      <c r="B4147" s="36" t="str">
        <f>IFERROR(__xludf.DUMMYFUNCTION("""COMPUTED_VALUE"""),"LATITUD")</f>
        <v>LATITUD</v>
      </c>
      <c r="C4147" s="36" t="str">
        <f>IFERROR(__xludf.DUMMYFUNCTION("""COMPUTED_VALUE"""),"LONGITUD")</f>
        <v>LONGITUD</v>
      </c>
      <c r="D4147" s="36" t="str">
        <f>IFERROR(__xludf.DUMMYFUNCTION("""COMPUTED_VALUE"""),"ERROR DE ID")</f>
        <v>ERROR DE ID</v>
      </c>
      <c r="E4147" s="36"/>
      <c r="F4147" s="36"/>
      <c r="G4147" s="36"/>
      <c r="H4147" s="36"/>
    </row>
    <row r="4148">
      <c r="A4148" s="36"/>
      <c r="B4148" s="36" t="str">
        <f>IFERROR(__xludf.DUMMYFUNCTION("""COMPUTED_VALUE"""),"LATITUD")</f>
        <v>LATITUD</v>
      </c>
      <c r="C4148" s="36" t="str">
        <f>IFERROR(__xludf.DUMMYFUNCTION("""COMPUTED_VALUE"""),"LONGITUD")</f>
        <v>LONGITUD</v>
      </c>
      <c r="D4148" s="36" t="str">
        <f>IFERROR(__xludf.DUMMYFUNCTION("""COMPUTED_VALUE"""),"ERROR DE ID")</f>
        <v>ERROR DE ID</v>
      </c>
      <c r="E4148" s="36"/>
      <c r="F4148" s="36"/>
      <c r="G4148" s="36"/>
      <c r="H4148" s="36"/>
    </row>
    <row r="4149">
      <c r="A4149" s="36"/>
      <c r="B4149" s="36" t="str">
        <f>IFERROR(__xludf.DUMMYFUNCTION("""COMPUTED_VALUE"""),"LATITUD")</f>
        <v>LATITUD</v>
      </c>
      <c r="C4149" s="36" t="str">
        <f>IFERROR(__xludf.DUMMYFUNCTION("""COMPUTED_VALUE"""),"LONGITUD")</f>
        <v>LONGITUD</v>
      </c>
      <c r="D4149" s="36" t="str">
        <f>IFERROR(__xludf.DUMMYFUNCTION("""COMPUTED_VALUE"""),"ERROR DE ID")</f>
        <v>ERROR DE ID</v>
      </c>
      <c r="E4149" s="36"/>
      <c r="F4149" s="36"/>
      <c r="G4149" s="36"/>
      <c r="H4149" s="36"/>
    </row>
    <row r="4150">
      <c r="A4150" s="36"/>
      <c r="B4150" s="36" t="str">
        <f>IFERROR(__xludf.DUMMYFUNCTION("""COMPUTED_VALUE"""),"LATITUD")</f>
        <v>LATITUD</v>
      </c>
      <c r="C4150" s="36" t="str">
        <f>IFERROR(__xludf.DUMMYFUNCTION("""COMPUTED_VALUE"""),"LONGITUD")</f>
        <v>LONGITUD</v>
      </c>
      <c r="D4150" s="36" t="str">
        <f>IFERROR(__xludf.DUMMYFUNCTION("""COMPUTED_VALUE"""),"ERROR DE ID")</f>
        <v>ERROR DE ID</v>
      </c>
      <c r="E4150" s="36"/>
      <c r="F4150" s="36"/>
      <c r="G4150" s="36"/>
      <c r="H4150" s="36"/>
    </row>
    <row r="4151">
      <c r="A4151" s="36"/>
      <c r="B4151" s="36" t="str">
        <f>IFERROR(__xludf.DUMMYFUNCTION("""COMPUTED_VALUE"""),"LATITUD")</f>
        <v>LATITUD</v>
      </c>
      <c r="C4151" s="36" t="str">
        <f>IFERROR(__xludf.DUMMYFUNCTION("""COMPUTED_VALUE"""),"LONGITUD")</f>
        <v>LONGITUD</v>
      </c>
      <c r="D4151" s="36" t="str">
        <f>IFERROR(__xludf.DUMMYFUNCTION("""COMPUTED_VALUE"""),"ERROR DE ID")</f>
        <v>ERROR DE ID</v>
      </c>
      <c r="E4151" s="36"/>
      <c r="F4151" s="36"/>
      <c r="G4151" s="36"/>
      <c r="H4151" s="36"/>
    </row>
    <row r="4152">
      <c r="A4152" s="36"/>
      <c r="B4152" s="36" t="str">
        <f>IFERROR(__xludf.DUMMYFUNCTION("""COMPUTED_VALUE"""),"LATITUD")</f>
        <v>LATITUD</v>
      </c>
      <c r="C4152" s="36" t="str">
        <f>IFERROR(__xludf.DUMMYFUNCTION("""COMPUTED_VALUE"""),"LONGITUD")</f>
        <v>LONGITUD</v>
      </c>
      <c r="D4152" s="36" t="str">
        <f>IFERROR(__xludf.DUMMYFUNCTION("""COMPUTED_VALUE"""),"ERROR DE ID")</f>
        <v>ERROR DE ID</v>
      </c>
      <c r="E4152" s="36"/>
      <c r="F4152" s="36"/>
      <c r="G4152" s="36"/>
      <c r="H4152" s="36"/>
    </row>
    <row r="4153">
      <c r="A4153" s="36"/>
      <c r="B4153" s="36" t="str">
        <f>IFERROR(__xludf.DUMMYFUNCTION("""COMPUTED_VALUE"""),"LATITUD")</f>
        <v>LATITUD</v>
      </c>
      <c r="C4153" s="36" t="str">
        <f>IFERROR(__xludf.DUMMYFUNCTION("""COMPUTED_VALUE"""),"LONGITUD")</f>
        <v>LONGITUD</v>
      </c>
      <c r="D4153" s="36" t="str">
        <f>IFERROR(__xludf.DUMMYFUNCTION("""COMPUTED_VALUE"""),"ERROR DE ID")</f>
        <v>ERROR DE ID</v>
      </c>
      <c r="E4153" s="36"/>
      <c r="F4153" s="36"/>
      <c r="G4153" s="36"/>
      <c r="H4153" s="36"/>
    </row>
    <row r="4154">
      <c r="A4154" s="36"/>
      <c r="B4154" s="36" t="str">
        <f>IFERROR(__xludf.DUMMYFUNCTION("""COMPUTED_VALUE"""),"LATITUD")</f>
        <v>LATITUD</v>
      </c>
      <c r="C4154" s="36" t="str">
        <f>IFERROR(__xludf.DUMMYFUNCTION("""COMPUTED_VALUE"""),"LONGITUD")</f>
        <v>LONGITUD</v>
      </c>
      <c r="D4154" s="36" t="str">
        <f>IFERROR(__xludf.DUMMYFUNCTION("""COMPUTED_VALUE"""),"ERROR DE ID")</f>
        <v>ERROR DE ID</v>
      </c>
      <c r="E4154" s="36"/>
      <c r="F4154" s="36"/>
      <c r="G4154" s="36"/>
      <c r="H4154" s="36"/>
    </row>
    <row r="4155">
      <c r="A4155" s="36"/>
      <c r="B4155" s="36" t="str">
        <f>IFERROR(__xludf.DUMMYFUNCTION("""COMPUTED_VALUE"""),"LATITUD")</f>
        <v>LATITUD</v>
      </c>
      <c r="C4155" s="36" t="str">
        <f>IFERROR(__xludf.DUMMYFUNCTION("""COMPUTED_VALUE"""),"LONGITUD")</f>
        <v>LONGITUD</v>
      </c>
      <c r="D4155" s="36" t="str">
        <f>IFERROR(__xludf.DUMMYFUNCTION("""COMPUTED_VALUE"""),"ERROR DE ID")</f>
        <v>ERROR DE ID</v>
      </c>
      <c r="E4155" s="36"/>
      <c r="F4155" s="36"/>
      <c r="G4155" s="36"/>
      <c r="H4155" s="36"/>
    </row>
    <row r="4156">
      <c r="A4156" s="36"/>
      <c r="B4156" s="36" t="str">
        <f>IFERROR(__xludf.DUMMYFUNCTION("""COMPUTED_VALUE"""),"LATITUD")</f>
        <v>LATITUD</v>
      </c>
      <c r="C4156" s="36" t="str">
        <f>IFERROR(__xludf.DUMMYFUNCTION("""COMPUTED_VALUE"""),"LONGITUD")</f>
        <v>LONGITUD</v>
      </c>
      <c r="D4156" s="36" t="str">
        <f>IFERROR(__xludf.DUMMYFUNCTION("""COMPUTED_VALUE"""),"ERROR DE ID")</f>
        <v>ERROR DE ID</v>
      </c>
      <c r="E4156" s="36"/>
      <c r="F4156" s="36"/>
      <c r="G4156" s="36"/>
      <c r="H4156" s="36"/>
    </row>
    <row r="4157">
      <c r="A4157" s="36"/>
      <c r="B4157" s="36" t="str">
        <f>IFERROR(__xludf.DUMMYFUNCTION("""COMPUTED_VALUE"""),"LATITUD")</f>
        <v>LATITUD</v>
      </c>
      <c r="C4157" s="36" t="str">
        <f>IFERROR(__xludf.DUMMYFUNCTION("""COMPUTED_VALUE"""),"LONGITUD")</f>
        <v>LONGITUD</v>
      </c>
      <c r="D4157" s="36" t="str">
        <f>IFERROR(__xludf.DUMMYFUNCTION("""COMPUTED_VALUE"""),"ERROR DE ID")</f>
        <v>ERROR DE ID</v>
      </c>
      <c r="E4157" s="36"/>
      <c r="F4157" s="36"/>
      <c r="G4157" s="36"/>
      <c r="H4157" s="36"/>
    </row>
    <row r="4158">
      <c r="A4158" s="36"/>
      <c r="B4158" s="36" t="str">
        <f>IFERROR(__xludf.DUMMYFUNCTION("""COMPUTED_VALUE"""),"LATITUD")</f>
        <v>LATITUD</v>
      </c>
      <c r="C4158" s="36" t="str">
        <f>IFERROR(__xludf.DUMMYFUNCTION("""COMPUTED_VALUE"""),"LONGITUD")</f>
        <v>LONGITUD</v>
      </c>
      <c r="D4158" s="36" t="str">
        <f>IFERROR(__xludf.DUMMYFUNCTION("""COMPUTED_VALUE"""),"ERROR DE ID")</f>
        <v>ERROR DE ID</v>
      </c>
      <c r="E4158" s="36"/>
      <c r="F4158" s="36"/>
      <c r="G4158" s="36"/>
      <c r="H4158" s="36"/>
    </row>
    <row r="4159">
      <c r="A4159" s="36"/>
      <c r="B4159" s="36" t="str">
        <f>IFERROR(__xludf.DUMMYFUNCTION("""COMPUTED_VALUE"""),"LATITUD")</f>
        <v>LATITUD</v>
      </c>
      <c r="C4159" s="36" t="str">
        <f>IFERROR(__xludf.DUMMYFUNCTION("""COMPUTED_VALUE"""),"LONGITUD")</f>
        <v>LONGITUD</v>
      </c>
      <c r="D4159" s="36" t="str">
        <f>IFERROR(__xludf.DUMMYFUNCTION("""COMPUTED_VALUE"""),"ERROR DE ID")</f>
        <v>ERROR DE ID</v>
      </c>
      <c r="E4159" s="36"/>
      <c r="F4159" s="36"/>
      <c r="G4159" s="36"/>
      <c r="H4159" s="36"/>
    </row>
    <row r="4160">
      <c r="A4160" s="36"/>
      <c r="B4160" s="36" t="str">
        <f>IFERROR(__xludf.DUMMYFUNCTION("""COMPUTED_VALUE"""),"LATITUD")</f>
        <v>LATITUD</v>
      </c>
      <c r="C4160" s="36" t="str">
        <f>IFERROR(__xludf.DUMMYFUNCTION("""COMPUTED_VALUE"""),"LONGITUD")</f>
        <v>LONGITUD</v>
      </c>
      <c r="D4160" s="36" t="str">
        <f>IFERROR(__xludf.DUMMYFUNCTION("""COMPUTED_VALUE"""),"ERROR DE ID")</f>
        <v>ERROR DE ID</v>
      </c>
      <c r="E4160" s="36"/>
      <c r="F4160" s="36"/>
      <c r="G4160" s="36"/>
      <c r="H4160" s="36"/>
    </row>
    <row r="4161">
      <c r="A4161" s="36"/>
      <c r="B4161" s="36" t="str">
        <f>IFERROR(__xludf.DUMMYFUNCTION("""COMPUTED_VALUE"""),"LATITUD")</f>
        <v>LATITUD</v>
      </c>
      <c r="C4161" s="36" t="str">
        <f>IFERROR(__xludf.DUMMYFUNCTION("""COMPUTED_VALUE"""),"LONGITUD")</f>
        <v>LONGITUD</v>
      </c>
      <c r="D4161" s="36" t="str">
        <f>IFERROR(__xludf.DUMMYFUNCTION("""COMPUTED_VALUE"""),"ERROR DE ID")</f>
        <v>ERROR DE ID</v>
      </c>
      <c r="E4161" s="36"/>
      <c r="F4161" s="36"/>
      <c r="G4161" s="36"/>
      <c r="H4161" s="36"/>
    </row>
    <row r="4162">
      <c r="A4162" s="36"/>
      <c r="B4162" s="36" t="str">
        <f>IFERROR(__xludf.DUMMYFUNCTION("""COMPUTED_VALUE"""),"LATITUD")</f>
        <v>LATITUD</v>
      </c>
      <c r="C4162" s="36" t="str">
        <f>IFERROR(__xludf.DUMMYFUNCTION("""COMPUTED_VALUE"""),"LONGITUD")</f>
        <v>LONGITUD</v>
      </c>
      <c r="D4162" s="36" t="str">
        <f>IFERROR(__xludf.DUMMYFUNCTION("""COMPUTED_VALUE"""),"ERROR DE ID")</f>
        <v>ERROR DE ID</v>
      </c>
      <c r="E4162" s="36"/>
      <c r="F4162" s="36"/>
      <c r="G4162" s="36"/>
      <c r="H4162" s="36"/>
    </row>
    <row r="4163">
      <c r="A4163" s="36"/>
      <c r="B4163" s="36" t="str">
        <f>IFERROR(__xludf.DUMMYFUNCTION("""COMPUTED_VALUE"""),"LATITUD")</f>
        <v>LATITUD</v>
      </c>
      <c r="C4163" s="36" t="str">
        <f>IFERROR(__xludf.DUMMYFUNCTION("""COMPUTED_VALUE"""),"LONGITUD")</f>
        <v>LONGITUD</v>
      </c>
      <c r="D4163" s="36" t="str">
        <f>IFERROR(__xludf.DUMMYFUNCTION("""COMPUTED_VALUE"""),"ERROR DE ID")</f>
        <v>ERROR DE ID</v>
      </c>
      <c r="E4163" s="36"/>
      <c r="F4163" s="36"/>
      <c r="G4163" s="36"/>
      <c r="H4163" s="36"/>
    </row>
    <row r="4164">
      <c r="A4164" s="36"/>
      <c r="B4164" s="36" t="str">
        <f>IFERROR(__xludf.DUMMYFUNCTION("""COMPUTED_VALUE"""),"LATITUD")</f>
        <v>LATITUD</v>
      </c>
      <c r="C4164" s="36" t="str">
        <f>IFERROR(__xludf.DUMMYFUNCTION("""COMPUTED_VALUE"""),"LONGITUD")</f>
        <v>LONGITUD</v>
      </c>
      <c r="D4164" s="36" t="str">
        <f>IFERROR(__xludf.DUMMYFUNCTION("""COMPUTED_VALUE"""),"ERROR DE ID")</f>
        <v>ERROR DE ID</v>
      </c>
      <c r="E4164" s="36"/>
      <c r="F4164" s="36"/>
      <c r="G4164" s="36"/>
      <c r="H4164" s="36"/>
    </row>
    <row r="4165">
      <c r="A4165" s="36"/>
      <c r="B4165" s="36" t="str">
        <f>IFERROR(__xludf.DUMMYFUNCTION("""COMPUTED_VALUE"""),"LATITUD")</f>
        <v>LATITUD</v>
      </c>
      <c r="C4165" s="36" t="str">
        <f>IFERROR(__xludf.DUMMYFUNCTION("""COMPUTED_VALUE"""),"LONGITUD")</f>
        <v>LONGITUD</v>
      </c>
      <c r="D4165" s="36" t="str">
        <f>IFERROR(__xludf.DUMMYFUNCTION("""COMPUTED_VALUE"""),"ERROR DE ID")</f>
        <v>ERROR DE ID</v>
      </c>
      <c r="E4165" s="36"/>
      <c r="F4165" s="36"/>
      <c r="G4165" s="36"/>
      <c r="H4165" s="36"/>
    </row>
    <row r="4166">
      <c r="A4166" s="36"/>
      <c r="B4166" s="36" t="str">
        <f>IFERROR(__xludf.DUMMYFUNCTION("""COMPUTED_VALUE"""),"LATITUD")</f>
        <v>LATITUD</v>
      </c>
      <c r="C4166" s="36" t="str">
        <f>IFERROR(__xludf.DUMMYFUNCTION("""COMPUTED_VALUE"""),"LONGITUD")</f>
        <v>LONGITUD</v>
      </c>
      <c r="D4166" s="36" t="str">
        <f>IFERROR(__xludf.DUMMYFUNCTION("""COMPUTED_VALUE"""),"ERROR DE ID")</f>
        <v>ERROR DE ID</v>
      </c>
      <c r="E4166" s="36"/>
      <c r="F4166" s="36"/>
      <c r="G4166" s="36"/>
      <c r="H4166" s="36"/>
    </row>
    <row r="4167">
      <c r="A4167" s="36"/>
      <c r="B4167" s="36" t="str">
        <f>IFERROR(__xludf.DUMMYFUNCTION("""COMPUTED_VALUE"""),"LATITUD")</f>
        <v>LATITUD</v>
      </c>
      <c r="C4167" s="36" t="str">
        <f>IFERROR(__xludf.DUMMYFUNCTION("""COMPUTED_VALUE"""),"LONGITUD")</f>
        <v>LONGITUD</v>
      </c>
      <c r="D4167" s="36" t="str">
        <f>IFERROR(__xludf.DUMMYFUNCTION("""COMPUTED_VALUE"""),"ERROR DE ID")</f>
        <v>ERROR DE ID</v>
      </c>
      <c r="E4167" s="36"/>
      <c r="F4167" s="36"/>
      <c r="G4167" s="36"/>
      <c r="H4167" s="36"/>
    </row>
    <row r="4168">
      <c r="A4168" s="36"/>
      <c r="B4168" s="36" t="str">
        <f>IFERROR(__xludf.DUMMYFUNCTION("""COMPUTED_VALUE"""),"LATITUD")</f>
        <v>LATITUD</v>
      </c>
      <c r="C4168" s="36" t="str">
        <f>IFERROR(__xludf.DUMMYFUNCTION("""COMPUTED_VALUE"""),"LONGITUD")</f>
        <v>LONGITUD</v>
      </c>
      <c r="D4168" s="36" t="str">
        <f>IFERROR(__xludf.DUMMYFUNCTION("""COMPUTED_VALUE"""),"ERROR DE ID")</f>
        <v>ERROR DE ID</v>
      </c>
      <c r="E4168" s="36"/>
      <c r="F4168" s="36"/>
      <c r="G4168" s="36"/>
      <c r="H4168" s="36"/>
    </row>
    <row r="4169">
      <c r="A4169" s="36"/>
      <c r="B4169" s="36" t="str">
        <f>IFERROR(__xludf.DUMMYFUNCTION("""COMPUTED_VALUE"""),"LATITUD")</f>
        <v>LATITUD</v>
      </c>
      <c r="C4169" s="36" t="str">
        <f>IFERROR(__xludf.DUMMYFUNCTION("""COMPUTED_VALUE"""),"LONGITUD")</f>
        <v>LONGITUD</v>
      </c>
      <c r="D4169" s="36" t="str">
        <f>IFERROR(__xludf.DUMMYFUNCTION("""COMPUTED_VALUE"""),"ERROR DE ID")</f>
        <v>ERROR DE ID</v>
      </c>
      <c r="E4169" s="36"/>
      <c r="F4169" s="36"/>
      <c r="G4169" s="36"/>
      <c r="H4169" s="36"/>
    </row>
    <row r="4170">
      <c r="A4170" s="36"/>
      <c r="B4170" s="36" t="str">
        <f>IFERROR(__xludf.DUMMYFUNCTION("""COMPUTED_VALUE"""),"LATITUD")</f>
        <v>LATITUD</v>
      </c>
      <c r="C4170" s="36" t="str">
        <f>IFERROR(__xludf.DUMMYFUNCTION("""COMPUTED_VALUE"""),"LONGITUD")</f>
        <v>LONGITUD</v>
      </c>
      <c r="D4170" s="36" t="str">
        <f>IFERROR(__xludf.DUMMYFUNCTION("""COMPUTED_VALUE"""),"ERROR DE ID")</f>
        <v>ERROR DE ID</v>
      </c>
      <c r="E4170" s="36"/>
      <c r="F4170" s="36"/>
      <c r="G4170" s="36"/>
      <c r="H4170" s="36"/>
    </row>
    <row r="4171">
      <c r="A4171" s="36"/>
      <c r="B4171" s="36" t="str">
        <f>IFERROR(__xludf.DUMMYFUNCTION("""COMPUTED_VALUE"""),"LATITUD")</f>
        <v>LATITUD</v>
      </c>
      <c r="C4171" s="36" t="str">
        <f>IFERROR(__xludf.DUMMYFUNCTION("""COMPUTED_VALUE"""),"LONGITUD")</f>
        <v>LONGITUD</v>
      </c>
      <c r="D4171" s="36" t="str">
        <f>IFERROR(__xludf.DUMMYFUNCTION("""COMPUTED_VALUE"""),"ERROR DE ID")</f>
        <v>ERROR DE ID</v>
      </c>
      <c r="E4171" s="36"/>
      <c r="F4171" s="36"/>
      <c r="G4171" s="36"/>
      <c r="H4171" s="36"/>
    </row>
    <row r="4172">
      <c r="A4172" s="36"/>
      <c r="B4172" s="36" t="str">
        <f>IFERROR(__xludf.DUMMYFUNCTION("""COMPUTED_VALUE"""),"LATITUD")</f>
        <v>LATITUD</v>
      </c>
      <c r="C4172" s="36" t="str">
        <f>IFERROR(__xludf.DUMMYFUNCTION("""COMPUTED_VALUE"""),"LONGITUD")</f>
        <v>LONGITUD</v>
      </c>
      <c r="D4172" s="36" t="str">
        <f>IFERROR(__xludf.DUMMYFUNCTION("""COMPUTED_VALUE"""),"ERROR DE ID")</f>
        <v>ERROR DE ID</v>
      </c>
      <c r="E4172" s="36"/>
      <c r="F4172" s="36"/>
      <c r="G4172" s="36"/>
      <c r="H4172" s="36"/>
    </row>
    <row r="4173">
      <c r="A4173" s="36"/>
      <c r="B4173" s="36" t="str">
        <f>IFERROR(__xludf.DUMMYFUNCTION("""COMPUTED_VALUE"""),"LATITUD")</f>
        <v>LATITUD</v>
      </c>
      <c r="C4173" s="36" t="str">
        <f>IFERROR(__xludf.DUMMYFUNCTION("""COMPUTED_VALUE"""),"LONGITUD")</f>
        <v>LONGITUD</v>
      </c>
      <c r="D4173" s="36" t="str">
        <f>IFERROR(__xludf.DUMMYFUNCTION("""COMPUTED_VALUE"""),"ERROR DE ID")</f>
        <v>ERROR DE ID</v>
      </c>
      <c r="E4173" s="36"/>
      <c r="F4173" s="36"/>
      <c r="G4173" s="36"/>
      <c r="H4173" s="36"/>
    </row>
    <row r="4174">
      <c r="A4174" s="36"/>
      <c r="B4174" s="36" t="str">
        <f>IFERROR(__xludf.DUMMYFUNCTION("""COMPUTED_VALUE"""),"LATITUD")</f>
        <v>LATITUD</v>
      </c>
      <c r="C4174" s="36" t="str">
        <f>IFERROR(__xludf.DUMMYFUNCTION("""COMPUTED_VALUE"""),"LONGITUD")</f>
        <v>LONGITUD</v>
      </c>
      <c r="D4174" s="36" t="str">
        <f>IFERROR(__xludf.DUMMYFUNCTION("""COMPUTED_VALUE"""),"ERROR DE ID")</f>
        <v>ERROR DE ID</v>
      </c>
      <c r="E4174" s="36"/>
      <c r="F4174" s="36"/>
      <c r="G4174" s="36"/>
      <c r="H4174" s="36"/>
    </row>
    <row r="4175">
      <c r="A4175" s="36"/>
      <c r="B4175" s="36" t="str">
        <f>IFERROR(__xludf.DUMMYFUNCTION("""COMPUTED_VALUE"""),"LATITUD")</f>
        <v>LATITUD</v>
      </c>
      <c r="C4175" s="36" t="str">
        <f>IFERROR(__xludf.DUMMYFUNCTION("""COMPUTED_VALUE"""),"LONGITUD")</f>
        <v>LONGITUD</v>
      </c>
      <c r="D4175" s="36" t="str">
        <f>IFERROR(__xludf.DUMMYFUNCTION("""COMPUTED_VALUE"""),"ERROR DE ID")</f>
        <v>ERROR DE ID</v>
      </c>
      <c r="E4175" s="36"/>
      <c r="F4175" s="36"/>
      <c r="G4175" s="36"/>
      <c r="H4175" s="36"/>
    </row>
    <row r="4176">
      <c r="A4176" s="36"/>
      <c r="B4176" s="36" t="str">
        <f>IFERROR(__xludf.DUMMYFUNCTION("""COMPUTED_VALUE"""),"LATITUD")</f>
        <v>LATITUD</v>
      </c>
      <c r="C4176" s="36" t="str">
        <f>IFERROR(__xludf.DUMMYFUNCTION("""COMPUTED_VALUE"""),"LONGITUD")</f>
        <v>LONGITUD</v>
      </c>
      <c r="D4176" s="36" t="str">
        <f>IFERROR(__xludf.DUMMYFUNCTION("""COMPUTED_VALUE"""),"ERROR DE ID")</f>
        <v>ERROR DE ID</v>
      </c>
      <c r="E4176" s="36"/>
      <c r="F4176" s="36"/>
      <c r="G4176" s="36"/>
      <c r="H4176" s="36"/>
    </row>
    <row r="4177">
      <c r="A4177" s="36"/>
      <c r="B4177" s="36" t="str">
        <f>IFERROR(__xludf.DUMMYFUNCTION("""COMPUTED_VALUE"""),"LATITUD")</f>
        <v>LATITUD</v>
      </c>
      <c r="C4177" s="36" t="str">
        <f>IFERROR(__xludf.DUMMYFUNCTION("""COMPUTED_VALUE"""),"LONGITUD")</f>
        <v>LONGITUD</v>
      </c>
      <c r="D4177" s="36" t="str">
        <f>IFERROR(__xludf.DUMMYFUNCTION("""COMPUTED_VALUE"""),"ERROR DE ID")</f>
        <v>ERROR DE ID</v>
      </c>
      <c r="E4177" s="36"/>
      <c r="F4177" s="36"/>
      <c r="G4177" s="36"/>
      <c r="H4177" s="36"/>
    </row>
    <row r="4178">
      <c r="A4178" s="36"/>
      <c r="B4178" s="36" t="str">
        <f>IFERROR(__xludf.DUMMYFUNCTION("""COMPUTED_VALUE"""),"LATITUD")</f>
        <v>LATITUD</v>
      </c>
      <c r="C4178" s="36" t="str">
        <f>IFERROR(__xludf.DUMMYFUNCTION("""COMPUTED_VALUE"""),"LONGITUD")</f>
        <v>LONGITUD</v>
      </c>
      <c r="D4178" s="36" t="str">
        <f>IFERROR(__xludf.DUMMYFUNCTION("""COMPUTED_VALUE"""),"ERROR DE ID")</f>
        <v>ERROR DE ID</v>
      </c>
      <c r="E4178" s="36"/>
      <c r="F4178" s="36"/>
      <c r="G4178" s="36"/>
      <c r="H4178" s="36"/>
    </row>
    <row r="4179">
      <c r="A4179" s="36"/>
      <c r="B4179" s="36" t="str">
        <f>IFERROR(__xludf.DUMMYFUNCTION("""COMPUTED_VALUE"""),"LATITUD")</f>
        <v>LATITUD</v>
      </c>
      <c r="C4179" s="36" t="str">
        <f>IFERROR(__xludf.DUMMYFUNCTION("""COMPUTED_VALUE"""),"LONGITUD")</f>
        <v>LONGITUD</v>
      </c>
      <c r="D4179" s="36" t="str">
        <f>IFERROR(__xludf.DUMMYFUNCTION("""COMPUTED_VALUE"""),"ERROR DE ID")</f>
        <v>ERROR DE ID</v>
      </c>
      <c r="E4179" s="36"/>
      <c r="F4179" s="36"/>
      <c r="G4179" s="36"/>
      <c r="H4179" s="36"/>
    </row>
    <row r="4180">
      <c r="A4180" s="36"/>
      <c r="B4180" s="36" t="str">
        <f>IFERROR(__xludf.DUMMYFUNCTION("""COMPUTED_VALUE"""),"LATITUD")</f>
        <v>LATITUD</v>
      </c>
      <c r="C4180" s="36" t="str">
        <f>IFERROR(__xludf.DUMMYFUNCTION("""COMPUTED_VALUE"""),"LONGITUD")</f>
        <v>LONGITUD</v>
      </c>
      <c r="D4180" s="36" t="str">
        <f>IFERROR(__xludf.DUMMYFUNCTION("""COMPUTED_VALUE"""),"ERROR DE ID")</f>
        <v>ERROR DE ID</v>
      </c>
      <c r="E4180" s="36"/>
      <c r="F4180" s="36"/>
      <c r="G4180" s="36"/>
      <c r="H4180" s="36"/>
    </row>
    <row r="4181">
      <c r="A4181" s="36"/>
      <c r="B4181" s="36" t="str">
        <f>IFERROR(__xludf.DUMMYFUNCTION("""COMPUTED_VALUE"""),"LATITUD")</f>
        <v>LATITUD</v>
      </c>
      <c r="C4181" s="36" t="str">
        <f>IFERROR(__xludf.DUMMYFUNCTION("""COMPUTED_VALUE"""),"LONGITUD")</f>
        <v>LONGITUD</v>
      </c>
      <c r="D4181" s="36" t="str">
        <f>IFERROR(__xludf.DUMMYFUNCTION("""COMPUTED_VALUE"""),"ERROR DE ID")</f>
        <v>ERROR DE ID</v>
      </c>
      <c r="E4181" s="36"/>
      <c r="F4181" s="36"/>
      <c r="G4181" s="36"/>
      <c r="H4181" s="36"/>
    </row>
    <row r="4182">
      <c r="A4182" s="36"/>
      <c r="B4182" s="36" t="str">
        <f>IFERROR(__xludf.DUMMYFUNCTION("""COMPUTED_VALUE"""),"LATITUD")</f>
        <v>LATITUD</v>
      </c>
      <c r="C4182" s="36" t="str">
        <f>IFERROR(__xludf.DUMMYFUNCTION("""COMPUTED_VALUE"""),"LONGITUD")</f>
        <v>LONGITUD</v>
      </c>
      <c r="D4182" s="36" t="str">
        <f>IFERROR(__xludf.DUMMYFUNCTION("""COMPUTED_VALUE"""),"ERROR DE ID")</f>
        <v>ERROR DE ID</v>
      </c>
      <c r="E4182" s="36"/>
      <c r="F4182" s="36"/>
      <c r="G4182" s="36"/>
      <c r="H4182" s="36"/>
    </row>
    <row r="4183">
      <c r="A4183" s="36"/>
      <c r="B4183" s="36" t="str">
        <f>IFERROR(__xludf.DUMMYFUNCTION("""COMPUTED_VALUE"""),"LATITUD")</f>
        <v>LATITUD</v>
      </c>
      <c r="C4183" s="36" t="str">
        <f>IFERROR(__xludf.DUMMYFUNCTION("""COMPUTED_VALUE"""),"LONGITUD")</f>
        <v>LONGITUD</v>
      </c>
      <c r="D4183" s="36" t="str">
        <f>IFERROR(__xludf.DUMMYFUNCTION("""COMPUTED_VALUE"""),"ERROR DE ID")</f>
        <v>ERROR DE ID</v>
      </c>
      <c r="E4183" s="36"/>
      <c r="F4183" s="36"/>
      <c r="G4183" s="36"/>
      <c r="H4183" s="36"/>
    </row>
    <row r="4184">
      <c r="A4184" s="36"/>
      <c r="B4184" s="36" t="str">
        <f>IFERROR(__xludf.DUMMYFUNCTION("""COMPUTED_VALUE"""),"LATITUD")</f>
        <v>LATITUD</v>
      </c>
      <c r="C4184" s="36" t="str">
        <f>IFERROR(__xludf.DUMMYFUNCTION("""COMPUTED_VALUE"""),"LONGITUD")</f>
        <v>LONGITUD</v>
      </c>
      <c r="D4184" s="36" t="str">
        <f>IFERROR(__xludf.DUMMYFUNCTION("""COMPUTED_VALUE"""),"ERROR DE ID")</f>
        <v>ERROR DE ID</v>
      </c>
      <c r="E4184" s="36"/>
      <c r="F4184" s="36"/>
      <c r="G4184" s="36"/>
      <c r="H4184" s="36"/>
    </row>
    <row r="4185">
      <c r="A4185" s="36"/>
      <c r="B4185" s="36" t="str">
        <f>IFERROR(__xludf.DUMMYFUNCTION("""COMPUTED_VALUE"""),"LATITUD")</f>
        <v>LATITUD</v>
      </c>
      <c r="C4185" s="36" t="str">
        <f>IFERROR(__xludf.DUMMYFUNCTION("""COMPUTED_VALUE"""),"LONGITUD")</f>
        <v>LONGITUD</v>
      </c>
      <c r="D4185" s="36" t="str">
        <f>IFERROR(__xludf.DUMMYFUNCTION("""COMPUTED_VALUE"""),"ERROR DE ID")</f>
        <v>ERROR DE ID</v>
      </c>
      <c r="E4185" s="36"/>
      <c r="F4185" s="36"/>
      <c r="G4185" s="36"/>
      <c r="H4185" s="36"/>
    </row>
    <row r="4186">
      <c r="A4186" s="36"/>
      <c r="B4186" s="36" t="str">
        <f>IFERROR(__xludf.DUMMYFUNCTION("""COMPUTED_VALUE"""),"LATITUD")</f>
        <v>LATITUD</v>
      </c>
      <c r="C4186" s="36" t="str">
        <f>IFERROR(__xludf.DUMMYFUNCTION("""COMPUTED_VALUE"""),"LONGITUD")</f>
        <v>LONGITUD</v>
      </c>
      <c r="D4186" s="36" t="str">
        <f>IFERROR(__xludf.DUMMYFUNCTION("""COMPUTED_VALUE"""),"ERROR DE ID")</f>
        <v>ERROR DE ID</v>
      </c>
      <c r="E4186" s="36"/>
      <c r="F4186" s="36"/>
      <c r="G4186" s="36"/>
      <c r="H4186" s="36"/>
    </row>
    <row r="4187">
      <c r="A4187" s="36"/>
      <c r="B4187" s="36" t="str">
        <f>IFERROR(__xludf.DUMMYFUNCTION("""COMPUTED_VALUE"""),"LATITUD")</f>
        <v>LATITUD</v>
      </c>
      <c r="C4187" s="36" t="str">
        <f>IFERROR(__xludf.DUMMYFUNCTION("""COMPUTED_VALUE"""),"LONGITUD")</f>
        <v>LONGITUD</v>
      </c>
      <c r="D4187" s="36" t="str">
        <f>IFERROR(__xludf.DUMMYFUNCTION("""COMPUTED_VALUE"""),"ERROR DE ID")</f>
        <v>ERROR DE ID</v>
      </c>
      <c r="E4187" s="36"/>
      <c r="F4187" s="36"/>
      <c r="G4187" s="36"/>
      <c r="H4187" s="36"/>
    </row>
    <row r="4188">
      <c r="A4188" s="36"/>
      <c r="B4188" s="36" t="str">
        <f>IFERROR(__xludf.DUMMYFUNCTION("""COMPUTED_VALUE"""),"LATITUD")</f>
        <v>LATITUD</v>
      </c>
      <c r="C4188" s="36" t="str">
        <f>IFERROR(__xludf.DUMMYFUNCTION("""COMPUTED_VALUE"""),"LONGITUD")</f>
        <v>LONGITUD</v>
      </c>
      <c r="D4188" s="36" t="str">
        <f>IFERROR(__xludf.DUMMYFUNCTION("""COMPUTED_VALUE"""),"ERROR DE ID")</f>
        <v>ERROR DE ID</v>
      </c>
      <c r="E4188" s="36"/>
      <c r="F4188" s="36"/>
      <c r="G4188" s="36"/>
      <c r="H4188" s="36"/>
    </row>
    <row r="4189">
      <c r="A4189" s="36"/>
      <c r="B4189" s="36" t="str">
        <f>IFERROR(__xludf.DUMMYFUNCTION("""COMPUTED_VALUE"""),"LATITUD")</f>
        <v>LATITUD</v>
      </c>
      <c r="C4189" s="36" t="str">
        <f>IFERROR(__xludf.DUMMYFUNCTION("""COMPUTED_VALUE"""),"LONGITUD")</f>
        <v>LONGITUD</v>
      </c>
      <c r="D4189" s="36" t="str">
        <f>IFERROR(__xludf.DUMMYFUNCTION("""COMPUTED_VALUE"""),"ERROR DE ID")</f>
        <v>ERROR DE ID</v>
      </c>
      <c r="E4189" s="36"/>
      <c r="F4189" s="36"/>
      <c r="G4189" s="36"/>
      <c r="H4189" s="36"/>
    </row>
    <row r="4190">
      <c r="A4190" s="36"/>
      <c r="B4190" s="36" t="str">
        <f>IFERROR(__xludf.DUMMYFUNCTION("""COMPUTED_VALUE"""),"LATITUD")</f>
        <v>LATITUD</v>
      </c>
      <c r="C4190" s="36" t="str">
        <f>IFERROR(__xludf.DUMMYFUNCTION("""COMPUTED_VALUE"""),"LONGITUD")</f>
        <v>LONGITUD</v>
      </c>
      <c r="D4190" s="36" t="str">
        <f>IFERROR(__xludf.DUMMYFUNCTION("""COMPUTED_VALUE"""),"ERROR DE ID")</f>
        <v>ERROR DE ID</v>
      </c>
      <c r="E4190" s="36"/>
      <c r="F4190" s="36"/>
      <c r="G4190" s="36"/>
      <c r="H4190" s="36"/>
    </row>
    <row r="4191">
      <c r="A4191" s="36"/>
      <c r="B4191" s="36" t="str">
        <f>IFERROR(__xludf.DUMMYFUNCTION("""COMPUTED_VALUE"""),"LATITUD")</f>
        <v>LATITUD</v>
      </c>
      <c r="C4191" s="36" t="str">
        <f>IFERROR(__xludf.DUMMYFUNCTION("""COMPUTED_VALUE"""),"LONGITUD")</f>
        <v>LONGITUD</v>
      </c>
      <c r="D4191" s="36" t="str">
        <f>IFERROR(__xludf.DUMMYFUNCTION("""COMPUTED_VALUE"""),"ERROR DE ID")</f>
        <v>ERROR DE ID</v>
      </c>
      <c r="E4191" s="36"/>
      <c r="F4191" s="36"/>
      <c r="G4191" s="36"/>
      <c r="H4191" s="36"/>
    </row>
    <row r="4192">
      <c r="A4192" s="36"/>
      <c r="B4192" s="36" t="str">
        <f>IFERROR(__xludf.DUMMYFUNCTION("""COMPUTED_VALUE"""),"LATITUD")</f>
        <v>LATITUD</v>
      </c>
      <c r="C4192" s="36" t="str">
        <f>IFERROR(__xludf.DUMMYFUNCTION("""COMPUTED_VALUE"""),"LONGITUD")</f>
        <v>LONGITUD</v>
      </c>
      <c r="D4192" s="36" t="str">
        <f>IFERROR(__xludf.DUMMYFUNCTION("""COMPUTED_VALUE"""),"ERROR DE ID")</f>
        <v>ERROR DE ID</v>
      </c>
      <c r="E4192" s="36"/>
      <c r="F4192" s="36"/>
      <c r="G4192" s="36"/>
      <c r="H4192" s="36"/>
    </row>
    <row r="4193">
      <c r="A4193" s="36"/>
      <c r="B4193" s="36" t="str">
        <f>IFERROR(__xludf.DUMMYFUNCTION("""COMPUTED_VALUE"""),"LATITUD")</f>
        <v>LATITUD</v>
      </c>
      <c r="C4193" s="36" t="str">
        <f>IFERROR(__xludf.DUMMYFUNCTION("""COMPUTED_VALUE"""),"LONGITUD")</f>
        <v>LONGITUD</v>
      </c>
      <c r="D4193" s="36" t="str">
        <f>IFERROR(__xludf.DUMMYFUNCTION("""COMPUTED_VALUE"""),"ERROR DE ID")</f>
        <v>ERROR DE ID</v>
      </c>
      <c r="E4193" s="36"/>
      <c r="F4193" s="36"/>
      <c r="G4193" s="36"/>
      <c r="H4193" s="36"/>
    </row>
    <row r="4194">
      <c r="A4194" s="36"/>
      <c r="B4194" s="36" t="str">
        <f>IFERROR(__xludf.DUMMYFUNCTION("""COMPUTED_VALUE"""),"LATITUD")</f>
        <v>LATITUD</v>
      </c>
      <c r="C4194" s="36" t="str">
        <f>IFERROR(__xludf.DUMMYFUNCTION("""COMPUTED_VALUE"""),"LONGITUD")</f>
        <v>LONGITUD</v>
      </c>
      <c r="D4194" s="36" t="str">
        <f>IFERROR(__xludf.DUMMYFUNCTION("""COMPUTED_VALUE"""),"ERROR DE ID")</f>
        <v>ERROR DE ID</v>
      </c>
      <c r="E4194" s="36"/>
      <c r="F4194" s="36"/>
      <c r="G4194" s="36"/>
      <c r="H4194" s="36"/>
    </row>
    <row r="4195">
      <c r="A4195" s="36"/>
      <c r="B4195" s="36" t="str">
        <f>IFERROR(__xludf.DUMMYFUNCTION("""COMPUTED_VALUE"""),"LATITUD")</f>
        <v>LATITUD</v>
      </c>
      <c r="C4195" s="36" t="str">
        <f>IFERROR(__xludf.DUMMYFUNCTION("""COMPUTED_VALUE"""),"LONGITUD")</f>
        <v>LONGITUD</v>
      </c>
      <c r="D4195" s="36" t="str">
        <f>IFERROR(__xludf.DUMMYFUNCTION("""COMPUTED_VALUE"""),"ERROR DE ID")</f>
        <v>ERROR DE ID</v>
      </c>
      <c r="E4195" s="36"/>
      <c r="F4195" s="36"/>
      <c r="G4195" s="36"/>
      <c r="H4195" s="36"/>
    </row>
    <row r="4196">
      <c r="A4196" s="36"/>
      <c r="B4196" s="36" t="str">
        <f>IFERROR(__xludf.DUMMYFUNCTION("""COMPUTED_VALUE"""),"LATITUD")</f>
        <v>LATITUD</v>
      </c>
      <c r="C4196" s="36" t="str">
        <f>IFERROR(__xludf.DUMMYFUNCTION("""COMPUTED_VALUE"""),"LONGITUD")</f>
        <v>LONGITUD</v>
      </c>
      <c r="D4196" s="36" t="str">
        <f>IFERROR(__xludf.DUMMYFUNCTION("""COMPUTED_VALUE"""),"ERROR DE ID")</f>
        <v>ERROR DE ID</v>
      </c>
      <c r="E4196" s="36"/>
      <c r="F4196" s="36"/>
      <c r="G4196" s="36"/>
      <c r="H4196" s="36"/>
    </row>
    <row r="4197">
      <c r="A4197" s="36"/>
      <c r="B4197" s="36" t="str">
        <f>IFERROR(__xludf.DUMMYFUNCTION("""COMPUTED_VALUE"""),"LATITUD")</f>
        <v>LATITUD</v>
      </c>
      <c r="C4197" s="36" t="str">
        <f>IFERROR(__xludf.DUMMYFUNCTION("""COMPUTED_VALUE"""),"LONGITUD")</f>
        <v>LONGITUD</v>
      </c>
      <c r="D4197" s="36" t="str">
        <f>IFERROR(__xludf.DUMMYFUNCTION("""COMPUTED_VALUE"""),"ERROR DE ID")</f>
        <v>ERROR DE ID</v>
      </c>
      <c r="E4197" s="36"/>
      <c r="F4197" s="36"/>
      <c r="G4197" s="36"/>
      <c r="H4197" s="36"/>
    </row>
    <row r="4198">
      <c r="A4198" s="36"/>
      <c r="B4198" s="36" t="str">
        <f>IFERROR(__xludf.DUMMYFUNCTION("""COMPUTED_VALUE"""),"LATITUD")</f>
        <v>LATITUD</v>
      </c>
      <c r="C4198" s="36" t="str">
        <f>IFERROR(__xludf.DUMMYFUNCTION("""COMPUTED_VALUE"""),"LONGITUD")</f>
        <v>LONGITUD</v>
      </c>
      <c r="D4198" s="36" t="str">
        <f>IFERROR(__xludf.DUMMYFUNCTION("""COMPUTED_VALUE"""),"ERROR DE ID")</f>
        <v>ERROR DE ID</v>
      </c>
      <c r="E4198" s="36"/>
      <c r="F4198" s="36"/>
      <c r="G4198" s="36"/>
      <c r="H4198" s="36"/>
    </row>
    <row r="4199">
      <c r="A4199" s="36"/>
      <c r="B4199" s="36" t="str">
        <f>IFERROR(__xludf.DUMMYFUNCTION("""COMPUTED_VALUE"""),"LATITUD")</f>
        <v>LATITUD</v>
      </c>
      <c r="C4199" s="36" t="str">
        <f>IFERROR(__xludf.DUMMYFUNCTION("""COMPUTED_VALUE"""),"LONGITUD")</f>
        <v>LONGITUD</v>
      </c>
      <c r="D4199" s="36" t="str">
        <f>IFERROR(__xludf.DUMMYFUNCTION("""COMPUTED_VALUE"""),"ERROR DE ID")</f>
        <v>ERROR DE ID</v>
      </c>
      <c r="E4199" s="36"/>
      <c r="F4199" s="36"/>
      <c r="G4199" s="36"/>
      <c r="H4199" s="36"/>
    </row>
    <row r="4200">
      <c r="A4200" s="36"/>
      <c r="B4200" s="36" t="str">
        <f>IFERROR(__xludf.DUMMYFUNCTION("""COMPUTED_VALUE"""),"LATITUD")</f>
        <v>LATITUD</v>
      </c>
      <c r="C4200" s="36" t="str">
        <f>IFERROR(__xludf.DUMMYFUNCTION("""COMPUTED_VALUE"""),"LONGITUD")</f>
        <v>LONGITUD</v>
      </c>
      <c r="D4200" s="36" t="str">
        <f>IFERROR(__xludf.DUMMYFUNCTION("""COMPUTED_VALUE"""),"ERROR DE ID")</f>
        <v>ERROR DE ID</v>
      </c>
      <c r="E4200" s="36"/>
      <c r="F4200" s="36"/>
      <c r="G4200" s="36"/>
      <c r="H4200" s="36"/>
    </row>
    <row r="4201">
      <c r="A4201" s="36"/>
      <c r="B4201" s="36" t="str">
        <f>IFERROR(__xludf.DUMMYFUNCTION("""COMPUTED_VALUE"""),"LATITUD")</f>
        <v>LATITUD</v>
      </c>
      <c r="C4201" s="36" t="str">
        <f>IFERROR(__xludf.DUMMYFUNCTION("""COMPUTED_VALUE"""),"LONGITUD")</f>
        <v>LONGITUD</v>
      </c>
      <c r="D4201" s="36" t="str">
        <f>IFERROR(__xludf.DUMMYFUNCTION("""COMPUTED_VALUE"""),"ERROR DE ID")</f>
        <v>ERROR DE ID</v>
      </c>
      <c r="E4201" s="36"/>
      <c r="F4201" s="36"/>
      <c r="G4201" s="36"/>
      <c r="H4201" s="36"/>
    </row>
    <row r="4202">
      <c r="A4202" s="36"/>
      <c r="B4202" s="36" t="str">
        <f>IFERROR(__xludf.DUMMYFUNCTION("""COMPUTED_VALUE"""),"LATITUD")</f>
        <v>LATITUD</v>
      </c>
      <c r="C4202" s="36" t="str">
        <f>IFERROR(__xludf.DUMMYFUNCTION("""COMPUTED_VALUE"""),"LONGITUD")</f>
        <v>LONGITUD</v>
      </c>
      <c r="D4202" s="36" t="str">
        <f>IFERROR(__xludf.DUMMYFUNCTION("""COMPUTED_VALUE"""),"ERROR DE ID")</f>
        <v>ERROR DE ID</v>
      </c>
      <c r="E4202" s="36"/>
      <c r="F4202" s="36"/>
      <c r="G4202" s="36"/>
      <c r="H4202" s="36"/>
    </row>
    <row r="4203">
      <c r="A4203" s="36"/>
      <c r="B4203" s="36" t="str">
        <f>IFERROR(__xludf.DUMMYFUNCTION("""COMPUTED_VALUE"""),"LATITUD")</f>
        <v>LATITUD</v>
      </c>
      <c r="C4203" s="36" t="str">
        <f>IFERROR(__xludf.DUMMYFUNCTION("""COMPUTED_VALUE"""),"LONGITUD")</f>
        <v>LONGITUD</v>
      </c>
      <c r="D4203" s="36" t="str">
        <f>IFERROR(__xludf.DUMMYFUNCTION("""COMPUTED_VALUE"""),"ERROR DE ID")</f>
        <v>ERROR DE ID</v>
      </c>
      <c r="E4203" s="36"/>
      <c r="F4203" s="36"/>
      <c r="G4203" s="36"/>
      <c r="H4203" s="36"/>
    </row>
    <row r="4204">
      <c r="A4204" s="36"/>
      <c r="B4204" s="36" t="str">
        <f>IFERROR(__xludf.DUMMYFUNCTION("""COMPUTED_VALUE"""),"LATITUD")</f>
        <v>LATITUD</v>
      </c>
      <c r="C4204" s="36" t="str">
        <f>IFERROR(__xludf.DUMMYFUNCTION("""COMPUTED_VALUE"""),"LONGITUD")</f>
        <v>LONGITUD</v>
      </c>
      <c r="D4204" s="36" t="str">
        <f>IFERROR(__xludf.DUMMYFUNCTION("""COMPUTED_VALUE"""),"ERROR DE ID")</f>
        <v>ERROR DE ID</v>
      </c>
      <c r="E4204" s="36"/>
      <c r="F4204" s="36"/>
      <c r="G4204" s="36"/>
      <c r="H4204" s="36"/>
    </row>
    <row r="4205">
      <c r="A4205" s="36"/>
      <c r="B4205" s="36" t="str">
        <f>IFERROR(__xludf.DUMMYFUNCTION("""COMPUTED_VALUE"""),"LATITUD")</f>
        <v>LATITUD</v>
      </c>
      <c r="C4205" s="36" t="str">
        <f>IFERROR(__xludf.DUMMYFUNCTION("""COMPUTED_VALUE"""),"LONGITUD")</f>
        <v>LONGITUD</v>
      </c>
      <c r="D4205" s="36" t="str">
        <f>IFERROR(__xludf.DUMMYFUNCTION("""COMPUTED_VALUE"""),"ERROR DE ID")</f>
        <v>ERROR DE ID</v>
      </c>
      <c r="E4205" s="36"/>
      <c r="F4205" s="36"/>
      <c r="G4205" s="36"/>
      <c r="H4205" s="36"/>
    </row>
    <row r="4206">
      <c r="A4206" s="36"/>
      <c r="B4206" s="36" t="str">
        <f>IFERROR(__xludf.DUMMYFUNCTION("""COMPUTED_VALUE"""),"LATITUD")</f>
        <v>LATITUD</v>
      </c>
      <c r="C4206" s="36" t="str">
        <f>IFERROR(__xludf.DUMMYFUNCTION("""COMPUTED_VALUE"""),"LONGITUD")</f>
        <v>LONGITUD</v>
      </c>
      <c r="D4206" s="36" t="str">
        <f>IFERROR(__xludf.DUMMYFUNCTION("""COMPUTED_VALUE"""),"ERROR DE ID")</f>
        <v>ERROR DE ID</v>
      </c>
      <c r="E4206" s="36"/>
      <c r="F4206" s="36"/>
      <c r="G4206" s="36"/>
      <c r="H4206" s="36"/>
    </row>
    <row r="4207">
      <c r="A4207" s="36"/>
      <c r="B4207" s="36" t="str">
        <f>IFERROR(__xludf.DUMMYFUNCTION("""COMPUTED_VALUE"""),"LATITUD")</f>
        <v>LATITUD</v>
      </c>
      <c r="C4207" s="36" t="str">
        <f>IFERROR(__xludf.DUMMYFUNCTION("""COMPUTED_VALUE"""),"LONGITUD")</f>
        <v>LONGITUD</v>
      </c>
      <c r="D4207" s="36" t="str">
        <f>IFERROR(__xludf.DUMMYFUNCTION("""COMPUTED_VALUE"""),"ERROR DE ID")</f>
        <v>ERROR DE ID</v>
      </c>
      <c r="E4207" s="36"/>
      <c r="F4207" s="36"/>
      <c r="G4207" s="36"/>
      <c r="H4207" s="36"/>
    </row>
    <row r="4208">
      <c r="A4208" s="36"/>
      <c r="B4208" s="36" t="str">
        <f>IFERROR(__xludf.DUMMYFUNCTION("""COMPUTED_VALUE"""),"LATITUD")</f>
        <v>LATITUD</v>
      </c>
      <c r="C4208" s="36" t="str">
        <f>IFERROR(__xludf.DUMMYFUNCTION("""COMPUTED_VALUE"""),"LONGITUD")</f>
        <v>LONGITUD</v>
      </c>
      <c r="D4208" s="36" t="str">
        <f>IFERROR(__xludf.DUMMYFUNCTION("""COMPUTED_VALUE"""),"ERROR DE ID")</f>
        <v>ERROR DE ID</v>
      </c>
      <c r="E4208" s="36"/>
      <c r="F4208" s="36"/>
      <c r="G4208" s="36"/>
      <c r="H4208" s="36"/>
    </row>
    <row r="4209">
      <c r="A4209" s="36"/>
      <c r="B4209" s="36" t="str">
        <f>IFERROR(__xludf.DUMMYFUNCTION("""COMPUTED_VALUE"""),"LATITUD")</f>
        <v>LATITUD</v>
      </c>
      <c r="C4209" s="36" t="str">
        <f>IFERROR(__xludf.DUMMYFUNCTION("""COMPUTED_VALUE"""),"LONGITUD")</f>
        <v>LONGITUD</v>
      </c>
      <c r="D4209" s="36" t="str">
        <f>IFERROR(__xludf.DUMMYFUNCTION("""COMPUTED_VALUE"""),"ERROR DE ID")</f>
        <v>ERROR DE ID</v>
      </c>
      <c r="E4209" s="36"/>
      <c r="F4209" s="36"/>
      <c r="G4209" s="36"/>
      <c r="H4209" s="36"/>
    </row>
    <row r="4210">
      <c r="A4210" s="36"/>
      <c r="B4210" s="36" t="str">
        <f>IFERROR(__xludf.DUMMYFUNCTION("""COMPUTED_VALUE"""),"LATITUD")</f>
        <v>LATITUD</v>
      </c>
      <c r="C4210" s="36" t="str">
        <f>IFERROR(__xludf.DUMMYFUNCTION("""COMPUTED_VALUE"""),"LONGITUD")</f>
        <v>LONGITUD</v>
      </c>
      <c r="D4210" s="36" t="str">
        <f>IFERROR(__xludf.DUMMYFUNCTION("""COMPUTED_VALUE"""),"ERROR DE ID")</f>
        <v>ERROR DE ID</v>
      </c>
      <c r="E4210" s="36"/>
      <c r="F4210" s="36"/>
      <c r="G4210" s="36"/>
      <c r="H4210" s="36"/>
    </row>
    <row r="4211">
      <c r="A4211" s="36"/>
      <c r="B4211" s="36" t="str">
        <f>IFERROR(__xludf.DUMMYFUNCTION("""COMPUTED_VALUE"""),"LATITUD")</f>
        <v>LATITUD</v>
      </c>
      <c r="C4211" s="36" t="str">
        <f>IFERROR(__xludf.DUMMYFUNCTION("""COMPUTED_VALUE"""),"LONGITUD")</f>
        <v>LONGITUD</v>
      </c>
      <c r="D4211" s="36" t="str">
        <f>IFERROR(__xludf.DUMMYFUNCTION("""COMPUTED_VALUE"""),"ERROR DE ID")</f>
        <v>ERROR DE ID</v>
      </c>
      <c r="E4211" s="36"/>
      <c r="F4211" s="36"/>
      <c r="G4211" s="36"/>
      <c r="H4211" s="36"/>
    </row>
    <row r="4212">
      <c r="A4212" s="36"/>
      <c r="B4212" s="36" t="str">
        <f>IFERROR(__xludf.DUMMYFUNCTION("""COMPUTED_VALUE"""),"LATITUD")</f>
        <v>LATITUD</v>
      </c>
      <c r="C4212" s="36" t="str">
        <f>IFERROR(__xludf.DUMMYFUNCTION("""COMPUTED_VALUE"""),"LONGITUD")</f>
        <v>LONGITUD</v>
      </c>
      <c r="D4212" s="36" t="str">
        <f>IFERROR(__xludf.DUMMYFUNCTION("""COMPUTED_VALUE"""),"ERROR DE ID")</f>
        <v>ERROR DE ID</v>
      </c>
      <c r="E4212" s="36"/>
      <c r="F4212" s="36"/>
      <c r="G4212" s="36"/>
      <c r="H4212" s="36"/>
    </row>
    <row r="4213">
      <c r="A4213" s="36"/>
      <c r="B4213" s="36" t="str">
        <f>IFERROR(__xludf.DUMMYFUNCTION("""COMPUTED_VALUE"""),"LATITUD")</f>
        <v>LATITUD</v>
      </c>
      <c r="C4213" s="36" t="str">
        <f>IFERROR(__xludf.DUMMYFUNCTION("""COMPUTED_VALUE"""),"LONGITUD")</f>
        <v>LONGITUD</v>
      </c>
      <c r="D4213" s="36" t="str">
        <f>IFERROR(__xludf.DUMMYFUNCTION("""COMPUTED_VALUE"""),"ERROR DE ID")</f>
        <v>ERROR DE ID</v>
      </c>
      <c r="E4213" s="36"/>
      <c r="F4213" s="36"/>
      <c r="G4213" s="36"/>
      <c r="H4213" s="36"/>
    </row>
    <row r="4214">
      <c r="A4214" s="36"/>
      <c r="B4214" s="36" t="str">
        <f>IFERROR(__xludf.DUMMYFUNCTION("""COMPUTED_VALUE"""),"LATITUD")</f>
        <v>LATITUD</v>
      </c>
      <c r="C4214" s="36" t="str">
        <f>IFERROR(__xludf.DUMMYFUNCTION("""COMPUTED_VALUE"""),"LONGITUD")</f>
        <v>LONGITUD</v>
      </c>
      <c r="D4214" s="36" t="str">
        <f>IFERROR(__xludf.DUMMYFUNCTION("""COMPUTED_VALUE"""),"ERROR DE ID")</f>
        <v>ERROR DE ID</v>
      </c>
      <c r="E4214" s="36"/>
      <c r="F4214" s="36"/>
      <c r="G4214" s="36"/>
      <c r="H4214" s="36"/>
    </row>
    <row r="4215">
      <c r="A4215" s="36"/>
      <c r="B4215" s="36" t="str">
        <f>IFERROR(__xludf.DUMMYFUNCTION("""COMPUTED_VALUE"""),"LATITUD")</f>
        <v>LATITUD</v>
      </c>
      <c r="C4215" s="36" t="str">
        <f>IFERROR(__xludf.DUMMYFUNCTION("""COMPUTED_VALUE"""),"LONGITUD")</f>
        <v>LONGITUD</v>
      </c>
      <c r="D4215" s="36" t="str">
        <f>IFERROR(__xludf.DUMMYFUNCTION("""COMPUTED_VALUE"""),"ERROR DE ID")</f>
        <v>ERROR DE ID</v>
      </c>
      <c r="E4215" s="36"/>
      <c r="F4215" s="36"/>
      <c r="G4215" s="36"/>
      <c r="H4215" s="36"/>
    </row>
    <row r="4216">
      <c r="A4216" s="36"/>
      <c r="B4216" s="36" t="str">
        <f>IFERROR(__xludf.DUMMYFUNCTION("""COMPUTED_VALUE"""),"LATITUD")</f>
        <v>LATITUD</v>
      </c>
      <c r="C4216" s="36" t="str">
        <f>IFERROR(__xludf.DUMMYFUNCTION("""COMPUTED_VALUE"""),"LONGITUD")</f>
        <v>LONGITUD</v>
      </c>
      <c r="D4216" s="36" t="str">
        <f>IFERROR(__xludf.DUMMYFUNCTION("""COMPUTED_VALUE"""),"ERROR DE ID")</f>
        <v>ERROR DE ID</v>
      </c>
      <c r="E4216" s="36"/>
      <c r="F4216" s="36"/>
      <c r="G4216" s="36"/>
      <c r="H4216" s="36"/>
    </row>
    <row r="4217">
      <c r="A4217" s="36"/>
      <c r="B4217" s="36" t="str">
        <f>IFERROR(__xludf.DUMMYFUNCTION("""COMPUTED_VALUE"""),"LATITUD")</f>
        <v>LATITUD</v>
      </c>
      <c r="C4217" s="36" t="str">
        <f>IFERROR(__xludf.DUMMYFUNCTION("""COMPUTED_VALUE"""),"LONGITUD")</f>
        <v>LONGITUD</v>
      </c>
      <c r="D4217" s="36" t="str">
        <f>IFERROR(__xludf.DUMMYFUNCTION("""COMPUTED_VALUE"""),"ERROR DE ID")</f>
        <v>ERROR DE ID</v>
      </c>
      <c r="E4217" s="36"/>
      <c r="F4217" s="36"/>
      <c r="G4217" s="36"/>
      <c r="H4217" s="36"/>
    </row>
    <row r="4218">
      <c r="A4218" s="36"/>
      <c r="B4218" s="36" t="str">
        <f>IFERROR(__xludf.DUMMYFUNCTION("""COMPUTED_VALUE"""),"LATITUD")</f>
        <v>LATITUD</v>
      </c>
      <c r="C4218" s="36" t="str">
        <f>IFERROR(__xludf.DUMMYFUNCTION("""COMPUTED_VALUE"""),"LONGITUD")</f>
        <v>LONGITUD</v>
      </c>
      <c r="D4218" s="36" t="str">
        <f>IFERROR(__xludf.DUMMYFUNCTION("""COMPUTED_VALUE"""),"ERROR DE ID")</f>
        <v>ERROR DE ID</v>
      </c>
      <c r="E4218" s="36"/>
      <c r="F4218" s="36"/>
      <c r="G4218" s="36"/>
      <c r="H4218" s="36"/>
    </row>
    <row r="4219">
      <c r="A4219" s="36"/>
      <c r="B4219" s="36" t="str">
        <f>IFERROR(__xludf.DUMMYFUNCTION("""COMPUTED_VALUE"""),"LATITUD")</f>
        <v>LATITUD</v>
      </c>
      <c r="C4219" s="36" t="str">
        <f>IFERROR(__xludf.DUMMYFUNCTION("""COMPUTED_VALUE"""),"LONGITUD")</f>
        <v>LONGITUD</v>
      </c>
      <c r="D4219" s="36" t="str">
        <f>IFERROR(__xludf.DUMMYFUNCTION("""COMPUTED_VALUE"""),"ERROR DE ID")</f>
        <v>ERROR DE ID</v>
      </c>
      <c r="E4219" s="36"/>
      <c r="F4219" s="36"/>
      <c r="G4219" s="36"/>
      <c r="H4219" s="36"/>
    </row>
    <row r="4220">
      <c r="A4220" s="36"/>
      <c r="B4220" s="36" t="str">
        <f>IFERROR(__xludf.DUMMYFUNCTION("""COMPUTED_VALUE"""),"LATITUD")</f>
        <v>LATITUD</v>
      </c>
      <c r="C4220" s="36" t="str">
        <f>IFERROR(__xludf.DUMMYFUNCTION("""COMPUTED_VALUE"""),"LONGITUD")</f>
        <v>LONGITUD</v>
      </c>
      <c r="D4220" s="36" t="str">
        <f>IFERROR(__xludf.DUMMYFUNCTION("""COMPUTED_VALUE"""),"ERROR DE ID")</f>
        <v>ERROR DE ID</v>
      </c>
      <c r="E4220" s="36"/>
      <c r="F4220" s="36"/>
      <c r="G4220" s="36"/>
      <c r="H4220" s="36"/>
    </row>
    <row r="4221">
      <c r="A4221" s="36"/>
      <c r="B4221" s="36" t="str">
        <f>IFERROR(__xludf.DUMMYFUNCTION("""COMPUTED_VALUE"""),"LATITUD")</f>
        <v>LATITUD</v>
      </c>
      <c r="C4221" s="36" t="str">
        <f>IFERROR(__xludf.DUMMYFUNCTION("""COMPUTED_VALUE"""),"LONGITUD")</f>
        <v>LONGITUD</v>
      </c>
      <c r="D4221" s="36" t="str">
        <f>IFERROR(__xludf.DUMMYFUNCTION("""COMPUTED_VALUE"""),"ERROR DE ID")</f>
        <v>ERROR DE ID</v>
      </c>
      <c r="E4221" s="36"/>
      <c r="F4221" s="36"/>
      <c r="G4221" s="36"/>
      <c r="H4221" s="36"/>
    </row>
    <row r="4222">
      <c r="A4222" s="36"/>
      <c r="B4222" s="36" t="str">
        <f>IFERROR(__xludf.DUMMYFUNCTION("""COMPUTED_VALUE"""),"LATITUD")</f>
        <v>LATITUD</v>
      </c>
      <c r="C4222" s="36" t="str">
        <f>IFERROR(__xludf.DUMMYFUNCTION("""COMPUTED_VALUE"""),"LONGITUD")</f>
        <v>LONGITUD</v>
      </c>
      <c r="D4222" s="36" t="str">
        <f>IFERROR(__xludf.DUMMYFUNCTION("""COMPUTED_VALUE"""),"ERROR DE ID")</f>
        <v>ERROR DE ID</v>
      </c>
      <c r="E4222" s="36"/>
      <c r="F4222" s="36"/>
      <c r="G4222" s="36"/>
      <c r="H4222" s="36"/>
    </row>
    <row r="4223">
      <c r="A4223" s="36"/>
      <c r="B4223" s="36" t="str">
        <f>IFERROR(__xludf.DUMMYFUNCTION("""COMPUTED_VALUE"""),"LATITUD")</f>
        <v>LATITUD</v>
      </c>
      <c r="C4223" s="36" t="str">
        <f>IFERROR(__xludf.DUMMYFUNCTION("""COMPUTED_VALUE"""),"LONGITUD")</f>
        <v>LONGITUD</v>
      </c>
      <c r="D4223" s="36" t="str">
        <f>IFERROR(__xludf.DUMMYFUNCTION("""COMPUTED_VALUE"""),"ERROR DE ID")</f>
        <v>ERROR DE ID</v>
      </c>
      <c r="E4223" s="36"/>
      <c r="F4223" s="36"/>
      <c r="G4223" s="36"/>
      <c r="H4223" s="36"/>
    </row>
    <row r="4224">
      <c r="A4224" s="36"/>
      <c r="B4224" s="36" t="str">
        <f>IFERROR(__xludf.DUMMYFUNCTION("""COMPUTED_VALUE"""),"LATITUD")</f>
        <v>LATITUD</v>
      </c>
      <c r="C4224" s="36" t="str">
        <f>IFERROR(__xludf.DUMMYFUNCTION("""COMPUTED_VALUE"""),"LONGITUD")</f>
        <v>LONGITUD</v>
      </c>
      <c r="D4224" s="36" t="str">
        <f>IFERROR(__xludf.DUMMYFUNCTION("""COMPUTED_VALUE"""),"ERROR DE ID")</f>
        <v>ERROR DE ID</v>
      </c>
      <c r="E4224" s="36"/>
      <c r="F4224" s="36"/>
      <c r="G4224" s="36"/>
      <c r="H4224" s="36"/>
    </row>
    <row r="4225">
      <c r="A4225" s="36"/>
      <c r="B4225" s="36" t="str">
        <f>IFERROR(__xludf.DUMMYFUNCTION("""COMPUTED_VALUE"""),"LATITUD")</f>
        <v>LATITUD</v>
      </c>
      <c r="C4225" s="36" t="str">
        <f>IFERROR(__xludf.DUMMYFUNCTION("""COMPUTED_VALUE"""),"LONGITUD")</f>
        <v>LONGITUD</v>
      </c>
      <c r="D4225" s="36" t="str">
        <f>IFERROR(__xludf.DUMMYFUNCTION("""COMPUTED_VALUE"""),"ERROR DE ID")</f>
        <v>ERROR DE ID</v>
      </c>
      <c r="E4225" s="36"/>
      <c r="F4225" s="36"/>
      <c r="G4225" s="36"/>
      <c r="H4225" s="36"/>
    </row>
    <row r="4226">
      <c r="A4226" s="36"/>
      <c r="B4226" s="36" t="str">
        <f>IFERROR(__xludf.DUMMYFUNCTION("""COMPUTED_VALUE"""),"LATITUD")</f>
        <v>LATITUD</v>
      </c>
      <c r="C4226" s="36" t="str">
        <f>IFERROR(__xludf.DUMMYFUNCTION("""COMPUTED_VALUE"""),"LONGITUD")</f>
        <v>LONGITUD</v>
      </c>
      <c r="D4226" s="36" t="str">
        <f>IFERROR(__xludf.DUMMYFUNCTION("""COMPUTED_VALUE"""),"ERROR DE ID")</f>
        <v>ERROR DE ID</v>
      </c>
      <c r="E4226" s="36"/>
      <c r="F4226" s="36"/>
      <c r="G4226" s="36"/>
      <c r="H4226" s="36"/>
    </row>
    <row r="4227">
      <c r="A4227" s="36"/>
      <c r="B4227" s="36" t="str">
        <f>IFERROR(__xludf.DUMMYFUNCTION("""COMPUTED_VALUE"""),"LATITUD")</f>
        <v>LATITUD</v>
      </c>
      <c r="C4227" s="36" t="str">
        <f>IFERROR(__xludf.DUMMYFUNCTION("""COMPUTED_VALUE"""),"LONGITUD")</f>
        <v>LONGITUD</v>
      </c>
      <c r="D4227" s="36" t="str">
        <f>IFERROR(__xludf.DUMMYFUNCTION("""COMPUTED_VALUE"""),"ERROR DE ID")</f>
        <v>ERROR DE ID</v>
      </c>
      <c r="E4227" s="36"/>
      <c r="F4227" s="36"/>
      <c r="G4227" s="36"/>
      <c r="H4227" s="36"/>
    </row>
    <row r="4228">
      <c r="A4228" s="36"/>
      <c r="B4228" s="36" t="str">
        <f>IFERROR(__xludf.DUMMYFUNCTION("""COMPUTED_VALUE"""),"LATITUD")</f>
        <v>LATITUD</v>
      </c>
      <c r="C4228" s="36" t="str">
        <f>IFERROR(__xludf.DUMMYFUNCTION("""COMPUTED_VALUE"""),"LONGITUD")</f>
        <v>LONGITUD</v>
      </c>
      <c r="D4228" s="36" t="str">
        <f>IFERROR(__xludf.DUMMYFUNCTION("""COMPUTED_VALUE"""),"ERROR DE ID")</f>
        <v>ERROR DE ID</v>
      </c>
      <c r="E4228" s="36"/>
      <c r="F4228" s="36"/>
      <c r="G4228" s="36"/>
      <c r="H4228" s="36"/>
    </row>
    <row r="4229">
      <c r="A4229" s="36"/>
      <c r="B4229" s="36" t="str">
        <f>IFERROR(__xludf.DUMMYFUNCTION("""COMPUTED_VALUE"""),"LATITUD")</f>
        <v>LATITUD</v>
      </c>
      <c r="C4229" s="36" t="str">
        <f>IFERROR(__xludf.DUMMYFUNCTION("""COMPUTED_VALUE"""),"LONGITUD")</f>
        <v>LONGITUD</v>
      </c>
      <c r="D4229" s="36" t="str">
        <f>IFERROR(__xludf.DUMMYFUNCTION("""COMPUTED_VALUE"""),"ERROR DE ID")</f>
        <v>ERROR DE ID</v>
      </c>
      <c r="E4229" s="36"/>
      <c r="F4229" s="36"/>
      <c r="G4229" s="36"/>
      <c r="H4229" s="36"/>
    </row>
    <row r="4230">
      <c r="A4230" s="36"/>
      <c r="B4230" s="36" t="str">
        <f>IFERROR(__xludf.DUMMYFUNCTION("""COMPUTED_VALUE"""),"LATITUD")</f>
        <v>LATITUD</v>
      </c>
      <c r="C4230" s="36" t="str">
        <f>IFERROR(__xludf.DUMMYFUNCTION("""COMPUTED_VALUE"""),"LONGITUD")</f>
        <v>LONGITUD</v>
      </c>
      <c r="D4230" s="36" t="str">
        <f>IFERROR(__xludf.DUMMYFUNCTION("""COMPUTED_VALUE"""),"ERROR DE ID")</f>
        <v>ERROR DE ID</v>
      </c>
      <c r="E4230" s="36"/>
      <c r="F4230" s="36"/>
      <c r="G4230" s="36"/>
      <c r="H4230" s="36"/>
    </row>
    <row r="4231">
      <c r="A4231" s="36"/>
      <c r="B4231" s="36" t="str">
        <f>IFERROR(__xludf.DUMMYFUNCTION("""COMPUTED_VALUE"""),"LATITUD")</f>
        <v>LATITUD</v>
      </c>
      <c r="C4231" s="36" t="str">
        <f>IFERROR(__xludf.DUMMYFUNCTION("""COMPUTED_VALUE"""),"LONGITUD")</f>
        <v>LONGITUD</v>
      </c>
      <c r="D4231" s="36" t="str">
        <f>IFERROR(__xludf.DUMMYFUNCTION("""COMPUTED_VALUE"""),"ERROR DE ID")</f>
        <v>ERROR DE ID</v>
      </c>
      <c r="E4231" s="36"/>
      <c r="F4231" s="36"/>
      <c r="G4231" s="36"/>
      <c r="H4231" s="36"/>
    </row>
    <row r="4232">
      <c r="A4232" s="36"/>
      <c r="B4232" s="36" t="str">
        <f>IFERROR(__xludf.DUMMYFUNCTION("""COMPUTED_VALUE"""),"LATITUD")</f>
        <v>LATITUD</v>
      </c>
      <c r="C4232" s="36" t="str">
        <f>IFERROR(__xludf.DUMMYFUNCTION("""COMPUTED_VALUE"""),"LONGITUD")</f>
        <v>LONGITUD</v>
      </c>
      <c r="D4232" s="36" t="str">
        <f>IFERROR(__xludf.DUMMYFUNCTION("""COMPUTED_VALUE"""),"ERROR DE ID")</f>
        <v>ERROR DE ID</v>
      </c>
      <c r="E4232" s="36"/>
      <c r="F4232" s="36"/>
      <c r="G4232" s="36"/>
      <c r="H4232" s="36"/>
    </row>
    <row r="4233">
      <c r="A4233" s="36"/>
      <c r="B4233" s="36" t="str">
        <f>IFERROR(__xludf.DUMMYFUNCTION("""COMPUTED_VALUE"""),"LATITUD")</f>
        <v>LATITUD</v>
      </c>
      <c r="C4233" s="36" t="str">
        <f>IFERROR(__xludf.DUMMYFUNCTION("""COMPUTED_VALUE"""),"LONGITUD")</f>
        <v>LONGITUD</v>
      </c>
      <c r="D4233" s="36" t="str">
        <f>IFERROR(__xludf.DUMMYFUNCTION("""COMPUTED_VALUE"""),"ERROR DE ID")</f>
        <v>ERROR DE ID</v>
      </c>
      <c r="E4233" s="36"/>
      <c r="F4233" s="36"/>
      <c r="G4233" s="36"/>
      <c r="H4233" s="36"/>
    </row>
    <row r="4234">
      <c r="A4234" s="36"/>
      <c r="B4234" s="36" t="str">
        <f>IFERROR(__xludf.DUMMYFUNCTION("""COMPUTED_VALUE"""),"LATITUD")</f>
        <v>LATITUD</v>
      </c>
      <c r="C4234" s="36" t="str">
        <f>IFERROR(__xludf.DUMMYFUNCTION("""COMPUTED_VALUE"""),"LONGITUD")</f>
        <v>LONGITUD</v>
      </c>
      <c r="D4234" s="36" t="str">
        <f>IFERROR(__xludf.DUMMYFUNCTION("""COMPUTED_VALUE"""),"ERROR DE ID")</f>
        <v>ERROR DE ID</v>
      </c>
      <c r="E4234" s="36"/>
      <c r="F4234" s="36"/>
      <c r="G4234" s="36"/>
      <c r="H4234" s="36"/>
    </row>
    <row r="4235">
      <c r="A4235" s="36"/>
      <c r="B4235" s="36" t="str">
        <f>IFERROR(__xludf.DUMMYFUNCTION("""COMPUTED_VALUE"""),"LATITUD")</f>
        <v>LATITUD</v>
      </c>
      <c r="C4235" s="36" t="str">
        <f>IFERROR(__xludf.DUMMYFUNCTION("""COMPUTED_VALUE"""),"LONGITUD")</f>
        <v>LONGITUD</v>
      </c>
      <c r="D4235" s="36" t="str">
        <f>IFERROR(__xludf.DUMMYFUNCTION("""COMPUTED_VALUE"""),"ERROR DE ID")</f>
        <v>ERROR DE ID</v>
      </c>
      <c r="E4235" s="36"/>
      <c r="F4235" s="36"/>
      <c r="G4235" s="36"/>
      <c r="H4235" s="36"/>
    </row>
    <row r="4236">
      <c r="A4236" s="36"/>
      <c r="B4236" s="36" t="str">
        <f>IFERROR(__xludf.DUMMYFUNCTION("""COMPUTED_VALUE"""),"LATITUD")</f>
        <v>LATITUD</v>
      </c>
      <c r="C4236" s="36" t="str">
        <f>IFERROR(__xludf.DUMMYFUNCTION("""COMPUTED_VALUE"""),"LONGITUD")</f>
        <v>LONGITUD</v>
      </c>
      <c r="D4236" s="36" t="str">
        <f>IFERROR(__xludf.DUMMYFUNCTION("""COMPUTED_VALUE"""),"ERROR DE ID")</f>
        <v>ERROR DE ID</v>
      </c>
      <c r="E4236" s="36"/>
      <c r="F4236" s="36"/>
      <c r="G4236" s="36"/>
      <c r="H4236" s="36"/>
    </row>
    <row r="4237">
      <c r="A4237" s="36"/>
      <c r="B4237" s="36" t="str">
        <f>IFERROR(__xludf.DUMMYFUNCTION("""COMPUTED_VALUE"""),"LATITUD")</f>
        <v>LATITUD</v>
      </c>
      <c r="C4237" s="36" t="str">
        <f>IFERROR(__xludf.DUMMYFUNCTION("""COMPUTED_VALUE"""),"LONGITUD")</f>
        <v>LONGITUD</v>
      </c>
      <c r="D4237" s="36" t="str">
        <f>IFERROR(__xludf.DUMMYFUNCTION("""COMPUTED_VALUE"""),"ERROR DE ID")</f>
        <v>ERROR DE ID</v>
      </c>
      <c r="E4237" s="36"/>
      <c r="F4237" s="36"/>
      <c r="G4237" s="36"/>
      <c r="H4237" s="36"/>
    </row>
    <row r="4238">
      <c r="A4238" s="36"/>
      <c r="B4238" s="36" t="str">
        <f>IFERROR(__xludf.DUMMYFUNCTION("""COMPUTED_VALUE"""),"LATITUD")</f>
        <v>LATITUD</v>
      </c>
      <c r="C4238" s="36" t="str">
        <f>IFERROR(__xludf.DUMMYFUNCTION("""COMPUTED_VALUE"""),"LONGITUD")</f>
        <v>LONGITUD</v>
      </c>
      <c r="D4238" s="36" t="str">
        <f>IFERROR(__xludf.DUMMYFUNCTION("""COMPUTED_VALUE"""),"ERROR DE ID")</f>
        <v>ERROR DE ID</v>
      </c>
      <c r="E4238" s="36"/>
      <c r="F4238" s="36"/>
      <c r="G4238" s="36"/>
      <c r="H4238" s="36"/>
    </row>
    <row r="4239">
      <c r="A4239" s="36"/>
      <c r="B4239" s="36" t="str">
        <f>IFERROR(__xludf.DUMMYFUNCTION("""COMPUTED_VALUE"""),"LATITUD")</f>
        <v>LATITUD</v>
      </c>
      <c r="C4239" s="36" t="str">
        <f>IFERROR(__xludf.DUMMYFUNCTION("""COMPUTED_VALUE"""),"LONGITUD")</f>
        <v>LONGITUD</v>
      </c>
      <c r="D4239" s="36" t="str">
        <f>IFERROR(__xludf.DUMMYFUNCTION("""COMPUTED_VALUE"""),"ERROR DE ID")</f>
        <v>ERROR DE ID</v>
      </c>
      <c r="E4239" s="36"/>
      <c r="F4239" s="36"/>
      <c r="G4239" s="36"/>
      <c r="H4239" s="36"/>
    </row>
    <row r="4240">
      <c r="A4240" s="36"/>
      <c r="B4240" s="36" t="str">
        <f>IFERROR(__xludf.DUMMYFUNCTION("""COMPUTED_VALUE"""),"LATITUD")</f>
        <v>LATITUD</v>
      </c>
      <c r="C4240" s="36" t="str">
        <f>IFERROR(__xludf.DUMMYFUNCTION("""COMPUTED_VALUE"""),"LONGITUD")</f>
        <v>LONGITUD</v>
      </c>
      <c r="D4240" s="36" t="str">
        <f>IFERROR(__xludf.DUMMYFUNCTION("""COMPUTED_VALUE"""),"ERROR DE ID")</f>
        <v>ERROR DE ID</v>
      </c>
      <c r="E4240" s="36"/>
      <c r="F4240" s="36"/>
      <c r="G4240" s="36"/>
      <c r="H4240" s="36"/>
    </row>
    <row r="4241">
      <c r="A4241" s="36"/>
      <c r="B4241" s="36" t="str">
        <f>IFERROR(__xludf.DUMMYFUNCTION("""COMPUTED_VALUE"""),"LATITUD")</f>
        <v>LATITUD</v>
      </c>
      <c r="C4241" s="36" t="str">
        <f>IFERROR(__xludf.DUMMYFUNCTION("""COMPUTED_VALUE"""),"LONGITUD")</f>
        <v>LONGITUD</v>
      </c>
      <c r="D4241" s="36" t="str">
        <f>IFERROR(__xludf.DUMMYFUNCTION("""COMPUTED_VALUE"""),"ERROR DE ID")</f>
        <v>ERROR DE ID</v>
      </c>
      <c r="E4241" s="36"/>
      <c r="F4241" s="36"/>
      <c r="G4241" s="36"/>
      <c r="H4241" s="36"/>
    </row>
    <row r="4242">
      <c r="A4242" s="36"/>
      <c r="B4242" s="36" t="str">
        <f>IFERROR(__xludf.DUMMYFUNCTION("""COMPUTED_VALUE"""),"LATITUD")</f>
        <v>LATITUD</v>
      </c>
      <c r="C4242" s="36" t="str">
        <f>IFERROR(__xludf.DUMMYFUNCTION("""COMPUTED_VALUE"""),"LONGITUD")</f>
        <v>LONGITUD</v>
      </c>
      <c r="D4242" s="36" t="str">
        <f>IFERROR(__xludf.DUMMYFUNCTION("""COMPUTED_VALUE"""),"ERROR DE ID")</f>
        <v>ERROR DE ID</v>
      </c>
      <c r="E4242" s="36"/>
      <c r="F4242" s="36"/>
      <c r="G4242" s="36"/>
      <c r="H4242" s="36"/>
    </row>
    <row r="4243">
      <c r="A4243" s="36"/>
      <c r="B4243" s="36" t="str">
        <f>IFERROR(__xludf.DUMMYFUNCTION("""COMPUTED_VALUE"""),"LATITUD")</f>
        <v>LATITUD</v>
      </c>
      <c r="C4243" s="36" t="str">
        <f>IFERROR(__xludf.DUMMYFUNCTION("""COMPUTED_VALUE"""),"LONGITUD")</f>
        <v>LONGITUD</v>
      </c>
      <c r="D4243" s="36" t="str">
        <f>IFERROR(__xludf.DUMMYFUNCTION("""COMPUTED_VALUE"""),"ERROR DE ID")</f>
        <v>ERROR DE ID</v>
      </c>
      <c r="E4243" s="36"/>
      <c r="F4243" s="36"/>
      <c r="G4243" s="36"/>
      <c r="H4243" s="36"/>
    </row>
    <row r="4244">
      <c r="A4244" s="36"/>
      <c r="B4244" s="36" t="str">
        <f>IFERROR(__xludf.DUMMYFUNCTION("""COMPUTED_VALUE"""),"LATITUD")</f>
        <v>LATITUD</v>
      </c>
      <c r="C4244" s="36" t="str">
        <f>IFERROR(__xludf.DUMMYFUNCTION("""COMPUTED_VALUE"""),"LONGITUD")</f>
        <v>LONGITUD</v>
      </c>
      <c r="D4244" s="36" t="str">
        <f>IFERROR(__xludf.DUMMYFUNCTION("""COMPUTED_VALUE"""),"ERROR DE ID")</f>
        <v>ERROR DE ID</v>
      </c>
      <c r="E4244" s="36"/>
      <c r="F4244" s="36"/>
      <c r="G4244" s="36"/>
      <c r="H4244" s="36"/>
    </row>
    <row r="4245">
      <c r="A4245" s="36"/>
      <c r="B4245" s="36" t="str">
        <f>IFERROR(__xludf.DUMMYFUNCTION("""COMPUTED_VALUE"""),"LATITUD")</f>
        <v>LATITUD</v>
      </c>
      <c r="C4245" s="36" t="str">
        <f>IFERROR(__xludf.DUMMYFUNCTION("""COMPUTED_VALUE"""),"LONGITUD")</f>
        <v>LONGITUD</v>
      </c>
      <c r="D4245" s="36" t="str">
        <f>IFERROR(__xludf.DUMMYFUNCTION("""COMPUTED_VALUE"""),"ERROR DE ID")</f>
        <v>ERROR DE ID</v>
      </c>
      <c r="E4245" s="36"/>
      <c r="F4245" s="36"/>
      <c r="G4245" s="36"/>
      <c r="H4245" s="36"/>
    </row>
    <row r="4246">
      <c r="A4246" s="36"/>
      <c r="B4246" s="36" t="str">
        <f>IFERROR(__xludf.DUMMYFUNCTION("""COMPUTED_VALUE"""),"LATITUD")</f>
        <v>LATITUD</v>
      </c>
      <c r="C4246" s="36" t="str">
        <f>IFERROR(__xludf.DUMMYFUNCTION("""COMPUTED_VALUE"""),"LONGITUD")</f>
        <v>LONGITUD</v>
      </c>
      <c r="D4246" s="36" t="str">
        <f>IFERROR(__xludf.DUMMYFUNCTION("""COMPUTED_VALUE"""),"ERROR DE ID")</f>
        <v>ERROR DE ID</v>
      </c>
      <c r="E4246" s="36"/>
      <c r="F4246" s="36"/>
      <c r="G4246" s="36"/>
      <c r="H4246" s="36"/>
    </row>
    <row r="4247">
      <c r="A4247" s="36"/>
      <c r="B4247" s="36" t="str">
        <f>IFERROR(__xludf.DUMMYFUNCTION("""COMPUTED_VALUE"""),"LATITUD")</f>
        <v>LATITUD</v>
      </c>
      <c r="C4247" s="36" t="str">
        <f>IFERROR(__xludf.DUMMYFUNCTION("""COMPUTED_VALUE"""),"LONGITUD")</f>
        <v>LONGITUD</v>
      </c>
      <c r="D4247" s="36" t="str">
        <f>IFERROR(__xludf.DUMMYFUNCTION("""COMPUTED_VALUE"""),"ERROR DE ID")</f>
        <v>ERROR DE ID</v>
      </c>
      <c r="E4247" s="36"/>
      <c r="F4247" s="36"/>
      <c r="G4247" s="36"/>
      <c r="H4247" s="36"/>
    </row>
    <row r="4248">
      <c r="A4248" s="36"/>
      <c r="B4248" s="36" t="str">
        <f>IFERROR(__xludf.DUMMYFUNCTION("""COMPUTED_VALUE"""),"LATITUD")</f>
        <v>LATITUD</v>
      </c>
      <c r="C4248" s="36" t="str">
        <f>IFERROR(__xludf.DUMMYFUNCTION("""COMPUTED_VALUE"""),"LONGITUD")</f>
        <v>LONGITUD</v>
      </c>
      <c r="D4248" s="36" t="str">
        <f>IFERROR(__xludf.DUMMYFUNCTION("""COMPUTED_VALUE"""),"ERROR DE ID")</f>
        <v>ERROR DE ID</v>
      </c>
      <c r="E4248" s="36"/>
      <c r="F4248" s="36"/>
      <c r="G4248" s="36"/>
      <c r="H4248" s="36"/>
    </row>
    <row r="4249">
      <c r="A4249" s="36"/>
      <c r="B4249" s="36" t="str">
        <f>IFERROR(__xludf.DUMMYFUNCTION("""COMPUTED_VALUE"""),"LATITUD")</f>
        <v>LATITUD</v>
      </c>
      <c r="C4249" s="36" t="str">
        <f>IFERROR(__xludf.DUMMYFUNCTION("""COMPUTED_VALUE"""),"LONGITUD")</f>
        <v>LONGITUD</v>
      </c>
      <c r="D4249" s="36" t="str">
        <f>IFERROR(__xludf.DUMMYFUNCTION("""COMPUTED_VALUE"""),"ERROR DE ID")</f>
        <v>ERROR DE ID</v>
      </c>
      <c r="E4249" s="36"/>
      <c r="F4249" s="36"/>
      <c r="G4249" s="36"/>
      <c r="H4249" s="36"/>
    </row>
    <row r="4250">
      <c r="A4250" s="36"/>
      <c r="B4250" s="36" t="str">
        <f>IFERROR(__xludf.DUMMYFUNCTION("""COMPUTED_VALUE"""),"LATITUD")</f>
        <v>LATITUD</v>
      </c>
      <c r="C4250" s="36" t="str">
        <f>IFERROR(__xludf.DUMMYFUNCTION("""COMPUTED_VALUE"""),"LONGITUD")</f>
        <v>LONGITUD</v>
      </c>
      <c r="D4250" s="36" t="str">
        <f>IFERROR(__xludf.DUMMYFUNCTION("""COMPUTED_VALUE"""),"ERROR DE ID")</f>
        <v>ERROR DE ID</v>
      </c>
      <c r="E4250" s="36"/>
      <c r="F4250" s="36"/>
      <c r="G4250" s="36"/>
      <c r="H4250" s="36"/>
    </row>
    <row r="4251">
      <c r="A4251" s="36"/>
      <c r="B4251" s="36" t="str">
        <f>IFERROR(__xludf.DUMMYFUNCTION("""COMPUTED_VALUE"""),"LATITUD")</f>
        <v>LATITUD</v>
      </c>
      <c r="C4251" s="36" t="str">
        <f>IFERROR(__xludf.DUMMYFUNCTION("""COMPUTED_VALUE"""),"LONGITUD")</f>
        <v>LONGITUD</v>
      </c>
      <c r="D4251" s="36" t="str">
        <f>IFERROR(__xludf.DUMMYFUNCTION("""COMPUTED_VALUE"""),"ERROR DE ID")</f>
        <v>ERROR DE ID</v>
      </c>
      <c r="E4251" s="36"/>
      <c r="F4251" s="36"/>
      <c r="G4251" s="36"/>
      <c r="H4251" s="36"/>
    </row>
    <row r="4252">
      <c r="A4252" s="36"/>
      <c r="B4252" s="36" t="str">
        <f>IFERROR(__xludf.DUMMYFUNCTION("""COMPUTED_VALUE"""),"LATITUD")</f>
        <v>LATITUD</v>
      </c>
      <c r="C4252" s="36" t="str">
        <f>IFERROR(__xludf.DUMMYFUNCTION("""COMPUTED_VALUE"""),"LONGITUD")</f>
        <v>LONGITUD</v>
      </c>
      <c r="D4252" s="36" t="str">
        <f>IFERROR(__xludf.DUMMYFUNCTION("""COMPUTED_VALUE"""),"ERROR DE ID")</f>
        <v>ERROR DE ID</v>
      </c>
      <c r="E4252" s="36"/>
      <c r="F4252" s="36"/>
      <c r="G4252" s="36"/>
      <c r="H4252" s="36"/>
    </row>
    <row r="4253">
      <c r="A4253" s="36"/>
      <c r="B4253" s="36" t="str">
        <f>IFERROR(__xludf.DUMMYFUNCTION("""COMPUTED_VALUE"""),"LATITUD")</f>
        <v>LATITUD</v>
      </c>
      <c r="C4253" s="36" t="str">
        <f>IFERROR(__xludf.DUMMYFUNCTION("""COMPUTED_VALUE"""),"LONGITUD")</f>
        <v>LONGITUD</v>
      </c>
      <c r="D4253" s="36" t="str">
        <f>IFERROR(__xludf.DUMMYFUNCTION("""COMPUTED_VALUE"""),"ERROR DE ID")</f>
        <v>ERROR DE ID</v>
      </c>
      <c r="E4253" s="36"/>
      <c r="F4253" s="36"/>
      <c r="G4253" s="36"/>
      <c r="H4253" s="36"/>
    </row>
    <row r="4254">
      <c r="A4254" s="36"/>
      <c r="B4254" s="36" t="str">
        <f>IFERROR(__xludf.DUMMYFUNCTION("""COMPUTED_VALUE"""),"LATITUD")</f>
        <v>LATITUD</v>
      </c>
      <c r="C4254" s="36" t="str">
        <f>IFERROR(__xludf.DUMMYFUNCTION("""COMPUTED_VALUE"""),"LONGITUD")</f>
        <v>LONGITUD</v>
      </c>
      <c r="D4254" s="36" t="str">
        <f>IFERROR(__xludf.DUMMYFUNCTION("""COMPUTED_VALUE"""),"ERROR DE ID")</f>
        <v>ERROR DE ID</v>
      </c>
      <c r="E4254" s="36"/>
      <c r="F4254" s="36"/>
      <c r="G4254" s="36"/>
      <c r="H4254" s="36"/>
    </row>
    <row r="4255">
      <c r="A4255" s="36"/>
      <c r="B4255" s="36" t="str">
        <f>IFERROR(__xludf.DUMMYFUNCTION("""COMPUTED_VALUE"""),"LATITUD")</f>
        <v>LATITUD</v>
      </c>
      <c r="C4255" s="36" t="str">
        <f>IFERROR(__xludf.DUMMYFUNCTION("""COMPUTED_VALUE"""),"LONGITUD")</f>
        <v>LONGITUD</v>
      </c>
      <c r="D4255" s="36" t="str">
        <f>IFERROR(__xludf.DUMMYFUNCTION("""COMPUTED_VALUE"""),"ERROR DE ID")</f>
        <v>ERROR DE ID</v>
      </c>
      <c r="E4255" s="36"/>
      <c r="F4255" s="36"/>
      <c r="G4255" s="36"/>
      <c r="H4255" s="36"/>
    </row>
    <row r="4256">
      <c r="A4256" s="36"/>
      <c r="B4256" s="36" t="str">
        <f>IFERROR(__xludf.DUMMYFUNCTION("""COMPUTED_VALUE"""),"LATITUD")</f>
        <v>LATITUD</v>
      </c>
      <c r="C4256" s="36" t="str">
        <f>IFERROR(__xludf.DUMMYFUNCTION("""COMPUTED_VALUE"""),"LONGITUD")</f>
        <v>LONGITUD</v>
      </c>
      <c r="D4256" s="36" t="str">
        <f>IFERROR(__xludf.DUMMYFUNCTION("""COMPUTED_VALUE"""),"ERROR DE ID")</f>
        <v>ERROR DE ID</v>
      </c>
      <c r="E4256" s="36"/>
      <c r="F4256" s="36"/>
      <c r="G4256" s="36"/>
      <c r="H4256" s="36"/>
    </row>
    <row r="4257">
      <c r="A4257" s="36"/>
      <c r="B4257" s="36" t="str">
        <f>IFERROR(__xludf.DUMMYFUNCTION("""COMPUTED_VALUE"""),"LATITUD")</f>
        <v>LATITUD</v>
      </c>
      <c r="C4257" s="36" t="str">
        <f>IFERROR(__xludf.DUMMYFUNCTION("""COMPUTED_VALUE"""),"LONGITUD")</f>
        <v>LONGITUD</v>
      </c>
      <c r="D4257" s="36" t="str">
        <f>IFERROR(__xludf.DUMMYFUNCTION("""COMPUTED_VALUE"""),"ERROR DE ID")</f>
        <v>ERROR DE ID</v>
      </c>
      <c r="E4257" s="36"/>
      <c r="F4257" s="36"/>
      <c r="G4257" s="36"/>
      <c r="H4257" s="36"/>
    </row>
    <row r="4258">
      <c r="A4258" s="36"/>
      <c r="B4258" s="36" t="str">
        <f>IFERROR(__xludf.DUMMYFUNCTION("""COMPUTED_VALUE"""),"LATITUD")</f>
        <v>LATITUD</v>
      </c>
      <c r="C4258" s="36" t="str">
        <f>IFERROR(__xludf.DUMMYFUNCTION("""COMPUTED_VALUE"""),"LONGITUD")</f>
        <v>LONGITUD</v>
      </c>
      <c r="D4258" s="36" t="str">
        <f>IFERROR(__xludf.DUMMYFUNCTION("""COMPUTED_VALUE"""),"ERROR DE ID")</f>
        <v>ERROR DE ID</v>
      </c>
      <c r="E4258" s="36"/>
      <c r="F4258" s="36"/>
      <c r="G4258" s="36"/>
      <c r="H4258" s="36"/>
    </row>
    <row r="4259">
      <c r="A4259" s="36"/>
      <c r="B4259" s="36" t="str">
        <f>IFERROR(__xludf.DUMMYFUNCTION("""COMPUTED_VALUE"""),"LATITUD")</f>
        <v>LATITUD</v>
      </c>
      <c r="C4259" s="36" t="str">
        <f>IFERROR(__xludf.DUMMYFUNCTION("""COMPUTED_VALUE"""),"LONGITUD")</f>
        <v>LONGITUD</v>
      </c>
      <c r="D4259" s="36" t="str">
        <f>IFERROR(__xludf.DUMMYFUNCTION("""COMPUTED_VALUE"""),"ERROR DE ID")</f>
        <v>ERROR DE ID</v>
      </c>
      <c r="E4259" s="36"/>
      <c r="F4259" s="36"/>
      <c r="G4259" s="36"/>
      <c r="H4259" s="36"/>
    </row>
    <row r="4260">
      <c r="A4260" s="36"/>
      <c r="B4260" s="36" t="str">
        <f>IFERROR(__xludf.DUMMYFUNCTION("""COMPUTED_VALUE"""),"LATITUD")</f>
        <v>LATITUD</v>
      </c>
      <c r="C4260" s="36" t="str">
        <f>IFERROR(__xludf.DUMMYFUNCTION("""COMPUTED_VALUE"""),"LONGITUD")</f>
        <v>LONGITUD</v>
      </c>
      <c r="D4260" s="36" t="str">
        <f>IFERROR(__xludf.DUMMYFUNCTION("""COMPUTED_VALUE"""),"ERROR DE ID")</f>
        <v>ERROR DE ID</v>
      </c>
      <c r="E4260" s="36"/>
      <c r="F4260" s="36"/>
      <c r="G4260" s="36"/>
      <c r="H4260" s="36"/>
    </row>
    <row r="4261">
      <c r="A4261" s="36"/>
      <c r="B4261" s="36" t="str">
        <f>IFERROR(__xludf.DUMMYFUNCTION("""COMPUTED_VALUE"""),"LATITUD")</f>
        <v>LATITUD</v>
      </c>
      <c r="C4261" s="36" t="str">
        <f>IFERROR(__xludf.DUMMYFUNCTION("""COMPUTED_VALUE"""),"LONGITUD")</f>
        <v>LONGITUD</v>
      </c>
      <c r="D4261" s="36" t="str">
        <f>IFERROR(__xludf.DUMMYFUNCTION("""COMPUTED_VALUE"""),"ERROR DE ID")</f>
        <v>ERROR DE ID</v>
      </c>
      <c r="E4261" s="36"/>
      <c r="F4261" s="36"/>
      <c r="G4261" s="36"/>
      <c r="H4261" s="36"/>
    </row>
    <row r="4262">
      <c r="A4262" s="36"/>
      <c r="B4262" s="36" t="str">
        <f>IFERROR(__xludf.DUMMYFUNCTION("""COMPUTED_VALUE"""),"LATITUD")</f>
        <v>LATITUD</v>
      </c>
      <c r="C4262" s="36" t="str">
        <f>IFERROR(__xludf.DUMMYFUNCTION("""COMPUTED_VALUE"""),"LONGITUD")</f>
        <v>LONGITUD</v>
      </c>
      <c r="D4262" s="36" t="str">
        <f>IFERROR(__xludf.DUMMYFUNCTION("""COMPUTED_VALUE"""),"ERROR DE ID")</f>
        <v>ERROR DE ID</v>
      </c>
      <c r="E4262" s="36"/>
      <c r="F4262" s="36"/>
      <c r="G4262" s="36"/>
      <c r="H4262" s="36"/>
    </row>
    <row r="4263">
      <c r="A4263" s="36"/>
      <c r="B4263" s="36" t="str">
        <f>IFERROR(__xludf.DUMMYFUNCTION("""COMPUTED_VALUE"""),"LATITUD")</f>
        <v>LATITUD</v>
      </c>
      <c r="C4263" s="36" t="str">
        <f>IFERROR(__xludf.DUMMYFUNCTION("""COMPUTED_VALUE"""),"LONGITUD")</f>
        <v>LONGITUD</v>
      </c>
      <c r="D4263" s="36" t="str">
        <f>IFERROR(__xludf.DUMMYFUNCTION("""COMPUTED_VALUE"""),"ERROR DE ID")</f>
        <v>ERROR DE ID</v>
      </c>
      <c r="E4263" s="36"/>
      <c r="F4263" s="36"/>
      <c r="G4263" s="36"/>
      <c r="H4263" s="36"/>
    </row>
    <row r="4264">
      <c r="A4264" s="36"/>
      <c r="B4264" s="36" t="str">
        <f>IFERROR(__xludf.DUMMYFUNCTION("""COMPUTED_VALUE"""),"LATITUD")</f>
        <v>LATITUD</v>
      </c>
      <c r="C4264" s="36" t="str">
        <f>IFERROR(__xludf.DUMMYFUNCTION("""COMPUTED_VALUE"""),"LONGITUD")</f>
        <v>LONGITUD</v>
      </c>
      <c r="D4264" s="36" t="str">
        <f>IFERROR(__xludf.DUMMYFUNCTION("""COMPUTED_VALUE"""),"ERROR DE ID")</f>
        <v>ERROR DE ID</v>
      </c>
      <c r="E4264" s="36"/>
      <c r="F4264" s="36"/>
      <c r="G4264" s="36"/>
      <c r="H4264" s="36"/>
    </row>
    <row r="4265">
      <c r="A4265" s="36"/>
      <c r="B4265" s="36" t="str">
        <f>IFERROR(__xludf.DUMMYFUNCTION("""COMPUTED_VALUE"""),"LATITUD")</f>
        <v>LATITUD</v>
      </c>
      <c r="C4265" s="36" t="str">
        <f>IFERROR(__xludf.DUMMYFUNCTION("""COMPUTED_VALUE"""),"LONGITUD")</f>
        <v>LONGITUD</v>
      </c>
      <c r="D4265" s="36" t="str">
        <f>IFERROR(__xludf.DUMMYFUNCTION("""COMPUTED_VALUE"""),"ERROR DE ID")</f>
        <v>ERROR DE ID</v>
      </c>
      <c r="E4265" s="36"/>
      <c r="F4265" s="36"/>
      <c r="G4265" s="36"/>
      <c r="H4265" s="36"/>
    </row>
    <row r="4266">
      <c r="A4266" s="36"/>
      <c r="B4266" s="36" t="str">
        <f>IFERROR(__xludf.DUMMYFUNCTION("""COMPUTED_VALUE"""),"LATITUD")</f>
        <v>LATITUD</v>
      </c>
      <c r="C4266" s="36" t="str">
        <f>IFERROR(__xludf.DUMMYFUNCTION("""COMPUTED_VALUE"""),"LONGITUD")</f>
        <v>LONGITUD</v>
      </c>
      <c r="D4266" s="36" t="str">
        <f>IFERROR(__xludf.DUMMYFUNCTION("""COMPUTED_VALUE"""),"ERROR DE ID")</f>
        <v>ERROR DE ID</v>
      </c>
      <c r="E4266" s="36"/>
      <c r="F4266" s="36"/>
      <c r="G4266" s="36"/>
      <c r="H4266" s="36"/>
    </row>
    <row r="4267">
      <c r="A4267" s="36"/>
      <c r="B4267" s="36" t="str">
        <f>IFERROR(__xludf.DUMMYFUNCTION("""COMPUTED_VALUE"""),"LATITUD")</f>
        <v>LATITUD</v>
      </c>
      <c r="C4267" s="36" t="str">
        <f>IFERROR(__xludf.DUMMYFUNCTION("""COMPUTED_VALUE"""),"LONGITUD")</f>
        <v>LONGITUD</v>
      </c>
      <c r="D4267" s="36" t="str">
        <f>IFERROR(__xludf.DUMMYFUNCTION("""COMPUTED_VALUE"""),"ERROR DE ID")</f>
        <v>ERROR DE ID</v>
      </c>
      <c r="E4267" s="36"/>
      <c r="F4267" s="36"/>
      <c r="G4267" s="36"/>
      <c r="H4267" s="36"/>
    </row>
    <row r="4268">
      <c r="A4268" s="36"/>
      <c r="B4268" s="36" t="str">
        <f>IFERROR(__xludf.DUMMYFUNCTION("""COMPUTED_VALUE"""),"LATITUD")</f>
        <v>LATITUD</v>
      </c>
      <c r="C4268" s="36" t="str">
        <f>IFERROR(__xludf.DUMMYFUNCTION("""COMPUTED_VALUE"""),"LONGITUD")</f>
        <v>LONGITUD</v>
      </c>
      <c r="D4268" s="36" t="str">
        <f>IFERROR(__xludf.DUMMYFUNCTION("""COMPUTED_VALUE"""),"ERROR DE ID")</f>
        <v>ERROR DE ID</v>
      </c>
      <c r="E4268" s="36"/>
      <c r="F4268" s="36"/>
      <c r="G4268" s="36"/>
      <c r="H4268" s="36"/>
    </row>
    <row r="4269">
      <c r="A4269" s="36"/>
      <c r="B4269" s="36" t="str">
        <f>IFERROR(__xludf.DUMMYFUNCTION("""COMPUTED_VALUE"""),"LATITUD")</f>
        <v>LATITUD</v>
      </c>
      <c r="C4269" s="36" t="str">
        <f>IFERROR(__xludf.DUMMYFUNCTION("""COMPUTED_VALUE"""),"LONGITUD")</f>
        <v>LONGITUD</v>
      </c>
      <c r="D4269" s="36" t="str">
        <f>IFERROR(__xludf.DUMMYFUNCTION("""COMPUTED_VALUE"""),"ERROR DE ID")</f>
        <v>ERROR DE ID</v>
      </c>
      <c r="E4269" s="36"/>
      <c r="F4269" s="36"/>
      <c r="G4269" s="36"/>
      <c r="H4269" s="36"/>
    </row>
    <row r="4270">
      <c r="A4270" s="36"/>
      <c r="B4270" s="36" t="str">
        <f>IFERROR(__xludf.DUMMYFUNCTION("""COMPUTED_VALUE"""),"LATITUD")</f>
        <v>LATITUD</v>
      </c>
      <c r="C4270" s="36" t="str">
        <f>IFERROR(__xludf.DUMMYFUNCTION("""COMPUTED_VALUE"""),"LONGITUD")</f>
        <v>LONGITUD</v>
      </c>
      <c r="D4270" s="36" t="str">
        <f>IFERROR(__xludf.DUMMYFUNCTION("""COMPUTED_VALUE"""),"ERROR DE ID")</f>
        <v>ERROR DE ID</v>
      </c>
      <c r="E4270" s="36"/>
      <c r="F4270" s="36"/>
      <c r="G4270" s="36"/>
      <c r="H4270" s="36"/>
    </row>
    <row r="4271">
      <c r="A4271" s="36"/>
      <c r="B4271" s="36" t="str">
        <f>IFERROR(__xludf.DUMMYFUNCTION("""COMPUTED_VALUE"""),"LATITUD")</f>
        <v>LATITUD</v>
      </c>
      <c r="C4271" s="36" t="str">
        <f>IFERROR(__xludf.DUMMYFUNCTION("""COMPUTED_VALUE"""),"LONGITUD")</f>
        <v>LONGITUD</v>
      </c>
      <c r="D4271" s="36" t="str">
        <f>IFERROR(__xludf.DUMMYFUNCTION("""COMPUTED_VALUE"""),"ERROR DE ID")</f>
        <v>ERROR DE ID</v>
      </c>
      <c r="E4271" s="36"/>
      <c r="F4271" s="36"/>
      <c r="G4271" s="36"/>
      <c r="H4271" s="36"/>
    </row>
    <row r="4272">
      <c r="A4272" s="36"/>
      <c r="B4272" s="36" t="str">
        <f>IFERROR(__xludf.DUMMYFUNCTION("""COMPUTED_VALUE"""),"LATITUD")</f>
        <v>LATITUD</v>
      </c>
      <c r="C4272" s="36" t="str">
        <f>IFERROR(__xludf.DUMMYFUNCTION("""COMPUTED_VALUE"""),"LONGITUD")</f>
        <v>LONGITUD</v>
      </c>
      <c r="D4272" s="36" t="str">
        <f>IFERROR(__xludf.DUMMYFUNCTION("""COMPUTED_VALUE"""),"ERROR DE ID")</f>
        <v>ERROR DE ID</v>
      </c>
      <c r="E4272" s="36"/>
      <c r="F4272" s="36"/>
      <c r="G4272" s="36"/>
      <c r="H4272" s="36"/>
    </row>
    <row r="4273">
      <c r="A4273" s="36"/>
      <c r="B4273" s="36" t="str">
        <f>IFERROR(__xludf.DUMMYFUNCTION("""COMPUTED_VALUE"""),"LATITUD")</f>
        <v>LATITUD</v>
      </c>
      <c r="C4273" s="36" t="str">
        <f>IFERROR(__xludf.DUMMYFUNCTION("""COMPUTED_VALUE"""),"LONGITUD")</f>
        <v>LONGITUD</v>
      </c>
      <c r="D4273" s="36" t="str">
        <f>IFERROR(__xludf.DUMMYFUNCTION("""COMPUTED_VALUE"""),"ERROR DE ID")</f>
        <v>ERROR DE ID</v>
      </c>
      <c r="E4273" s="36"/>
      <c r="F4273" s="36"/>
      <c r="G4273" s="36"/>
      <c r="H4273" s="36"/>
    </row>
    <row r="4274">
      <c r="A4274" s="36"/>
      <c r="B4274" s="36" t="str">
        <f>IFERROR(__xludf.DUMMYFUNCTION("""COMPUTED_VALUE"""),"LATITUD")</f>
        <v>LATITUD</v>
      </c>
      <c r="C4274" s="36" t="str">
        <f>IFERROR(__xludf.DUMMYFUNCTION("""COMPUTED_VALUE"""),"LONGITUD")</f>
        <v>LONGITUD</v>
      </c>
      <c r="D4274" s="36" t="str">
        <f>IFERROR(__xludf.DUMMYFUNCTION("""COMPUTED_VALUE"""),"ERROR DE ID")</f>
        <v>ERROR DE ID</v>
      </c>
      <c r="E4274" s="36"/>
      <c r="F4274" s="36"/>
      <c r="G4274" s="36"/>
      <c r="H4274" s="36"/>
    </row>
    <row r="4275">
      <c r="A4275" s="36"/>
      <c r="B4275" s="36" t="str">
        <f>IFERROR(__xludf.DUMMYFUNCTION("""COMPUTED_VALUE"""),"LATITUD")</f>
        <v>LATITUD</v>
      </c>
      <c r="C4275" s="36" t="str">
        <f>IFERROR(__xludf.DUMMYFUNCTION("""COMPUTED_VALUE"""),"LONGITUD")</f>
        <v>LONGITUD</v>
      </c>
      <c r="D4275" s="36" t="str">
        <f>IFERROR(__xludf.DUMMYFUNCTION("""COMPUTED_VALUE"""),"ERROR DE ID")</f>
        <v>ERROR DE ID</v>
      </c>
      <c r="E4275" s="36"/>
      <c r="F4275" s="36"/>
      <c r="G4275" s="36"/>
      <c r="H4275" s="36"/>
    </row>
    <row r="4276">
      <c r="A4276" s="36"/>
      <c r="B4276" s="36" t="str">
        <f>IFERROR(__xludf.DUMMYFUNCTION("""COMPUTED_VALUE"""),"LATITUD")</f>
        <v>LATITUD</v>
      </c>
      <c r="C4276" s="36" t="str">
        <f>IFERROR(__xludf.DUMMYFUNCTION("""COMPUTED_VALUE"""),"LONGITUD")</f>
        <v>LONGITUD</v>
      </c>
      <c r="D4276" s="36" t="str">
        <f>IFERROR(__xludf.DUMMYFUNCTION("""COMPUTED_VALUE"""),"ERROR DE ID")</f>
        <v>ERROR DE ID</v>
      </c>
      <c r="E4276" s="36"/>
      <c r="F4276" s="36"/>
      <c r="G4276" s="36"/>
      <c r="H4276" s="36"/>
    </row>
    <row r="4277">
      <c r="A4277" s="36"/>
      <c r="B4277" s="36" t="str">
        <f>IFERROR(__xludf.DUMMYFUNCTION("""COMPUTED_VALUE"""),"LATITUD")</f>
        <v>LATITUD</v>
      </c>
      <c r="C4277" s="36" t="str">
        <f>IFERROR(__xludf.DUMMYFUNCTION("""COMPUTED_VALUE"""),"LONGITUD")</f>
        <v>LONGITUD</v>
      </c>
      <c r="D4277" s="36" t="str">
        <f>IFERROR(__xludf.DUMMYFUNCTION("""COMPUTED_VALUE"""),"ERROR DE ID")</f>
        <v>ERROR DE ID</v>
      </c>
      <c r="E4277" s="36"/>
      <c r="F4277" s="36"/>
      <c r="G4277" s="36"/>
      <c r="H4277" s="36"/>
    </row>
    <row r="4278">
      <c r="A4278" s="36"/>
      <c r="B4278" s="36" t="str">
        <f>IFERROR(__xludf.DUMMYFUNCTION("""COMPUTED_VALUE"""),"LATITUD")</f>
        <v>LATITUD</v>
      </c>
      <c r="C4278" s="36" t="str">
        <f>IFERROR(__xludf.DUMMYFUNCTION("""COMPUTED_VALUE"""),"LONGITUD")</f>
        <v>LONGITUD</v>
      </c>
      <c r="D4278" s="36" t="str">
        <f>IFERROR(__xludf.DUMMYFUNCTION("""COMPUTED_VALUE"""),"ERROR DE ID")</f>
        <v>ERROR DE ID</v>
      </c>
      <c r="E4278" s="36"/>
      <c r="F4278" s="36"/>
      <c r="G4278" s="36"/>
      <c r="H4278" s="36"/>
    </row>
    <row r="4279">
      <c r="A4279" s="36"/>
      <c r="B4279" s="36" t="str">
        <f>IFERROR(__xludf.DUMMYFUNCTION("""COMPUTED_VALUE"""),"LATITUD")</f>
        <v>LATITUD</v>
      </c>
      <c r="C4279" s="36" t="str">
        <f>IFERROR(__xludf.DUMMYFUNCTION("""COMPUTED_VALUE"""),"LONGITUD")</f>
        <v>LONGITUD</v>
      </c>
      <c r="D4279" s="36" t="str">
        <f>IFERROR(__xludf.DUMMYFUNCTION("""COMPUTED_VALUE"""),"ERROR DE ID")</f>
        <v>ERROR DE ID</v>
      </c>
      <c r="E4279" s="36"/>
      <c r="F4279" s="36"/>
      <c r="G4279" s="36"/>
      <c r="H4279" s="36"/>
    </row>
    <row r="4280">
      <c r="A4280" s="36"/>
      <c r="B4280" s="36" t="str">
        <f>IFERROR(__xludf.DUMMYFUNCTION("""COMPUTED_VALUE"""),"LATITUD")</f>
        <v>LATITUD</v>
      </c>
      <c r="C4280" s="36" t="str">
        <f>IFERROR(__xludf.DUMMYFUNCTION("""COMPUTED_VALUE"""),"LONGITUD")</f>
        <v>LONGITUD</v>
      </c>
      <c r="D4280" s="36" t="str">
        <f>IFERROR(__xludf.DUMMYFUNCTION("""COMPUTED_VALUE"""),"ERROR DE ID")</f>
        <v>ERROR DE ID</v>
      </c>
      <c r="E4280" s="36"/>
      <c r="F4280" s="36"/>
      <c r="G4280" s="36"/>
      <c r="H4280" s="36"/>
    </row>
    <row r="4281">
      <c r="A4281" s="36"/>
      <c r="B4281" s="36" t="str">
        <f>IFERROR(__xludf.DUMMYFUNCTION("""COMPUTED_VALUE"""),"LATITUD")</f>
        <v>LATITUD</v>
      </c>
      <c r="C4281" s="36" t="str">
        <f>IFERROR(__xludf.DUMMYFUNCTION("""COMPUTED_VALUE"""),"LONGITUD")</f>
        <v>LONGITUD</v>
      </c>
      <c r="D4281" s="36" t="str">
        <f>IFERROR(__xludf.DUMMYFUNCTION("""COMPUTED_VALUE"""),"ERROR DE ID")</f>
        <v>ERROR DE ID</v>
      </c>
      <c r="E4281" s="36"/>
      <c r="F4281" s="36"/>
      <c r="G4281" s="36"/>
      <c r="H4281" s="36"/>
    </row>
    <row r="4282">
      <c r="A4282" s="36"/>
      <c r="B4282" s="36" t="str">
        <f>IFERROR(__xludf.DUMMYFUNCTION("""COMPUTED_VALUE"""),"LATITUD")</f>
        <v>LATITUD</v>
      </c>
      <c r="C4282" s="36" t="str">
        <f>IFERROR(__xludf.DUMMYFUNCTION("""COMPUTED_VALUE"""),"LONGITUD")</f>
        <v>LONGITUD</v>
      </c>
      <c r="D4282" s="36" t="str">
        <f>IFERROR(__xludf.DUMMYFUNCTION("""COMPUTED_VALUE"""),"ERROR DE ID")</f>
        <v>ERROR DE ID</v>
      </c>
      <c r="E4282" s="36"/>
      <c r="F4282" s="36"/>
      <c r="G4282" s="36"/>
      <c r="H4282" s="36"/>
    </row>
    <row r="4283">
      <c r="A4283" s="36"/>
      <c r="B4283" s="36" t="str">
        <f>IFERROR(__xludf.DUMMYFUNCTION("""COMPUTED_VALUE"""),"LATITUD")</f>
        <v>LATITUD</v>
      </c>
      <c r="C4283" s="36" t="str">
        <f>IFERROR(__xludf.DUMMYFUNCTION("""COMPUTED_VALUE"""),"LONGITUD")</f>
        <v>LONGITUD</v>
      </c>
      <c r="D4283" s="36" t="str">
        <f>IFERROR(__xludf.DUMMYFUNCTION("""COMPUTED_VALUE"""),"ERROR DE ID")</f>
        <v>ERROR DE ID</v>
      </c>
      <c r="E4283" s="36"/>
      <c r="F4283" s="36"/>
      <c r="G4283" s="36"/>
      <c r="H4283" s="36"/>
    </row>
    <row r="4284">
      <c r="A4284" s="36"/>
      <c r="B4284" s="36" t="str">
        <f>IFERROR(__xludf.DUMMYFUNCTION("""COMPUTED_VALUE"""),"LATITUD")</f>
        <v>LATITUD</v>
      </c>
      <c r="C4284" s="36" t="str">
        <f>IFERROR(__xludf.DUMMYFUNCTION("""COMPUTED_VALUE"""),"LONGITUD")</f>
        <v>LONGITUD</v>
      </c>
      <c r="D4284" s="36" t="str">
        <f>IFERROR(__xludf.DUMMYFUNCTION("""COMPUTED_VALUE"""),"ERROR DE ID")</f>
        <v>ERROR DE ID</v>
      </c>
      <c r="E4284" s="36"/>
      <c r="F4284" s="36"/>
      <c r="G4284" s="36"/>
      <c r="H4284" s="36"/>
    </row>
    <row r="4285">
      <c r="A4285" s="36"/>
      <c r="B4285" s="36" t="str">
        <f>IFERROR(__xludf.DUMMYFUNCTION("""COMPUTED_VALUE"""),"LATITUD")</f>
        <v>LATITUD</v>
      </c>
      <c r="C4285" s="36" t="str">
        <f>IFERROR(__xludf.DUMMYFUNCTION("""COMPUTED_VALUE"""),"LONGITUD")</f>
        <v>LONGITUD</v>
      </c>
      <c r="D4285" s="36" t="str">
        <f>IFERROR(__xludf.DUMMYFUNCTION("""COMPUTED_VALUE"""),"ERROR DE ID")</f>
        <v>ERROR DE ID</v>
      </c>
      <c r="E4285" s="36"/>
      <c r="F4285" s="36"/>
      <c r="G4285" s="36"/>
      <c r="H4285" s="36"/>
    </row>
    <row r="4286">
      <c r="A4286" s="36"/>
      <c r="B4286" s="36" t="str">
        <f>IFERROR(__xludf.DUMMYFUNCTION("""COMPUTED_VALUE"""),"LATITUD")</f>
        <v>LATITUD</v>
      </c>
      <c r="C4286" s="36" t="str">
        <f>IFERROR(__xludf.DUMMYFUNCTION("""COMPUTED_VALUE"""),"LONGITUD")</f>
        <v>LONGITUD</v>
      </c>
      <c r="D4286" s="36" t="str">
        <f>IFERROR(__xludf.DUMMYFUNCTION("""COMPUTED_VALUE"""),"ERROR DE ID")</f>
        <v>ERROR DE ID</v>
      </c>
      <c r="E4286" s="36"/>
      <c r="F4286" s="36"/>
      <c r="G4286" s="36"/>
      <c r="H4286" s="36"/>
    </row>
    <row r="4287">
      <c r="A4287" s="36"/>
      <c r="B4287" s="36" t="str">
        <f>IFERROR(__xludf.DUMMYFUNCTION("""COMPUTED_VALUE"""),"LATITUD")</f>
        <v>LATITUD</v>
      </c>
      <c r="C4287" s="36" t="str">
        <f>IFERROR(__xludf.DUMMYFUNCTION("""COMPUTED_VALUE"""),"LONGITUD")</f>
        <v>LONGITUD</v>
      </c>
      <c r="D4287" s="36" t="str">
        <f>IFERROR(__xludf.DUMMYFUNCTION("""COMPUTED_VALUE"""),"ERROR DE ID")</f>
        <v>ERROR DE ID</v>
      </c>
      <c r="E4287" s="36"/>
      <c r="F4287" s="36"/>
      <c r="G4287" s="36"/>
      <c r="H4287" s="36"/>
    </row>
    <row r="4288">
      <c r="A4288" s="36"/>
      <c r="B4288" s="36" t="str">
        <f>IFERROR(__xludf.DUMMYFUNCTION("""COMPUTED_VALUE"""),"LATITUD")</f>
        <v>LATITUD</v>
      </c>
      <c r="C4288" s="36" t="str">
        <f>IFERROR(__xludf.DUMMYFUNCTION("""COMPUTED_VALUE"""),"LONGITUD")</f>
        <v>LONGITUD</v>
      </c>
      <c r="D4288" s="36" t="str">
        <f>IFERROR(__xludf.DUMMYFUNCTION("""COMPUTED_VALUE"""),"ERROR DE ID")</f>
        <v>ERROR DE ID</v>
      </c>
      <c r="E4288" s="36"/>
      <c r="F4288" s="36"/>
      <c r="G4288" s="36"/>
      <c r="H4288" s="36"/>
    </row>
    <row r="4289">
      <c r="A4289" s="36"/>
      <c r="B4289" s="36" t="str">
        <f>IFERROR(__xludf.DUMMYFUNCTION("""COMPUTED_VALUE"""),"LATITUD")</f>
        <v>LATITUD</v>
      </c>
      <c r="C4289" s="36" t="str">
        <f>IFERROR(__xludf.DUMMYFUNCTION("""COMPUTED_VALUE"""),"LONGITUD")</f>
        <v>LONGITUD</v>
      </c>
      <c r="D4289" s="36" t="str">
        <f>IFERROR(__xludf.DUMMYFUNCTION("""COMPUTED_VALUE"""),"ERROR DE ID")</f>
        <v>ERROR DE ID</v>
      </c>
      <c r="E4289" s="36"/>
      <c r="F4289" s="36"/>
      <c r="G4289" s="36"/>
      <c r="H4289" s="36"/>
    </row>
    <row r="4290">
      <c r="A4290" s="36"/>
      <c r="B4290" s="36" t="str">
        <f>IFERROR(__xludf.DUMMYFUNCTION("""COMPUTED_VALUE"""),"LATITUD")</f>
        <v>LATITUD</v>
      </c>
      <c r="C4290" s="36" t="str">
        <f>IFERROR(__xludf.DUMMYFUNCTION("""COMPUTED_VALUE"""),"LONGITUD")</f>
        <v>LONGITUD</v>
      </c>
      <c r="D4290" s="36" t="str">
        <f>IFERROR(__xludf.DUMMYFUNCTION("""COMPUTED_VALUE"""),"ERROR DE ID")</f>
        <v>ERROR DE ID</v>
      </c>
      <c r="E4290" s="36"/>
      <c r="F4290" s="36"/>
      <c r="G4290" s="36"/>
      <c r="H4290" s="36"/>
    </row>
    <row r="4291">
      <c r="A4291" s="36"/>
      <c r="B4291" s="36" t="str">
        <f>IFERROR(__xludf.DUMMYFUNCTION("""COMPUTED_VALUE"""),"LATITUD")</f>
        <v>LATITUD</v>
      </c>
      <c r="C4291" s="36" t="str">
        <f>IFERROR(__xludf.DUMMYFUNCTION("""COMPUTED_VALUE"""),"LONGITUD")</f>
        <v>LONGITUD</v>
      </c>
      <c r="D4291" s="36" t="str">
        <f>IFERROR(__xludf.DUMMYFUNCTION("""COMPUTED_VALUE"""),"ERROR DE ID")</f>
        <v>ERROR DE ID</v>
      </c>
      <c r="E4291" s="36"/>
      <c r="F4291" s="36"/>
      <c r="G4291" s="36"/>
      <c r="H4291" s="36"/>
    </row>
    <row r="4292">
      <c r="A4292" s="36"/>
      <c r="B4292" s="36" t="str">
        <f>IFERROR(__xludf.DUMMYFUNCTION("""COMPUTED_VALUE"""),"LATITUD")</f>
        <v>LATITUD</v>
      </c>
      <c r="C4292" s="36" t="str">
        <f>IFERROR(__xludf.DUMMYFUNCTION("""COMPUTED_VALUE"""),"LONGITUD")</f>
        <v>LONGITUD</v>
      </c>
      <c r="D4292" s="36" t="str">
        <f>IFERROR(__xludf.DUMMYFUNCTION("""COMPUTED_VALUE"""),"ERROR DE ID")</f>
        <v>ERROR DE ID</v>
      </c>
      <c r="E4292" s="36"/>
      <c r="F4292" s="36"/>
      <c r="G4292" s="36"/>
      <c r="H4292" s="36"/>
    </row>
    <row r="4293">
      <c r="A4293" s="36"/>
      <c r="B4293" s="36" t="str">
        <f>IFERROR(__xludf.DUMMYFUNCTION("""COMPUTED_VALUE"""),"LATITUD")</f>
        <v>LATITUD</v>
      </c>
      <c r="C4293" s="36" t="str">
        <f>IFERROR(__xludf.DUMMYFUNCTION("""COMPUTED_VALUE"""),"LONGITUD")</f>
        <v>LONGITUD</v>
      </c>
      <c r="D4293" s="36" t="str">
        <f>IFERROR(__xludf.DUMMYFUNCTION("""COMPUTED_VALUE"""),"ERROR DE ID")</f>
        <v>ERROR DE ID</v>
      </c>
      <c r="E4293" s="36"/>
      <c r="F4293" s="36"/>
      <c r="G4293" s="36"/>
      <c r="H4293" s="36"/>
    </row>
    <row r="4294">
      <c r="A4294" s="36"/>
      <c r="B4294" s="36" t="str">
        <f>IFERROR(__xludf.DUMMYFUNCTION("""COMPUTED_VALUE"""),"LATITUD")</f>
        <v>LATITUD</v>
      </c>
      <c r="C4294" s="36" t="str">
        <f>IFERROR(__xludf.DUMMYFUNCTION("""COMPUTED_VALUE"""),"LONGITUD")</f>
        <v>LONGITUD</v>
      </c>
      <c r="D4294" s="36" t="str">
        <f>IFERROR(__xludf.DUMMYFUNCTION("""COMPUTED_VALUE"""),"ERROR DE ID")</f>
        <v>ERROR DE ID</v>
      </c>
      <c r="E4294" s="36"/>
      <c r="F4294" s="36"/>
      <c r="G4294" s="36"/>
      <c r="H4294" s="36"/>
    </row>
    <row r="4295">
      <c r="A4295" s="36"/>
      <c r="B4295" s="36" t="str">
        <f>IFERROR(__xludf.DUMMYFUNCTION("""COMPUTED_VALUE"""),"LATITUD")</f>
        <v>LATITUD</v>
      </c>
      <c r="C4295" s="36" t="str">
        <f>IFERROR(__xludf.DUMMYFUNCTION("""COMPUTED_VALUE"""),"LONGITUD")</f>
        <v>LONGITUD</v>
      </c>
      <c r="D4295" s="36" t="str">
        <f>IFERROR(__xludf.DUMMYFUNCTION("""COMPUTED_VALUE"""),"ERROR DE ID")</f>
        <v>ERROR DE ID</v>
      </c>
      <c r="E4295" s="36"/>
      <c r="F4295" s="36"/>
      <c r="G4295" s="36"/>
      <c r="H4295" s="36"/>
    </row>
    <row r="4296">
      <c r="A4296" s="36"/>
      <c r="B4296" s="36" t="str">
        <f>IFERROR(__xludf.DUMMYFUNCTION("""COMPUTED_VALUE"""),"LATITUD")</f>
        <v>LATITUD</v>
      </c>
      <c r="C4296" s="36" t="str">
        <f>IFERROR(__xludf.DUMMYFUNCTION("""COMPUTED_VALUE"""),"LONGITUD")</f>
        <v>LONGITUD</v>
      </c>
      <c r="D4296" s="36" t="str">
        <f>IFERROR(__xludf.DUMMYFUNCTION("""COMPUTED_VALUE"""),"ERROR DE ID")</f>
        <v>ERROR DE ID</v>
      </c>
      <c r="E4296" s="36"/>
      <c r="F4296" s="36"/>
      <c r="G4296" s="36"/>
      <c r="H4296" s="36"/>
    </row>
    <row r="4297">
      <c r="A4297" s="36"/>
      <c r="B4297" s="36" t="str">
        <f>IFERROR(__xludf.DUMMYFUNCTION("""COMPUTED_VALUE"""),"LATITUD")</f>
        <v>LATITUD</v>
      </c>
      <c r="C4297" s="36" t="str">
        <f>IFERROR(__xludf.DUMMYFUNCTION("""COMPUTED_VALUE"""),"LONGITUD")</f>
        <v>LONGITUD</v>
      </c>
      <c r="D4297" s="36" t="str">
        <f>IFERROR(__xludf.DUMMYFUNCTION("""COMPUTED_VALUE"""),"ERROR DE ID")</f>
        <v>ERROR DE ID</v>
      </c>
      <c r="E4297" s="36"/>
      <c r="F4297" s="36"/>
      <c r="G4297" s="36"/>
      <c r="H4297" s="36"/>
    </row>
    <row r="4298">
      <c r="A4298" s="36"/>
      <c r="B4298" s="36" t="str">
        <f>IFERROR(__xludf.DUMMYFUNCTION("""COMPUTED_VALUE"""),"LATITUD")</f>
        <v>LATITUD</v>
      </c>
      <c r="C4298" s="36" t="str">
        <f>IFERROR(__xludf.DUMMYFUNCTION("""COMPUTED_VALUE"""),"LONGITUD")</f>
        <v>LONGITUD</v>
      </c>
      <c r="D4298" s="36" t="str">
        <f>IFERROR(__xludf.DUMMYFUNCTION("""COMPUTED_VALUE"""),"ERROR DE ID")</f>
        <v>ERROR DE ID</v>
      </c>
      <c r="E4298" s="36"/>
      <c r="F4298" s="36"/>
      <c r="G4298" s="36"/>
      <c r="H4298" s="36"/>
    </row>
    <row r="4299">
      <c r="A4299" s="36"/>
      <c r="B4299" s="36" t="str">
        <f>IFERROR(__xludf.DUMMYFUNCTION("""COMPUTED_VALUE"""),"LATITUD")</f>
        <v>LATITUD</v>
      </c>
      <c r="C4299" s="36" t="str">
        <f>IFERROR(__xludf.DUMMYFUNCTION("""COMPUTED_VALUE"""),"LONGITUD")</f>
        <v>LONGITUD</v>
      </c>
      <c r="D4299" s="36" t="str">
        <f>IFERROR(__xludf.DUMMYFUNCTION("""COMPUTED_VALUE"""),"ERROR DE ID")</f>
        <v>ERROR DE ID</v>
      </c>
      <c r="E4299" s="36"/>
      <c r="F4299" s="36"/>
      <c r="G4299" s="36"/>
      <c r="H4299" s="36"/>
    </row>
    <row r="4300">
      <c r="A4300" s="36"/>
      <c r="B4300" s="36" t="str">
        <f>IFERROR(__xludf.DUMMYFUNCTION("""COMPUTED_VALUE"""),"LATITUD")</f>
        <v>LATITUD</v>
      </c>
      <c r="C4300" s="36" t="str">
        <f>IFERROR(__xludf.DUMMYFUNCTION("""COMPUTED_VALUE"""),"LONGITUD")</f>
        <v>LONGITUD</v>
      </c>
      <c r="D4300" s="36" t="str">
        <f>IFERROR(__xludf.DUMMYFUNCTION("""COMPUTED_VALUE"""),"ERROR DE ID")</f>
        <v>ERROR DE ID</v>
      </c>
      <c r="E4300" s="36"/>
      <c r="F4300" s="36"/>
      <c r="G4300" s="36"/>
      <c r="H4300" s="36"/>
    </row>
    <row r="4301">
      <c r="A4301" s="36"/>
      <c r="B4301" s="36" t="str">
        <f>IFERROR(__xludf.DUMMYFUNCTION("""COMPUTED_VALUE"""),"LATITUD")</f>
        <v>LATITUD</v>
      </c>
      <c r="C4301" s="36" t="str">
        <f>IFERROR(__xludf.DUMMYFUNCTION("""COMPUTED_VALUE"""),"LONGITUD")</f>
        <v>LONGITUD</v>
      </c>
      <c r="D4301" s="36" t="str">
        <f>IFERROR(__xludf.DUMMYFUNCTION("""COMPUTED_VALUE"""),"ERROR DE ID")</f>
        <v>ERROR DE ID</v>
      </c>
      <c r="E4301" s="36"/>
      <c r="F4301" s="36"/>
      <c r="G4301" s="36"/>
      <c r="H4301" s="36"/>
    </row>
    <row r="4302">
      <c r="A4302" s="36"/>
      <c r="B4302" s="36" t="str">
        <f>IFERROR(__xludf.DUMMYFUNCTION("""COMPUTED_VALUE"""),"LATITUD")</f>
        <v>LATITUD</v>
      </c>
      <c r="C4302" s="36" t="str">
        <f>IFERROR(__xludf.DUMMYFUNCTION("""COMPUTED_VALUE"""),"LONGITUD")</f>
        <v>LONGITUD</v>
      </c>
      <c r="D4302" s="36" t="str">
        <f>IFERROR(__xludf.DUMMYFUNCTION("""COMPUTED_VALUE"""),"ERROR DE ID")</f>
        <v>ERROR DE ID</v>
      </c>
      <c r="E4302" s="36"/>
      <c r="F4302" s="36"/>
      <c r="G4302" s="36"/>
      <c r="H4302" s="36"/>
    </row>
    <row r="4303">
      <c r="A4303" s="36"/>
      <c r="B4303" s="36" t="str">
        <f>IFERROR(__xludf.DUMMYFUNCTION("""COMPUTED_VALUE"""),"LATITUD")</f>
        <v>LATITUD</v>
      </c>
      <c r="C4303" s="36" t="str">
        <f>IFERROR(__xludf.DUMMYFUNCTION("""COMPUTED_VALUE"""),"LONGITUD")</f>
        <v>LONGITUD</v>
      </c>
      <c r="D4303" s="36" t="str">
        <f>IFERROR(__xludf.DUMMYFUNCTION("""COMPUTED_VALUE"""),"ERROR DE ID")</f>
        <v>ERROR DE ID</v>
      </c>
      <c r="E4303" s="36"/>
      <c r="F4303" s="36"/>
      <c r="G4303" s="36"/>
      <c r="H4303" s="36"/>
    </row>
    <row r="4304">
      <c r="A4304" s="36"/>
      <c r="B4304" s="36" t="str">
        <f>IFERROR(__xludf.DUMMYFUNCTION("""COMPUTED_VALUE"""),"LATITUD")</f>
        <v>LATITUD</v>
      </c>
      <c r="C4304" s="36" t="str">
        <f>IFERROR(__xludf.DUMMYFUNCTION("""COMPUTED_VALUE"""),"LONGITUD")</f>
        <v>LONGITUD</v>
      </c>
      <c r="D4304" s="36" t="str">
        <f>IFERROR(__xludf.DUMMYFUNCTION("""COMPUTED_VALUE"""),"ERROR DE ID")</f>
        <v>ERROR DE ID</v>
      </c>
      <c r="E4304" s="36"/>
      <c r="F4304" s="36"/>
      <c r="G4304" s="36"/>
      <c r="H4304" s="36"/>
    </row>
    <row r="4305">
      <c r="A4305" s="36"/>
      <c r="B4305" s="36" t="str">
        <f>IFERROR(__xludf.DUMMYFUNCTION("""COMPUTED_VALUE"""),"LATITUD")</f>
        <v>LATITUD</v>
      </c>
      <c r="C4305" s="36" t="str">
        <f>IFERROR(__xludf.DUMMYFUNCTION("""COMPUTED_VALUE"""),"LONGITUD")</f>
        <v>LONGITUD</v>
      </c>
      <c r="D4305" s="36" t="str">
        <f>IFERROR(__xludf.DUMMYFUNCTION("""COMPUTED_VALUE"""),"ERROR DE ID")</f>
        <v>ERROR DE ID</v>
      </c>
      <c r="E4305" s="36"/>
      <c r="F4305" s="36"/>
      <c r="G4305" s="36"/>
      <c r="H4305" s="36"/>
    </row>
    <row r="4306">
      <c r="A4306" s="36"/>
      <c r="B4306" s="36" t="str">
        <f>IFERROR(__xludf.DUMMYFUNCTION("""COMPUTED_VALUE"""),"LATITUD")</f>
        <v>LATITUD</v>
      </c>
      <c r="C4306" s="36" t="str">
        <f>IFERROR(__xludf.DUMMYFUNCTION("""COMPUTED_VALUE"""),"LONGITUD")</f>
        <v>LONGITUD</v>
      </c>
      <c r="D4306" s="36" t="str">
        <f>IFERROR(__xludf.DUMMYFUNCTION("""COMPUTED_VALUE"""),"ERROR DE ID")</f>
        <v>ERROR DE ID</v>
      </c>
      <c r="E4306" s="36"/>
      <c r="F4306" s="36"/>
      <c r="G4306" s="36"/>
      <c r="H4306" s="36"/>
    </row>
    <row r="4307">
      <c r="A4307" s="36"/>
      <c r="B4307" s="36" t="str">
        <f>IFERROR(__xludf.DUMMYFUNCTION("""COMPUTED_VALUE"""),"LATITUD")</f>
        <v>LATITUD</v>
      </c>
      <c r="C4307" s="36" t="str">
        <f>IFERROR(__xludf.DUMMYFUNCTION("""COMPUTED_VALUE"""),"LONGITUD")</f>
        <v>LONGITUD</v>
      </c>
      <c r="D4307" s="36" t="str">
        <f>IFERROR(__xludf.DUMMYFUNCTION("""COMPUTED_VALUE"""),"ERROR DE ID")</f>
        <v>ERROR DE ID</v>
      </c>
      <c r="E4307" s="36"/>
      <c r="F4307" s="36"/>
      <c r="G4307" s="36"/>
      <c r="H4307" s="36"/>
    </row>
    <row r="4308">
      <c r="A4308" s="36"/>
      <c r="B4308" s="36" t="str">
        <f>IFERROR(__xludf.DUMMYFUNCTION("""COMPUTED_VALUE"""),"LATITUD")</f>
        <v>LATITUD</v>
      </c>
      <c r="C4308" s="36" t="str">
        <f>IFERROR(__xludf.DUMMYFUNCTION("""COMPUTED_VALUE"""),"LONGITUD")</f>
        <v>LONGITUD</v>
      </c>
      <c r="D4308" s="36" t="str">
        <f>IFERROR(__xludf.DUMMYFUNCTION("""COMPUTED_VALUE"""),"ERROR DE ID")</f>
        <v>ERROR DE ID</v>
      </c>
      <c r="E4308" s="36"/>
      <c r="F4308" s="36"/>
      <c r="G4308" s="36"/>
      <c r="H4308" s="36"/>
    </row>
    <row r="4309">
      <c r="A4309" s="36"/>
      <c r="B4309" s="36" t="str">
        <f>IFERROR(__xludf.DUMMYFUNCTION("""COMPUTED_VALUE"""),"LATITUD")</f>
        <v>LATITUD</v>
      </c>
      <c r="C4309" s="36" t="str">
        <f>IFERROR(__xludf.DUMMYFUNCTION("""COMPUTED_VALUE"""),"LONGITUD")</f>
        <v>LONGITUD</v>
      </c>
      <c r="D4309" s="36" t="str">
        <f>IFERROR(__xludf.DUMMYFUNCTION("""COMPUTED_VALUE"""),"ERROR DE ID")</f>
        <v>ERROR DE ID</v>
      </c>
      <c r="E4309" s="36"/>
      <c r="F4309" s="36"/>
      <c r="G4309" s="36"/>
      <c r="H4309" s="36"/>
    </row>
    <row r="4310">
      <c r="A4310" s="36"/>
      <c r="B4310" s="36" t="str">
        <f>IFERROR(__xludf.DUMMYFUNCTION("""COMPUTED_VALUE"""),"LATITUD")</f>
        <v>LATITUD</v>
      </c>
      <c r="C4310" s="36" t="str">
        <f>IFERROR(__xludf.DUMMYFUNCTION("""COMPUTED_VALUE"""),"LONGITUD")</f>
        <v>LONGITUD</v>
      </c>
      <c r="D4310" s="36" t="str">
        <f>IFERROR(__xludf.DUMMYFUNCTION("""COMPUTED_VALUE"""),"ERROR DE ID")</f>
        <v>ERROR DE ID</v>
      </c>
      <c r="E4310" s="36"/>
      <c r="F4310" s="36"/>
      <c r="G4310" s="36"/>
      <c r="H4310" s="36"/>
    </row>
    <row r="4311">
      <c r="A4311" s="36"/>
      <c r="B4311" s="36" t="str">
        <f>IFERROR(__xludf.DUMMYFUNCTION("""COMPUTED_VALUE"""),"LATITUD")</f>
        <v>LATITUD</v>
      </c>
      <c r="C4311" s="36" t="str">
        <f>IFERROR(__xludf.DUMMYFUNCTION("""COMPUTED_VALUE"""),"LONGITUD")</f>
        <v>LONGITUD</v>
      </c>
      <c r="D4311" s="36" t="str">
        <f>IFERROR(__xludf.DUMMYFUNCTION("""COMPUTED_VALUE"""),"ERROR DE ID")</f>
        <v>ERROR DE ID</v>
      </c>
      <c r="E4311" s="36"/>
      <c r="F4311" s="36"/>
      <c r="G4311" s="36"/>
      <c r="H4311" s="36"/>
    </row>
    <row r="4312">
      <c r="A4312" s="36"/>
      <c r="B4312" s="36" t="str">
        <f>IFERROR(__xludf.DUMMYFUNCTION("""COMPUTED_VALUE"""),"LATITUD")</f>
        <v>LATITUD</v>
      </c>
      <c r="C4312" s="36" t="str">
        <f>IFERROR(__xludf.DUMMYFUNCTION("""COMPUTED_VALUE"""),"LONGITUD")</f>
        <v>LONGITUD</v>
      </c>
      <c r="D4312" s="36" t="str">
        <f>IFERROR(__xludf.DUMMYFUNCTION("""COMPUTED_VALUE"""),"ERROR DE ID")</f>
        <v>ERROR DE ID</v>
      </c>
      <c r="E4312" s="36"/>
      <c r="F4312" s="36"/>
      <c r="G4312" s="36"/>
      <c r="H4312" s="36"/>
    </row>
    <row r="4313">
      <c r="A4313" s="36"/>
      <c r="B4313" s="36" t="str">
        <f>IFERROR(__xludf.DUMMYFUNCTION("""COMPUTED_VALUE"""),"LATITUD")</f>
        <v>LATITUD</v>
      </c>
      <c r="C4313" s="36" t="str">
        <f>IFERROR(__xludf.DUMMYFUNCTION("""COMPUTED_VALUE"""),"LONGITUD")</f>
        <v>LONGITUD</v>
      </c>
      <c r="D4313" s="36" t="str">
        <f>IFERROR(__xludf.DUMMYFUNCTION("""COMPUTED_VALUE"""),"ERROR DE ID")</f>
        <v>ERROR DE ID</v>
      </c>
      <c r="E4313" s="36"/>
      <c r="F4313" s="36"/>
      <c r="G4313" s="36"/>
      <c r="H4313" s="36"/>
    </row>
    <row r="4314">
      <c r="A4314" s="36"/>
      <c r="B4314" s="36" t="str">
        <f>IFERROR(__xludf.DUMMYFUNCTION("""COMPUTED_VALUE"""),"LATITUD")</f>
        <v>LATITUD</v>
      </c>
      <c r="C4314" s="36" t="str">
        <f>IFERROR(__xludf.DUMMYFUNCTION("""COMPUTED_VALUE"""),"LONGITUD")</f>
        <v>LONGITUD</v>
      </c>
      <c r="D4314" s="36" t="str">
        <f>IFERROR(__xludf.DUMMYFUNCTION("""COMPUTED_VALUE"""),"ERROR DE ID")</f>
        <v>ERROR DE ID</v>
      </c>
      <c r="E4314" s="36"/>
      <c r="F4314" s="36"/>
      <c r="G4314" s="36"/>
      <c r="H4314" s="36"/>
    </row>
    <row r="4315">
      <c r="A4315" s="36"/>
      <c r="B4315" s="36" t="str">
        <f>IFERROR(__xludf.DUMMYFUNCTION("""COMPUTED_VALUE"""),"LATITUD")</f>
        <v>LATITUD</v>
      </c>
      <c r="C4315" s="36" t="str">
        <f>IFERROR(__xludf.DUMMYFUNCTION("""COMPUTED_VALUE"""),"LONGITUD")</f>
        <v>LONGITUD</v>
      </c>
      <c r="D4315" s="36" t="str">
        <f>IFERROR(__xludf.DUMMYFUNCTION("""COMPUTED_VALUE"""),"ERROR DE ID")</f>
        <v>ERROR DE ID</v>
      </c>
      <c r="E4315" s="36"/>
      <c r="F4315" s="36"/>
      <c r="G4315" s="36"/>
      <c r="H4315" s="36"/>
    </row>
    <row r="4316">
      <c r="A4316" s="36"/>
      <c r="B4316" s="36" t="str">
        <f>IFERROR(__xludf.DUMMYFUNCTION("""COMPUTED_VALUE"""),"LATITUD")</f>
        <v>LATITUD</v>
      </c>
      <c r="C4316" s="36" t="str">
        <f>IFERROR(__xludf.DUMMYFUNCTION("""COMPUTED_VALUE"""),"LONGITUD")</f>
        <v>LONGITUD</v>
      </c>
      <c r="D4316" s="36" t="str">
        <f>IFERROR(__xludf.DUMMYFUNCTION("""COMPUTED_VALUE"""),"ERROR DE ID")</f>
        <v>ERROR DE ID</v>
      </c>
      <c r="E4316" s="36"/>
      <c r="F4316" s="36"/>
      <c r="G4316" s="36"/>
      <c r="H4316" s="36"/>
    </row>
    <row r="4317">
      <c r="A4317" s="36"/>
      <c r="B4317" s="36" t="str">
        <f>IFERROR(__xludf.DUMMYFUNCTION("""COMPUTED_VALUE"""),"LATITUD")</f>
        <v>LATITUD</v>
      </c>
      <c r="C4317" s="36" t="str">
        <f>IFERROR(__xludf.DUMMYFUNCTION("""COMPUTED_VALUE"""),"LONGITUD")</f>
        <v>LONGITUD</v>
      </c>
      <c r="D4317" s="36" t="str">
        <f>IFERROR(__xludf.DUMMYFUNCTION("""COMPUTED_VALUE"""),"ERROR DE ID")</f>
        <v>ERROR DE ID</v>
      </c>
      <c r="E4317" s="36"/>
      <c r="F4317" s="36"/>
      <c r="G4317" s="36"/>
      <c r="H4317" s="36"/>
    </row>
    <row r="4318">
      <c r="A4318" s="36"/>
      <c r="B4318" s="36" t="str">
        <f>IFERROR(__xludf.DUMMYFUNCTION("""COMPUTED_VALUE"""),"LATITUD")</f>
        <v>LATITUD</v>
      </c>
      <c r="C4318" s="36" t="str">
        <f>IFERROR(__xludf.DUMMYFUNCTION("""COMPUTED_VALUE"""),"LONGITUD")</f>
        <v>LONGITUD</v>
      </c>
      <c r="D4318" s="36" t="str">
        <f>IFERROR(__xludf.DUMMYFUNCTION("""COMPUTED_VALUE"""),"ERROR DE ID")</f>
        <v>ERROR DE ID</v>
      </c>
      <c r="E4318" s="36"/>
      <c r="F4318" s="36"/>
      <c r="G4318" s="36"/>
      <c r="H4318" s="36"/>
    </row>
    <row r="4319">
      <c r="A4319" s="36"/>
      <c r="B4319" s="36" t="str">
        <f>IFERROR(__xludf.DUMMYFUNCTION("""COMPUTED_VALUE"""),"LATITUD")</f>
        <v>LATITUD</v>
      </c>
      <c r="C4319" s="36" t="str">
        <f>IFERROR(__xludf.DUMMYFUNCTION("""COMPUTED_VALUE"""),"LONGITUD")</f>
        <v>LONGITUD</v>
      </c>
      <c r="D4319" s="36" t="str">
        <f>IFERROR(__xludf.DUMMYFUNCTION("""COMPUTED_VALUE"""),"ERROR DE ID")</f>
        <v>ERROR DE ID</v>
      </c>
      <c r="E4319" s="36"/>
      <c r="F4319" s="36"/>
      <c r="G4319" s="36"/>
      <c r="H4319" s="36"/>
    </row>
    <row r="4320">
      <c r="A4320" s="36"/>
      <c r="B4320" s="36" t="str">
        <f>IFERROR(__xludf.DUMMYFUNCTION("""COMPUTED_VALUE"""),"LATITUD")</f>
        <v>LATITUD</v>
      </c>
      <c r="C4320" s="36" t="str">
        <f>IFERROR(__xludf.DUMMYFUNCTION("""COMPUTED_VALUE"""),"LONGITUD")</f>
        <v>LONGITUD</v>
      </c>
      <c r="D4320" s="36" t="str">
        <f>IFERROR(__xludf.DUMMYFUNCTION("""COMPUTED_VALUE"""),"ERROR DE ID")</f>
        <v>ERROR DE ID</v>
      </c>
      <c r="E4320" s="36"/>
      <c r="F4320" s="36"/>
      <c r="G4320" s="36"/>
      <c r="H4320" s="36"/>
    </row>
    <row r="4321">
      <c r="A4321" s="36"/>
      <c r="B4321" s="36" t="str">
        <f>IFERROR(__xludf.DUMMYFUNCTION("""COMPUTED_VALUE"""),"LATITUD")</f>
        <v>LATITUD</v>
      </c>
      <c r="C4321" s="36" t="str">
        <f>IFERROR(__xludf.DUMMYFUNCTION("""COMPUTED_VALUE"""),"LONGITUD")</f>
        <v>LONGITUD</v>
      </c>
      <c r="D4321" s="36" t="str">
        <f>IFERROR(__xludf.DUMMYFUNCTION("""COMPUTED_VALUE"""),"ERROR DE ID")</f>
        <v>ERROR DE ID</v>
      </c>
      <c r="E4321" s="36"/>
      <c r="F4321" s="36"/>
      <c r="G4321" s="36"/>
      <c r="H4321" s="36"/>
    </row>
    <row r="4322">
      <c r="A4322" s="36"/>
      <c r="B4322" s="36" t="str">
        <f>IFERROR(__xludf.DUMMYFUNCTION("""COMPUTED_VALUE"""),"LATITUD")</f>
        <v>LATITUD</v>
      </c>
      <c r="C4322" s="36" t="str">
        <f>IFERROR(__xludf.DUMMYFUNCTION("""COMPUTED_VALUE"""),"LONGITUD")</f>
        <v>LONGITUD</v>
      </c>
      <c r="D4322" s="36" t="str">
        <f>IFERROR(__xludf.DUMMYFUNCTION("""COMPUTED_VALUE"""),"ERROR DE ID")</f>
        <v>ERROR DE ID</v>
      </c>
      <c r="E4322" s="36"/>
      <c r="F4322" s="36"/>
      <c r="G4322" s="36"/>
      <c r="H4322" s="36"/>
    </row>
    <row r="4323">
      <c r="A4323" s="36"/>
      <c r="B4323" s="36" t="str">
        <f>IFERROR(__xludf.DUMMYFUNCTION("""COMPUTED_VALUE"""),"LATITUD")</f>
        <v>LATITUD</v>
      </c>
      <c r="C4323" s="36" t="str">
        <f>IFERROR(__xludf.DUMMYFUNCTION("""COMPUTED_VALUE"""),"LONGITUD")</f>
        <v>LONGITUD</v>
      </c>
      <c r="D4323" s="36" t="str">
        <f>IFERROR(__xludf.DUMMYFUNCTION("""COMPUTED_VALUE"""),"ERROR DE ID")</f>
        <v>ERROR DE ID</v>
      </c>
      <c r="E4323" s="36"/>
      <c r="F4323" s="36"/>
      <c r="G4323" s="36"/>
      <c r="H4323" s="36"/>
    </row>
    <row r="4324">
      <c r="A4324" s="36"/>
      <c r="B4324" s="36" t="str">
        <f>IFERROR(__xludf.DUMMYFUNCTION("""COMPUTED_VALUE"""),"LATITUD")</f>
        <v>LATITUD</v>
      </c>
      <c r="C4324" s="36" t="str">
        <f>IFERROR(__xludf.DUMMYFUNCTION("""COMPUTED_VALUE"""),"LONGITUD")</f>
        <v>LONGITUD</v>
      </c>
      <c r="D4324" s="36" t="str">
        <f>IFERROR(__xludf.DUMMYFUNCTION("""COMPUTED_VALUE"""),"ERROR DE ID")</f>
        <v>ERROR DE ID</v>
      </c>
      <c r="E4324" s="36"/>
      <c r="F4324" s="36"/>
      <c r="G4324" s="36"/>
      <c r="H4324" s="36"/>
    </row>
    <row r="4325">
      <c r="A4325" s="36"/>
      <c r="B4325" s="36" t="str">
        <f>IFERROR(__xludf.DUMMYFUNCTION("""COMPUTED_VALUE"""),"LATITUD")</f>
        <v>LATITUD</v>
      </c>
      <c r="C4325" s="36" t="str">
        <f>IFERROR(__xludf.DUMMYFUNCTION("""COMPUTED_VALUE"""),"LONGITUD")</f>
        <v>LONGITUD</v>
      </c>
      <c r="D4325" s="36" t="str">
        <f>IFERROR(__xludf.DUMMYFUNCTION("""COMPUTED_VALUE"""),"ERROR DE ID")</f>
        <v>ERROR DE ID</v>
      </c>
      <c r="E4325" s="36"/>
      <c r="F4325" s="36"/>
      <c r="G4325" s="36"/>
      <c r="H4325" s="36"/>
    </row>
    <row r="4326">
      <c r="A4326" s="36"/>
      <c r="B4326" s="36" t="str">
        <f>IFERROR(__xludf.DUMMYFUNCTION("""COMPUTED_VALUE"""),"LATITUD")</f>
        <v>LATITUD</v>
      </c>
      <c r="C4326" s="36" t="str">
        <f>IFERROR(__xludf.DUMMYFUNCTION("""COMPUTED_VALUE"""),"LONGITUD")</f>
        <v>LONGITUD</v>
      </c>
      <c r="D4326" s="36" t="str">
        <f>IFERROR(__xludf.DUMMYFUNCTION("""COMPUTED_VALUE"""),"ERROR DE ID")</f>
        <v>ERROR DE ID</v>
      </c>
      <c r="E4326" s="36"/>
      <c r="F4326" s="36"/>
      <c r="G4326" s="36"/>
      <c r="H4326" s="36"/>
    </row>
    <row r="4327">
      <c r="A4327" s="36"/>
      <c r="B4327" s="36" t="str">
        <f>IFERROR(__xludf.DUMMYFUNCTION("""COMPUTED_VALUE"""),"LATITUD")</f>
        <v>LATITUD</v>
      </c>
      <c r="C4327" s="36" t="str">
        <f>IFERROR(__xludf.DUMMYFUNCTION("""COMPUTED_VALUE"""),"LONGITUD")</f>
        <v>LONGITUD</v>
      </c>
      <c r="D4327" s="36" t="str">
        <f>IFERROR(__xludf.DUMMYFUNCTION("""COMPUTED_VALUE"""),"ERROR DE ID")</f>
        <v>ERROR DE ID</v>
      </c>
      <c r="E4327" s="36"/>
      <c r="F4327" s="36"/>
      <c r="G4327" s="36"/>
      <c r="H4327" s="36"/>
    </row>
    <row r="4328">
      <c r="A4328" s="36"/>
      <c r="B4328" s="36" t="str">
        <f>IFERROR(__xludf.DUMMYFUNCTION("""COMPUTED_VALUE"""),"LATITUD")</f>
        <v>LATITUD</v>
      </c>
      <c r="C4328" s="36" t="str">
        <f>IFERROR(__xludf.DUMMYFUNCTION("""COMPUTED_VALUE"""),"LONGITUD")</f>
        <v>LONGITUD</v>
      </c>
      <c r="D4328" s="36" t="str">
        <f>IFERROR(__xludf.DUMMYFUNCTION("""COMPUTED_VALUE"""),"ERROR DE ID")</f>
        <v>ERROR DE ID</v>
      </c>
      <c r="E4328" s="36"/>
      <c r="F4328" s="36"/>
      <c r="G4328" s="36"/>
      <c r="H4328" s="36"/>
    </row>
    <row r="4329">
      <c r="A4329" s="36"/>
      <c r="B4329" s="36" t="str">
        <f>IFERROR(__xludf.DUMMYFUNCTION("""COMPUTED_VALUE"""),"LATITUD")</f>
        <v>LATITUD</v>
      </c>
      <c r="C4329" s="36" t="str">
        <f>IFERROR(__xludf.DUMMYFUNCTION("""COMPUTED_VALUE"""),"LONGITUD")</f>
        <v>LONGITUD</v>
      </c>
      <c r="D4329" s="36" t="str">
        <f>IFERROR(__xludf.DUMMYFUNCTION("""COMPUTED_VALUE"""),"ERROR DE ID")</f>
        <v>ERROR DE ID</v>
      </c>
      <c r="E4329" s="36"/>
      <c r="F4329" s="36"/>
      <c r="G4329" s="36"/>
      <c r="H4329" s="36"/>
    </row>
    <row r="4330">
      <c r="A4330" s="36"/>
      <c r="B4330" s="36" t="str">
        <f>IFERROR(__xludf.DUMMYFUNCTION("""COMPUTED_VALUE"""),"LATITUD")</f>
        <v>LATITUD</v>
      </c>
      <c r="C4330" s="36" t="str">
        <f>IFERROR(__xludf.DUMMYFUNCTION("""COMPUTED_VALUE"""),"LONGITUD")</f>
        <v>LONGITUD</v>
      </c>
      <c r="D4330" s="36" t="str">
        <f>IFERROR(__xludf.DUMMYFUNCTION("""COMPUTED_VALUE"""),"ERROR DE ID")</f>
        <v>ERROR DE ID</v>
      </c>
      <c r="E4330" s="36"/>
      <c r="F4330" s="36"/>
      <c r="G4330" s="36"/>
      <c r="H4330" s="36"/>
    </row>
    <row r="4331">
      <c r="A4331" s="36"/>
      <c r="B4331" s="36" t="str">
        <f>IFERROR(__xludf.DUMMYFUNCTION("""COMPUTED_VALUE"""),"LATITUD")</f>
        <v>LATITUD</v>
      </c>
      <c r="C4331" s="36" t="str">
        <f>IFERROR(__xludf.DUMMYFUNCTION("""COMPUTED_VALUE"""),"LONGITUD")</f>
        <v>LONGITUD</v>
      </c>
      <c r="D4331" s="36" t="str">
        <f>IFERROR(__xludf.DUMMYFUNCTION("""COMPUTED_VALUE"""),"ERROR DE ID")</f>
        <v>ERROR DE ID</v>
      </c>
      <c r="E4331" s="36"/>
      <c r="F4331" s="36"/>
      <c r="G4331" s="36"/>
      <c r="H4331" s="36"/>
    </row>
    <row r="4332">
      <c r="A4332" s="36"/>
      <c r="B4332" s="36" t="str">
        <f>IFERROR(__xludf.DUMMYFUNCTION("""COMPUTED_VALUE"""),"LATITUD")</f>
        <v>LATITUD</v>
      </c>
      <c r="C4332" s="36" t="str">
        <f>IFERROR(__xludf.DUMMYFUNCTION("""COMPUTED_VALUE"""),"LONGITUD")</f>
        <v>LONGITUD</v>
      </c>
      <c r="D4332" s="36" t="str">
        <f>IFERROR(__xludf.DUMMYFUNCTION("""COMPUTED_VALUE"""),"ERROR DE ID")</f>
        <v>ERROR DE ID</v>
      </c>
      <c r="E4332" s="36"/>
      <c r="F4332" s="36"/>
      <c r="G4332" s="36"/>
      <c r="H4332" s="36"/>
    </row>
    <row r="4333">
      <c r="A4333" s="36"/>
      <c r="B4333" s="36" t="str">
        <f>IFERROR(__xludf.DUMMYFUNCTION("""COMPUTED_VALUE"""),"LATITUD")</f>
        <v>LATITUD</v>
      </c>
      <c r="C4333" s="36" t="str">
        <f>IFERROR(__xludf.DUMMYFUNCTION("""COMPUTED_VALUE"""),"LONGITUD")</f>
        <v>LONGITUD</v>
      </c>
      <c r="D4333" s="36" t="str">
        <f>IFERROR(__xludf.DUMMYFUNCTION("""COMPUTED_VALUE"""),"ERROR DE ID")</f>
        <v>ERROR DE ID</v>
      </c>
      <c r="E4333" s="36"/>
      <c r="F4333" s="36"/>
      <c r="G4333" s="36"/>
      <c r="H4333" s="36"/>
    </row>
    <row r="4334">
      <c r="A4334" s="36"/>
      <c r="B4334" s="36" t="str">
        <f>IFERROR(__xludf.DUMMYFUNCTION("""COMPUTED_VALUE"""),"LATITUD")</f>
        <v>LATITUD</v>
      </c>
      <c r="C4334" s="36" t="str">
        <f>IFERROR(__xludf.DUMMYFUNCTION("""COMPUTED_VALUE"""),"LONGITUD")</f>
        <v>LONGITUD</v>
      </c>
      <c r="D4334" s="36" t="str">
        <f>IFERROR(__xludf.DUMMYFUNCTION("""COMPUTED_VALUE"""),"ERROR DE ID")</f>
        <v>ERROR DE ID</v>
      </c>
      <c r="E4334" s="36"/>
      <c r="F4334" s="36"/>
      <c r="G4334" s="36"/>
      <c r="H4334" s="36"/>
    </row>
    <row r="4335">
      <c r="A4335" s="36"/>
      <c r="B4335" s="36" t="str">
        <f>IFERROR(__xludf.DUMMYFUNCTION("""COMPUTED_VALUE"""),"LATITUD")</f>
        <v>LATITUD</v>
      </c>
      <c r="C4335" s="36" t="str">
        <f>IFERROR(__xludf.DUMMYFUNCTION("""COMPUTED_VALUE"""),"LONGITUD")</f>
        <v>LONGITUD</v>
      </c>
      <c r="D4335" s="36" t="str">
        <f>IFERROR(__xludf.DUMMYFUNCTION("""COMPUTED_VALUE"""),"ERROR DE ID")</f>
        <v>ERROR DE ID</v>
      </c>
      <c r="E4335" s="36"/>
      <c r="F4335" s="36"/>
      <c r="G4335" s="36"/>
      <c r="H4335" s="36"/>
    </row>
    <row r="4336">
      <c r="A4336" s="36"/>
      <c r="B4336" s="36" t="str">
        <f>IFERROR(__xludf.DUMMYFUNCTION("""COMPUTED_VALUE"""),"LATITUD")</f>
        <v>LATITUD</v>
      </c>
      <c r="C4336" s="36" t="str">
        <f>IFERROR(__xludf.DUMMYFUNCTION("""COMPUTED_VALUE"""),"LONGITUD")</f>
        <v>LONGITUD</v>
      </c>
      <c r="D4336" s="36" t="str">
        <f>IFERROR(__xludf.DUMMYFUNCTION("""COMPUTED_VALUE"""),"ERROR DE ID")</f>
        <v>ERROR DE ID</v>
      </c>
      <c r="E4336" s="36"/>
      <c r="F4336" s="36"/>
      <c r="G4336" s="36"/>
      <c r="H4336" s="36"/>
    </row>
    <row r="4337">
      <c r="A4337" s="36"/>
      <c r="B4337" s="36" t="str">
        <f>IFERROR(__xludf.DUMMYFUNCTION("""COMPUTED_VALUE"""),"LATITUD")</f>
        <v>LATITUD</v>
      </c>
      <c r="C4337" s="36" t="str">
        <f>IFERROR(__xludf.DUMMYFUNCTION("""COMPUTED_VALUE"""),"LONGITUD")</f>
        <v>LONGITUD</v>
      </c>
      <c r="D4337" s="36" t="str">
        <f>IFERROR(__xludf.DUMMYFUNCTION("""COMPUTED_VALUE"""),"ERROR DE ID")</f>
        <v>ERROR DE ID</v>
      </c>
      <c r="E4337" s="36"/>
      <c r="F4337" s="36"/>
      <c r="G4337" s="36"/>
      <c r="H4337" s="36"/>
    </row>
    <row r="4338">
      <c r="A4338" s="36"/>
      <c r="B4338" s="36" t="str">
        <f>IFERROR(__xludf.DUMMYFUNCTION("""COMPUTED_VALUE"""),"LATITUD")</f>
        <v>LATITUD</v>
      </c>
      <c r="C4338" s="36" t="str">
        <f>IFERROR(__xludf.DUMMYFUNCTION("""COMPUTED_VALUE"""),"LONGITUD")</f>
        <v>LONGITUD</v>
      </c>
      <c r="D4338" s="36" t="str">
        <f>IFERROR(__xludf.DUMMYFUNCTION("""COMPUTED_VALUE"""),"ERROR DE ID")</f>
        <v>ERROR DE ID</v>
      </c>
      <c r="E4338" s="36"/>
      <c r="F4338" s="36"/>
      <c r="G4338" s="36"/>
      <c r="H4338" s="36"/>
    </row>
    <row r="4339">
      <c r="A4339" s="36"/>
      <c r="B4339" s="36" t="str">
        <f>IFERROR(__xludf.DUMMYFUNCTION("""COMPUTED_VALUE"""),"LATITUD")</f>
        <v>LATITUD</v>
      </c>
      <c r="C4339" s="36" t="str">
        <f>IFERROR(__xludf.DUMMYFUNCTION("""COMPUTED_VALUE"""),"LONGITUD")</f>
        <v>LONGITUD</v>
      </c>
      <c r="D4339" s="36" t="str">
        <f>IFERROR(__xludf.DUMMYFUNCTION("""COMPUTED_VALUE"""),"ERROR DE ID")</f>
        <v>ERROR DE ID</v>
      </c>
      <c r="E4339" s="36"/>
      <c r="F4339" s="36"/>
      <c r="G4339" s="36"/>
      <c r="H4339" s="36"/>
    </row>
    <row r="4340">
      <c r="A4340" s="36"/>
      <c r="B4340" s="36" t="str">
        <f>IFERROR(__xludf.DUMMYFUNCTION("""COMPUTED_VALUE"""),"LATITUD")</f>
        <v>LATITUD</v>
      </c>
      <c r="C4340" s="36" t="str">
        <f>IFERROR(__xludf.DUMMYFUNCTION("""COMPUTED_VALUE"""),"LONGITUD")</f>
        <v>LONGITUD</v>
      </c>
      <c r="D4340" s="36" t="str">
        <f>IFERROR(__xludf.DUMMYFUNCTION("""COMPUTED_VALUE"""),"ERROR DE ID")</f>
        <v>ERROR DE ID</v>
      </c>
      <c r="E4340" s="36"/>
      <c r="F4340" s="36"/>
      <c r="G4340" s="36"/>
      <c r="H4340" s="36"/>
    </row>
    <row r="4341">
      <c r="A4341" s="36"/>
      <c r="B4341" s="36" t="str">
        <f>IFERROR(__xludf.DUMMYFUNCTION("""COMPUTED_VALUE"""),"LATITUD")</f>
        <v>LATITUD</v>
      </c>
      <c r="C4341" s="36" t="str">
        <f>IFERROR(__xludf.DUMMYFUNCTION("""COMPUTED_VALUE"""),"LONGITUD")</f>
        <v>LONGITUD</v>
      </c>
      <c r="D4341" s="36" t="str">
        <f>IFERROR(__xludf.DUMMYFUNCTION("""COMPUTED_VALUE"""),"ERROR DE ID")</f>
        <v>ERROR DE ID</v>
      </c>
      <c r="E4341" s="36"/>
      <c r="F4341" s="36"/>
      <c r="G4341" s="36"/>
      <c r="H4341" s="36"/>
    </row>
    <row r="4342">
      <c r="A4342" s="36"/>
      <c r="B4342" s="36" t="str">
        <f>IFERROR(__xludf.DUMMYFUNCTION("""COMPUTED_VALUE"""),"LATITUD")</f>
        <v>LATITUD</v>
      </c>
      <c r="C4342" s="36" t="str">
        <f>IFERROR(__xludf.DUMMYFUNCTION("""COMPUTED_VALUE"""),"LONGITUD")</f>
        <v>LONGITUD</v>
      </c>
      <c r="D4342" s="36" t="str">
        <f>IFERROR(__xludf.DUMMYFUNCTION("""COMPUTED_VALUE"""),"ERROR DE ID")</f>
        <v>ERROR DE ID</v>
      </c>
      <c r="E4342" s="36"/>
      <c r="F4342" s="36"/>
      <c r="G4342" s="36"/>
      <c r="H4342" s="36"/>
    </row>
    <row r="4343">
      <c r="A4343" s="36"/>
      <c r="B4343" s="36" t="str">
        <f>IFERROR(__xludf.DUMMYFUNCTION("""COMPUTED_VALUE"""),"LATITUD")</f>
        <v>LATITUD</v>
      </c>
      <c r="C4343" s="36" t="str">
        <f>IFERROR(__xludf.DUMMYFUNCTION("""COMPUTED_VALUE"""),"LONGITUD")</f>
        <v>LONGITUD</v>
      </c>
      <c r="D4343" s="36" t="str">
        <f>IFERROR(__xludf.DUMMYFUNCTION("""COMPUTED_VALUE"""),"ERROR DE ID")</f>
        <v>ERROR DE ID</v>
      </c>
      <c r="E4343" s="36"/>
      <c r="F4343" s="36"/>
      <c r="G4343" s="36"/>
      <c r="H4343" s="36"/>
    </row>
    <row r="4344">
      <c r="A4344" s="36"/>
      <c r="B4344" s="36" t="str">
        <f>IFERROR(__xludf.DUMMYFUNCTION("""COMPUTED_VALUE"""),"LATITUD")</f>
        <v>LATITUD</v>
      </c>
      <c r="C4344" s="36" t="str">
        <f>IFERROR(__xludf.DUMMYFUNCTION("""COMPUTED_VALUE"""),"LONGITUD")</f>
        <v>LONGITUD</v>
      </c>
      <c r="D4344" s="36" t="str">
        <f>IFERROR(__xludf.DUMMYFUNCTION("""COMPUTED_VALUE"""),"ERROR DE ID")</f>
        <v>ERROR DE ID</v>
      </c>
      <c r="E4344" s="36"/>
      <c r="F4344" s="36"/>
      <c r="G4344" s="36"/>
      <c r="H4344" s="36"/>
    </row>
    <row r="4345">
      <c r="A4345" s="36"/>
      <c r="B4345" s="36" t="str">
        <f>IFERROR(__xludf.DUMMYFUNCTION("""COMPUTED_VALUE"""),"LATITUD")</f>
        <v>LATITUD</v>
      </c>
      <c r="C4345" s="36" t="str">
        <f>IFERROR(__xludf.DUMMYFUNCTION("""COMPUTED_VALUE"""),"LONGITUD")</f>
        <v>LONGITUD</v>
      </c>
      <c r="D4345" s="36" t="str">
        <f>IFERROR(__xludf.DUMMYFUNCTION("""COMPUTED_VALUE"""),"ERROR DE ID")</f>
        <v>ERROR DE ID</v>
      </c>
      <c r="E4345" s="36"/>
      <c r="F4345" s="36"/>
      <c r="G4345" s="36"/>
      <c r="H4345" s="36"/>
    </row>
    <row r="4346">
      <c r="A4346" s="36"/>
      <c r="B4346" s="36" t="str">
        <f>IFERROR(__xludf.DUMMYFUNCTION("""COMPUTED_VALUE"""),"LATITUD")</f>
        <v>LATITUD</v>
      </c>
      <c r="C4346" s="36" t="str">
        <f>IFERROR(__xludf.DUMMYFUNCTION("""COMPUTED_VALUE"""),"LONGITUD")</f>
        <v>LONGITUD</v>
      </c>
      <c r="D4346" s="36" t="str">
        <f>IFERROR(__xludf.DUMMYFUNCTION("""COMPUTED_VALUE"""),"ERROR DE ID")</f>
        <v>ERROR DE ID</v>
      </c>
      <c r="E4346" s="36"/>
      <c r="F4346" s="36"/>
      <c r="G4346" s="36"/>
      <c r="H4346" s="36"/>
    </row>
    <row r="4347">
      <c r="A4347" s="36"/>
      <c r="B4347" s="36" t="str">
        <f>IFERROR(__xludf.DUMMYFUNCTION("""COMPUTED_VALUE"""),"LATITUD")</f>
        <v>LATITUD</v>
      </c>
      <c r="C4347" s="36" t="str">
        <f>IFERROR(__xludf.DUMMYFUNCTION("""COMPUTED_VALUE"""),"LONGITUD")</f>
        <v>LONGITUD</v>
      </c>
      <c r="D4347" s="36" t="str">
        <f>IFERROR(__xludf.DUMMYFUNCTION("""COMPUTED_VALUE"""),"ERROR DE ID")</f>
        <v>ERROR DE ID</v>
      </c>
      <c r="E4347" s="36"/>
      <c r="F4347" s="36"/>
      <c r="G4347" s="36"/>
      <c r="H4347" s="36"/>
    </row>
    <row r="4348">
      <c r="A4348" s="36"/>
      <c r="B4348" s="36" t="str">
        <f>IFERROR(__xludf.DUMMYFUNCTION("""COMPUTED_VALUE"""),"LATITUD")</f>
        <v>LATITUD</v>
      </c>
      <c r="C4348" s="36" t="str">
        <f>IFERROR(__xludf.DUMMYFUNCTION("""COMPUTED_VALUE"""),"LONGITUD")</f>
        <v>LONGITUD</v>
      </c>
      <c r="D4348" s="36" t="str">
        <f>IFERROR(__xludf.DUMMYFUNCTION("""COMPUTED_VALUE"""),"ERROR DE ID")</f>
        <v>ERROR DE ID</v>
      </c>
      <c r="E4348" s="36"/>
      <c r="F4348" s="36"/>
      <c r="G4348" s="36"/>
      <c r="H4348" s="36"/>
    </row>
    <row r="4349">
      <c r="A4349" s="36"/>
      <c r="B4349" s="36" t="str">
        <f>IFERROR(__xludf.DUMMYFUNCTION("""COMPUTED_VALUE"""),"LATITUD")</f>
        <v>LATITUD</v>
      </c>
      <c r="C4349" s="36" t="str">
        <f>IFERROR(__xludf.DUMMYFUNCTION("""COMPUTED_VALUE"""),"LONGITUD")</f>
        <v>LONGITUD</v>
      </c>
      <c r="D4349" s="36" t="str">
        <f>IFERROR(__xludf.DUMMYFUNCTION("""COMPUTED_VALUE"""),"ERROR DE ID")</f>
        <v>ERROR DE ID</v>
      </c>
      <c r="E4349" s="36"/>
      <c r="F4349" s="36"/>
      <c r="G4349" s="36"/>
      <c r="H4349" s="36"/>
    </row>
    <row r="4350">
      <c r="A4350" s="36"/>
      <c r="B4350" s="36" t="str">
        <f>IFERROR(__xludf.DUMMYFUNCTION("""COMPUTED_VALUE"""),"LATITUD")</f>
        <v>LATITUD</v>
      </c>
      <c r="C4350" s="36" t="str">
        <f>IFERROR(__xludf.DUMMYFUNCTION("""COMPUTED_VALUE"""),"LONGITUD")</f>
        <v>LONGITUD</v>
      </c>
      <c r="D4350" s="36" t="str">
        <f>IFERROR(__xludf.DUMMYFUNCTION("""COMPUTED_VALUE"""),"ERROR DE ID")</f>
        <v>ERROR DE ID</v>
      </c>
      <c r="E4350" s="36"/>
      <c r="F4350" s="36"/>
      <c r="G4350" s="36"/>
      <c r="H4350" s="36"/>
    </row>
    <row r="4351">
      <c r="A4351" s="36"/>
      <c r="B4351" s="36" t="str">
        <f>IFERROR(__xludf.DUMMYFUNCTION("""COMPUTED_VALUE"""),"LATITUD")</f>
        <v>LATITUD</v>
      </c>
      <c r="C4351" s="36" t="str">
        <f>IFERROR(__xludf.DUMMYFUNCTION("""COMPUTED_VALUE"""),"LONGITUD")</f>
        <v>LONGITUD</v>
      </c>
      <c r="D4351" s="36" t="str">
        <f>IFERROR(__xludf.DUMMYFUNCTION("""COMPUTED_VALUE"""),"ERROR DE ID")</f>
        <v>ERROR DE ID</v>
      </c>
      <c r="E4351" s="36"/>
      <c r="F4351" s="36"/>
      <c r="G4351" s="36"/>
      <c r="H4351" s="36"/>
    </row>
    <row r="4352">
      <c r="A4352" s="36"/>
      <c r="B4352" s="36" t="str">
        <f>IFERROR(__xludf.DUMMYFUNCTION("""COMPUTED_VALUE"""),"LATITUD")</f>
        <v>LATITUD</v>
      </c>
      <c r="C4352" s="36" t="str">
        <f>IFERROR(__xludf.DUMMYFUNCTION("""COMPUTED_VALUE"""),"LONGITUD")</f>
        <v>LONGITUD</v>
      </c>
      <c r="D4352" s="36" t="str">
        <f>IFERROR(__xludf.DUMMYFUNCTION("""COMPUTED_VALUE"""),"ERROR DE ID")</f>
        <v>ERROR DE ID</v>
      </c>
      <c r="E4352" s="36"/>
      <c r="F4352" s="36"/>
      <c r="G4352" s="36"/>
      <c r="H4352" s="36"/>
    </row>
    <row r="4353">
      <c r="A4353" s="36"/>
      <c r="B4353" s="36" t="str">
        <f>IFERROR(__xludf.DUMMYFUNCTION("""COMPUTED_VALUE"""),"LATITUD")</f>
        <v>LATITUD</v>
      </c>
      <c r="C4353" s="36" t="str">
        <f>IFERROR(__xludf.DUMMYFUNCTION("""COMPUTED_VALUE"""),"LONGITUD")</f>
        <v>LONGITUD</v>
      </c>
      <c r="D4353" s="36" t="str">
        <f>IFERROR(__xludf.DUMMYFUNCTION("""COMPUTED_VALUE"""),"ERROR DE ID")</f>
        <v>ERROR DE ID</v>
      </c>
      <c r="E4353" s="36"/>
      <c r="F4353" s="36"/>
      <c r="G4353" s="36"/>
      <c r="H4353" s="36"/>
    </row>
    <row r="4354">
      <c r="A4354" s="36"/>
      <c r="B4354" s="36" t="str">
        <f>IFERROR(__xludf.DUMMYFUNCTION("""COMPUTED_VALUE"""),"LATITUD")</f>
        <v>LATITUD</v>
      </c>
      <c r="C4354" s="36" t="str">
        <f>IFERROR(__xludf.DUMMYFUNCTION("""COMPUTED_VALUE"""),"LONGITUD")</f>
        <v>LONGITUD</v>
      </c>
      <c r="D4354" s="36" t="str">
        <f>IFERROR(__xludf.DUMMYFUNCTION("""COMPUTED_VALUE"""),"ERROR DE ID")</f>
        <v>ERROR DE ID</v>
      </c>
      <c r="E4354" s="36"/>
      <c r="F4354" s="36"/>
      <c r="G4354" s="36"/>
      <c r="H4354" s="36"/>
    </row>
    <row r="4355">
      <c r="A4355" s="36"/>
      <c r="B4355" s="36" t="str">
        <f>IFERROR(__xludf.DUMMYFUNCTION("""COMPUTED_VALUE"""),"LATITUD")</f>
        <v>LATITUD</v>
      </c>
      <c r="C4355" s="36" t="str">
        <f>IFERROR(__xludf.DUMMYFUNCTION("""COMPUTED_VALUE"""),"LONGITUD")</f>
        <v>LONGITUD</v>
      </c>
      <c r="D4355" s="36" t="str">
        <f>IFERROR(__xludf.DUMMYFUNCTION("""COMPUTED_VALUE"""),"ERROR DE ID")</f>
        <v>ERROR DE ID</v>
      </c>
      <c r="E4355" s="36"/>
      <c r="F4355" s="36"/>
      <c r="G4355" s="36"/>
      <c r="H4355" s="36"/>
    </row>
    <row r="4356">
      <c r="A4356" s="36"/>
      <c r="B4356" s="36" t="str">
        <f>IFERROR(__xludf.DUMMYFUNCTION("""COMPUTED_VALUE"""),"LATITUD")</f>
        <v>LATITUD</v>
      </c>
      <c r="C4356" s="36" t="str">
        <f>IFERROR(__xludf.DUMMYFUNCTION("""COMPUTED_VALUE"""),"LONGITUD")</f>
        <v>LONGITUD</v>
      </c>
      <c r="D4356" s="36" t="str">
        <f>IFERROR(__xludf.DUMMYFUNCTION("""COMPUTED_VALUE"""),"ERROR DE ID")</f>
        <v>ERROR DE ID</v>
      </c>
      <c r="E4356" s="36"/>
      <c r="F4356" s="36"/>
      <c r="G4356" s="36"/>
      <c r="H4356" s="36"/>
    </row>
    <row r="4357">
      <c r="A4357" s="36"/>
      <c r="B4357" s="36" t="str">
        <f>IFERROR(__xludf.DUMMYFUNCTION("""COMPUTED_VALUE"""),"LATITUD")</f>
        <v>LATITUD</v>
      </c>
      <c r="C4357" s="36" t="str">
        <f>IFERROR(__xludf.DUMMYFUNCTION("""COMPUTED_VALUE"""),"LONGITUD")</f>
        <v>LONGITUD</v>
      </c>
      <c r="D4357" s="36" t="str">
        <f>IFERROR(__xludf.DUMMYFUNCTION("""COMPUTED_VALUE"""),"ERROR DE ID")</f>
        <v>ERROR DE ID</v>
      </c>
      <c r="E4357" s="36"/>
      <c r="F4357" s="36"/>
      <c r="G4357" s="36"/>
      <c r="H4357" s="36"/>
    </row>
    <row r="4358">
      <c r="A4358" s="36"/>
      <c r="B4358" s="36" t="str">
        <f>IFERROR(__xludf.DUMMYFUNCTION("""COMPUTED_VALUE"""),"LATITUD")</f>
        <v>LATITUD</v>
      </c>
      <c r="C4358" s="36" t="str">
        <f>IFERROR(__xludf.DUMMYFUNCTION("""COMPUTED_VALUE"""),"LONGITUD")</f>
        <v>LONGITUD</v>
      </c>
      <c r="D4358" s="36" t="str">
        <f>IFERROR(__xludf.DUMMYFUNCTION("""COMPUTED_VALUE"""),"ERROR DE ID")</f>
        <v>ERROR DE ID</v>
      </c>
      <c r="E4358" s="36"/>
      <c r="F4358" s="36"/>
      <c r="G4358" s="36"/>
      <c r="H4358" s="36"/>
    </row>
    <row r="4359">
      <c r="A4359" s="36"/>
      <c r="B4359" s="36" t="str">
        <f>IFERROR(__xludf.DUMMYFUNCTION("""COMPUTED_VALUE"""),"LATITUD")</f>
        <v>LATITUD</v>
      </c>
      <c r="C4359" s="36" t="str">
        <f>IFERROR(__xludf.DUMMYFUNCTION("""COMPUTED_VALUE"""),"LONGITUD")</f>
        <v>LONGITUD</v>
      </c>
      <c r="D4359" s="36" t="str">
        <f>IFERROR(__xludf.DUMMYFUNCTION("""COMPUTED_VALUE"""),"ERROR DE ID")</f>
        <v>ERROR DE ID</v>
      </c>
      <c r="E4359" s="36"/>
      <c r="F4359" s="36"/>
      <c r="G4359" s="36"/>
      <c r="H4359" s="36"/>
    </row>
    <row r="4360">
      <c r="A4360" s="36"/>
      <c r="B4360" s="36" t="str">
        <f>IFERROR(__xludf.DUMMYFUNCTION("""COMPUTED_VALUE"""),"LATITUD")</f>
        <v>LATITUD</v>
      </c>
      <c r="C4360" s="36" t="str">
        <f>IFERROR(__xludf.DUMMYFUNCTION("""COMPUTED_VALUE"""),"LONGITUD")</f>
        <v>LONGITUD</v>
      </c>
      <c r="D4360" s="36" t="str">
        <f>IFERROR(__xludf.DUMMYFUNCTION("""COMPUTED_VALUE"""),"ERROR DE ID")</f>
        <v>ERROR DE ID</v>
      </c>
      <c r="E4360" s="36"/>
      <c r="F4360" s="36"/>
      <c r="G4360" s="36"/>
      <c r="H4360" s="36"/>
    </row>
    <row r="4361">
      <c r="A4361" s="36"/>
      <c r="B4361" s="36" t="str">
        <f>IFERROR(__xludf.DUMMYFUNCTION("""COMPUTED_VALUE"""),"LATITUD")</f>
        <v>LATITUD</v>
      </c>
      <c r="C4361" s="36" t="str">
        <f>IFERROR(__xludf.DUMMYFUNCTION("""COMPUTED_VALUE"""),"LONGITUD")</f>
        <v>LONGITUD</v>
      </c>
      <c r="D4361" s="36" t="str">
        <f>IFERROR(__xludf.DUMMYFUNCTION("""COMPUTED_VALUE"""),"ERROR DE ID")</f>
        <v>ERROR DE ID</v>
      </c>
      <c r="E4361" s="36"/>
      <c r="F4361" s="36"/>
      <c r="G4361" s="36"/>
      <c r="H4361" s="36"/>
    </row>
    <row r="4362">
      <c r="A4362" s="36"/>
      <c r="B4362" s="36" t="str">
        <f>IFERROR(__xludf.DUMMYFUNCTION("""COMPUTED_VALUE"""),"LATITUD")</f>
        <v>LATITUD</v>
      </c>
      <c r="C4362" s="36" t="str">
        <f>IFERROR(__xludf.DUMMYFUNCTION("""COMPUTED_VALUE"""),"LONGITUD")</f>
        <v>LONGITUD</v>
      </c>
      <c r="D4362" s="36" t="str">
        <f>IFERROR(__xludf.DUMMYFUNCTION("""COMPUTED_VALUE"""),"ERROR DE ID")</f>
        <v>ERROR DE ID</v>
      </c>
      <c r="E4362" s="36"/>
      <c r="F4362" s="36"/>
      <c r="G4362" s="36"/>
      <c r="H4362" s="36"/>
    </row>
    <row r="4363">
      <c r="A4363" s="36"/>
      <c r="B4363" s="36" t="str">
        <f>IFERROR(__xludf.DUMMYFUNCTION("""COMPUTED_VALUE"""),"LATITUD")</f>
        <v>LATITUD</v>
      </c>
      <c r="C4363" s="36" t="str">
        <f>IFERROR(__xludf.DUMMYFUNCTION("""COMPUTED_VALUE"""),"LONGITUD")</f>
        <v>LONGITUD</v>
      </c>
      <c r="D4363" s="36" t="str">
        <f>IFERROR(__xludf.DUMMYFUNCTION("""COMPUTED_VALUE"""),"ERROR DE ID")</f>
        <v>ERROR DE ID</v>
      </c>
      <c r="E4363" s="36"/>
      <c r="F4363" s="36"/>
      <c r="G4363" s="36"/>
      <c r="H4363" s="36"/>
    </row>
    <row r="4364">
      <c r="A4364" s="36"/>
      <c r="B4364" s="36" t="str">
        <f>IFERROR(__xludf.DUMMYFUNCTION("""COMPUTED_VALUE"""),"LATITUD")</f>
        <v>LATITUD</v>
      </c>
      <c r="C4364" s="36" t="str">
        <f>IFERROR(__xludf.DUMMYFUNCTION("""COMPUTED_VALUE"""),"LONGITUD")</f>
        <v>LONGITUD</v>
      </c>
      <c r="D4364" s="36" t="str">
        <f>IFERROR(__xludf.DUMMYFUNCTION("""COMPUTED_VALUE"""),"ERROR DE ID")</f>
        <v>ERROR DE ID</v>
      </c>
      <c r="E4364" s="36"/>
      <c r="F4364" s="36"/>
      <c r="G4364" s="36"/>
      <c r="H4364" s="36"/>
    </row>
    <row r="4365">
      <c r="A4365" s="36"/>
      <c r="B4365" s="36" t="str">
        <f>IFERROR(__xludf.DUMMYFUNCTION("""COMPUTED_VALUE"""),"LATITUD")</f>
        <v>LATITUD</v>
      </c>
      <c r="C4365" s="36" t="str">
        <f>IFERROR(__xludf.DUMMYFUNCTION("""COMPUTED_VALUE"""),"LONGITUD")</f>
        <v>LONGITUD</v>
      </c>
      <c r="D4365" s="36" t="str">
        <f>IFERROR(__xludf.DUMMYFUNCTION("""COMPUTED_VALUE"""),"ERROR DE ID")</f>
        <v>ERROR DE ID</v>
      </c>
      <c r="E4365" s="36"/>
      <c r="F4365" s="36"/>
      <c r="G4365" s="36"/>
      <c r="H4365" s="36"/>
    </row>
    <row r="4366">
      <c r="A4366" s="36"/>
      <c r="B4366" s="36" t="str">
        <f>IFERROR(__xludf.DUMMYFUNCTION("""COMPUTED_VALUE"""),"LATITUD")</f>
        <v>LATITUD</v>
      </c>
      <c r="C4366" s="36" t="str">
        <f>IFERROR(__xludf.DUMMYFUNCTION("""COMPUTED_VALUE"""),"LONGITUD")</f>
        <v>LONGITUD</v>
      </c>
      <c r="D4366" s="36" t="str">
        <f>IFERROR(__xludf.DUMMYFUNCTION("""COMPUTED_VALUE"""),"ERROR DE ID")</f>
        <v>ERROR DE ID</v>
      </c>
      <c r="E4366" s="36"/>
      <c r="F4366" s="36"/>
      <c r="G4366" s="36"/>
      <c r="H4366" s="36"/>
    </row>
    <row r="4367">
      <c r="A4367" s="36"/>
      <c r="B4367" s="36" t="str">
        <f>IFERROR(__xludf.DUMMYFUNCTION("""COMPUTED_VALUE"""),"LATITUD")</f>
        <v>LATITUD</v>
      </c>
      <c r="C4367" s="36" t="str">
        <f>IFERROR(__xludf.DUMMYFUNCTION("""COMPUTED_VALUE"""),"LONGITUD")</f>
        <v>LONGITUD</v>
      </c>
      <c r="D4367" s="36" t="str">
        <f>IFERROR(__xludf.DUMMYFUNCTION("""COMPUTED_VALUE"""),"ERROR DE ID")</f>
        <v>ERROR DE ID</v>
      </c>
      <c r="E4367" s="36"/>
      <c r="F4367" s="36"/>
      <c r="G4367" s="36"/>
      <c r="H4367" s="36"/>
    </row>
    <row r="4368">
      <c r="A4368" s="36"/>
      <c r="B4368" s="36" t="str">
        <f>IFERROR(__xludf.DUMMYFUNCTION("""COMPUTED_VALUE"""),"LATITUD")</f>
        <v>LATITUD</v>
      </c>
      <c r="C4368" s="36" t="str">
        <f>IFERROR(__xludf.DUMMYFUNCTION("""COMPUTED_VALUE"""),"LONGITUD")</f>
        <v>LONGITUD</v>
      </c>
      <c r="D4368" s="36" t="str">
        <f>IFERROR(__xludf.DUMMYFUNCTION("""COMPUTED_VALUE"""),"ERROR DE ID")</f>
        <v>ERROR DE ID</v>
      </c>
      <c r="E4368" s="36"/>
      <c r="F4368" s="36"/>
      <c r="G4368" s="36"/>
      <c r="H4368" s="36"/>
    </row>
    <row r="4369">
      <c r="A4369" s="36"/>
      <c r="B4369" s="36" t="str">
        <f>IFERROR(__xludf.DUMMYFUNCTION("""COMPUTED_VALUE"""),"LATITUD")</f>
        <v>LATITUD</v>
      </c>
      <c r="C4369" s="36" t="str">
        <f>IFERROR(__xludf.DUMMYFUNCTION("""COMPUTED_VALUE"""),"LONGITUD")</f>
        <v>LONGITUD</v>
      </c>
      <c r="D4369" s="36" t="str">
        <f>IFERROR(__xludf.DUMMYFUNCTION("""COMPUTED_VALUE"""),"ERROR DE ID")</f>
        <v>ERROR DE ID</v>
      </c>
      <c r="E4369" s="36"/>
      <c r="F4369" s="36"/>
      <c r="G4369" s="36"/>
      <c r="H4369" s="36"/>
    </row>
    <row r="4370">
      <c r="A4370" s="36"/>
      <c r="B4370" s="36" t="str">
        <f>IFERROR(__xludf.DUMMYFUNCTION("""COMPUTED_VALUE"""),"LATITUD")</f>
        <v>LATITUD</v>
      </c>
      <c r="C4370" s="36" t="str">
        <f>IFERROR(__xludf.DUMMYFUNCTION("""COMPUTED_VALUE"""),"LONGITUD")</f>
        <v>LONGITUD</v>
      </c>
      <c r="D4370" s="36" t="str">
        <f>IFERROR(__xludf.DUMMYFUNCTION("""COMPUTED_VALUE"""),"ERROR DE ID")</f>
        <v>ERROR DE ID</v>
      </c>
      <c r="E4370" s="36"/>
      <c r="F4370" s="36"/>
      <c r="G4370" s="36"/>
      <c r="H4370" s="36"/>
    </row>
    <row r="4371">
      <c r="A4371" s="36"/>
      <c r="B4371" s="36" t="str">
        <f>IFERROR(__xludf.DUMMYFUNCTION("""COMPUTED_VALUE"""),"LATITUD")</f>
        <v>LATITUD</v>
      </c>
      <c r="C4371" s="36" t="str">
        <f>IFERROR(__xludf.DUMMYFUNCTION("""COMPUTED_VALUE"""),"LONGITUD")</f>
        <v>LONGITUD</v>
      </c>
      <c r="D4371" s="36" t="str">
        <f>IFERROR(__xludf.DUMMYFUNCTION("""COMPUTED_VALUE"""),"ERROR DE ID")</f>
        <v>ERROR DE ID</v>
      </c>
      <c r="E4371" s="36"/>
      <c r="F4371" s="36"/>
      <c r="G4371" s="36"/>
      <c r="H4371" s="36"/>
    </row>
    <row r="4372">
      <c r="A4372" s="36"/>
      <c r="B4372" s="36" t="str">
        <f>IFERROR(__xludf.DUMMYFUNCTION("""COMPUTED_VALUE"""),"LATITUD")</f>
        <v>LATITUD</v>
      </c>
      <c r="C4372" s="36" t="str">
        <f>IFERROR(__xludf.DUMMYFUNCTION("""COMPUTED_VALUE"""),"LONGITUD")</f>
        <v>LONGITUD</v>
      </c>
      <c r="D4372" s="36" t="str">
        <f>IFERROR(__xludf.DUMMYFUNCTION("""COMPUTED_VALUE"""),"ERROR DE ID")</f>
        <v>ERROR DE ID</v>
      </c>
      <c r="E4372" s="36"/>
      <c r="F4372" s="36"/>
      <c r="G4372" s="36"/>
      <c r="H4372" s="36"/>
    </row>
    <row r="4373">
      <c r="A4373" s="36"/>
      <c r="B4373" s="36" t="str">
        <f>IFERROR(__xludf.DUMMYFUNCTION("""COMPUTED_VALUE"""),"LATITUD")</f>
        <v>LATITUD</v>
      </c>
      <c r="C4373" s="36" t="str">
        <f>IFERROR(__xludf.DUMMYFUNCTION("""COMPUTED_VALUE"""),"LONGITUD")</f>
        <v>LONGITUD</v>
      </c>
      <c r="D4373" s="36" t="str">
        <f>IFERROR(__xludf.DUMMYFUNCTION("""COMPUTED_VALUE"""),"ERROR DE ID")</f>
        <v>ERROR DE ID</v>
      </c>
      <c r="E4373" s="36"/>
      <c r="F4373" s="36"/>
      <c r="G4373" s="36"/>
      <c r="H4373" s="36"/>
    </row>
    <row r="4374">
      <c r="A4374" s="36"/>
      <c r="B4374" s="36" t="str">
        <f>IFERROR(__xludf.DUMMYFUNCTION("""COMPUTED_VALUE"""),"LATITUD")</f>
        <v>LATITUD</v>
      </c>
      <c r="C4374" s="36" t="str">
        <f>IFERROR(__xludf.DUMMYFUNCTION("""COMPUTED_VALUE"""),"LONGITUD")</f>
        <v>LONGITUD</v>
      </c>
      <c r="D4374" s="36" t="str">
        <f>IFERROR(__xludf.DUMMYFUNCTION("""COMPUTED_VALUE"""),"ERROR DE ID")</f>
        <v>ERROR DE ID</v>
      </c>
      <c r="E4374" s="36"/>
      <c r="F4374" s="36"/>
      <c r="G4374" s="36"/>
      <c r="H4374" s="36"/>
    </row>
    <row r="4375">
      <c r="A4375" s="36"/>
      <c r="B4375" s="36" t="str">
        <f>IFERROR(__xludf.DUMMYFUNCTION("""COMPUTED_VALUE"""),"LATITUD")</f>
        <v>LATITUD</v>
      </c>
      <c r="C4375" s="36" t="str">
        <f>IFERROR(__xludf.DUMMYFUNCTION("""COMPUTED_VALUE"""),"LONGITUD")</f>
        <v>LONGITUD</v>
      </c>
      <c r="D4375" s="36" t="str">
        <f>IFERROR(__xludf.DUMMYFUNCTION("""COMPUTED_VALUE"""),"ERROR DE ID")</f>
        <v>ERROR DE ID</v>
      </c>
      <c r="E4375" s="36"/>
      <c r="F4375" s="36"/>
      <c r="G4375" s="36"/>
      <c r="H4375" s="36"/>
    </row>
    <row r="4376">
      <c r="A4376" s="36"/>
      <c r="B4376" s="36" t="str">
        <f>IFERROR(__xludf.DUMMYFUNCTION("""COMPUTED_VALUE"""),"LATITUD")</f>
        <v>LATITUD</v>
      </c>
      <c r="C4376" s="36" t="str">
        <f>IFERROR(__xludf.DUMMYFUNCTION("""COMPUTED_VALUE"""),"LONGITUD")</f>
        <v>LONGITUD</v>
      </c>
      <c r="D4376" s="36" t="str">
        <f>IFERROR(__xludf.DUMMYFUNCTION("""COMPUTED_VALUE"""),"ERROR DE ID")</f>
        <v>ERROR DE ID</v>
      </c>
      <c r="E4376" s="36"/>
      <c r="F4376" s="36"/>
      <c r="G4376" s="36"/>
      <c r="H4376" s="36"/>
    </row>
    <row r="4377">
      <c r="A4377" s="36"/>
      <c r="B4377" s="36" t="str">
        <f>IFERROR(__xludf.DUMMYFUNCTION("""COMPUTED_VALUE"""),"LATITUD")</f>
        <v>LATITUD</v>
      </c>
      <c r="C4377" s="36" t="str">
        <f>IFERROR(__xludf.DUMMYFUNCTION("""COMPUTED_VALUE"""),"LONGITUD")</f>
        <v>LONGITUD</v>
      </c>
      <c r="D4377" s="36" t="str">
        <f>IFERROR(__xludf.DUMMYFUNCTION("""COMPUTED_VALUE"""),"ERROR DE ID")</f>
        <v>ERROR DE ID</v>
      </c>
      <c r="E4377" s="36"/>
      <c r="F4377" s="36"/>
      <c r="G4377" s="36"/>
      <c r="H4377" s="36"/>
    </row>
    <row r="4378">
      <c r="A4378" s="36"/>
      <c r="B4378" s="36" t="str">
        <f>IFERROR(__xludf.DUMMYFUNCTION("""COMPUTED_VALUE"""),"LATITUD")</f>
        <v>LATITUD</v>
      </c>
      <c r="C4378" s="36" t="str">
        <f>IFERROR(__xludf.DUMMYFUNCTION("""COMPUTED_VALUE"""),"LONGITUD")</f>
        <v>LONGITUD</v>
      </c>
      <c r="D4378" s="36" t="str">
        <f>IFERROR(__xludf.DUMMYFUNCTION("""COMPUTED_VALUE"""),"ERROR DE ID")</f>
        <v>ERROR DE ID</v>
      </c>
      <c r="E4378" s="36"/>
      <c r="F4378" s="36"/>
      <c r="G4378" s="36"/>
      <c r="H4378" s="36"/>
    </row>
    <row r="4379">
      <c r="A4379" s="36"/>
      <c r="B4379" s="36" t="str">
        <f>IFERROR(__xludf.DUMMYFUNCTION("""COMPUTED_VALUE"""),"LATITUD")</f>
        <v>LATITUD</v>
      </c>
      <c r="C4379" s="36" t="str">
        <f>IFERROR(__xludf.DUMMYFUNCTION("""COMPUTED_VALUE"""),"LONGITUD")</f>
        <v>LONGITUD</v>
      </c>
      <c r="D4379" s="36" t="str">
        <f>IFERROR(__xludf.DUMMYFUNCTION("""COMPUTED_VALUE"""),"ERROR DE ID")</f>
        <v>ERROR DE ID</v>
      </c>
      <c r="E4379" s="36"/>
      <c r="F4379" s="36"/>
      <c r="G4379" s="36"/>
      <c r="H4379" s="36"/>
    </row>
    <row r="4380">
      <c r="A4380" s="36"/>
      <c r="B4380" s="36" t="str">
        <f>IFERROR(__xludf.DUMMYFUNCTION("""COMPUTED_VALUE"""),"LATITUD")</f>
        <v>LATITUD</v>
      </c>
      <c r="C4380" s="36" t="str">
        <f>IFERROR(__xludf.DUMMYFUNCTION("""COMPUTED_VALUE"""),"LONGITUD")</f>
        <v>LONGITUD</v>
      </c>
      <c r="D4380" s="36" t="str">
        <f>IFERROR(__xludf.DUMMYFUNCTION("""COMPUTED_VALUE"""),"ERROR DE ID")</f>
        <v>ERROR DE ID</v>
      </c>
      <c r="E4380" s="36"/>
      <c r="F4380" s="36"/>
      <c r="G4380" s="36"/>
      <c r="H4380" s="36"/>
    </row>
    <row r="4381">
      <c r="A4381" s="36"/>
      <c r="B4381" s="36" t="str">
        <f>IFERROR(__xludf.DUMMYFUNCTION("""COMPUTED_VALUE"""),"LATITUD")</f>
        <v>LATITUD</v>
      </c>
      <c r="C4381" s="36" t="str">
        <f>IFERROR(__xludf.DUMMYFUNCTION("""COMPUTED_VALUE"""),"LONGITUD")</f>
        <v>LONGITUD</v>
      </c>
      <c r="D4381" s="36" t="str">
        <f>IFERROR(__xludf.DUMMYFUNCTION("""COMPUTED_VALUE"""),"ERROR DE ID")</f>
        <v>ERROR DE ID</v>
      </c>
      <c r="E4381" s="36"/>
      <c r="F4381" s="36"/>
      <c r="G4381" s="36"/>
      <c r="H4381" s="36"/>
    </row>
    <row r="4382">
      <c r="A4382" s="36"/>
      <c r="B4382" s="36" t="str">
        <f>IFERROR(__xludf.DUMMYFUNCTION("""COMPUTED_VALUE"""),"LATITUD")</f>
        <v>LATITUD</v>
      </c>
      <c r="C4382" s="36" t="str">
        <f>IFERROR(__xludf.DUMMYFUNCTION("""COMPUTED_VALUE"""),"LONGITUD")</f>
        <v>LONGITUD</v>
      </c>
      <c r="D4382" s="36" t="str">
        <f>IFERROR(__xludf.DUMMYFUNCTION("""COMPUTED_VALUE"""),"ERROR DE ID")</f>
        <v>ERROR DE ID</v>
      </c>
      <c r="E4382" s="36"/>
      <c r="F4382" s="36"/>
      <c r="G4382" s="36"/>
      <c r="H4382" s="36"/>
    </row>
    <row r="4383">
      <c r="A4383" s="36"/>
      <c r="B4383" s="36" t="str">
        <f>IFERROR(__xludf.DUMMYFUNCTION("""COMPUTED_VALUE"""),"LATITUD")</f>
        <v>LATITUD</v>
      </c>
      <c r="C4383" s="36" t="str">
        <f>IFERROR(__xludf.DUMMYFUNCTION("""COMPUTED_VALUE"""),"LONGITUD")</f>
        <v>LONGITUD</v>
      </c>
      <c r="D4383" s="36" t="str">
        <f>IFERROR(__xludf.DUMMYFUNCTION("""COMPUTED_VALUE"""),"ERROR DE ID")</f>
        <v>ERROR DE ID</v>
      </c>
      <c r="E4383" s="36"/>
      <c r="F4383" s="36"/>
      <c r="G4383" s="36"/>
      <c r="H4383" s="36"/>
    </row>
    <row r="4384">
      <c r="A4384" s="36"/>
      <c r="B4384" s="36" t="str">
        <f>IFERROR(__xludf.DUMMYFUNCTION("""COMPUTED_VALUE"""),"LATITUD")</f>
        <v>LATITUD</v>
      </c>
      <c r="C4384" s="36" t="str">
        <f>IFERROR(__xludf.DUMMYFUNCTION("""COMPUTED_VALUE"""),"LONGITUD")</f>
        <v>LONGITUD</v>
      </c>
      <c r="D4384" s="36" t="str">
        <f>IFERROR(__xludf.DUMMYFUNCTION("""COMPUTED_VALUE"""),"ERROR DE ID")</f>
        <v>ERROR DE ID</v>
      </c>
      <c r="E4384" s="36"/>
      <c r="F4384" s="36"/>
      <c r="G4384" s="36"/>
      <c r="H4384" s="36"/>
    </row>
    <row r="4385">
      <c r="A4385" s="36"/>
      <c r="B4385" s="36" t="str">
        <f>IFERROR(__xludf.DUMMYFUNCTION("""COMPUTED_VALUE"""),"LATITUD")</f>
        <v>LATITUD</v>
      </c>
      <c r="C4385" s="36" t="str">
        <f>IFERROR(__xludf.DUMMYFUNCTION("""COMPUTED_VALUE"""),"LONGITUD")</f>
        <v>LONGITUD</v>
      </c>
      <c r="D4385" s="36" t="str">
        <f>IFERROR(__xludf.DUMMYFUNCTION("""COMPUTED_VALUE"""),"ERROR DE ID")</f>
        <v>ERROR DE ID</v>
      </c>
      <c r="E4385" s="36"/>
      <c r="F4385" s="36"/>
      <c r="G4385" s="36"/>
      <c r="H4385" s="36"/>
    </row>
    <row r="4386">
      <c r="A4386" s="36"/>
      <c r="B4386" s="36" t="str">
        <f>IFERROR(__xludf.DUMMYFUNCTION("""COMPUTED_VALUE"""),"LATITUD")</f>
        <v>LATITUD</v>
      </c>
      <c r="C4386" s="36" t="str">
        <f>IFERROR(__xludf.DUMMYFUNCTION("""COMPUTED_VALUE"""),"LONGITUD")</f>
        <v>LONGITUD</v>
      </c>
      <c r="D4386" s="36" t="str">
        <f>IFERROR(__xludf.DUMMYFUNCTION("""COMPUTED_VALUE"""),"ERROR DE ID")</f>
        <v>ERROR DE ID</v>
      </c>
      <c r="E4386" s="36"/>
      <c r="F4386" s="36"/>
      <c r="G4386" s="36"/>
      <c r="H4386" s="36"/>
    </row>
    <row r="4387">
      <c r="A4387" s="36"/>
      <c r="B4387" s="36" t="str">
        <f>IFERROR(__xludf.DUMMYFUNCTION("""COMPUTED_VALUE"""),"LATITUD")</f>
        <v>LATITUD</v>
      </c>
      <c r="C4387" s="36" t="str">
        <f>IFERROR(__xludf.DUMMYFUNCTION("""COMPUTED_VALUE"""),"LONGITUD")</f>
        <v>LONGITUD</v>
      </c>
      <c r="D4387" s="36" t="str">
        <f>IFERROR(__xludf.DUMMYFUNCTION("""COMPUTED_VALUE"""),"ERROR DE ID")</f>
        <v>ERROR DE ID</v>
      </c>
      <c r="E4387" s="36"/>
      <c r="F4387" s="36"/>
      <c r="G4387" s="36"/>
      <c r="H4387" s="36"/>
    </row>
    <row r="4388">
      <c r="A4388" s="36"/>
      <c r="B4388" s="36" t="str">
        <f>IFERROR(__xludf.DUMMYFUNCTION("""COMPUTED_VALUE"""),"LATITUD")</f>
        <v>LATITUD</v>
      </c>
      <c r="C4388" s="36" t="str">
        <f>IFERROR(__xludf.DUMMYFUNCTION("""COMPUTED_VALUE"""),"LONGITUD")</f>
        <v>LONGITUD</v>
      </c>
      <c r="D4388" s="36" t="str">
        <f>IFERROR(__xludf.DUMMYFUNCTION("""COMPUTED_VALUE"""),"ERROR DE ID")</f>
        <v>ERROR DE ID</v>
      </c>
      <c r="E4388" s="36"/>
      <c r="F4388" s="36"/>
      <c r="G4388" s="36"/>
      <c r="H4388" s="36"/>
    </row>
    <row r="4389">
      <c r="A4389" s="36"/>
      <c r="B4389" s="36" t="str">
        <f>IFERROR(__xludf.DUMMYFUNCTION("""COMPUTED_VALUE"""),"LATITUD")</f>
        <v>LATITUD</v>
      </c>
      <c r="C4389" s="36" t="str">
        <f>IFERROR(__xludf.DUMMYFUNCTION("""COMPUTED_VALUE"""),"LONGITUD")</f>
        <v>LONGITUD</v>
      </c>
      <c r="D4389" s="36" t="str">
        <f>IFERROR(__xludf.DUMMYFUNCTION("""COMPUTED_VALUE"""),"ERROR DE ID")</f>
        <v>ERROR DE ID</v>
      </c>
      <c r="E4389" s="36"/>
      <c r="F4389" s="36"/>
      <c r="G4389" s="36"/>
      <c r="H4389" s="36"/>
    </row>
    <row r="4390">
      <c r="A4390" s="36"/>
      <c r="B4390" s="36" t="str">
        <f>IFERROR(__xludf.DUMMYFUNCTION("""COMPUTED_VALUE"""),"LATITUD")</f>
        <v>LATITUD</v>
      </c>
      <c r="C4390" s="36" t="str">
        <f>IFERROR(__xludf.DUMMYFUNCTION("""COMPUTED_VALUE"""),"LONGITUD")</f>
        <v>LONGITUD</v>
      </c>
      <c r="D4390" s="36" t="str">
        <f>IFERROR(__xludf.DUMMYFUNCTION("""COMPUTED_VALUE"""),"ERROR DE ID")</f>
        <v>ERROR DE ID</v>
      </c>
      <c r="E4390" s="36"/>
      <c r="F4390" s="36"/>
      <c r="G4390" s="36"/>
      <c r="H4390" s="36"/>
    </row>
    <row r="4391">
      <c r="A4391" s="36"/>
      <c r="B4391" s="36" t="str">
        <f>IFERROR(__xludf.DUMMYFUNCTION("""COMPUTED_VALUE"""),"LATITUD")</f>
        <v>LATITUD</v>
      </c>
      <c r="C4391" s="36" t="str">
        <f>IFERROR(__xludf.DUMMYFUNCTION("""COMPUTED_VALUE"""),"LONGITUD")</f>
        <v>LONGITUD</v>
      </c>
      <c r="D4391" s="36" t="str">
        <f>IFERROR(__xludf.DUMMYFUNCTION("""COMPUTED_VALUE"""),"ERROR DE ID")</f>
        <v>ERROR DE ID</v>
      </c>
      <c r="E4391" s="36"/>
      <c r="F4391" s="36"/>
      <c r="G4391" s="36"/>
      <c r="H4391" s="36"/>
    </row>
    <row r="4392">
      <c r="A4392" s="36"/>
      <c r="B4392" s="36" t="str">
        <f>IFERROR(__xludf.DUMMYFUNCTION("""COMPUTED_VALUE"""),"LATITUD")</f>
        <v>LATITUD</v>
      </c>
      <c r="C4392" s="36" t="str">
        <f>IFERROR(__xludf.DUMMYFUNCTION("""COMPUTED_VALUE"""),"LONGITUD")</f>
        <v>LONGITUD</v>
      </c>
      <c r="D4392" s="36" t="str">
        <f>IFERROR(__xludf.DUMMYFUNCTION("""COMPUTED_VALUE"""),"ERROR DE ID")</f>
        <v>ERROR DE ID</v>
      </c>
      <c r="E4392" s="36"/>
      <c r="F4392" s="36"/>
      <c r="G4392" s="36"/>
      <c r="H4392" s="36"/>
    </row>
    <row r="4393">
      <c r="A4393" s="36"/>
      <c r="B4393" s="36" t="str">
        <f>IFERROR(__xludf.DUMMYFUNCTION("""COMPUTED_VALUE"""),"LATITUD")</f>
        <v>LATITUD</v>
      </c>
      <c r="C4393" s="36" t="str">
        <f>IFERROR(__xludf.DUMMYFUNCTION("""COMPUTED_VALUE"""),"LONGITUD")</f>
        <v>LONGITUD</v>
      </c>
      <c r="D4393" s="36" t="str">
        <f>IFERROR(__xludf.DUMMYFUNCTION("""COMPUTED_VALUE"""),"ERROR DE ID")</f>
        <v>ERROR DE ID</v>
      </c>
      <c r="E4393" s="36"/>
      <c r="F4393" s="36"/>
      <c r="G4393" s="36"/>
      <c r="H4393" s="36"/>
    </row>
    <row r="4394">
      <c r="A4394" s="36"/>
      <c r="B4394" s="36" t="str">
        <f>IFERROR(__xludf.DUMMYFUNCTION("""COMPUTED_VALUE"""),"LATITUD")</f>
        <v>LATITUD</v>
      </c>
      <c r="C4394" s="36" t="str">
        <f>IFERROR(__xludf.DUMMYFUNCTION("""COMPUTED_VALUE"""),"LONGITUD")</f>
        <v>LONGITUD</v>
      </c>
      <c r="D4394" s="36" t="str">
        <f>IFERROR(__xludf.DUMMYFUNCTION("""COMPUTED_VALUE"""),"ERROR DE ID")</f>
        <v>ERROR DE ID</v>
      </c>
      <c r="E4394" s="36"/>
      <c r="F4394" s="36"/>
      <c r="G4394" s="36"/>
      <c r="H4394" s="36"/>
    </row>
    <row r="4395">
      <c r="A4395" s="36"/>
      <c r="B4395" s="36" t="str">
        <f>IFERROR(__xludf.DUMMYFUNCTION("""COMPUTED_VALUE"""),"LATITUD")</f>
        <v>LATITUD</v>
      </c>
      <c r="C4395" s="36" t="str">
        <f>IFERROR(__xludf.DUMMYFUNCTION("""COMPUTED_VALUE"""),"LONGITUD")</f>
        <v>LONGITUD</v>
      </c>
      <c r="D4395" s="36" t="str">
        <f>IFERROR(__xludf.DUMMYFUNCTION("""COMPUTED_VALUE"""),"ERROR DE ID")</f>
        <v>ERROR DE ID</v>
      </c>
      <c r="E4395" s="36"/>
      <c r="F4395" s="36"/>
      <c r="G4395" s="36"/>
      <c r="H4395" s="36"/>
    </row>
    <row r="4396">
      <c r="A4396" s="36"/>
      <c r="B4396" s="36" t="str">
        <f>IFERROR(__xludf.DUMMYFUNCTION("""COMPUTED_VALUE"""),"LATITUD")</f>
        <v>LATITUD</v>
      </c>
      <c r="C4396" s="36" t="str">
        <f>IFERROR(__xludf.DUMMYFUNCTION("""COMPUTED_VALUE"""),"LONGITUD")</f>
        <v>LONGITUD</v>
      </c>
      <c r="D4396" s="36" t="str">
        <f>IFERROR(__xludf.DUMMYFUNCTION("""COMPUTED_VALUE"""),"ERROR DE ID")</f>
        <v>ERROR DE ID</v>
      </c>
      <c r="E4396" s="36"/>
      <c r="F4396" s="36"/>
      <c r="G4396" s="36"/>
      <c r="H4396" s="36"/>
    </row>
    <row r="4397">
      <c r="A4397" s="36"/>
      <c r="B4397" s="36" t="str">
        <f>IFERROR(__xludf.DUMMYFUNCTION("""COMPUTED_VALUE"""),"LATITUD")</f>
        <v>LATITUD</v>
      </c>
      <c r="C4397" s="36" t="str">
        <f>IFERROR(__xludf.DUMMYFUNCTION("""COMPUTED_VALUE"""),"LONGITUD")</f>
        <v>LONGITUD</v>
      </c>
      <c r="D4397" s="36" t="str">
        <f>IFERROR(__xludf.DUMMYFUNCTION("""COMPUTED_VALUE"""),"ERROR DE ID")</f>
        <v>ERROR DE ID</v>
      </c>
      <c r="E4397" s="36"/>
      <c r="F4397" s="36"/>
      <c r="G4397" s="36"/>
      <c r="H4397" s="36"/>
    </row>
    <row r="4398">
      <c r="A4398" s="36"/>
      <c r="B4398" s="36" t="str">
        <f>IFERROR(__xludf.DUMMYFUNCTION("""COMPUTED_VALUE"""),"LATITUD")</f>
        <v>LATITUD</v>
      </c>
      <c r="C4398" s="36" t="str">
        <f>IFERROR(__xludf.DUMMYFUNCTION("""COMPUTED_VALUE"""),"LONGITUD")</f>
        <v>LONGITUD</v>
      </c>
      <c r="D4398" s="36" t="str">
        <f>IFERROR(__xludf.DUMMYFUNCTION("""COMPUTED_VALUE"""),"ERROR DE ID")</f>
        <v>ERROR DE ID</v>
      </c>
      <c r="E4398" s="36"/>
      <c r="F4398" s="36"/>
      <c r="G4398" s="36"/>
      <c r="H4398" s="36"/>
    </row>
    <row r="4399">
      <c r="A4399" s="36"/>
      <c r="B4399" s="36" t="str">
        <f>IFERROR(__xludf.DUMMYFUNCTION("""COMPUTED_VALUE"""),"LATITUD")</f>
        <v>LATITUD</v>
      </c>
      <c r="C4399" s="36" t="str">
        <f>IFERROR(__xludf.DUMMYFUNCTION("""COMPUTED_VALUE"""),"LONGITUD")</f>
        <v>LONGITUD</v>
      </c>
      <c r="D4399" s="36" t="str">
        <f>IFERROR(__xludf.DUMMYFUNCTION("""COMPUTED_VALUE"""),"ERROR DE ID")</f>
        <v>ERROR DE ID</v>
      </c>
      <c r="E4399" s="36"/>
      <c r="F4399" s="36"/>
      <c r="G4399" s="36"/>
      <c r="H4399" s="36"/>
    </row>
    <row r="4400">
      <c r="A4400" s="36"/>
      <c r="B4400" s="36" t="str">
        <f>IFERROR(__xludf.DUMMYFUNCTION("""COMPUTED_VALUE"""),"LATITUD")</f>
        <v>LATITUD</v>
      </c>
      <c r="C4400" s="36" t="str">
        <f>IFERROR(__xludf.DUMMYFUNCTION("""COMPUTED_VALUE"""),"LONGITUD")</f>
        <v>LONGITUD</v>
      </c>
      <c r="D4400" s="36" t="str">
        <f>IFERROR(__xludf.DUMMYFUNCTION("""COMPUTED_VALUE"""),"ERROR DE ID")</f>
        <v>ERROR DE ID</v>
      </c>
      <c r="E4400" s="36"/>
      <c r="F4400" s="36"/>
      <c r="G4400" s="36"/>
      <c r="H4400" s="36"/>
    </row>
    <row r="4401">
      <c r="A4401" s="36"/>
      <c r="B4401" s="36" t="str">
        <f>IFERROR(__xludf.DUMMYFUNCTION("""COMPUTED_VALUE"""),"LATITUD")</f>
        <v>LATITUD</v>
      </c>
      <c r="C4401" s="36" t="str">
        <f>IFERROR(__xludf.DUMMYFUNCTION("""COMPUTED_VALUE"""),"LONGITUD")</f>
        <v>LONGITUD</v>
      </c>
      <c r="D4401" s="36" t="str">
        <f>IFERROR(__xludf.DUMMYFUNCTION("""COMPUTED_VALUE"""),"ERROR DE ID")</f>
        <v>ERROR DE ID</v>
      </c>
      <c r="E4401" s="36"/>
      <c r="F4401" s="36"/>
      <c r="G4401" s="36"/>
      <c r="H4401" s="36"/>
    </row>
    <row r="4402">
      <c r="A4402" s="36"/>
      <c r="B4402" s="36" t="str">
        <f>IFERROR(__xludf.DUMMYFUNCTION("""COMPUTED_VALUE"""),"LATITUD")</f>
        <v>LATITUD</v>
      </c>
      <c r="C4402" s="36" t="str">
        <f>IFERROR(__xludf.DUMMYFUNCTION("""COMPUTED_VALUE"""),"LONGITUD")</f>
        <v>LONGITUD</v>
      </c>
      <c r="D4402" s="36" t="str">
        <f>IFERROR(__xludf.DUMMYFUNCTION("""COMPUTED_VALUE"""),"ERROR DE ID")</f>
        <v>ERROR DE ID</v>
      </c>
      <c r="E4402" s="36"/>
      <c r="F4402" s="36"/>
      <c r="G4402" s="36"/>
      <c r="H4402" s="36"/>
    </row>
    <row r="4403">
      <c r="A4403" s="36"/>
      <c r="B4403" s="36" t="str">
        <f>IFERROR(__xludf.DUMMYFUNCTION("""COMPUTED_VALUE"""),"LATITUD")</f>
        <v>LATITUD</v>
      </c>
      <c r="C4403" s="36" t="str">
        <f>IFERROR(__xludf.DUMMYFUNCTION("""COMPUTED_VALUE"""),"LONGITUD")</f>
        <v>LONGITUD</v>
      </c>
      <c r="D4403" s="36" t="str">
        <f>IFERROR(__xludf.DUMMYFUNCTION("""COMPUTED_VALUE"""),"ERROR DE ID")</f>
        <v>ERROR DE ID</v>
      </c>
      <c r="E4403" s="36"/>
      <c r="F4403" s="36"/>
      <c r="G4403" s="36"/>
      <c r="H4403" s="36"/>
    </row>
    <row r="4404">
      <c r="A4404" s="36"/>
      <c r="B4404" s="36" t="str">
        <f>IFERROR(__xludf.DUMMYFUNCTION("""COMPUTED_VALUE"""),"LATITUD")</f>
        <v>LATITUD</v>
      </c>
      <c r="C4404" s="36" t="str">
        <f>IFERROR(__xludf.DUMMYFUNCTION("""COMPUTED_VALUE"""),"LONGITUD")</f>
        <v>LONGITUD</v>
      </c>
      <c r="D4404" s="36" t="str">
        <f>IFERROR(__xludf.DUMMYFUNCTION("""COMPUTED_VALUE"""),"ERROR DE ID")</f>
        <v>ERROR DE ID</v>
      </c>
      <c r="E4404" s="36"/>
      <c r="F4404" s="36"/>
      <c r="G4404" s="36"/>
      <c r="H4404" s="36"/>
    </row>
    <row r="4405">
      <c r="A4405" s="36"/>
      <c r="B4405" s="36" t="str">
        <f>IFERROR(__xludf.DUMMYFUNCTION("""COMPUTED_VALUE"""),"LATITUD")</f>
        <v>LATITUD</v>
      </c>
      <c r="C4405" s="36" t="str">
        <f>IFERROR(__xludf.DUMMYFUNCTION("""COMPUTED_VALUE"""),"LONGITUD")</f>
        <v>LONGITUD</v>
      </c>
      <c r="D4405" s="36" t="str">
        <f>IFERROR(__xludf.DUMMYFUNCTION("""COMPUTED_VALUE"""),"ERROR DE ID")</f>
        <v>ERROR DE ID</v>
      </c>
      <c r="E4405" s="36"/>
      <c r="F4405" s="36"/>
      <c r="G4405" s="36"/>
      <c r="H4405" s="36"/>
    </row>
    <row r="4406">
      <c r="A4406" s="36"/>
      <c r="B4406" s="36" t="str">
        <f>IFERROR(__xludf.DUMMYFUNCTION("""COMPUTED_VALUE"""),"LATITUD")</f>
        <v>LATITUD</v>
      </c>
      <c r="C4406" s="36" t="str">
        <f>IFERROR(__xludf.DUMMYFUNCTION("""COMPUTED_VALUE"""),"LONGITUD")</f>
        <v>LONGITUD</v>
      </c>
      <c r="D4406" s="36" t="str">
        <f>IFERROR(__xludf.DUMMYFUNCTION("""COMPUTED_VALUE"""),"ERROR DE ID")</f>
        <v>ERROR DE ID</v>
      </c>
      <c r="E4406" s="36"/>
      <c r="F4406" s="36"/>
      <c r="G4406" s="36"/>
      <c r="H4406" s="36"/>
    </row>
    <row r="4407">
      <c r="A4407" s="36"/>
      <c r="B4407" s="36" t="str">
        <f>IFERROR(__xludf.DUMMYFUNCTION("""COMPUTED_VALUE"""),"LATITUD")</f>
        <v>LATITUD</v>
      </c>
      <c r="C4407" s="36" t="str">
        <f>IFERROR(__xludf.DUMMYFUNCTION("""COMPUTED_VALUE"""),"LONGITUD")</f>
        <v>LONGITUD</v>
      </c>
      <c r="D4407" s="36" t="str">
        <f>IFERROR(__xludf.DUMMYFUNCTION("""COMPUTED_VALUE"""),"ERROR DE ID")</f>
        <v>ERROR DE ID</v>
      </c>
      <c r="E4407" s="36"/>
      <c r="F4407" s="36"/>
      <c r="G4407" s="36"/>
      <c r="H4407" s="36"/>
    </row>
    <row r="4408">
      <c r="A4408" s="36"/>
      <c r="B4408" s="36" t="str">
        <f>IFERROR(__xludf.DUMMYFUNCTION("""COMPUTED_VALUE"""),"LATITUD")</f>
        <v>LATITUD</v>
      </c>
      <c r="C4408" s="36" t="str">
        <f>IFERROR(__xludf.DUMMYFUNCTION("""COMPUTED_VALUE"""),"LONGITUD")</f>
        <v>LONGITUD</v>
      </c>
      <c r="D4408" s="36" t="str">
        <f>IFERROR(__xludf.DUMMYFUNCTION("""COMPUTED_VALUE"""),"ERROR DE ID")</f>
        <v>ERROR DE ID</v>
      </c>
      <c r="E4408" s="36"/>
      <c r="F4408" s="36"/>
      <c r="G4408" s="36"/>
      <c r="H4408" s="36"/>
    </row>
    <row r="4409">
      <c r="A4409" s="36"/>
      <c r="B4409" s="36" t="str">
        <f>IFERROR(__xludf.DUMMYFUNCTION("""COMPUTED_VALUE"""),"LATITUD")</f>
        <v>LATITUD</v>
      </c>
      <c r="C4409" s="36" t="str">
        <f>IFERROR(__xludf.DUMMYFUNCTION("""COMPUTED_VALUE"""),"LONGITUD")</f>
        <v>LONGITUD</v>
      </c>
      <c r="D4409" s="36" t="str">
        <f>IFERROR(__xludf.DUMMYFUNCTION("""COMPUTED_VALUE"""),"ERROR DE ID")</f>
        <v>ERROR DE ID</v>
      </c>
      <c r="E4409" s="36"/>
      <c r="F4409" s="36"/>
      <c r="G4409" s="36"/>
      <c r="H4409" s="36"/>
    </row>
    <row r="4410">
      <c r="A4410" s="36"/>
      <c r="B4410" s="36" t="str">
        <f>IFERROR(__xludf.DUMMYFUNCTION("""COMPUTED_VALUE"""),"LATITUD")</f>
        <v>LATITUD</v>
      </c>
      <c r="C4410" s="36" t="str">
        <f>IFERROR(__xludf.DUMMYFUNCTION("""COMPUTED_VALUE"""),"LONGITUD")</f>
        <v>LONGITUD</v>
      </c>
      <c r="D4410" s="36" t="str">
        <f>IFERROR(__xludf.DUMMYFUNCTION("""COMPUTED_VALUE"""),"ERROR DE ID")</f>
        <v>ERROR DE ID</v>
      </c>
      <c r="E4410" s="36"/>
      <c r="F4410" s="36"/>
      <c r="G4410" s="36"/>
      <c r="H4410" s="36"/>
    </row>
    <row r="4411">
      <c r="A4411" s="36"/>
      <c r="B4411" s="36" t="str">
        <f>IFERROR(__xludf.DUMMYFUNCTION("""COMPUTED_VALUE"""),"LATITUD")</f>
        <v>LATITUD</v>
      </c>
      <c r="C4411" s="36" t="str">
        <f>IFERROR(__xludf.DUMMYFUNCTION("""COMPUTED_VALUE"""),"LONGITUD")</f>
        <v>LONGITUD</v>
      </c>
      <c r="D4411" s="36" t="str">
        <f>IFERROR(__xludf.DUMMYFUNCTION("""COMPUTED_VALUE"""),"ERROR DE ID")</f>
        <v>ERROR DE ID</v>
      </c>
      <c r="E4411" s="36"/>
      <c r="F4411" s="36"/>
      <c r="G4411" s="36"/>
      <c r="H4411" s="36"/>
    </row>
    <row r="4412">
      <c r="A4412" s="36"/>
      <c r="B4412" s="36" t="str">
        <f>IFERROR(__xludf.DUMMYFUNCTION("""COMPUTED_VALUE"""),"LATITUD")</f>
        <v>LATITUD</v>
      </c>
      <c r="C4412" s="36" t="str">
        <f>IFERROR(__xludf.DUMMYFUNCTION("""COMPUTED_VALUE"""),"LONGITUD")</f>
        <v>LONGITUD</v>
      </c>
      <c r="D4412" s="36" t="str">
        <f>IFERROR(__xludf.DUMMYFUNCTION("""COMPUTED_VALUE"""),"ERROR DE ID")</f>
        <v>ERROR DE ID</v>
      </c>
      <c r="E4412" s="36"/>
      <c r="F4412" s="36"/>
      <c r="G4412" s="36"/>
      <c r="H4412" s="36"/>
    </row>
    <row r="4413">
      <c r="A4413" s="36"/>
      <c r="B4413" s="36" t="str">
        <f>IFERROR(__xludf.DUMMYFUNCTION("""COMPUTED_VALUE"""),"LATITUD")</f>
        <v>LATITUD</v>
      </c>
      <c r="C4413" s="36" t="str">
        <f>IFERROR(__xludf.DUMMYFUNCTION("""COMPUTED_VALUE"""),"LONGITUD")</f>
        <v>LONGITUD</v>
      </c>
      <c r="D4413" s="36" t="str">
        <f>IFERROR(__xludf.DUMMYFUNCTION("""COMPUTED_VALUE"""),"ERROR DE ID")</f>
        <v>ERROR DE ID</v>
      </c>
      <c r="E4413" s="36"/>
      <c r="F4413" s="36"/>
      <c r="G4413" s="36"/>
      <c r="H4413" s="36"/>
    </row>
    <row r="4414">
      <c r="A4414" s="36"/>
      <c r="B4414" s="36" t="str">
        <f>IFERROR(__xludf.DUMMYFUNCTION("""COMPUTED_VALUE"""),"LATITUD")</f>
        <v>LATITUD</v>
      </c>
      <c r="C4414" s="36" t="str">
        <f>IFERROR(__xludf.DUMMYFUNCTION("""COMPUTED_VALUE"""),"LONGITUD")</f>
        <v>LONGITUD</v>
      </c>
      <c r="D4414" s="36" t="str">
        <f>IFERROR(__xludf.DUMMYFUNCTION("""COMPUTED_VALUE"""),"ERROR DE ID")</f>
        <v>ERROR DE ID</v>
      </c>
      <c r="E4414" s="36"/>
      <c r="F4414" s="36"/>
      <c r="G4414" s="36"/>
      <c r="H4414" s="36"/>
    </row>
    <row r="4415">
      <c r="A4415" s="36"/>
      <c r="B4415" s="36" t="str">
        <f>IFERROR(__xludf.DUMMYFUNCTION("""COMPUTED_VALUE"""),"LATITUD")</f>
        <v>LATITUD</v>
      </c>
      <c r="C4415" s="36" t="str">
        <f>IFERROR(__xludf.DUMMYFUNCTION("""COMPUTED_VALUE"""),"LONGITUD")</f>
        <v>LONGITUD</v>
      </c>
      <c r="D4415" s="36" t="str">
        <f>IFERROR(__xludf.DUMMYFUNCTION("""COMPUTED_VALUE"""),"ERROR DE ID")</f>
        <v>ERROR DE ID</v>
      </c>
      <c r="E4415" s="36"/>
      <c r="F4415" s="36"/>
      <c r="G4415" s="36"/>
      <c r="H4415" s="36"/>
    </row>
    <row r="4416">
      <c r="A4416" s="36"/>
      <c r="B4416" s="36" t="str">
        <f>IFERROR(__xludf.DUMMYFUNCTION("""COMPUTED_VALUE"""),"LATITUD")</f>
        <v>LATITUD</v>
      </c>
      <c r="C4416" s="36" t="str">
        <f>IFERROR(__xludf.DUMMYFUNCTION("""COMPUTED_VALUE"""),"LONGITUD")</f>
        <v>LONGITUD</v>
      </c>
      <c r="D4416" s="36" t="str">
        <f>IFERROR(__xludf.DUMMYFUNCTION("""COMPUTED_VALUE"""),"ERROR DE ID")</f>
        <v>ERROR DE ID</v>
      </c>
      <c r="E4416" s="36"/>
      <c r="F4416" s="36"/>
      <c r="G4416" s="36"/>
      <c r="H4416" s="36"/>
    </row>
    <row r="4417">
      <c r="A4417" s="36"/>
      <c r="B4417" s="36" t="str">
        <f>IFERROR(__xludf.DUMMYFUNCTION("""COMPUTED_VALUE"""),"LATITUD")</f>
        <v>LATITUD</v>
      </c>
      <c r="C4417" s="36" t="str">
        <f>IFERROR(__xludf.DUMMYFUNCTION("""COMPUTED_VALUE"""),"LONGITUD")</f>
        <v>LONGITUD</v>
      </c>
      <c r="D4417" s="36" t="str">
        <f>IFERROR(__xludf.DUMMYFUNCTION("""COMPUTED_VALUE"""),"ERROR DE ID")</f>
        <v>ERROR DE ID</v>
      </c>
      <c r="E4417" s="36"/>
      <c r="F4417" s="36"/>
      <c r="G4417" s="36"/>
      <c r="H4417" s="36"/>
    </row>
    <row r="4418">
      <c r="A4418" s="36"/>
      <c r="B4418" s="36" t="str">
        <f>IFERROR(__xludf.DUMMYFUNCTION("""COMPUTED_VALUE"""),"LATITUD")</f>
        <v>LATITUD</v>
      </c>
      <c r="C4418" s="36" t="str">
        <f>IFERROR(__xludf.DUMMYFUNCTION("""COMPUTED_VALUE"""),"LONGITUD")</f>
        <v>LONGITUD</v>
      </c>
      <c r="D4418" s="36" t="str">
        <f>IFERROR(__xludf.DUMMYFUNCTION("""COMPUTED_VALUE"""),"ERROR DE ID")</f>
        <v>ERROR DE ID</v>
      </c>
      <c r="E4418" s="36"/>
      <c r="F4418" s="36"/>
      <c r="G4418" s="36"/>
      <c r="H4418" s="36"/>
    </row>
    <row r="4419">
      <c r="A4419" s="36"/>
      <c r="B4419" s="36" t="str">
        <f>IFERROR(__xludf.DUMMYFUNCTION("""COMPUTED_VALUE"""),"LATITUD")</f>
        <v>LATITUD</v>
      </c>
      <c r="C4419" s="36" t="str">
        <f>IFERROR(__xludf.DUMMYFUNCTION("""COMPUTED_VALUE"""),"LONGITUD")</f>
        <v>LONGITUD</v>
      </c>
      <c r="D4419" s="36" t="str">
        <f>IFERROR(__xludf.DUMMYFUNCTION("""COMPUTED_VALUE"""),"ERROR DE ID")</f>
        <v>ERROR DE ID</v>
      </c>
      <c r="E4419" s="36"/>
      <c r="F4419" s="36"/>
      <c r="G4419" s="36"/>
      <c r="H4419" s="36"/>
    </row>
    <row r="4420">
      <c r="A4420" s="36"/>
      <c r="B4420" s="36" t="str">
        <f>IFERROR(__xludf.DUMMYFUNCTION("""COMPUTED_VALUE"""),"LATITUD")</f>
        <v>LATITUD</v>
      </c>
      <c r="C4420" s="36" t="str">
        <f>IFERROR(__xludf.DUMMYFUNCTION("""COMPUTED_VALUE"""),"LONGITUD")</f>
        <v>LONGITUD</v>
      </c>
      <c r="D4420" s="36" t="str">
        <f>IFERROR(__xludf.DUMMYFUNCTION("""COMPUTED_VALUE"""),"ERROR DE ID")</f>
        <v>ERROR DE ID</v>
      </c>
      <c r="E4420" s="36"/>
      <c r="F4420" s="36"/>
      <c r="G4420" s="36"/>
      <c r="H4420" s="36"/>
    </row>
    <row r="4421">
      <c r="A4421" s="36"/>
      <c r="B4421" s="36" t="str">
        <f>IFERROR(__xludf.DUMMYFUNCTION("""COMPUTED_VALUE"""),"LATITUD")</f>
        <v>LATITUD</v>
      </c>
      <c r="C4421" s="36" t="str">
        <f>IFERROR(__xludf.DUMMYFUNCTION("""COMPUTED_VALUE"""),"LONGITUD")</f>
        <v>LONGITUD</v>
      </c>
      <c r="D4421" s="36" t="str">
        <f>IFERROR(__xludf.DUMMYFUNCTION("""COMPUTED_VALUE"""),"ERROR DE ID")</f>
        <v>ERROR DE ID</v>
      </c>
      <c r="E4421" s="36"/>
      <c r="F4421" s="36"/>
      <c r="G4421" s="36"/>
      <c r="H4421" s="36"/>
    </row>
    <row r="4422">
      <c r="A4422" s="36"/>
      <c r="B4422" s="36" t="str">
        <f>IFERROR(__xludf.DUMMYFUNCTION("""COMPUTED_VALUE"""),"LATITUD")</f>
        <v>LATITUD</v>
      </c>
      <c r="C4422" s="36" t="str">
        <f>IFERROR(__xludf.DUMMYFUNCTION("""COMPUTED_VALUE"""),"LONGITUD")</f>
        <v>LONGITUD</v>
      </c>
      <c r="D4422" s="36" t="str">
        <f>IFERROR(__xludf.DUMMYFUNCTION("""COMPUTED_VALUE"""),"ERROR DE ID")</f>
        <v>ERROR DE ID</v>
      </c>
      <c r="E4422" s="36"/>
      <c r="F4422" s="36"/>
      <c r="G4422" s="36"/>
      <c r="H4422" s="36"/>
    </row>
    <row r="4423">
      <c r="A4423" s="36"/>
      <c r="B4423" s="36" t="str">
        <f>IFERROR(__xludf.DUMMYFUNCTION("""COMPUTED_VALUE"""),"LATITUD")</f>
        <v>LATITUD</v>
      </c>
      <c r="C4423" s="36" t="str">
        <f>IFERROR(__xludf.DUMMYFUNCTION("""COMPUTED_VALUE"""),"LONGITUD")</f>
        <v>LONGITUD</v>
      </c>
      <c r="D4423" s="36" t="str">
        <f>IFERROR(__xludf.DUMMYFUNCTION("""COMPUTED_VALUE"""),"ERROR DE ID")</f>
        <v>ERROR DE ID</v>
      </c>
      <c r="E4423" s="36"/>
      <c r="F4423" s="36"/>
      <c r="G4423" s="36"/>
      <c r="H4423" s="36"/>
    </row>
    <row r="4424">
      <c r="A4424" s="36"/>
      <c r="B4424" s="36" t="str">
        <f>IFERROR(__xludf.DUMMYFUNCTION("""COMPUTED_VALUE"""),"LATITUD")</f>
        <v>LATITUD</v>
      </c>
      <c r="C4424" s="36" t="str">
        <f>IFERROR(__xludf.DUMMYFUNCTION("""COMPUTED_VALUE"""),"LONGITUD")</f>
        <v>LONGITUD</v>
      </c>
      <c r="D4424" s="36" t="str">
        <f>IFERROR(__xludf.DUMMYFUNCTION("""COMPUTED_VALUE"""),"ERROR DE ID")</f>
        <v>ERROR DE ID</v>
      </c>
      <c r="E4424" s="36"/>
      <c r="F4424" s="36"/>
      <c r="G4424" s="36"/>
      <c r="H4424" s="36"/>
    </row>
    <row r="4425">
      <c r="A4425" s="36"/>
      <c r="B4425" s="36" t="str">
        <f>IFERROR(__xludf.DUMMYFUNCTION("""COMPUTED_VALUE"""),"LATITUD")</f>
        <v>LATITUD</v>
      </c>
      <c r="C4425" s="36" t="str">
        <f>IFERROR(__xludf.DUMMYFUNCTION("""COMPUTED_VALUE"""),"LONGITUD")</f>
        <v>LONGITUD</v>
      </c>
      <c r="D4425" s="36" t="str">
        <f>IFERROR(__xludf.DUMMYFUNCTION("""COMPUTED_VALUE"""),"ERROR DE ID")</f>
        <v>ERROR DE ID</v>
      </c>
      <c r="E4425" s="36"/>
      <c r="F4425" s="36"/>
      <c r="G4425" s="36"/>
      <c r="H4425" s="36"/>
    </row>
    <row r="4426">
      <c r="A4426" s="36"/>
      <c r="B4426" s="36" t="str">
        <f>IFERROR(__xludf.DUMMYFUNCTION("""COMPUTED_VALUE"""),"LATITUD")</f>
        <v>LATITUD</v>
      </c>
      <c r="C4426" s="36" t="str">
        <f>IFERROR(__xludf.DUMMYFUNCTION("""COMPUTED_VALUE"""),"LONGITUD")</f>
        <v>LONGITUD</v>
      </c>
      <c r="D4426" s="36" t="str">
        <f>IFERROR(__xludf.DUMMYFUNCTION("""COMPUTED_VALUE"""),"ERROR DE ID")</f>
        <v>ERROR DE ID</v>
      </c>
      <c r="E4426" s="36"/>
      <c r="F4426" s="36"/>
      <c r="G4426" s="36"/>
      <c r="H4426" s="36"/>
    </row>
    <row r="4427">
      <c r="A4427" s="36"/>
      <c r="B4427" s="36" t="str">
        <f>IFERROR(__xludf.DUMMYFUNCTION("""COMPUTED_VALUE"""),"LATITUD")</f>
        <v>LATITUD</v>
      </c>
      <c r="C4427" s="36" t="str">
        <f>IFERROR(__xludf.DUMMYFUNCTION("""COMPUTED_VALUE"""),"LONGITUD")</f>
        <v>LONGITUD</v>
      </c>
      <c r="D4427" s="36" t="str">
        <f>IFERROR(__xludf.DUMMYFUNCTION("""COMPUTED_VALUE"""),"ERROR DE ID")</f>
        <v>ERROR DE ID</v>
      </c>
      <c r="E4427" s="36"/>
      <c r="F4427" s="36"/>
      <c r="G4427" s="36"/>
      <c r="H4427" s="36"/>
    </row>
    <row r="4428">
      <c r="A4428" s="36"/>
      <c r="B4428" s="36" t="str">
        <f>IFERROR(__xludf.DUMMYFUNCTION("""COMPUTED_VALUE"""),"LATITUD")</f>
        <v>LATITUD</v>
      </c>
      <c r="C4428" s="36" t="str">
        <f>IFERROR(__xludf.DUMMYFUNCTION("""COMPUTED_VALUE"""),"LONGITUD")</f>
        <v>LONGITUD</v>
      </c>
      <c r="D4428" s="36" t="str">
        <f>IFERROR(__xludf.DUMMYFUNCTION("""COMPUTED_VALUE"""),"ERROR DE ID")</f>
        <v>ERROR DE ID</v>
      </c>
      <c r="E4428" s="36"/>
      <c r="F4428" s="36"/>
      <c r="G4428" s="36"/>
      <c r="H4428" s="36"/>
    </row>
    <row r="4429">
      <c r="A4429" s="36"/>
      <c r="B4429" s="36" t="str">
        <f>IFERROR(__xludf.DUMMYFUNCTION("""COMPUTED_VALUE"""),"LATITUD")</f>
        <v>LATITUD</v>
      </c>
      <c r="C4429" s="36" t="str">
        <f>IFERROR(__xludf.DUMMYFUNCTION("""COMPUTED_VALUE"""),"LONGITUD")</f>
        <v>LONGITUD</v>
      </c>
      <c r="D4429" s="36" t="str">
        <f>IFERROR(__xludf.DUMMYFUNCTION("""COMPUTED_VALUE"""),"ERROR DE ID")</f>
        <v>ERROR DE ID</v>
      </c>
      <c r="E4429" s="36"/>
      <c r="F4429" s="36"/>
      <c r="G4429" s="36"/>
      <c r="H4429" s="36"/>
    </row>
    <row r="4430">
      <c r="A4430" s="36"/>
      <c r="B4430" s="36" t="str">
        <f>IFERROR(__xludf.DUMMYFUNCTION("""COMPUTED_VALUE"""),"LATITUD")</f>
        <v>LATITUD</v>
      </c>
      <c r="C4430" s="36" t="str">
        <f>IFERROR(__xludf.DUMMYFUNCTION("""COMPUTED_VALUE"""),"LONGITUD")</f>
        <v>LONGITUD</v>
      </c>
      <c r="D4430" s="36" t="str">
        <f>IFERROR(__xludf.DUMMYFUNCTION("""COMPUTED_VALUE"""),"ERROR DE ID")</f>
        <v>ERROR DE ID</v>
      </c>
      <c r="E4430" s="36"/>
      <c r="F4430" s="36"/>
      <c r="G4430" s="36"/>
      <c r="H4430" s="36"/>
    </row>
    <row r="4431">
      <c r="A4431" s="36"/>
      <c r="B4431" s="36" t="str">
        <f>IFERROR(__xludf.DUMMYFUNCTION("""COMPUTED_VALUE"""),"LATITUD")</f>
        <v>LATITUD</v>
      </c>
      <c r="C4431" s="36" t="str">
        <f>IFERROR(__xludf.DUMMYFUNCTION("""COMPUTED_VALUE"""),"LONGITUD")</f>
        <v>LONGITUD</v>
      </c>
      <c r="D4431" s="36" t="str">
        <f>IFERROR(__xludf.DUMMYFUNCTION("""COMPUTED_VALUE"""),"ERROR DE ID")</f>
        <v>ERROR DE ID</v>
      </c>
      <c r="E4431" s="36"/>
      <c r="F4431" s="36"/>
      <c r="G4431" s="36"/>
      <c r="H4431" s="36"/>
    </row>
    <row r="4432">
      <c r="A4432" s="36"/>
      <c r="B4432" s="36" t="str">
        <f>IFERROR(__xludf.DUMMYFUNCTION("""COMPUTED_VALUE"""),"LATITUD")</f>
        <v>LATITUD</v>
      </c>
      <c r="C4432" s="36" t="str">
        <f>IFERROR(__xludf.DUMMYFUNCTION("""COMPUTED_VALUE"""),"LONGITUD")</f>
        <v>LONGITUD</v>
      </c>
      <c r="D4432" s="36" t="str">
        <f>IFERROR(__xludf.DUMMYFUNCTION("""COMPUTED_VALUE"""),"ERROR DE ID")</f>
        <v>ERROR DE ID</v>
      </c>
      <c r="E4432" s="36"/>
      <c r="F4432" s="36"/>
      <c r="G4432" s="36"/>
      <c r="H4432" s="36"/>
    </row>
    <row r="4433">
      <c r="A4433" s="36"/>
      <c r="B4433" s="36" t="str">
        <f>IFERROR(__xludf.DUMMYFUNCTION("""COMPUTED_VALUE"""),"LATITUD")</f>
        <v>LATITUD</v>
      </c>
      <c r="C4433" s="36" t="str">
        <f>IFERROR(__xludf.DUMMYFUNCTION("""COMPUTED_VALUE"""),"LONGITUD")</f>
        <v>LONGITUD</v>
      </c>
      <c r="D4433" s="36" t="str">
        <f>IFERROR(__xludf.DUMMYFUNCTION("""COMPUTED_VALUE"""),"ERROR DE ID")</f>
        <v>ERROR DE ID</v>
      </c>
      <c r="E4433" s="36"/>
      <c r="F4433" s="36"/>
      <c r="G4433" s="36"/>
      <c r="H4433" s="36"/>
    </row>
    <row r="4434">
      <c r="A4434" s="36"/>
      <c r="B4434" s="36" t="str">
        <f>IFERROR(__xludf.DUMMYFUNCTION("""COMPUTED_VALUE"""),"LATITUD")</f>
        <v>LATITUD</v>
      </c>
      <c r="C4434" s="36" t="str">
        <f>IFERROR(__xludf.DUMMYFUNCTION("""COMPUTED_VALUE"""),"LONGITUD")</f>
        <v>LONGITUD</v>
      </c>
      <c r="D4434" s="36" t="str">
        <f>IFERROR(__xludf.DUMMYFUNCTION("""COMPUTED_VALUE"""),"ERROR DE ID")</f>
        <v>ERROR DE ID</v>
      </c>
      <c r="E4434" s="36"/>
      <c r="F4434" s="36"/>
      <c r="G4434" s="36"/>
      <c r="H4434" s="36"/>
    </row>
    <row r="4435">
      <c r="A4435" s="36"/>
      <c r="B4435" s="36" t="str">
        <f>IFERROR(__xludf.DUMMYFUNCTION("""COMPUTED_VALUE"""),"LATITUD")</f>
        <v>LATITUD</v>
      </c>
      <c r="C4435" s="36" t="str">
        <f>IFERROR(__xludf.DUMMYFUNCTION("""COMPUTED_VALUE"""),"LONGITUD")</f>
        <v>LONGITUD</v>
      </c>
      <c r="D4435" s="36" t="str">
        <f>IFERROR(__xludf.DUMMYFUNCTION("""COMPUTED_VALUE"""),"ERROR DE ID")</f>
        <v>ERROR DE ID</v>
      </c>
      <c r="E4435" s="36"/>
      <c r="F4435" s="36"/>
      <c r="G4435" s="36"/>
      <c r="H4435" s="36"/>
    </row>
    <row r="4436">
      <c r="A4436" s="36"/>
      <c r="B4436" s="36" t="str">
        <f>IFERROR(__xludf.DUMMYFUNCTION("""COMPUTED_VALUE"""),"LATITUD")</f>
        <v>LATITUD</v>
      </c>
      <c r="C4436" s="36" t="str">
        <f>IFERROR(__xludf.DUMMYFUNCTION("""COMPUTED_VALUE"""),"LONGITUD")</f>
        <v>LONGITUD</v>
      </c>
      <c r="D4436" s="36" t="str">
        <f>IFERROR(__xludf.DUMMYFUNCTION("""COMPUTED_VALUE"""),"ERROR DE ID")</f>
        <v>ERROR DE ID</v>
      </c>
      <c r="E4436" s="36"/>
      <c r="F4436" s="36"/>
      <c r="G4436" s="36"/>
      <c r="H4436" s="36"/>
    </row>
    <row r="4437">
      <c r="A4437" s="36"/>
      <c r="B4437" s="36" t="str">
        <f>IFERROR(__xludf.DUMMYFUNCTION("""COMPUTED_VALUE"""),"LATITUD")</f>
        <v>LATITUD</v>
      </c>
      <c r="C4437" s="36" t="str">
        <f>IFERROR(__xludf.DUMMYFUNCTION("""COMPUTED_VALUE"""),"LONGITUD")</f>
        <v>LONGITUD</v>
      </c>
      <c r="D4437" s="36" t="str">
        <f>IFERROR(__xludf.DUMMYFUNCTION("""COMPUTED_VALUE"""),"ERROR DE ID")</f>
        <v>ERROR DE ID</v>
      </c>
      <c r="E4437" s="36"/>
      <c r="F4437" s="36"/>
      <c r="G4437" s="36"/>
      <c r="H4437" s="36"/>
    </row>
    <row r="4438">
      <c r="A4438" s="36"/>
      <c r="B4438" s="36" t="str">
        <f>IFERROR(__xludf.DUMMYFUNCTION("""COMPUTED_VALUE"""),"LATITUD")</f>
        <v>LATITUD</v>
      </c>
      <c r="C4438" s="36" t="str">
        <f>IFERROR(__xludf.DUMMYFUNCTION("""COMPUTED_VALUE"""),"LONGITUD")</f>
        <v>LONGITUD</v>
      </c>
      <c r="D4438" s="36" t="str">
        <f>IFERROR(__xludf.DUMMYFUNCTION("""COMPUTED_VALUE"""),"ERROR DE ID")</f>
        <v>ERROR DE ID</v>
      </c>
      <c r="E4438" s="36"/>
      <c r="F4438" s="36"/>
      <c r="G4438" s="36"/>
      <c r="H4438" s="36"/>
    </row>
    <row r="4439">
      <c r="A4439" s="36"/>
      <c r="B4439" s="36" t="str">
        <f>IFERROR(__xludf.DUMMYFUNCTION("""COMPUTED_VALUE"""),"LATITUD")</f>
        <v>LATITUD</v>
      </c>
      <c r="C4439" s="36" t="str">
        <f>IFERROR(__xludf.DUMMYFUNCTION("""COMPUTED_VALUE"""),"LONGITUD")</f>
        <v>LONGITUD</v>
      </c>
      <c r="D4439" s="36" t="str">
        <f>IFERROR(__xludf.DUMMYFUNCTION("""COMPUTED_VALUE"""),"ERROR DE ID")</f>
        <v>ERROR DE ID</v>
      </c>
      <c r="E4439" s="36"/>
      <c r="F4439" s="36"/>
      <c r="G4439" s="36"/>
      <c r="H4439" s="36"/>
    </row>
    <row r="4440">
      <c r="A4440" s="36"/>
      <c r="B4440" s="36" t="str">
        <f>IFERROR(__xludf.DUMMYFUNCTION("""COMPUTED_VALUE"""),"LATITUD")</f>
        <v>LATITUD</v>
      </c>
      <c r="C4440" s="36" t="str">
        <f>IFERROR(__xludf.DUMMYFUNCTION("""COMPUTED_VALUE"""),"LONGITUD")</f>
        <v>LONGITUD</v>
      </c>
      <c r="D4440" s="36" t="str">
        <f>IFERROR(__xludf.DUMMYFUNCTION("""COMPUTED_VALUE"""),"ERROR DE ID")</f>
        <v>ERROR DE ID</v>
      </c>
      <c r="E4440" s="36"/>
      <c r="F4440" s="36"/>
      <c r="G4440" s="36"/>
      <c r="H4440" s="36"/>
    </row>
    <row r="4441">
      <c r="A4441" s="36"/>
      <c r="B4441" s="36" t="str">
        <f>IFERROR(__xludf.DUMMYFUNCTION("""COMPUTED_VALUE"""),"LATITUD")</f>
        <v>LATITUD</v>
      </c>
      <c r="C4441" s="36" t="str">
        <f>IFERROR(__xludf.DUMMYFUNCTION("""COMPUTED_VALUE"""),"LONGITUD")</f>
        <v>LONGITUD</v>
      </c>
      <c r="D4441" s="36" t="str">
        <f>IFERROR(__xludf.DUMMYFUNCTION("""COMPUTED_VALUE"""),"ERROR DE ID")</f>
        <v>ERROR DE ID</v>
      </c>
      <c r="E4441" s="36"/>
      <c r="F4441" s="36"/>
      <c r="G4441" s="36"/>
      <c r="H4441" s="36"/>
    </row>
    <row r="4442">
      <c r="A4442" s="36"/>
      <c r="B4442" s="36" t="str">
        <f>IFERROR(__xludf.DUMMYFUNCTION("""COMPUTED_VALUE"""),"LATITUD")</f>
        <v>LATITUD</v>
      </c>
      <c r="C4442" s="36" t="str">
        <f>IFERROR(__xludf.DUMMYFUNCTION("""COMPUTED_VALUE"""),"LONGITUD")</f>
        <v>LONGITUD</v>
      </c>
      <c r="D4442" s="36" t="str">
        <f>IFERROR(__xludf.DUMMYFUNCTION("""COMPUTED_VALUE"""),"ERROR DE ID")</f>
        <v>ERROR DE ID</v>
      </c>
      <c r="E4442" s="36"/>
      <c r="F4442" s="36"/>
      <c r="G4442" s="36"/>
      <c r="H4442" s="36"/>
    </row>
    <row r="4443">
      <c r="A4443" s="36"/>
      <c r="B4443" s="36" t="str">
        <f>IFERROR(__xludf.DUMMYFUNCTION("""COMPUTED_VALUE"""),"LATITUD")</f>
        <v>LATITUD</v>
      </c>
      <c r="C4443" s="36" t="str">
        <f>IFERROR(__xludf.DUMMYFUNCTION("""COMPUTED_VALUE"""),"LONGITUD")</f>
        <v>LONGITUD</v>
      </c>
      <c r="D4443" s="36" t="str">
        <f>IFERROR(__xludf.DUMMYFUNCTION("""COMPUTED_VALUE"""),"ERROR DE ID")</f>
        <v>ERROR DE ID</v>
      </c>
      <c r="E4443" s="36"/>
      <c r="F4443" s="36"/>
      <c r="G4443" s="36"/>
      <c r="H4443" s="36"/>
    </row>
    <row r="4444">
      <c r="A4444" s="36"/>
      <c r="B4444" s="36" t="str">
        <f>IFERROR(__xludf.DUMMYFUNCTION("""COMPUTED_VALUE"""),"LATITUD")</f>
        <v>LATITUD</v>
      </c>
      <c r="C4444" s="36" t="str">
        <f>IFERROR(__xludf.DUMMYFUNCTION("""COMPUTED_VALUE"""),"LONGITUD")</f>
        <v>LONGITUD</v>
      </c>
      <c r="D4444" s="36" t="str">
        <f>IFERROR(__xludf.DUMMYFUNCTION("""COMPUTED_VALUE"""),"ERROR DE ID")</f>
        <v>ERROR DE ID</v>
      </c>
      <c r="E4444" s="36"/>
      <c r="F4444" s="36"/>
      <c r="G4444" s="36"/>
      <c r="H4444" s="36"/>
    </row>
    <row r="4445">
      <c r="A4445" s="36"/>
      <c r="B4445" s="36" t="str">
        <f>IFERROR(__xludf.DUMMYFUNCTION("""COMPUTED_VALUE"""),"LATITUD")</f>
        <v>LATITUD</v>
      </c>
      <c r="C4445" s="36" t="str">
        <f>IFERROR(__xludf.DUMMYFUNCTION("""COMPUTED_VALUE"""),"LONGITUD")</f>
        <v>LONGITUD</v>
      </c>
      <c r="D4445" s="36" t="str">
        <f>IFERROR(__xludf.DUMMYFUNCTION("""COMPUTED_VALUE"""),"ERROR DE ID")</f>
        <v>ERROR DE ID</v>
      </c>
      <c r="E4445" s="36"/>
      <c r="F4445" s="36"/>
      <c r="G4445" s="36"/>
      <c r="H4445" s="36"/>
    </row>
    <row r="4446">
      <c r="A4446" s="36"/>
      <c r="B4446" s="36" t="str">
        <f>IFERROR(__xludf.DUMMYFUNCTION("""COMPUTED_VALUE"""),"LATITUD")</f>
        <v>LATITUD</v>
      </c>
      <c r="C4446" s="36" t="str">
        <f>IFERROR(__xludf.DUMMYFUNCTION("""COMPUTED_VALUE"""),"LONGITUD")</f>
        <v>LONGITUD</v>
      </c>
      <c r="D4446" s="36" t="str">
        <f>IFERROR(__xludf.DUMMYFUNCTION("""COMPUTED_VALUE"""),"ERROR DE ID")</f>
        <v>ERROR DE ID</v>
      </c>
      <c r="E4446" s="36"/>
      <c r="F4446" s="36"/>
      <c r="G4446" s="36"/>
      <c r="H4446" s="36"/>
    </row>
    <row r="4447">
      <c r="A4447" s="36"/>
      <c r="B4447" s="36" t="str">
        <f>IFERROR(__xludf.DUMMYFUNCTION("""COMPUTED_VALUE"""),"LATITUD")</f>
        <v>LATITUD</v>
      </c>
      <c r="C4447" s="36" t="str">
        <f>IFERROR(__xludf.DUMMYFUNCTION("""COMPUTED_VALUE"""),"LONGITUD")</f>
        <v>LONGITUD</v>
      </c>
      <c r="D4447" s="36" t="str">
        <f>IFERROR(__xludf.DUMMYFUNCTION("""COMPUTED_VALUE"""),"ERROR DE ID")</f>
        <v>ERROR DE ID</v>
      </c>
      <c r="E4447" s="36"/>
      <c r="F4447" s="36"/>
      <c r="G4447" s="36"/>
      <c r="H4447" s="36"/>
    </row>
    <row r="4448">
      <c r="A4448" s="36"/>
      <c r="B4448" s="36" t="str">
        <f>IFERROR(__xludf.DUMMYFUNCTION("""COMPUTED_VALUE"""),"LATITUD")</f>
        <v>LATITUD</v>
      </c>
      <c r="C4448" s="36" t="str">
        <f>IFERROR(__xludf.DUMMYFUNCTION("""COMPUTED_VALUE"""),"LONGITUD")</f>
        <v>LONGITUD</v>
      </c>
      <c r="D4448" s="36" t="str">
        <f>IFERROR(__xludf.DUMMYFUNCTION("""COMPUTED_VALUE"""),"ERROR DE ID")</f>
        <v>ERROR DE ID</v>
      </c>
      <c r="E4448" s="36"/>
      <c r="F4448" s="36"/>
      <c r="G4448" s="36"/>
      <c r="H4448" s="36"/>
    </row>
    <row r="4449">
      <c r="A4449" s="36"/>
      <c r="B4449" s="36" t="str">
        <f>IFERROR(__xludf.DUMMYFUNCTION("""COMPUTED_VALUE"""),"LATITUD")</f>
        <v>LATITUD</v>
      </c>
      <c r="C4449" s="36" t="str">
        <f>IFERROR(__xludf.DUMMYFUNCTION("""COMPUTED_VALUE"""),"LONGITUD")</f>
        <v>LONGITUD</v>
      </c>
      <c r="D4449" s="36" t="str">
        <f>IFERROR(__xludf.DUMMYFUNCTION("""COMPUTED_VALUE"""),"ERROR DE ID")</f>
        <v>ERROR DE ID</v>
      </c>
      <c r="E4449" s="36"/>
      <c r="F4449" s="36"/>
      <c r="G4449" s="36"/>
      <c r="H4449" s="36"/>
    </row>
    <row r="4450">
      <c r="A4450" s="36"/>
      <c r="B4450" s="36" t="str">
        <f>IFERROR(__xludf.DUMMYFUNCTION("""COMPUTED_VALUE"""),"LATITUD")</f>
        <v>LATITUD</v>
      </c>
      <c r="C4450" s="36" t="str">
        <f>IFERROR(__xludf.DUMMYFUNCTION("""COMPUTED_VALUE"""),"LONGITUD")</f>
        <v>LONGITUD</v>
      </c>
      <c r="D4450" s="36" t="str">
        <f>IFERROR(__xludf.DUMMYFUNCTION("""COMPUTED_VALUE"""),"ERROR DE ID")</f>
        <v>ERROR DE ID</v>
      </c>
      <c r="E4450" s="36"/>
      <c r="F4450" s="36"/>
      <c r="G4450" s="36"/>
      <c r="H4450" s="36"/>
    </row>
    <row r="4451">
      <c r="A4451" s="36"/>
      <c r="B4451" s="36" t="str">
        <f>IFERROR(__xludf.DUMMYFUNCTION("""COMPUTED_VALUE"""),"LATITUD")</f>
        <v>LATITUD</v>
      </c>
      <c r="C4451" s="36" t="str">
        <f>IFERROR(__xludf.DUMMYFUNCTION("""COMPUTED_VALUE"""),"LONGITUD")</f>
        <v>LONGITUD</v>
      </c>
      <c r="D4451" s="36" t="str">
        <f>IFERROR(__xludf.DUMMYFUNCTION("""COMPUTED_VALUE"""),"ERROR DE ID")</f>
        <v>ERROR DE ID</v>
      </c>
      <c r="E4451" s="36"/>
      <c r="F4451" s="36"/>
      <c r="G4451" s="36"/>
      <c r="H4451" s="36"/>
    </row>
    <row r="4452">
      <c r="A4452" s="36"/>
      <c r="B4452" s="36" t="str">
        <f>IFERROR(__xludf.DUMMYFUNCTION("""COMPUTED_VALUE"""),"LATITUD")</f>
        <v>LATITUD</v>
      </c>
      <c r="C4452" s="36" t="str">
        <f>IFERROR(__xludf.DUMMYFUNCTION("""COMPUTED_VALUE"""),"LONGITUD")</f>
        <v>LONGITUD</v>
      </c>
      <c r="D4452" s="36" t="str">
        <f>IFERROR(__xludf.DUMMYFUNCTION("""COMPUTED_VALUE"""),"ERROR DE ID")</f>
        <v>ERROR DE ID</v>
      </c>
      <c r="E4452" s="36"/>
      <c r="F4452" s="36"/>
      <c r="G4452" s="36"/>
      <c r="H4452" s="36"/>
    </row>
    <row r="4453">
      <c r="A4453" s="36"/>
      <c r="B4453" s="36" t="str">
        <f>IFERROR(__xludf.DUMMYFUNCTION("""COMPUTED_VALUE"""),"LATITUD")</f>
        <v>LATITUD</v>
      </c>
      <c r="C4453" s="36" t="str">
        <f>IFERROR(__xludf.DUMMYFUNCTION("""COMPUTED_VALUE"""),"LONGITUD")</f>
        <v>LONGITUD</v>
      </c>
      <c r="D4453" s="36" t="str">
        <f>IFERROR(__xludf.DUMMYFUNCTION("""COMPUTED_VALUE"""),"ERROR DE ID")</f>
        <v>ERROR DE ID</v>
      </c>
      <c r="E4453" s="36"/>
      <c r="F4453" s="36"/>
      <c r="G4453" s="36"/>
      <c r="H4453" s="36"/>
    </row>
    <row r="4454">
      <c r="A4454" s="36"/>
      <c r="B4454" s="36" t="str">
        <f>IFERROR(__xludf.DUMMYFUNCTION("""COMPUTED_VALUE"""),"LATITUD")</f>
        <v>LATITUD</v>
      </c>
      <c r="C4454" s="36" t="str">
        <f>IFERROR(__xludf.DUMMYFUNCTION("""COMPUTED_VALUE"""),"LONGITUD")</f>
        <v>LONGITUD</v>
      </c>
      <c r="D4454" s="36" t="str">
        <f>IFERROR(__xludf.DUMMYFUNCTION("""COMPUTED_VALUE"""),"ERROR DE ID")</f>
        <v>ERROR DE ID</v>
      </c>
      <c r="E4454" s="36"/>
      <c r="F4454" s="36"/>
      <c r="G4454" s="36"/>
      <c r="H4454" s="36"/>
    </row>
    <row r="4455">
      <c r="A4455" s="36"/>
      <c r="B4455" s="36" t="str">
        <f>IFERROR(__xludf.DUMMYFUNCTION("""COMPUTED_VALUE"""),"LATITUD")</f>
        <v>LATITUD</v>
      </c>
      <c r="C4455" s="36" t="str">
        <f>IFERROR(__xludf.DUMMYFUNCTION("""COMPUTED_VALUE"""),"LONGITUD")</f>
        <v>LONGITUD</v>
      </c>
      <c r="D4455" s="36" t="str">
        <f>IFERROR(__xludf.DUMMYFUNCTION("""COMPUTED_VALUE"""),"ERROR DE ID")</f>
        <v>ERROR DE ID</v>
      </c>
      <c r="E4455" s="36"/>
      <c r="F4455" s="36"/>
      <c r="G4455" s="36"/>
      <c r="H4455" s="36"/>
    </row>
    <row r="4456">
      <c r="A4456" s="36"/>
      <c r="B4456" s="36" t="str">
        <f>IFERROR(__xludf.DUMMYFUNCTION("""COMPUTED_VALUE"""),"LATITUD")</f>
        <v>LATITUD</v>
      </c>
      <c r="C4456" s="36" t="str">
        <f>IFERROR(__xludf.DUMMYFUNCTION("""COMPUTED_VALUE"""),"LONGITUD")</f>
        <v>LONGITUD</v>
      </c>
      <c r="D4456" s="36" t="str">
        <f>IFERROR(__xludf.DUMMYFUNCTION("""COMPUTED_VALUE"""),"ERROR DE ID")</f>
        <v>ERROR DE ID</v>
      </c>
      <c r="E4456" s="36"/>
      <c r="F4456" s="36"/>
      <c r="G4456" s="36"/>
      <c r="H4456" s="36"/>
    </row>
    <row r="4457">
      <c r="A4457" s="36"/>
      <c r="B4457" s="36" t="str">
        <f>IFERROR(__xludf.DUMMYFUNCTION("""COMPUTED_VALUE"""),"LATITUD")</f>
        <v>LATITUD</v>
      </c>
      <c r="C4457" s="36" t="str">
        <f>IFERROR(__xludf.DUMMYFUNCTION("""COMPUTED_VALUE"""),"LONGITUD")</f>
        <v>LONGITUD</v>
      </c>
      <c r="D4457" s="36" t="str">
        <f>IFERROR(__xludf.DUMMYFUNCTION("""COMPUTED_VALUE"""),"ERROR DE ID")</f>
        <v>ERROR DE ID</v>
      </c>
      <c r="E4457" s="36"/>
      <c r="F4457" s="36"/>
      <c r="G4457" s="36"/>
      <c r="H4457" s="36"/>
    </row>
    <row r="4458">
      <c r="A4458" s="36"/>
      <c r="B4458" s="36" t="str">
        <f>IFERROR(__xludf.DUMMYFUNCTION("""COMPUTED_VALUE"""),"LATITUD")</f>
        <v>LATITUD</v>
      </c>
      <c r="C4458" s="36" t="str">
        <f>IFERROR(__xludf.DUMMYFUNCTION("""COMPUTED_VALUE"""),"LONGITUD")</f>
        <v>LONGITUD</v>
      </c>
      <c r="D4458" s="36" t="str">
        <f>IFERROR(__xludf.DUMMYFUNCTION("""COMPUTED_VALUE"""),"ERROR DE ID")</f>
        <v>ERROR DE ID</v>
      </c>
      <c r="E4458" s="36"/>
      <c r="F4458" s="36"/>
      <c r="G4458" s="36"/>
      <c r="H4458" s="36"/>
    </row>
    <row r="4459">
      <c r="A4459" s="36"/>
      <c r="B4459" s="36" t="str">
        <f>IFERROR(__xludf.DUMMYFUNCTION("""COMPUTED_VALUE"""),"LATITUD")</f>
        <v>LATITUD</v>
      </c>
      <c r="C4459" s="36" t="str">
        <f>IFERROR(__xludf.DUMMYFUNCTION("""COMPUTED_VALUE"""),"LONGITUD")</f>
        <v>LONGITUD</v>
      </c>
      <c r="D4459" s="36" t="str">
        <f>IFERROR(__xludf.DUMMYFUNCTION("""COMPUTED_VALUE"""),"ERROR DE ID")</f>
        <v>ERROR DE ID</v>
      </c>
      <c r="E4459" s="36"/>
      <c r="F4459" s="36"/>
      <c r="G4459" s="36"/>
      <c r="H4459" s="36"/>
    </row>
    <row r="4460">
      <c r="A4460" s="36"/>
      <c r="B4460" s="36" t="str">
        <f>IFERROR(__xludf.DUMMYFUNCTION("""COMPUTED_VALUE"""),"LATITUD")</f>
        <v>LATITUD</v>
      </c>
      <c r="C4460" s="36" t="str">
        <f>IFERROR(__xludf.DUMMYFUNCTION("""COMPUTED_VALUE"""),"LONGITUD")</f>
        <v>LONGITUD</v>
      </c>
      <c r="D4460" s="36" t="str">
        <f>IFERROR(__xludf.DUMMYFUNCTION("""COMPUTED_VALUE"""),"ERROR DE ID")</f>
        <v>ERROR DE ID</v>
      </c>
      <c r="E4460" s="36"/>
      <c r="F4460" s="36"/>
      <c r="G4460" s="36"/>
      <c r="H4460" s="36"/>
    </row>
    <row r="4461">
      <c r="A4461" s="36"/>
      <c r="B4461" s="36" t="str">
        <f>IFERROR(__xludf.DUMMYFUNCTION("""COMPUTED_VALUE"""),"LATITUD")</f>
        <v>LATITUD</v>
      </c>
      <c r="C4461" s="36" t="str">
        <f>IFERROR(__xludf.DUMMYFUNCTION("""COMPUTED_VALUE"""),"LONGITUD")</f>
        <v>LONGITUD</v>
      </c>
      <c r="D4461" s="36" t="str">
        <f>IFERROR(__xludf.DUMMYFUNCTION("""COMPUTED_VALUE"""),"ERROR DE ID")</f>
        <v>ERROR DE ID</v>
      </c>
      <c r="E4461" s="36"/>
      <c r="F4461" s="36"/>
      <c r="G4461" s="36"/>
      <c r="H4461" s="36"/>
    </row>
    <row r="4462">
      <c r="A4462" s="36"/>
      <c r="B4462" s="36" t="str">
        <f>IFERROR(__xludf.DUMMYFUNCTION("""COMPUTED_VALUE"""),"LATITUD")</f>
        <v>LATITUD</v>
      </c>
      <c r="C4462" s="36" t="str">
        <f>IFERROR(__xludf.DUMMYFUNCTION("""COMPUTED_VALUE"""),"LONGITUD")</f>
        <v>LONGITUD</v>
      </c>
      <c r="D4462" s="36" t="str">
        <f>IFERROR(__xludf.DUMMYFUNCTION("""COMPUTED_VALUE"""),"ERROR DE ID")</f>
        <v>ERROR DE ID</v>
      </c>
      <c r="E4462" s="36"/>
      <c r="F4462" s="36"/>
      <c r="G4462" s="36"/>
      <c r="H4462" s="36"/>
    </row>
    <row r="4463">
      <c r="A4463" s="36"/>
      <c r="B4463" s="36" t="str">
        <f>IFERROR(__xludf.DUMMYFUNCTION("""COMPUTED_VALUE"""),"LATITUD")</f>
        <v>LATITUD</v>
      </c>
      <c r="C4463" s="36" t="str">
        <f>IFERROR(__xludf.DUMMYFUNCTION("""COMPUTED_VALUE"""),"LONGITUD")</f>
        <v>LONGITUD</v>
      </c>
      <c r="D4463" s="36" t="str">
        <f>IFERROR(__xludf.DUMMYFUNCTION("""COMPUTED_VALUE"""),"ERROR DE ID")</f>
        <v>ERROR DE ID</v>
      </c>
      <c r="E4463" s="36"/>
      <c r="F4463" s="36"/>
      <c r="G4463" s="36"/>
      <c r="H4463" s="36"/>
    </row>
    <row r="4464">
      <c r="A4464" s="36"/>
      <c r="B4464" s="36" t="str">
        <f>IFERROR(__xludf.DUMMYFUNCTION("""COMPUTED_VALUE"""),"LATITUD")</f>
        <v>LATITUD</v>
      </c>
      <c r="C4464" s="36" t="str">
        <f>IFERROR(__xludf.DUMMYFUNCTION("""COMPUTED_VALUE"""),"LONGITUD")</f>
        <v>LONGITUD</v>
      </c>
      <c r="D4464" s="36" t="str">
        <f>IFERROR(__xludf.DUMMYFUNCTION("""COMPUTED_VALUE"""),"ERROR DE ID")</f>
        <v>ERROR DE ID</v>
      </c>
      <c r="E4464" s="36"/>
      <c r="F4464" s="36"/>
      <c r="G4464" s="36"/>
      <c r="H4464" s="36"/>
    </row>
    <row r="4465">
      <c r="A4465" s="36"/>
      <c r="B4465" s="36" t="str">
        <f>IFERROR(__xludf.DUMMYFUNCTION("""COMPUTED_VALUE"""),"LATITUD")</f>
        <v>LATITUD</v>
      </c>
      <c r="C4465" s="36" t="str">
        <f>IFERROR(__xludf.DUMMYFUNCTION("""COMPUTED_VALUE"""),"LONGITUD")</f>
        <v>LONGITUD</v>
      </c>
      <c r="D4465" s="36" t="str">
        <f>IFERROR(__xludf.DUMMYFUNCTION("""COMPUTED_VALUE"""),"ERROR DE ID")</f>
        <v>ERROR DE ID</v>
      </c>
      <c r="E4465" s="36"/>
      <c r="F4465" s="36"/>
      <c r="G4465" s="36"/>
      <c r="H4465" s="36"/>
    </row>
    <row r="4466">
      <c r="A4466" s="36"/>
      <c r="B4466" s="36" t="str">
        <f>IFERROR(__xludf.DUMMYFUNCTION("""COMPUTED_VALUE"""),"LATITUD")</f>
        <v>LATITUD</v>
      </c>
      <c r="C4466" s="36" t="str">
        <f>IFERROR(__xludf.DUMMYFUNCTION("""COMPUTED_VALUE"""),"LONGITUD")</f>
        <v>LONGITUD</v>
      </c>
      <c r="D4466" s="36" t="str">
        <f>IFERROR(__xludf.DUMMYFUNCTION("""COMPUTED_VALUE"""),"ERROR DE ID")</f>
        <v>ERROR DE ID</v>
      </c>
      <c r="E4466" s="36"/>
      <c r="F4466" s="36"/>
      <c r="G4466" s="36"/>
      <c r="H4466" s="36"/>
    </row>
    <row r="4467">
      <c r="A4467" s="36"/>
      <c r="B4467" s="36" t="str">
        <f>IFERROR(__xludf.DUMMYFUNCTION("""COMPUTED_VALUE"""),"LATITUD")</f>
        <v>LATITUD</v>
      </c>
      <c r="C4467" s="36" t="str">
        <f>IFERROR(__xludf.DUMMYFUNCTION("""COMPUTED_VALUE"""),"LONGITUD")</f>
        <v>LONGITUD</v>
      </c>
      <c r="D4467" s="36" t="str">
        <f>IFERROR(__xludf.DUMMYFUNCTION("""COMPUTED_VALUE"""),"ERROR DE ID")</f>
        <v>ERROR DE ID</v>
      </c>
      <c r="E4467" s="36"/>
      <c r="F4467" s="36"/>
      <c r="G4467" s="36"/>
      <c r="H4467" s="36"/>
    </row>
    <row r="4468">
      <c r="A4468" s="36"/>
      <c r="B4468" s="36" t="str">
        <f>IFERROR(__xludf.DUMMYFUNCTION("""COMPUTED_VALUE"""),"LATITUD")</f>
        <v>LATITUD</v>
      </c>
      <c r="C4468" s="36" t="str">
        <f>IFERROR(__xludf.DUMMYFUNCTION("""COMPUTED_VALUE"""),"LONGITUD")</f>
        <v>LONGITUD</v>
      </c>
      <c r="D4468" s="36" t="str">
        <f>IFERROR(__xludf.DUMMYFUNCTION("""COMPUTED_VALUE"""),"ERROR DE ID")</f>
        <v>ERROR DE ID</v>
      </c>
      <c r="E4468" s="36"/>
      <c r="F4468" s="36"/>
      <c r="G4468" s="36"/>
      <c r="H4468" s="36"/>
    </row>
    <row r="4469">
      <c r="A4469" s="36"/>
      <c r="B4469" s="36" t="str">
        <f>IFERROR(__xludf.DUMMYFUNCTION("""COMPUTED_VALUE"""),"LATITUD")</f>
        <v>LATITUD</v>
      </c>
      <c r="C4469" s="36" t="str">
        <f>IFERROR(__xludf.DUMMYFUNCTION("""COMPUTED_VALUE"""),"LONGITUD")</f>
        <v>LONGITUD</v>
      </c>
      <c r="D4469" s="36" t="str">
        <f>IFERROR(__xludf.DUMMYFUNCTION("""COMPUTED_VALUE"""),"ERROR DE ID")</f>
        <v>ERROR DE ID</v>
      </c>
      <c r="E4469" s="36"/>
      <c r="F4469" s="36"/>
      <c r="G4469" s="36"/>
      <c r="H4469" s="36"/>
    </row>
    <row r="4470">
      <c r="A4470" s="36"/>
      <c r="B4470" s="36" t="str">
        <f>IFERROR(__xludf.DUMMYFUNCTION("""COMPUTED_VALUE"""),"LATITUD")</f>
        <v>LATITUD</v>
      </c>
      <c r="C4470" s="36" t="str">
        <f>IFERROR(__xludf.DUMMYFUNCTION("""COMPUTED_VALUE"""),"LONGITUD")</f>
        <v>LONGITUD</v>
      </c>
      <c r="D4470" s="36" t="str">
        <f>IFERROR(__xludf.DUMMYFUNCTION("""COMPUTED_VALUE"""),"ERROR DE ID")</f>
        <v>ERROR DE ID</v>
      </c>
      <c r="E4470" s="36"/>
      <c r="F4470" s="36"/>
      <c r="G4470" s="36"/>
      <c r="H4470" s="36"/>
    </row>
    <row r="4471">
      <c r="A4471" s="36"/>
      <c r="B4471" s="36" t="str">
        <f>IFERROR(__xludf.DUMMYFUNCTION("""COMPUTED_VALUE"""),"LATITUD")</f>
        <v>LATITUD</v>
      </c>
      <c r="C4471" s="36" t="str">
        <f>IFERROR(__xludf.DUMMYFUNCTION("""COMPUTED_VALUE"""),"LONGITUD")</f>
        <v>LONGITUD</v>
      </c>
      <c r="D4471" s="36" t="str">
        <f>IFERROR(__xludf.DUMMYFUNCTION("""COMPUTED_VALUE"""),"ERROR DE ID")</f>
        <v>ERROR DE ID</v>
      </c>
      <c r="E4471" s="36"/>
      <c r="F4471" s="36"/>
      <c r="G4471" s="36"/>
      <c r="H4471" s="36"/>
    </row>
    <row r="4472">
      <c r="A4472" s="36"/>
      <c r="B4472" s="36" t="str">
        <f>IFERROR(__xludf.DUMMYFUNCTION("""COMPUTED_VALUE"""),"LATITUD")</f>
        <v>LATITUD</v>
      </c>
      <c r="C4472" s="36" t="str">
        <f>IFERROR(__xludf.DUMMYFUNCTION("""COMPUTED_VALUE"""),"LONGITUD")</f>
        <v>LONGITUD</v>
      </c>
      <c r="D4472" s="36" t="str">
        <f>IFERROR(__xludf.DUMMYFUNCTION("""COMPUTED_VALUE"""),"ERROR DE ID")</f>
        <v>ERROR DE ID</v>
      </c>
      <c r="E4472" s="36"/>
      <c r="F4472" s="36"/>
      <c r="G4472" s="36"/>
      <c r="H4472" s="36"/>
    </row>
    <row r="4473">
      <c r="A4473" s="36"/>
      <c r="B4473" s="36" t="str">
        <f>IFERROR(__xludf.DUMMYFUNCTION("""COMPUTED_VALUE"""),"LATITUD")</f>
        <v>LATITUD</v>
      </c>
      <c r="C4473" s="36" t="str">
        <f>IFERROR(__xludf.DUMMYFUNCTION("""COMPUTED_VALUE"""),"LONGITUD")</f>
        <v>LONGITUD</v>
      </c>
      <c r="D4473" s="36" t="str">
        <f>IFERROR(__xludf.DUMMYFUNCTION("""COMPUTED_VALUE"""),"ERROR DE ID")</f>
        <v>ERROR DE ID</v>
      </c>
      <c r="E4473" s="36"/>
      <c r="F4473" s="36"/>
      <c r="G4473" s="36"/>
      <c r="H4473" s="36"/>
    </row>
    <row r="4474">
      <c r="A4474" s="36"/>
      <c r="B4474" s="36" t="str">
        <f>IFERROR(__xludf.DUMMYFUNCTION("""COMPUTED_VALUE"""),"LATITUD")</f>
        <v>LATITUD</v>
      </c>
      <c r="C4474" s="36" t="str">
        <f>IFERROR(__xludf.DUMMYFUNCTION("""COMPUTED_VALUE"""),"LONGITUD")</f>
        <v>LONGITUD</v>
      </c>
      <c r="D4474" s="36" t="str">
        <f>IFERROR(__xludf.DUMMYFUNCTION("""COMPUTED_VALUE"""),"ERROR DE ID")</f>
        <v>ERROR DE ID</v>
      </c>
      <c r="E4474" s="36"/>
      <c r="F4474" s="36"/>
      <c r="G4474" s="36"/>
      <c r="H4474" s="36"/>
    </row>
    <row r="4475">
      <c r="A4475" s="36"/>
      <c r="B4475" s="36" t="str">
        <f>IFERROR(__xludf.DUMMYFUNCTION("""COMPUTED_VALUE"""),"LATITUD")</f>
        <v>LATITUD</v>
      </c>
      <c r="C4475" s="36" t="str">
        <f>IFERROR(__xludf.DUMMYFUNCTION("""COMPUTED_VALUE"""),"LONGITUD")</f>
        <v>LONGITUD</v>
      </c>
      <c r="D4475" s="36" t="str">
        <f>IFERROR(__xludf.DUMMYFUNCTION("""COMPUTED_VALUE"""),"ERROR DE ID")</f>
        <v>ERROR DE ID</v>
      </c>
      <c r="E4475" s="36"/>
      <c r="F4475" s="36"/>
      <c r="G4475" s="36"/>
      <c r="H4475" s="36"/>
    </row>
    <row r="4476">
      <c r="A4476" s="36"/>
      <c r="B4476" s="36" t="str">
        <f>IFERROR(__xludf.DUMMYFUNCTION("""COMPUTED_VALUE"""),"LATITUD")</f>
        <v>LATITUD</v>
      </c>
      <c r="C4476" s="36" t="str">
        <f>IFERROR(__xludf.DUMMYFUNCTION("""COMPUTED_VALUE"""),"LONGITUD")</f>
        <v>LONGITUD</v>
      </c>
      <c r="D4476" s="36" t="str">
        <f>IFERROR(__xludf.DUMMYFUNCTION("""COMPUTED_VALUE"""),"ERROR DE ID")</f>
        <v>ERROR DE ID</v>
      </c>
      <c r="E4476" s="36"/>
      <c r="F4476" s="36"/>
      <c r="G4476" s="36"/>
      <c r="H4476" s="36"/>
    </row>
    <row r="4477">
      <c r="A4477" s="36"/>
      <c r="B4477" s="36" t="str">
        <f>IFERROR(__xludf.DUMMYFUNCTION("""COMPUTED_VALUE"""),"LATITUD")</f>
        <v>LATITUD</v>
      </c>
      <c r="C4477" s="36" t="str">
        <f>IFERROR(__xludf.DUMMYFUNCTION("""COMPUTED_VALUE"""),"LONGITUD")</f>
        <v>LONGITUD</v>
      </c>
      <c r="D4477" s="36" t="str">
        <f>IFERROR(__xludf.DUMMYFUNCTION("""COMPUTED_VALUE"""),"ERROR DE ID")</f>
        <v>ERROR DE ID</v>
      </c>
      <c r="E4477" s="36"/>
      <c r="F4477" s="36"/>
      <c r="G4477" s="36"/>
      <c r="H4477" s="36"/>
    </row>
    <row r="4478">
      <c r="A4478" s="36"/>
      <c r="B4478" s="36" t="str">
        <f>IFERROR(__xludf.DUMMYFUNCTION("""COMPUTED_VALUE"""),"LATITUD")</f>
        <v>LATITUD</v>
      </c>
      <c r="C4478" s="36" t="str">
        <f>IFERROR(__xludf.DUMMYFUNCTION("""COMPUTED_VALUE"""),"LONGITUD")</f>
        <v>LONGITUD</v>
      </c>
      <c r="D4478" s="36" t="str">
        <f>IFERROR(__xludf.DUMMYFUNCTION("""COMPUTED_VALUE"""),"ERROR DE ID")</f>
        <v>ERROR DE ID</v>
      </c>
      <c r="E4478" s="36"/>
      <c r="F4478" s="36"/>
      <c r="G4478" s="36"/>
      <c r="H4478" s="36"/>
    </row>
    <row r="4479">
      <c r="A4479" s="36"/>
      <c r="B4479" s="36" t="str">
        <f>IFERROR(__xludf.DUMMYFUNCTION("""COMPUTED_VALUE"""),"LATITUD")</f>
        <v>LATITUD</v>
      </c>
      <c r="C4479" s="36" t="str">
        <f>IFERROR(__xludf.DUMMYFUNCTION("""COMPUTED_VALUE"""),"LONGITUD")</f>
        <v>LONGITUD</v>
      </c>
      <c r="D4479" s="36" t="str">
        <f>IFERROR(__xludf.DUMMYFUNCTION("""COMPUTED_VALUE"""),"ERROR DE ID")</f>
        <v>ERROR DE ID</v>
      </c>
      <c r="E4479" s="36"/>
      <c r="F4479" s="36"/>
      <c r="G4479" s="36"/>
      <c r="H4479" s="36"/>
    </row>
    <row r="4480">
      <c r="A4480" s="36"/>
      <c r="B4480" s="36" t="str">
        <f>IFERROR(__xludf.DUMMYFUNCTION("""COMPUTED_VALUE"""),"LATITUD")</f>
        <v>LATITUD</v>
      </c>
      <c r="C4480" s="36" t="str">
        <f>IFERROR(__xludf.DUMMYFUNCTION("""COMPUTED_VALUE"""),"LONGITUD")</f>
        <v>LONGITUD</v>
      </c>
      <c r="D4480" s="36" t="str">
        <f>IFERROR(__xludf.DUMMYFUNCTION("""COMPUTED_VALUE"""),"ERROR DE ID")</f>
        <v>ERROR DE ID</v>
      </c>
      <c r="E4480" s="36"/>
      <c r="F4480" s="36"/>
      <c r="G4480" s="36"/>
      <c r="H4480" s="36"/>
    </row>
    <row r="4481">
      <c r="A4481" s="36"/>
      <c r="B4481" s="36" t="str">
        <f>IFERROR(__xludf.DUMMYFUNCTION("""COMPUTED_VALUE"""),"LATITUD")</f>
        <v>LATITUD</v>
      </c>
      <c r="C4481" s="36" t="str">
        <f>IFERROR(__xludf.DUMMYFUNCTION("""COMPUTED_VALUE"""),"LONGITUD")</f>
        <v>LONGITUD</v>
      </c>
      <c r="D4481" s="36" t="str">
        <f>IFERROR(__xludf.DUMMYFUNCTION("""COMPUTED_VALUE"""),"ERROR DE ID")</f>
        <v>ERROR DE ID</v>
      </c>
      <c r="E4481" s="36"/>
      <c r="F4481" s="36"/>
      <c r="G4481" s="36"/>
      <c r="H4481" s="36"/>
    </row>
    <row r="4482">
      <c r="A4482" s="36"/>
      <c r="B4482" s="36" t="str">
        <f>IFERROR(__xludf.DUMMYFUNCTION("""COMPUTED_VALUE"""),"LATITUD")</f>
        <v>LATITUD</v>
      </c>
      <c r="C4482" s="36" t="str">
        <f>IFERROR(__xludf.DUMMYFUNCTION("""COMPUTED_VALUE"""),"LONGITUD")</f>
        <v>LONGITUD</v>
      </c>
      <c r="D4482" s="36" t="str">
        <f>IFERROR(__xludf.DUMMYFUNCTION("""COMPUTED_VALUE"""),"ERROR DE ID")</f>
        <v>ERROR DE ID</v>
      </c>
      <c r="E4482" s="36"/>
      <c r="F4482" s="36"/>
      <c r="G4482" s="36"/>
      <c r="H4482" s="36"/>
    </row>
    <row r="4483">
      <c r="A4483" s="36"/>
      <c r="B4483" s="36" t="str">
        <f>IFERROR(__xludf.DUMMYFUNCTION("""COMPUTED_VALUE"""),"LATITUD")</f>
        <v>LATITUD</v>
      </c>
      <c r="C4483" s="36" t="str">
        <f>IFERROR(__xludf.DUMMYFUNCTION("""COMPUTED_VALUE"""),"LONGITUD")</f>
        <v>LONGITUD</v>
      </c>
      <c r="D4483" s="36" t="str">
        <f>IFERROR(__xludf.DUMMYFUNCTION("""COMPUTED_VALUE"""),"ERROR DE ID")</f>
        <v>ERROR DE ID</v>
      </c>
      <c r="E4483" s="36"/>
      <c r="F4483" s="36"/>
      <c r="G4483" s="36"/>
      <c r="H4483" s="36"/>
    </row>
    <row r="4484">
      <c r="A4484" s="36"/>
      <c r="B4484" s="36" t="str">
        <f>IFERROR(__xludf.DUMMYFUNCTION("""COMPUTED_VALUE"""),"LATITUD")</f>
        <v>LATITUD</v>
      </c>
      <c r="C4484" s="36" t="str">
        <f>IFERROR(__xludf.DUMMYFUNCTION("""COMPUTED_VALUE"""),"LONGITUD")</f>
        <v>LONGITUD</v>
      </c>
      <c r="D4484" s="36" t="str">
        <f>IFERROR(__xludf.DUMMYFUNCTION("""COMPUTED_VALUE"""),"ERROR DE ID")</f>
        <v>ERROR DE ID</v>
      </c>
      <c r="E4484" s="36"/>
      <c r="F4484" s="36"/>
      <c r="G4484" s="36"/>
      <c r="H4484" s="36"/>
    </row>
    <row r="4485">
      <c r="A4485" s="36"/>
      <c r="B4485" s="36" t="str">
        <f>IFERROR(__xludf.DUMMYFUNCTION("""COMPUTED_VALUE"""),"LATITUD")</f>
        <v>LATITUD</v>
      </c>
      <c r="C4485" s="36" t="str">
        <f>IFERROR(__xludf.DUMMYFUNCTION("""COMPUTED_VALUE"""),"LONGITUD")</f>
        <v>LONGITUD</v>
      </c>
      <c r="D4485" s="36" t="str">
        <f>IFERROR(__xludf.DUMMYFUNCTION("""COMPUTED_VALUE"""),"ERROR DE ID")</f>
        <v>ERROR DE ID</v>
      </c>
      <c r="E4485" s="36"/>
      <c r="F4485" s="36"/>
      <c r="G4485" s="36"/>
      <c r="H4485" s="36"/>
    </row>
    <row r="4486">
      <c r="A4486" s="36"/>
      <c r="B4486" s="36" t="str">
        <f>IFERROR(__xludf.DUMMYFUNCTION("""COMPUTED_VALUE"""),"LATITUD")</f>
        <v>LATITUD</v>
      </c>
      <c r="C4486" s="36" t="str">
        <f>IFERROR(__xludf.DUMMYFUNCTION("""COMPUTED_VALUE"""),"LONGITUD")</f>
        <v>LONGITUD</v>
      </c>
      <c r="D4486" s="36" t="str">
        <f>IFERROR(__xludf.DUMMYFUNCTION("""COMPUTED_VALUE"""),"ERROR DE ID")</f>
        <v>ERROR DE ID</v>
      </c>
      <c r="E4486" s="36"/>
      <c r="F4486" s="36"/>
      <c r="G4486" s="36"/>
      <c r="H4486" s="36"/>
    </row>
    <row r="4487">
      <c r="A4487" s="36"/>
      <c r="B4487" s="36" t="str">
        <f>IFERROR(__xludf.DUMMYFUNCTION("""COMPUTED_VALUE"""),"LATITUD")</f>
        <v>LATITUD</v>
      </c>
      <c r="C4487" s="36" t="str">
        <f>IFERROR(__xludf.DUMMYFUNCTION("""COMPUTED_VALUE"""),"LONGITUD")</f>
        <v>LONGITUD</v>
      </c>
      <c r="D4487" s="36" t="str">
        <f>IFERROR(__xludf.DUMMYFUNCTION("""COMPUTED_VALUE"""),"ERROR DE ID")</f>
        <v>ERROR DE ID</v>
      </c>
      <c r="E4487" s="36"/>
      <c r="F4487" s="36"/>
      <c r="G4487" s="36"/>
      <c r="H4487" s="36"/>
    </row>
    <row r="4488">
      <c r="A4488" s="36"/>
      <c r="B4488" s="36" t="str">
        <f>IFERROR(__xludf.DUMMYFUNCTION("""COMPUTED_VALUE"""),"LATITUD")</f>
        <v>LATITUD</v>
      </c>
      <c r="C4488" s="36" t="str">
        <f>IFERROR(__xludf.DUMMYFUNCTION("""COMPUTED_VALUE"""),"LONGITUD")</f>
        <v>LONGITUD</v>
      </c>
      <c r="D4488" s="36" t="str">
        <f>IFERROR(__xludf.DUMMYFUNCTION("""COMPUTED_VALUE"""),"ERROR DE ID")</f>
        <v>ERROR DE ID</v>
      </c>
      <c r="E4488" s="36"/>
      <c r="F4488" s="36"/>
      <c r="G4488" s="36"/>
      <c r="H4488" s="36"/>
    </row>
    <row r="4489">
      <c r="A4489" s="36"/>
      <c r="B4489" s="36" t="str">
        <f>IFERROR(__xludf.DUMMYFUNCTION("""COMPUTED_VALUE"""),"LATITUD")</f>
        <v>LATITUD</v>
      </c>
      <c r="C4489" s="36" t="str">
        <f>IFERROR(__xludf.DUMMYFUNCTION("""COMPUTED_VALUE"""),"LONGITUD")</f>
        <v>LONGITUD</v>
      </c>
      <c r="D4489" s="36" t="str">
        <f>IFERROR(__xludf.DUMMYFUNCTION("""COMPUTED_VALUE"""),"ERROR DE ID")</f>
        <v>ERROR DE ID</v>
      </c>
      <c r="E4489" s="36"/>
      <c r="F4489" s="36"/>
      <c r="G4489" s="36"/>
      <c r="H4489" s="36"/>
    </row>
    <row r="4490">
      <c r="A4490" s="36"/>
      <c r="B4490" s="36" t="str">
        <f>IFERROR(__xludf.DUMMYFUNCTION("""COMPUTED_VALUE"""),"LATITUD")</f>
        <v>LATITUD</v>
      </c>
      <c r="C4490" s="36" t="str">
        <f>IFERROR(__xludf.DUMMYFUNCTION("""COMPUTED_VALUE"""),"LONGITUD")</f>
        <v>LONGITUD</v>
      </c>
      <c r="D4490" s="36" t="str">
        <f>IFERROR(__xludf.DUMMYFUNCTION("""COMPUTED_VALUE"""),"ERROR DE ID")</f>
        <v>ERROR DE ID</v>
      </c>
      <c r="E4490" s="36"/>
      <c r="F4490" s="36"/>
      <c r="G4490" s="36"/>
      <c r="H4490" s="36"/>
    </row>
    <row r="4491">
      <c r="A4491" s="36"/>
      <c r="B4491" s="36" t="str">
        <f>IFERROR(__xludf.DUMMYFUNCTION("""COMPUTED_VALUE"""),"LATITUD")</f>
        <v>LATITUD</v>
      </c>
      <c r="C4491" s="36" t="str">
        <f>IFERROR(__xludf.DUMMYFUNCTION("""COMPUTED_VALUE"""),"LONGITUD")</f>
        <v>LONGITUD</v>
      </c>
      <c r="D4491" s="36" t="str">
        <f>IFERROR(__xludf.DUMMYFUNCTION("""COMPUTED_VALUE"""),"ERROR DE ID")</f>
        <v>ERROR DE ID</v>
      </c>
      <c r="E4491" s="36"/>
      <c r="F4491" s="36"/>
      <c r="G4491" s="36"/>
      <c r="H4491" s="36"/>
    </row>
    <row r="4492">
      <c r="A4492" s="36"/>
      <c r="B4492" s="36" t="str">
        <f>IFERROR(__xludf.DUMMYFUNCTION("""COMPUTED_VALUE"""),"LATITUD")</f>
        <v>LATITUD</v>
      </c>
      <c r="C4492" s="36" t="str">
        <f>IFERROR(__xludf.DUMMYFUNCTION("""COMPUTED_VALUE"""),"LONGITUD")</f>
        <v>LONGITUD</v>
      </c>
      <c r="D4492" s="36" t="str">
        <f>IFERROR(__xludf.DUMMYFUNCTION("""COMPUTED_VALUE"""),"ERROR DE ID")</f>
        <v>ERROR DE ID</v>
      </c>
      <c r="E4492" s="36"/>
      <c r="F4492" s="36"/>
      <c r="G4492" s="36"/>
      <c r="H4492" s="36"/>
    </row>
    <row r="4493">
      <c r="A4493" s="36"/>
      <c r="B4493" s="36" t="str">
        <f>IFERROR(__xludf.DUMMYFUNCTION("""COMPUTED_VALUE"""),"LATITUD")</f>
        <v>LATITUD</v>
      </c>
      <c r="C4493" s="36" t="str">
        <f>IFERROR(__xludf.DUMMYFUNCTION("""COMPUTED_VALUE"""),"LONGITUD")</f>
        <v>LONGITUD</v>
      </c>
      <c r="D4493" s="36" t="str">
        <f>IFERROR(__xludf.DUMMYFUNCTION("""COMPUTED_VALUE"""),"ERROR DE ID")</f>
        <v>ERROR DE ID</v>
      </c>
      <c r="E4493" s="36"/>
      <c r="F4493" s="36"/>
      <c r="G4493" s="36"/>
      <c r="H4493" s="36"/>
    </row>
    <row r="4494">
      <c r="A4494" s="36"/>
      <c r="B4494" s="36" t="str">
        <f>IFERROR(__xludf.DUMMYFUNCTION("""COMPUTED_VALUE"""),"LATITUD")</f>
        <v>LATITUD</v>
      </c>
      <c r="C4494" s="36" t="str">
        <f>IFERROR(__xludf.DUMMYFUNCTION("""COMPUTED_VALUE"""),"LONGITUD")</f>
        <v>LONGITUD</v>
      </c>
      <c r="D4494" s="36" t="str">
        <f>IFERROR(__xludf.DUMMYFUNCTION("""COMPUTED_VALUE"""),"ERROR DE ID")</f>
        <v>ERROR DE ID</v>
      </c>
      <c r="E4494" s="36"/>
      <c r="F4494" s="36"/>
      <c r="G4494" s="36"/>
      <c r="H4494" s="36"/>
    </row>
    <row r="4495">
      <c r="A4495" s="36"/>
      <c r="B4495" s="36" t="str">
        <f>IFERROR(__xludf.DUMMYFUNCTION("""COMPUTED_VALUE"""),"LATITUD")</f>
        <v>LATITUD</v>
      </c>
      <c r="C4495" s="36" t="str">
        <f>IFERROR(__xludf.DUMMYFUNCTION("""COMPUTED_VALUE"""),"LONGITUD")</f>
        <v>LONGITUD</v>
      </c>
      <c r="D4495" s="36" t="str">
        <f>IFERROR(__xludf.DUMMYFUNCTION("""COMPUTED_VALUE"""),"ERROR DE ID")</f>
        <v>ERROR DE ID</v>
      </c>
      <c r="E4495" s="36"/>
      <c r="F4495" s="36"/>
      <c r="G4495" s="36"/>
      <c r="H4495" s="36"/>
    </row>
    <row r="4496">
      <c r="A4496" s="36"/>
      <c r="B4496" s="36" t="str">
        <f>IFERROR(__xludf.DUMMYFUNCTION("""COMPUTED_VALUE"""),"LATITUD")</f>
        <v>LATITUD</v>
      </c>
      <c r="C4496" s="36" t="str">
        <f>IFERROR(__xludf.DUMMYFUNCTION("""COMPUTED_VALUE"""),"LONGITUD")</f>
        <v>LONGITUD</v>
      </c>
      <c r="D4496" s="36" t="str">
        <f>IFERROR(__xludf.DUMMYFUNCTION("""COMPUTED_VALUE"""),"ERROR DE ID")</f>
        <v>ERROR DE ID</v>
      </c>
      <c r="E4496" s="36"/>
      <c r="F4496" s="36"/>
      <c r="G4496" s="36"/>
      <c r="H4496" s="36"/>
    </row>
    <row r="4497">
      <c r="A4497" s="36"/>
      <c r="B4497" s="36" t="str">
        <f>IFERROR(__xludf.DUMMYFUNCTION("""COMPUTED_VALUE"""),"LATITUD")</f>
        <v>LATITUD</v>
      </c>
      <c r="C4497" s="36" t="str">
        <f>IFERROR(__xludf.DUMMYFUNCTION("""COMPUTED_VALUE"""),"LONGITUD")</f>
        <v>LONGITUD</v>
      </c>
      <c r="D4497" s="36" t="str">
        <f>IFERROR(__xludf.DUMMYFUNCTION("""COMPUTED_VALUE"""),"ERROR DE ID")</f>
        <v>ERROR DE ID</v>
      </c>
      <c r="E4497" s="36"/>
      <c r="F4497" s="36"/>
      <c r="G4497" s="36"/>
      <c r="H4497" s="36"/>
    </row>
    <row r="4498">
      <c r="A4498" s="36"/>
      <c r="B4498" s="36" t="str">
        <f>IFERROR(__xludf.DUMMYFUNCTION("""COMPUTED_VALUE"""),"LATITUD")</f>
        <v>LATITUD</v>
      </c>
      <c r="C4498" s="36" t="str">
        <f>IFERROR(__xludf.DUMMYFUNCTION("""COMPUTED_VALUE"""),"LONGITUD")</f>
        <v>LONGITUD</v>
      </c>
      <c r="D4498" s="36" t="str">
        <f>IFERROR(__xludf.DUMMYFUNCTION("""COMPUTED_VALUE"""),"ERROR DE ID")</f>
        <v>ERROR DE ID</v>
      </c>
      <c r="E4498" s="36"/>
      <c r="F4498" s="36"/>
      <c r="G4498" s="36"/>
      <c r="H4498" s="36"/>
    </row>
    <row r="4499">
      <c r="A4499" s="36"/>
      <c r="B4499" s="36" t="str">
        <f>IFERROR(__xludf.DUMMYFUNCTION("""COMPUTED_VALUE"""),"LATITUD")</f>
        <v>LATITUD</v>
      </c>
      <c r="C4499" s="36" t="str">
        <f>IFERROR(__xludf.DUMMYFUNCTION("""COMPUTED_VALUE"""),"LONGITUD")</f>
        <v>LONGITUD</v>
      </c>
      <c r="D4499" s="36" t="str">
        <f>IFERROR(__xludf.DUMMYFUNCTION("""COMPUTED_VALUE"""),"ERROR DE ID")</f>
        <v>ERROR DE ID</v>
      </c>
      <c r="E4499" s="36"/>
      <c r="F4499" s="36"/>
      <c r="G4499" s="36"/>
      <c r="H4499" s="36"/>
    </row>
    <row r="4500">
      <c r="A4500" s="36"/>
      <c r="B4500" s="36" t="str">
        <f>IFERROR(__xludf.DUMMYFUNCTION("""COMPUTED_VALUE"""),"LATITUD")</f>
        <v>LATITUD</v>
      </c>
      <c r="C4500" s="36" t="str">
        <f>IFERROR(__xludf.DUMMYFUNCTION("""COMPUTED_VALUE"""),"LONGITUD")</f>
        <v>LONGITUD</v>
      </c>
      <c r="D4500" s="36" t="str">
        <f>IFERROR(__xludf.DUMMYFUNCTION("""COMPUTED_VALUE"""),"ERROR DE ID")</f>
        <v>ERROR DE ID</v>
      </c>
      <c r="E4500" s="36"/>
      <c r="F4500" s="36"/>
      <c r="G4500" s="36"/>
      <c r="H4500" s="36"/>
    </row>
    <row r="4501">
      <c r="A4501" s="36"/>
      <c r="B4501" s="36" t="str">
        <f>IFERROR(__xludf.DUMMYFUNCTION("""COMPUTED_VALUE"""),"LATITUD")</f>
        <v>LATITUD</v>
      </c>
      <c r="C4501" s="36" t="str">
        <f>IFERROR(__xludf.DUMMYFUNCTION("""COMPUTED_VALUE"""),"LONGITUD")</f>
        <v>LONGITUD</v>
      </c>
      <c r="D4501" s="36" t="str">
        <f>IFERROR(__xludf.DUMMYFUNCTION("""COMPUTED_VALUE"""),"ERROR DE ID")</f>
        <v>ERROR DE ID</v>
      </c>
      <c r="E4501" s="36"/>
      <c r="F4501" s="36"/>
      <c r="G4501" s="36"/>
      <c r="H4501" s="36"/>
    </row>
    <row r="4502">
      <c r="A4502" s="36"/>
      <c r="B4502" s="36" t="str">
        <f>IFERROR(__xludf.DUMMYFUNCTION("""COMPUTED_VALUE"""),"LATITUD")</f>
        <v>LATITUD</v>
      </c>
      <c r="C4502" s="36" t="str">
        <f>IFERROR(__xludf.DUMMYFUNCTION("""COMPUTED_VALUE"""),"LONGITUD")</f>
        <v>LONGITUD</v>
      </c>
      <c r="D4502" s="36" t="str">
        <f>IFERROR(__xludf.DUMMYFUNCTION("""COMPUTED_VALUE"""),"ERROR DE ID")</f>
        <v>ERROR DE ID</v>
      </c>
      <c r="E4502" s="36"/>
      <c r="F4502" s="36"/>
      <c r="G4502" s="36"/>
      <c r="H4502" s="36"/>
    </row>
    <row r="4503">
      <c r="A4503" s="36"/>
      <c r="B4503" s="36" t="str">
        <f>IFERROR(__xludf.DUMMYFUNCTION("""COMPUTED_VALUE"""),"LATITUD")</f>
        <v>LATITUD</v>
      </c>
      <c r="C4503" s="36" t="str">
        <f>IFERROR(__xludf.DUMMYFUNCTION("""COMPUTED_VALUE"""),"LONGITUD")</f>
        <v>LONGITUD</v>
      </c>
      <c r="D4503" s="36" t="str">
        <f>IFERROR(__xludf.DUMMYFUNCTION("""COMPUTED_VALUE"""),"ERROR DE ID")</f>
        <v>ERROR DE ID</v>
      </c>
      <c r="E4503" s="36"/>
      <c r="F4503" s="36"/>
      <c r="G4503" s="36"/>
      <c r="H4503" s="36"/>
    </row>
    <row r="4504">
      <c r="A4504" s="36"/>
      <c r="B4504" s="36" t="str">
        <f>IFERROR(__xludf.DUMMYFUNCTION("""COMPUTED_VALUE"""),"LATITUD")</f>
        <v>LATITUD</v>
      </c>
      <c r="C4504" s="36" t="str">
        <f>IFERROR(__xludf.DUMMYFUNCTION("""COMPUTED_VALUE"""),"LONGITUD")</f>
        <v>LONGITUD</v>
      </c>
      <c r="D4504" s="36" t="str">
        <f>IFERROR(__xludf.DUMMYFUNCTION("""COMPUTED_VALUE"""),"ERROR DE ID")</f>
        <v>ERROR DE ID</v>
      </c>
      <c r="E4504" s="36"/>
      <c r="F4504" s="36"/>
      <c r="G4504" s="36"/>
      <c r="H4504" s="36"/>
    </row>
    <row r="4505">
      <c r="A4505" s="36"/>
      <c r="B4505" s="36" t="str">
        <f>IFERROR(__xludf.DUMMYFUNCTION("""COMPUTED_VALUE"""),"LATITUD")</f>
        <v>LATITUD</v>
      </c>
      <c r="C4505" s="36" t="str">
        <f>IFERROR(__xludf.DUMMYFUNCTION("""COMPUTED_VALUE"""),"LONGITUD")</f>
        <v>LONGITUD</v>
      </c>
      <c r="D4505" s="36" t="str">
        <f>IFERROR(__xludf.DUMMYFUNCTION("""COMPUTED_VALUE"""),"ERROR DE ID")</f>
        <v>ERROR DE ID</v>
      </c>
      <c r="E4505" s="36"/>
      <c r="F4505" s="36"/>
      <c r="G4505" s="36"/>
      <c r="H4505" s="36"/>
    </row>
    <row r="4506">
      <c r="A4506" s="36"/>
      <c r="B4506" s="36" t="str">
        <f>IFERROR(__xludf.DUMMYFUNCTION("""COMPUTED_VALUE"""),"LATITUD")</f>
        <v>LATITUD</v>
      </c>
      <c r="C4506" s="36" t="str">
        <f>IFERROR(__xludf.DUMMYFUNCTION("""COMPUTED_VALUE"""),"LONGITUD")</f>
        <v>LONGITUD</v>
      </c>
      <c r="D4506" s="36" t="str">
        <f>IFERROR(__xludf.DUMMYFUNCTION("""COMPUTED_VALUE"""),"ERROR DE ID")</f>
        <v>ERROR DE ID</v>
      </c>
      <c r="E4506" s="36"/>
      <c r="F4506" s="36"/>
      <c r="G4506" s="36"/>
      <c r="H4506" s="36"/>
    </row>
    <row r="4507">
      <c r="A4507" s="36"/>
      <c r="B4507" s="36" t="str">
        <f>IFERROR(__xludf.DUMMYFUNCTION("""COMPUTED_VALUE"""),"LATITUD")</f>
        <v>LATITUD</v>
      </c>
      <c r="C4507" s="36" t="str">
        <f>IFERROR(__xludf.DUMMYFUNCTION("""COMPUTED_VALUE"""),"LONGITUD")</f>
        <v>LONGITUD</v>
      </c>
      <c r="D4507" s="36" t="str">
        <f>IFERROR(__xludf.DUMMYFUNCTION("""COMPUTED_VALUE"""),"ERROR DE ID")</f>
        <v>ERROR DE ID</v>
      </c>
      <c r="E4507" s="36"/>
      <c r="F4507" s="36"/>
      <c r="G4507" s="36"/>
      <c r="H4507" s="36"/>
    </row>
    <row r="4508">
      <c r="A4508" s="36"/>
      <c r="B4508" s="36" t="str">
        <f>IFERROR(__xludf.DUMMYFUNCTION("""COMPUTED_VALUE"""),"LATITUD")</f>
        <v>LATITUD</v>
      </c>
      <c r="C4508" s="36" t="str">
        <f>IFERROR(__xludf.DUMMYFUNCTION("""COMPUTED_VALUE"""),"LONGITUD")</f>
        <v>LONGITUD</v>
      </c>
      <c r="D4508" s="36" t="str">
        <f>IFERROR(__xludf.DUMMYFUNCTION("""COMPUTED_VALUE"""),"ERROR DE ID")</f>
        <v>ERROR DE ID</v>
      </c>
      <c r="E4508" s="36"/>
      <c r="F4508" s="36"/>
      <c r="G4508" s="36"/>
      <c r="H4508" s="36"/>
    </row>
    <row r="4509">
      <c r="A4509" s="36"/>
      <c r="B4509" s="36" t="str">
        <f>IFERROR(__xludf.DUMMYFUNCTION("""COMPUTED_VALUE"""),"LATITUD")</f>
        <v>LATITUD</v>
      </c>
      <c r="C4509" s="36" t="str">
        <f>IFERROR(__xludf.DUMMYFUNCTION("""COMPUTED_VALUE"""),"LONGITUD")</f>
        <v>LONGITUD</v>
      </c>
      <c r="D4509" s="36" t="str">
        <f>IFERROR(__xludf.DUMMYFUNCTION("""COMPUTED_VALUE"""),"ERROR DE ID")</f>
        <v>ERROR DE ID</v>
      </c>
      <c r="E4509" s="36"/>
      <c r="F4509" s="36"/>
      <c r="G4509" s="36"/>
      <c r="H4509" s="36"/>
    </row>
    <row r="4510">
      <c r="A4510" s="36"/>
      <c r="B4510" s="36" t="str">
        <f>IFERROR(__xludf.DUMMYFUNCTION("""COMPUTED_VALUE"""),"LATITUD")</f>
        <v>LATITUD</v>
      </c>
      <c r="C4510" s="36" t="str">
        <f>IFERROR(__xludf.DUMMYFUNCTION("""COMPUTED_VALUE"""),"LONGITUD")</f>
        <v>LONGITUD</v>
      </c>
      <c r="D4510" s="36" t="str">
        <f>IFERROR(__xludf.DUMMYFUNCTION("""COMPUTED_VALUE"""),"ERROR DE ID")</f>
        <v>ERROR DE ID</v>
      </c>
      <c r="E4510" s="36"/>
      <c r="F4510" s="36"/>
      <c r="G4510" s="36"/>
      <c r="H4510" s="36"/>
    </row>
    <row r="4511">
      <c r="A4511" s="36"/>
      <c r="B4511" s="36" t="str">
        <f>IFERROR(__xludf.DUMMYFUNCTION("""COMPUTED_VALUE"""),"LATITUD")</f>
        <v>LATITUD</v>
      </c>
      <c r="C4511" s="36" t="str">
        <f>IFERROR(__xludf.DUMMYFUNCTION("""COMPUTED_VALUE"""),"LONGITUD")</f>
        <v>LONGITUD</v>
      </c>
      <c r="D4511" s="36" t="str">
        <f>IFERROR(__xludf.DUMMYFUNCTION("""COMPUTED_VALUE"""),"ERROR DE ID")</f>
        <v>ERROR DE ID</v>
      </c>
      <c r="E4511" s="36"/>
      <c r="F4511" s="36"/>
      <c r="G4511" s="36"/>
      <c r="H4511" s="36"/>
    </row>
    <row r="4512">
      <c r="A4512" s="36"/>
      <c r="B4512" s="36" t="str">
        <f>IFERROR(__xludf.DUMMYFUNCTION("""COMPUTED_VALUE"""),"LATITUD")</f>
        <v>LATITUD</v>
      </c>
      <c r="C4512" s="36" t="str">
        <f>IFERROR(__xludf.DUMMYFUNCTION("""COMPUTED_VALUE"""),"LONGITUD")</f>
        <v>LONGITUD</v>
      </c>
      <c r="D4512" s="36" t="str">
        <f>IFERROR(__xludf.DUMMYFUNCTION("""COMPUTED_VALUE"""),"ERROR DE ID")</f>
        <v>ERROR DE ID</v>
      </c>
      <c r="E4512" s="36"/>
      <c r="F4512" s="36"/>
      <c r="G4512" s="36"/>
      <c r="H4512" s="36"/>
    </row>
    <row r="4513">
      <c r="A4513" s="36"/>
      <c r="B4513" s="36" t="str">
        <f>IFERROR(__xludf.DUMMYFUNCTION("""COMPUTED_VALUE"""),"LATITUD")</f>
        <v>LATITUD</v>
      </c>
      <c r="C4513" s="36" t="str">
        <f>IFERROR(__xludf.DUMMYFUNCTION("""COMPUTED_VALUE"""),"LONGITUD")</f>
        <v>LONGITUD</v>
      </c>
      <c r="D4513" s="36" t="str">
        <f>IFERROR(__xludf.DUMMYFUNCTION("""COMPUTED_VALUE"""),"ERROR DE ID")</f>
        <v>ERROR DE ID</v>
      </c>
      <c r="E4513" s="36"/>
      <c r="F4513" s="36"/>
      <c r="G4513" s="36"/>
      <c r="H4513" s="36"/>
    </row>
    <row r="4514">
      <c r="A4514" s="36"/>
      <c r="B4514" s="36" t="str">
        <f>IFERROR(__xludf.DUMMYFUNCTION("""COMPUTED_VALUE"""),"LATITUD")</f>
        <v>LATITUD</v>
      </c>
      <c r="C4514" s="36" t="str">
        <f>IFERROR(__xludf.DUMMYFUNCTION("""COMPUTED_VALUE"""),"LONGITUD")</f>
        <v>LONGITUD</v>
      </c>
      <c r="D4514" s="36" t="str">
        <f>IFERROR(__xludf.DUMMYFUNCTION("""COMPUTED_VALUE"""),"ERROR DE ID")</f>
        <v>ERROR DE ID</v>
      </c>
      <c r="E4514" s="36"/>
      <c r="F4514" s="36"/>
      <c r="G4514" s="36"/>
      <c r="H4514" s="36"/>
    </row>
    <row r="4515">
      <c r="A4515" s="36"/>
      <c r="B4515" s="36" t="str">
        <f>IFERROR(__xludf.DUMMYFUNCTION("""COMPUTED_VALUE"""),"LATITUD")</f>
        <v>LATITUD</v>
      </c>
      <c r="C4515" s="36" t="str">
        <f>IFERROR(__xludf.DUMMYFUNCTION("""COMPUTED_VALUE"""),"LONGITUD")</f>
        <v>LONGITUD</v>
      </c>
      <c r="D4515" s="36" t="str">
        <f>IFERROR(__xludf.DUMMYFUNCTION("""COMPUTED_VALUE"""),"ERROR DE ID")</f>
        <v>ERROR DE ID</v>
      </c>
      <c r="E4515" s="36"/>
      <c r="F4515" s="36"/>
      <c r="G4515" s="36"/>
      <c r="H4515" s="36"/>
    </row>
    <row r="4516">
      <c r="A4516" s="36"/>
      <c r="B4516" s="36" t="str">
        <f>IFERROR(__xludf.DUMMYFUNCTION("""COMPUTED_VALUE"""),"LATITUD")</f>
        <v>LATITUD</v>
      </c>
      <c r="C4516" s="36" t="str">
        <f>IFERROR(__xludf.DUMMYFUNCTION("""COMPUTED_VALUE"""),"LONGITUD")</f>
        <v>LONGITUD</v>
      </c>
      <c r="D4516" s="36" t="str">
        <f>IFERROR(__xludf.DUMMYFUNCTION("""COMPUTED_VALUE"""),"ERROR DE ID")</f>
        <v>ERROR DE ID</v>
      </c>
      <c r="E4516" s="36"/>
      <c r="F4516" s="36"/>
      <c r="G4516" s="36"/>
      <c r="H4516" s="36"/>
    </row>
    <row r="4517">
      <c r="A4517" s="36"/>
      <c r="B4517" s="36" t="str">
        <f>IFERROR(__xludf.DUMMYFUNCTION("""COMPUTED_VALUE"""),"LATITUD")</f>
        <v>LATITUD</v>
      </c>
      <c r="C4517" s="36" t="str">
        <f>IFERROR(__xludf.DUMMYFUNCTION("""COMPUTED_VALUE"""),"LONGITUD")</f>
        <v>LONGITUD</v>
      </c>
      <c r="D4517" s="36" t="str">
        <f>IFERROR(__xludf.DUMMYFUNCTION("""COMPUTED_VALUE"""),"ERROR DE ID")</f>
        <v>ERROR DE ID</v>
      </c>
      <c r="E4517" s="36"/>
      <c r="F4517" s="36"/>
      <c r="G4517" s="36"/>
      <c r="H4517" s="36"/>
    </row>
    <row r="4518">
      <c r="A4518" s="36"/>
      <c r="B4518" s="36" t="str">
        <f>IFERROR(__xludf.DUMMYFUNCTION("""COMPUTED_VALUE"""),"LATITUD")</f>
        <v>LATITUD</v>
      </c>
      <c r="C4518" s="36" t="str">
        <f>IFERROR(__xludf.DUMMYFUNCTION("""COMPUTED_VALUE"""),"LONGITUD")</f>
        <v>LONGITUD</v>
      </c>
      <c r="D4518" s="36" t="str">
        <f>IFERROR(__xludf.DUMMYFUNCTION("""COMPUTED_VALUE"""),"ERROR DE ID")</f>
        <v>ERROR DE ID</v>
      </c>
      <c r="E4518" s="36"/>
      <c r="F4518" s="36"/>
      <c r="G4518" s="36"/>
      <c r="H4518" s="36"/>
    </row>
    <row r="4519">
      <c r="A4519" s="36"/>
      <c r="B4519" s="36" t="str">
        <f>IFERROR(__xludf.DUMMYFUNCTION("""COMPUTED_VALUE"""),"LATITUD")</f>
        <v>LATITUD</v>
      </c>
      <c r="C4519" s="36" t="str">
        <f>IFERROR(__xludf.DUMMYFUNCTION("""COMPUTED_VALUE"""),"LONGITUD")</f>
        <v>LONGITUD</v>
      </c>
      <c r="D4519" s="36" t="str">
        <f>IFERROR(__xludf.DUMMYFUNCTION("""COMPUTED_VALUE"""),"ERROR DE ID")</f>
        <v>ERROR DE ID</v>
      </c>
      <c r="E4519" s="36"/>
      <c r="F4519" s="36"/>
      <c r="G4519" s="36"/>
      <c r="H4519" s="36"/>
    </row>
    <row r="4520">
      <c r="A4520" s="36"/>
      <c r="B4520" s="36" t="str">
        <f>IFERROR(__xludf.DUMMYFUNCTION("""COMPUTED_VALUE"""),"LATITUD")</f>
        <v>LATITUD</v>
      </c>
      <c r="C4520" s="36" t="str">
        <f>IFERROR(__xludf.DUMMYFUNCTION("""COMPUTED_VALUE"""),"LONGITUD")</f>
        <v>LONGITUD</v>
      </c>
      <c r="D4520" s="36" t="str">
        <f>IFERROR(__xludf.DUMMYFUNCTION("""COMPUTED_VALUE"""),"ERROR DE ID")</f>
        <v>ERROR DE ID</v>
      </c>
      <c r="E4520" s="36"/>
      <c r="F4520" s="36"/>
      <c r="G4520" s="36"/>
      <c r="H4520" s="36"/>
    </row>
    <row r="4521">
      <c r="A4521" s="36"/>
      <c r="B4521" s="36" t="str">
        <f>IFERROR(__xludf.DUMMYFUNCTION("""COMPUTED_VALUE"""),"LATITUD")</f>
        <v>LATITUD</v>
      </c>
      <c r="C4521" s="36" t="str">
        <f>IFERROR(__xludf.DUMMYFUNCTION("""COMPUTED_VALUE"""),"LONGITUD")</f>
        <v>LONGITUD</v>
      </c>
      <c r="D4521" s="36" t="str">
        <f>IFERROR(__xludf.DUMMYFUNCTION("""COMPUTED_VALUE"""),"ERROR DE ID")</f>
        <v>ERROR DE ID</v>
      </c>
      <c r="E4521" s="36"/>
      <c r="F4521" s="36"/>
      <c r="G4521" s="36"/>
      <c r="H4521" s="36"/>
    </row>
    <row r="4522">
      <c r="A4522" s="36"/>
      <c r="B4522" s="36" t="str">
        <f>IFERROR(__xludf.DUMMYFUNCTION("""COMPUTED_VALUE"""),"LATITUD")</f>
        <v>LATITUD</v>
      </c>
      <c r="C4522" s="36" t="str">
        <f>IFERROR(__xludf.DUMMYFUNCTION("""COMPUTED_VALUE"""),"LONGITUD")</f>
        <v>LONGITUD</v>
      </c>
      <c r="D4522" s="36" t="str">
        <f>IFERROR(__xludf.DUMMYFUNCTION("""COMPUTED_VALUE"""),"ERROR DE ID")</f>
        <v>ERROR DE ID</v>
      </c>
      <c r="E4522" s="36"/>
      <c r="F4522" s="36"/>
      <c r="G4522" s="36"/>
      <c r="H4522" s="36"/>
    </row>
    <row r="4523">
      <c r="A4523" s="36"/>
      <c r="B4523" s="36" t="str">
        <f>IFERROR(__xludf.DUMMYFUNCTION("""COMPUTED_VALUE"""),"LATITUD")</f>
        <v>LATITUD</v>
      </c>
      <c r="C4523" s="36" t="str">
        <f>IFERROR(__xludf.DUMMYFUNCTION("""COMPUTED_VALUE"""),"LONGITUD")</f>
        <v>LONGITUD</v>
      </c>
      <c r="D4523" s="36" t="str">
        <f>IFERROR(__xludf.DUMMYFUNCTION("""COMPUTED_VALUE"""),"ERROR DE ID")</f>
        <v>ERROR DE ID</v>
      </c>
      <c r="E4523" s="36"/>
      <c r="F4523" s="36"/>
      <c r="G4523" s="36"/>
      <c r="H4523" s="36"/>
    </row>
    <row r="4524">
      <c r="A4524" s="36"/>
      <c r="B4524" s="36" t="str">
        <f>IFERROR(__xludf.DUMMYFUNCTION("""COMPUTED_VALUE"""),"LATITUD")</f>
        <v>LATITUD</v>
      </c>
      <c r="C4524" s="36" t="str">
        <f>IFERROR(__xludf.DUMMYFUNCTION("""COMPUTED_VALUE"""),"LONGITUD")</f>
        <v>LONGITUD</v>
      </c>
      <c r="D4524" s="36" t="str">
        <f>IFERROR(__xludf.DUMMYFUNCTION("""COMPUTED_VALUE"""),"ERROR DE ID")</f>
        <v>ERROR DE ID</v>
      </c>
      <c r="E4524" s="36"/>
      <c r="F4524" s="36"/>
      <c r="G4524" s="36"/>
      <c r="H4524" s="36"/>
    </row>
    <row r="4525">
      <c r="A4525" s="36"/>
      <c r="B4525" s="36" t="str">
        <f>IFERROR(__xludf.DUMMYFUNCTION("""COMPUTED_VALUE"""),"LATITUD")</f>
        <v>LATITUD</v>
      </c>
      <c r="C4525" s="36" t="str">
        <f>IFERROR(__xludf.DUMMYFUNCTION("""COMPUTED_VALUE"""),"LONGITUD")</f>
        <v>LONGITUD</v>
      </c>
      <c r="D4525" s="36" t="str">
        <f>IFERROR(__xludf.DUMMYFUNCTION("""COMPUTED_VALUE"""),"ERROR DE ID")</f>
        <v>ERROR DE ID</v>
      </c>
      <c r="E4525" s="36"/>
      <c r="F4525" s="36"/>
      <c r="G4525" s="36"/>
      <c r="H4525" s="36"/>
    </row>
    <row r="4526">
      <c r="A4526" s="36"/>
      <c r="B4526" s="36" t="str">
        <f>IFERROR(__xludf.DUMMYFUNCTION("""COMPUTED_VALUE"""),"LATITUD")</f>
        <v>LATITUD</v>
      </c>
      <c r="C4526" s="36" t="str">
        <f>IFERROR(__xludf.DUMMYFUNCTION("""COMPUTED_VALUE"""),"LONGITUD")</f>
        <v>LONGITUD</v>
      </c>
      <c r="D4526" s="36" t="str">
        <f>IFERROR(__xludf.DUMMYFUNCTION("""COMPUTED_VALUE"""),"ERROR DE ID")</f>
        <v>ERROR DE ID</v>
      </c>
      <c r="E4526" s="36"/>
      <c r="F4526" s="36"/>
      <c r="G4526" s="36"/>
      <c r="H4526" s="36"/>
    </row>
    <row r="4527">
      <c r="A4527" s="36"/>
      <c r="B4527" s="36" t="str">
        <f>IFERROR(__xludf.DUMMYFUNCTION("""COMPUTED_VALUE"""),"LATITUD")</f>
        <v>LATITUD</v>
      </c>
      <c r="C4527" s="36" t="str">
        <f>IFERROR(__xludf.DUMMYFUNCTION("""COMPUTED_VALUE"""),"LONGITUD")</f>
        <v>LONGITUD</v>
      </c>
      <c r="D4527" s="36" t="str">
        <f>IFERROR(__xludf.DUMMYFUNCTION("""COMPUTED_VALUE"""),"ERROR DE ID")</f>
        <v>ERROR DE ID</v>
      </c>
      <c r="E4527" s="36"/>
      <c r="F4527" s="36"/>
      <c r="G4527" s="36"/>
      <c r="H4527" s="36"/>
    </row>
    <row r="4528">
      <c r="A4528" s="36"/>
      <c r="B4528" s="36" t="str">
        <f>IFERROR(__xludf.DUMMYFUNCTION("""COMPUTED_VALUE"""),"LATITUD")</f>
        <v>LATITUD</v>
      </c>
      <c r="C4528" s="36" t="str">
        <f>IFERROR(__xludf.DUMMYFUNCTION("""COMPUTED_VALUE"""),"LONGITUD")</f>
        <v>LONGITUD</v>
      </c>
      <c r="D4528" s="36" t="str">
        <f>IFERROR(__xludf.DUMMYFUNCTION("""COMPUTED_VALUE"""),"ERROR DE ID")</f>
        <v>ERROR DE ID</v>
      </c>
      <c r="E4528" s="36"/>
      <c r="F4528" s="36"/>
      <c r="G4528" s="36"/>
      <c r="H4528" s="36"/>
    </row>
    <row r="4529">
      <c r="A4529" s="36"/>
      <c r="B4529" s="36" t="str">
        <f>IFERROR(__xludf.DUMMYFUNCTION("""COMPUTED_VALUE"""),"LATITUD")</f>
        <v>LATITUD</v>
      </c>
      <c r="C4529" s="36" t="str">
        <f>IFERROR(__xludf.DUMMYFUNCTION("""COMPUTED_VALUE"""),"LONGITUD")</f>
        <v>LONGITUD</v>
      </c>
      <c r="D4529" s="36" t="str">
        <f>IFERROR(__xludf.DUMMYFUNCTION("""COMPUTED_VALUE"""),"ERROR DE ID")</f>
        <v>ERROR DE ID</v>
      </c>
      <c r="E4529" s="36"/>
      <c r="F4529" s="36"/>
      <c r="G4529" s="36"/>
      <c r="H4529" s="36"/>
    </row>
    <row r="4530">
      <c r="A4530" s="36"/>
      <c r="B4530" s="36" t="str">
        <f>IFERROR(__xludf.DUMMYFUNCTION("""COMPUTED_VALUE"""),"LATITUD")</f>
        <v>LATITUD</v>
      </c>
      <c r="C4530" s="36" t="str">
        <f>IFERROR(__xludf.DUMMYFUNCTION("""COMPUTED_VALUE"""),"LONGITUD")</f>
        <v>LONGITUD</v>
      </c>
      <c r="D4530" s="36" t="str">
        <f>IFERROR(__xludf.DUMMYFUNCTION("""COMPUTED_VALUE"""),"ERROR DE ID")</f>
        <v>ERROR DE ID</v>
      </c>
      <c r="E4530" s="36"/>
      <c r="F4530" s="36"/>
      <c r="G4530" s="36"/>
      <c r="H4530" s="36"/>
    </row>
    <row r="4531">
      <c r="A4531" s="36"/>
      <c r="B4531" s="36" t="str">
        <f>IFERROR(__xludf.DUMMYFUNCTION("""COMPUTED_VALUE"""),"LATITUD")</f>
        <v>LATITUD</v>
      </c>
      <c r="C4531" s="36" t="str">
        <f>IFERROR(__xludf.DUMMYFUNCTION("""COMPUTED_VALUE"""),"LONGITUD")</f>
        <v>LONGITUD</v>
      </c>
      <c r="D4531" s="36" t="str">
        <f>IFERROR(__xludf.DUMMYFUNCTION("""COMPUTED_VALUE"""),"ERROR DE ID")</f>
        <v>ERROR DE ID</v>
      </c>
      <c r="E4531" s="36"/>
      <c r="F4531" s="36"/>
      <c r="G4531" s="36"/>
      <c r="H4531" s="36"/>
    </row>
    <row r="4532">
      <c r="A4532" s="36"/>
      <c r="B4532" s="36" t="str">
        <f>IFERROR(__xludf.DUMMYFUNCTION("""COMPUTED_VALUE"""),"LATITUD")</f>
        <v>LATITUD</v>
      </c>
      <c r="C4532" s="36" t="str">
        <f>IFERROR(__xludf.DUMMYFUNCTION("""COMPUTED_VALUE"""),"LONGITUD")</f>
        <v>LONGITUD</v>
      </c>
      <c r="D4532" s="36" t="str">
        <f>IFERROR(__xludf.DUMMYFUNCTION("""COMPUTED_VALUE"""),"ERROR DE ID")</f>
        <v>ERROR DE ID</v>
      </c>
      <c r="E4532" s="36"/>
      <c r="F4532" s="36"/>
      <c r="G4532" s="36"/>
      <c r="H4532" s="36"/>
    </row>
    <row r="4533">
      <c r="A4533" s="36"/>
      <c r="B4533" s="36" t="str">
        <f>IFERROR(__xludf.DUMMYFUNCTION("""COMPUTED_VALUE"""),"LATITUD")</f>
        <v>LATITUD</v>
      </c>
      <c r="C4533" s="36" t="str">
        <f>IFERROR(__xludf.DUMMYFUNCTION("""COMPUTED_VALUE"""),"LONGITUD")</f>
        <v>LONGITUD</v>
      </c>
      <c r="D4533" s="36" t="str">
        <f>IFERROR(__xludf.DUMMYFUNCTION("""COMPUTED_VALUE"""),"ERROR DE ID")</f>
        <v>ERROR DE ID</v>
      </c>
      <c r="E4533" s="36"/>
      <c r="F4533" s="36"/>
      <c r="G4533" s="36"/>
      <c r="H4533" s="36"/>
    </row>
    <row r="4534">
      <c r="A4534" s="36"/>
      <c r="B4534" s="36" t="str">
        <f>IFERROR(__xludf.DUMMYFUNCTION("""COMPUTED_VALUE"""),"LATITUD")</f>
        <v>LATITUD</v>
      </c>
      <c r="C4534" s="36" t="str">
        <f>IFERROR(__xludf.DUMMYFUNCTION("""COMPUTED_VALUE"""),"LONGITUD")</f>
        <v>LONGITUD</v>
      </c>
      <c r="D4534" s="36" t="str">
        <f>IFERROR(__xludf.DUMMYFUNCTION("""COMPUTED_VALUE"""),"ERROR DE ID")</f>
        <v>ERROR DE ID</v>
      </c>
      <c r="E4534" s="36"/>
      <c r="F4534" s="36"/>
      <c r="G4534" s="36"/>
      <c r="H4534" s="36"/>
    </row>
    <row r="4535">
      <c r="A4535" s="36"/>
      <c r="B4535" s="36" t="str">
        <f>IFERROR(__xludf.DUMMYFUNCTION("""COMPUTED_VALUE"""),"LATITUD")</f>
        <v>LATITUD</v>
      </c>
      <c r="C4535" s="36" t="str">
        <f>IFERROR(__xludf.DUMMYFUNCTION("""COMPUTED_VALUE"""),"LONGITUD")</f>
        <v>LONGITUD</v>
      </c>
      <c r="D4535" s="36" t="str">
        <f>IFERROR(__xludf.DUMMYFUNCTION("""COMPUTED_VALUE"""),"ERROR DE ID")</f>
        <v>ERROR DE ID</v>
      </c>
      <c r="E4535" s="36"/>
      <c r="F4535" s="36"/>
      <c r="G4535" s="36"/>
      <c r="H4535" s="36"/>
    </row>
    <row r="4536">
      <c r="A4536" s="36"/>
      <c r="B4536" s="36" t="str">
        <f>IFERROR(__xludf.DUMMYFUNCTION("""COMPUTED_VALUE"""),"LATITUD")</f>
        <v>LATITUD</v>
      </c>
      <c r="C4536" s="36" t="str">
        <f>IFERROR(__xludf.DUMMYFUNCTION("""COMPUTED_VALUE"""),"LONGITUD")</f>
        <v>LONGITUD</v>
      </c>
      <c r="D4536" s="36" t="str">
        <f>IFERROR(__xludf.DUMMYFUNCTION("""COMPUTED_VALUE"""),"ERROR DE ID")</f>
        <v>ERROR DE ID</v>
      </c>
      <c r="E4536" s="36"/>
      <c r="F4536" s="36"/>
      <c r="G4536" s="36"/>
      <c r="H4536" s="36"/>
    </row>
    <row r="4537">
      <c r="A4537" s="36"/>
      <c r="B4537" s="36" t="str">
        <f>IFERROR(__xludf.DUMMYFUNCTION("""COMPUTED_VALUE"""),"LATITUD")</f>
        <v>LATITUD</v>
      </c>
      <c r="C4537" s="36" t="str">
        <f>IFERROR(__xludf.DUMMYFUNCTION("""COMPUTED_VALUE"""),"LONGITUD")</f>
        <v>LONGITUD</v>
      </c>
      <c r="D4537" s="36" t="str">
        <f>IFERROR(__xludf.DUMMYFUNCTION("""COMPUTED_VALUE"""),"ERROR DE ID")</f>
        <v>ERROR DE ID</v>
      </c>
      <c r="E4537" s="36"/>
      <c r="F4537" s="36"/>
      <c r="G4537" s="36"/>
      <c r="H4537" s="36"/>
    </row>
    <row r="4538">
      <c r="A4538" s="36"/>
      <c r="B4538" s="36" t="str">
        <f>IFERROR(__xludf.DUMMYFUNCTION("""COMPUTED_VALUE"""),"LATITUD")</f>
        <v>LATITUD</v>
      </c>
      <c r="C4538" s="36" t="str">
        <f>IFERROR(__xludf.DUMMYFUNCTION("""COMPUTED_VALUE"""),"LONGITUD")</f>
        <v>LONGITUD</v>
      </c>
      <c r="D4538" s="36" t="str">
        <f>IFERROR(__xludf.DUMMYFUNCTION("""COMPUTED_VALUE"""),"ERROR DE ID")</f>
        <v>ERROR DE ID</v>
      </c>
      <c r="E4538" s="36"/>
      <c r="F4538" s="36"/>
      <c r="G4538" s="36"/>
      <c r="H4538" s="36"/>
    </row>
    <row r="4539">
      <c r="A4539" s="36"/>
      <c r="B4539" s="36" t="str">
        <f>IFERROR(__xludf.DUMMYFUNCTION("""COMPUTED_VALUE"""),"LATITUD")</f>
        <v>LATITUD</v>
      </c>
      <c r="C4539" s="36" t="str">
        <f>IFERROR(__xludf.DUMMYFUNCTION("""COMPUTED_VALUE"""),"LONGITUD")</f>
        <v>LONGITUD</v>
      </c>
      <c r="D4539" s="36" t="str">
        <f>IFERROR(__xludf.DUMMYFUNCTION("""COMPUTED_VALUE"""),"ERROR DE ID")</f>
        <v>ERROR DE ID</v>
      </c>
      <c r="E4539" s="36"/>
      <c r="F4539" s="36"/>
      <c r="G4539" s="36"/>
      <c r="H4539" s="36"/>
    </row>
    <row r="4540">
      <c r="A4540" s="36"/>
      <c r="B4540" s="36" t="str">
        <f>IFERROR(__xludf.DUMMYFUNCTION("""COMPUTED_VALUE"""),"LATITUD")</f>
        <v>LATITUD</v>
      </c>
      <c r="C4540" s="36" t="str">
        <f>IFERROR(__xludf.DUMMYFUNCTION("""COMPUTED_VALUE"""),"LONGITUD")</f>
        <v>LONGITUD</v>
      </c>
      <c r="D4540" s="36" t="str">
        <f>IFERROR(__xludf.DUMMYFUNCTION("""COMPUTED_VALUE"""),"ERROR DE ID")</f>
        <v>ERROR DE ID</v>
      </c>
      <c r="E4540" s="36"/>
      <c r="F4540" s="36"/>
      <c r="G4540" s="36"/>
      <c r="H4540" s="36"/>
    </row>
    <row r="4541">
      <c r="A4541" s="36"/>
      <c r="B4541" s="36" t="str">
        <f>IFERROR(__xludf.DUMMYFUNCTION("""COMPUTED_VALUE"""),"LATITUD")</f>
        <v>LATITUD</v>
      </c>
      <c r="C4541" s="36" t="str">
        <f>IFERROR(__xludf.DUMMYFUNCTION("""COMPUTED_VALUE"""),"LONGITUD")</f>
        <v>LONGITUD</v>
      </c>
      <c r="D4541" s="36" t="str">
        <f>IFERROR(__xludf.DUMMYFUNCTION("""COMPUTED_VALUE"""),"ERROR DE ID")</f>
        <v>ERROR DE ID</v>
      </c>
      <c r="E4541" s="36"/>
      <c r="F4541" s="36"/>
      <c r="G4541" s="36"/>
      <c r="H4541" s="36"/>
    </row>
    <row r="4542">
      <c r="A4542" s="36"/>
      <c r="B4542" s="36" t="str">
        <f>IFERROR(__xludf.DUMMYFUNCTION("""COMPUTED_VALUE"""),"LATITUD")</f>
        <v>LATITUD</v>
      </c>
      <c r="C4542" s="36" t="str">
        <f>IFERROR(__xludf.DUMMYFUNCTION("""COMPUTED_VALUE"""),"LONGITUD")</f>
        <v>LONGITUD</v>
      </c>
      <c r="D4542" s="36" t="str">
        <f>IFERROR(__xludf.DUMMYFUNCTION("""COMPUTED_VALUE"""),"ERROR DE ID")</f>
        <v>ERROR DE ID</v>
      </c>
      <c r="E4542" s="36"/>
      <c r="F4542" s="36"/>
      <c r="G4542" s="36"/>
      <c r="H4542" s="36"/>
    </row>
    <row r="4543">
      <c r="A4543" s="36"/>
      <c r="B4543" s="36" t="str">
        <f>IFERROR(__xludf.DUMMYFUNCTION("""COMPUTED_VALUE"""),"LATITUD")</f>
        <v>LATITUD</v>
      </c>
      <c r="C4543" s="36" t="str">
        <f>IFERROR(__xludf.DUMMYFUNCTION("""COMPUTED_VALUE"""),"LONGITUD")</f>
        <v>LONGITUD</v>
      </c>
      <c r="D4543" s="36" t="str">
        <f>IFERROR(__xludf.DUMMYFUNCTION("""COMPUTED_VALUE"""),"ERROR DE ID")</f>
        <v>ERROR DE ID</v>
      </c>
      <c r="E4543" s="36"/>
      <c r="F4543" s="36"/>
      <c r="G4543" s="36"/>
      <c r="H4543" s="36"/>
    </row>
    <row r="4544">
      <c r="A4544" s="36"/>
      <c r="B4544" s="36" t="str">
        <f>IFERROR(__xludf.DUMMYFUNCTION("""COMPUTED_VALUE"""),"LATITUD")</f>
        <v>LATITUD</v>
      </c>
      <c r="C4544" s="36" t="str">
        <f>IFERROR(__xludf.DUMMYFUNCTION("""COMPUTED_VALUE"""),"LONGITUD")</f>
        <v>LONGITUD</v>
      </c>
      <c r="D4544" s="36" t="str">
        <f>IFERROR(__xludf.DUMMYFUNCTION("""COMPUTED_VALUE"""),"ERROR DE ID")</f>
        <v>ERROR DE ID</v>
      </c>
      <c r="E4544" s="36"/>
      <c r="F4544" s="36"/>
      <c r="G4544" s="36"/>
      <c r="H4544" s="36"/>
    </row>
    <row r="4545">
      <c r="A4545" s="36"/>
      <c r="B4545" s="36" t="str">
        <f>IFERROR(__xludf.DUMMYFUNCTION("""COMPUTED_VALUE"""),"LATITUD")</f>
        <v>LATITUD</v>
      </c>
      <c r="C4545" s="36" t="str">
        <f>IFERROR(__xludf.DUMMYFUNCTION("""COMPUTED_VALUE"""),"LONGITUD")</f>
        <v>LONGITUD</v>
      </c>
      <c r="D4545" s="36" t="str">
        <f>IFERROR(__xludf.DUMMYFUNCTION("""COMPUTED_VALUE"""),"ERROR DE ID")</f>
        <v>ERROR DE ID</v>
      </c>
      <c r="E4545" s="36"/>
      <c r="F4545" s="36"/>
      <c r="G4545" s="36"/>
      <c r="H4545" s="36"/>
    </row>
    <row r="4546">
      <c r="A4546" s="36"/>
      <c r="B4546" s="36" t="str">
        <f>IFERROR(__xludf.DUMMYFUNCTION("""COMPUTED_VALUE"""),"LATITUD")</f>
        <v>LATITUD</v>
      </c>
      <c r="C4546" s="36" t="str">
        <f>IFERROR(__xludf.DUMMYFUNCTION("""COMPUTED_VALUE"""),"LONGITUD")</f>
        <v>LONGITUD</v>
      </c>
      <c r="D4546" s="36" t="str">
        <f>IFERROR(__xludf.DUMMYFUNCTION("""COMPUTED_VALUE"""),"ERROR DE ID")</f>
        <v>ERROR DE ID</v>
      </c>
      <c r="E4546" s="36"/>
      <c r="F4546" s="36"/>
      <c r="G4546" s="36"/>
      <c r="H4546" s="36"/>
    </row>
    <row r="4547">
      <c r="A4547" s="36"/>
      <c r="B4547" s="36" t="str">
        <f>IFERROR(__xludf.DUMMYFUNCTION("""COMPUTED_VALUE"""),"LATITUD")</f>
        <v>LATITUD</v>
      </c>
      <c r="C4547" s="36" t="str">
        <f>IFERROR(__xludf.DUMMYFUNCTION("""COMPUTED_VALUE"""),"LONGITUD")</f>
        <v>LONGITUD</v>
      </c>
      <c r="D4547" s="36" t="str">
        <f>IFERROR(__xludf.DUMMYFUNCTION("""COMPUTED_VALUE"""),"ERROR DE ID")</f>
        <v>ERROR DE ID</v>
      </c>
      <c r="E4547" s="36"/>
      <c r="F4547" s="36"/>
      <c r="G4547" s="36"/>
      <c r="H4547" s="36"/>
    </row>
    <row r="4548">
      <c r="A4548" s="36"/>
      <c r="B4548" s="36" t="str">
        <f>IFERROR(__xludf.DUMMYFUNCTION("""COMPUTED_VALUE"""),"LATITUD")</f>
        <v>LATITUD</v>
      </c>
      <c r="C4548" s="36" t="str">
        <f>IFERROR(__xludf.DUMMYFUNCTION("""COMPUTED_VALUE"""),"LONGITUD")</f>
        <v>LONGITUD</v>
      </c>
      <c r="D4548" s="36" t="str">
        <f>IFERROR(__xludf.DUMMYFUNCTION("""COMPUTED_VALUE"""),"ERROR DE ID")</f>
        <v>ERROR DE ID</v>
      </c>
      <c r="E4548" s="36"/>
      <c r="F4548" s="36"/>
      <c r="G4548" s="36"/>
      <c r="H4548" s="36"/>
    </row>
    <row r="4549">
      <c r="A4549" s="36"/>
      <c r="B4549" s="36" t="str">
        <f>IFERROR(__xludf.DUMMYFUNCTION("""COMPUTED_VALUE"""),"LATITUD")</f>
        <v>LATITUD</v>
      </c>
      <c r="C4549" s="36" t="str">
        <f>IFERROR(__xludf.DUMMYFUNCTION("""COMPUTED_VALUE"""),"LONGITUD")</f>
        <v>LONGITUD</v>
      </c>
      <c r="D4549" s="36" t="str">
        <f>IFERROR(__xludf.DUMMYFUNCTION("""COMPUTED_VALUE"""),"ERROR DE ID")</f>
        <v>ERROR DE ID</v>
      </c>
      <c r="E4549" s="36"/>
      <c r="F4549" s="36"/>
      <c r="G4549" s="36"/>
      <c r="H4549" s="36"/>
    </row>
    <row r="4550">
      <c r="A4550" s="36"/>
      <c r="B4550" s="36" t="str">
        <f>IFERROR(__xludf.DUMMYFUNCTION("""COMPUTED_VALUE"""),"LATITUD")</f>
        <v>LATITUD</v>
      </c>
      <c r="C4550" s="36" t="str">
        <f>IFERROR(__xludf.DUMMYFUNCTION("""COMPUTED_VALUE"""),"LONGITUD")</f>
        <v>LONGITUD</v>
      </c>
      <c r="D4550" s="36" t="str">
        <f>IFERROR(__xludf.DUMMYFUNCTION("""COMPUTED_VALUE"""),"ERROR DE ID")</f>
        <v>ERROR DE ID</v>
      </c>
      <c r="E4550" s="36"/>
      <c r="F4550" s="36"/>
      <c r="G4550" s="36"/>
      <c r="H4550" s="36"/>
    </row>
    <row r="4551">
      <c r="A4551" s="36"/>
      <c r="B4551" s="36" t="str">
        <f>IFERROR(__xludf.DUMMYFUNCTION("""COMPUTED_VALUE"""),"LATITUD")</f>
        <v>LATITUD</v>
      </c>
      <c r="C4551" s="36" t="str">
        <f>IFERROR(__xludf.DUMMYFUNCTION("""COMPUTED_VALUE"""),"LONGITUD")</f>
        <v>LONGITUD</v>
      </c>
      <c r="D4551" s="36" t="str">
        <f>IFERROR(__xludf.DUMMYFUNCTION("""COMPUTED_VALUE"""),"ERROR DE ID")</f>
        <v>ERROR DE ID</v>
      </c>
      <c r="E4551" s="36"/>
      <c r="F4551" s="36"/>
      <c r="G4551" s="36"/>
      <c r="H4551" s="36"/>
    </row>
    <row r="4552">
      <c r="A4552" s="36"/>
      <c r="B4552" s="36" t="str">
        <f>IFERROR(__xludf.DUMMYFUNCTION("""COMPUTED_VALUE"""),"LATITUD")</f>
        <v>LATITUD</v>
      </c>
      <c r="C4552" s="36" t="str">
        <f>IFERROR(__xludf.DUMMYFUNCTION("""COMPUTED_VALUE"""),"LONGITUD")</f>
        <v>LONGITUD</v>
      </c>
      <c r="D4552" s="36" t="str">
        <f>IFERROR(__xludf.DUMMYFUNCTION("""COMPUTED_VALUE"""),"ERROR DE ID")</f>
        <v>ERROR DE ID</v>
      </c>
      <c r="E4552" s="36"/>
      <c r="F4552" s="36"/>
      <c r="G4552" s="36"/>
      <c r="H4552" s="36"/>
    </row>
    <row r="4553">
      <c r="A4553" s="36"/>
      <c r="B4553" s="36" t="str">
        <f>IFERROR(__xludf.DUMMYFUNCTION("""COMPUTED_VALUE"""),"LATITUD")</f>
        <v>LATITUD</v>
      </c>
      <c r="C4553" s="36" t="str">
        <f>IFERROR(__xludf.DUMMYFUNCTION("""COMPUTED_VALUE"""),"LONGITUD")</f>
        <v>LONGITUD</v>
      </c>
      <c r="D4553" s="36" t="str">
        <f>IFERROR(__xludf.DUMMYFUNCTION("""COMPUTED_VALUE"""),"ERROR DE ID")</f>
        <v>ERROR DE ID</v>
      </c>
      <c r="E4553" s="36"/>
      <c r="F4553" s="36"/>
      <c r="G4553" s="36"/>
      <c r="H4553" s="36"/>
    </row>
    <row r="4554">
      <c r="A4554" s="36"/>
      <c r="B4554" s="36" t="str">
        <f>IFERROR(__xludf.DUMMYFUNCTION("""COMPUTED_VALUE"""),"LATITUD")</f>
        <v>LATITUD</v>
      </c>
      <c r="C4554" s="36" t="str">
        <f>IFERROR(__xludf.DUMMYFUNCTION("""COMPUTED_VALUE"""),"LONGITUD")</f>
        <v>LONGITUD</v>
      </c>
      <c r="D4554" s="36" t="str">
        <f>IFERROR(__xludf.DUMMYFUNCTION("""COMPUTED_VALUE"""),"ERROR DE ID")</f>
        <v>ERROR DE ID</v>
      </c>
      <c r="E4554" s="36"/>
      <c r="F4554" s="36"/>
      <c r="G4554" s="36"/>
      <c r="H4554" s="36"/>
    </row>
    <row r="4555">
      <c r="A4555" s="36"/>
      <c r="B4555" s="36" t="str">
        <f>IFERROR(__xludf.DUMMYFUNCTION("""COMPUTED_VALUE"""),"LATITUD")</f>
        <v>LATITUD</v>
      </c>
      <c r="C4555" s="36" t="str">
        <f>IFERROR(__xludf.DUMMYFUNCTION("""COMPUTED_VALUE"""),"LONGITUD")</f>
        <v>LONGITUD</v>
      </c>
      <c r="D4555" s="36" t="str">
        <f>IFERROR(__xludf.DUMMYFUNCTION("""COMPUTED_VALUE"""),"ERROR DE ID")</f>
        <v>ERROR DE ID</v>
      </c>
      <c r="E4555" s="36"/>
      <c r="F4555" s="36"/>
      <c r="G4555" s="36"/>
      <c r="H4555" s="36"/>
    </row>
    <row r="4556">
      <c r="A4556" s="36"/>
      <c r="B4556" s="36" t="str">
        <f>IFERROR(__xludf.DUMMYFUNCTION("""COMPUTED_VALUE"""),"LATITUD")</f>
        <v>LATITUD</v>
      </c>
      <c r="C4556" s="36" t="str">
        <f>IFERROR(__xludf.DUMMYFUNCTION("""COMPUTED_VALUE"""),"LONGITUD")</f>
        <v>LONGITUD</v>
      </c>
      <c r="D4556" s="36" t="str">
        <f>IFERROR(__xludf.DUMMYFUNCTION("""COMPUTED_VALUE"""),"ERROR DE ID")</f>
        <v>ERROR DE ID</v>
      </c>
      <c r="E4556" s="36"/>
      <c r="F4556" s="36"/>
      <c r="G4556" s="36"/>
      <c r="H4556" s="36"/>
    </row>
    <row r="4557">
      <c r="A4557" s="36"/>
      <c r="B4557" s="36" t="str">
        <f>IFERROR(__xludf.DUMMYFUNCTION("""COMPUTED_VALUE"""),"LATITUD")</f>
        <v>LATITUD</v>
      </c>
      <c r="C4557" s="36" t="str">
        <f>IFERROR(__xludf.DUMMYFUNCTION("""COMPUTED_VALUE"""),"LONGITUD")</f>
        <v>LONGITUD</v>
      </c>
      <c r="D4557" s="36" t="str">
        <f>IFERROR(__xludf.DUMMYFUNCTION("""COMPUTED_VALUE"""),"ERROR DE ID")</f>
        <v>ERROR DE ID</v>
      </c>
      <c r="E4557" s="36"/>
      <c r="F4557" s="36"/>
      <c r="G4557" s="36"/>
      <c r="H4557" s="36"/>
    </row>
    <row r="4558">
      <c r="A4558" s="36"/>
      <c r="B4558" s="36" t="str">
        <f>IFERROR(__xludf.DUMMYFUNCTION("""COMPUTED_VALUE"""),"LATITUD")</f>
        <v>LATITUD</v>
      </c>
      <c r="C4558" s="36" t="str">
        <f>IFERROR(__xludf.DUMMYFUNCTION("""COMPUTED_VALUE"""),"LONGITUD")</f>
        <v>LONGITUD</v>
      </c>
      <c r="D4558" s="36" t="str">
        <f>IFERROR(__xludf.DUMMYFUNCTION("""COMPUTED_VALUE"""),"ERROR DE ID")</f>
        <v>ERROR DE ID</v>
      </c>
      <c r="E4558" s="36"/>
      <c r="F4558" s="36"/>
      <c r="G4558" s="36"/>
      <c r="H4558" s="36"/>
    </row>
    <row r="4559">
      <c r="A4559" s="36"/>
      <c r="B4559" s="36" t="str">
        <f>IFERROR(__xludf.DUMMYFUNCTION("""COMPUTED_VALUE"""),"LATITUD")</f>
        <v>LATITUD</v>
      </c>
      <c r="C4559" s="36" t="str">
        <f>IFERROR(__xludf.DUMMYFUNCTION("""COMPUTED_VALUE"""),"LONGITUD")</f>
        <v>LONGITUD</v>
      </c>
      <c r="D4559" s="36" t="str">
        <f>IFERROR(__xludf.DUMMYFUNCTION("""COMPUTED_VALUE"""),"ERROR DE ID")</f>
        <v>ERROR DE ID</v>
      </c>
      <c r="E4559" s="36"/>
      <c r="F4559" s="36"/>
      <c r="G4559" s="36"/>
      <c r="H4559" s="36"/>
    </row>
    <row r="4560">
      <c r="A4560" s="36"/>
      <c r="B4560" s="36" t="str">
        <f>IFERROR(__xludf.DUMMYFUNCTION("""COMPUTED_VALUE"""),"LATITUD")</f>
        <v>LATITUD</v>
      </c>
      <c r="C4560" s="36" t="str">
        <f>IFERROR(__xludf.DUMMYFUNCTION("""COMPUTED_VALUE"""),"LONGITUD")</f>
        <v>LONGITUD</v>
      </c>
      <c r="D4560" s="36" t="str">
        <f>IFERROR(__xludf.DUMMYFUNCTION("""COMPUTED_VALUE"""),"ERROR DE ID")</f>
        <v>ERROR DE ID</v>
      </c>
      <c r="E4560" s="36"/>
      <c r="F4560" s="36"/>
      <c r="G4560" s="36"/>
      <c r="H4560" s="36"/>
    </row>
    <row r="4561">
      <c r="A4561" s="36"/>
      <c r="B4561" s="36" t="str">
        <f>IFERROR(__xludf.DUMMYFUNCTION("""COMPUTED_VALUE"""),"LATITUD")</f>
        <v>LATITUD</v>
      </c>
      <c r="C4561" s="36" t="str">
        <f>IFERROR(__xludf.DUMMYFUNCTION("""COMPUTED_VALUE"""),"LONGITUD")</f>
        <v>LONGITUD</v>
      </c>
      <c r="D4561" s="36" t="str">
        <f>IFERROR(__xludf.DUMMYFUNCTION("""COMPUTED_VALUE"""),"ERROR DE ID")</f>
        <v>ERROR DE ID</v>
      </c>
      <c r="E4561" s="36"/>
      <c r="F4561" s="36"/>
      <c r="G4561" s="36"/>
      <c r="H4561" s="36"/>
    </row>
    <row r="4562">
      <c r="A4562" s="36"/>
      <c r="B4562" s="36" t="str">
        <f>IFERROR(__xludf.DUMMYFUNCTION("""COMPUTED_VALUE"""),"LATITUD")</f>
        <v>LATITUD</v>
      </c>
      <c r="C4562" s="36" t="str">
        <f>IFERROR(__xludf.DUMMYFUNCTION("""COMPUTED_VALUE"""),"LONGITUD")</f>
        <v>LONGITUD</v>
      </c>
      <c r="D4562" s="36" t="str">
        <f>IFERROR(__xludf.DUMMYFUNCTION("""COMPUTED_VALUE"""),"ERROR DE ID")</f>
        <v>ERROR DE ID</v>
      </c>
      <c r="E4562" s="36"/>
      <c r="F4562" s="36"/>
      <c r="G4562" s="36"/>
      <c r="H4562" s="36"/>
    </row>
    <row r="4563">
      <c r="A4563" s="36"/>
      <c r="B4563" s="36" t="str">
        <f>IFERROR(__xludf.DUMMYFUNCTION("""COMPUTED_VALUE"""),"LATITUD")</f>
        <v>LATITUD</v>
      </c>
      <c r="C4563" s="36" t="str">
        <f>IFERROR(__xludf.DUMMYFUNCTION("""COMPUTED_VALUE"""),"LONGITUD")</f>
        <v>LONGITUD</v>
      </c>
      <c r="D4563" s="36" t="str">
        <f>IFERROR(__xludf.DUMMYFUNCTION("""COMPUTED_VALUE"""),"ERROR DE ID")</f>
        <v>ERROR DE ID</v>
      </c>
      <c r="E4563" s="36"/>
      <c r="F4563" s="36"/>
      <c r="G4563" s="36"/>
      <c r="H4563" s="36"/>
    </row>
    <row r="4564">
      <c r="A4564" s="36"/>
      <c r="B4564" s="36" t="str">
        <f>IFERROR(__xludf.DUMMYFUNCTION("""COMPUTED_VALUE"""),"LATITUD")</f>
        <v>LATITUD</v>
      </c>
      <c r="C4564" s="36" t="str">
        <f>IFERROR(__xludf.DUMMYFUNCTION("""COMPUTED_VALUE"""),"LONGITUD")</f>
        <v>LONGITUD</v>
      </c>
      <c r="D4564" s="36" t="str">
        <f>IFERROR(__xludf.DUMMYFUNCTION("""COMPUTED_VALUE"""),"ERROR DE ID")</f>
        <v>ERROR DE ID</v>
      </c>
      <c r="E4564" s="36"/>
      <c r="F4564" s="36"/>
      <c r="G4564" s="36"/>
      <c r="H4564" s="36"/>
    </row>
    <row r="4565">
      <c r="A4565" s="36"/>
      <c r="B4565" s="36" t="str">
        <f>IFERROR(__xludf.DUMMYFUNCTION("""COMPUTED_VALUE"""),"LATITUD")</f>
        <v>LATITUD</v>
      </c>
      <c r="C4565" s="36" t="str">
        <f>IFERROR(__xludf.DUMMYFUNCTION("""COMPUTED_VALUE"""),"LONGITUD")</f>
        <v>LONGITUD</v>
      </c>
      <c r="D4565" s="36" t="str">
        <f>IFERROR(__xludf.DUMMYFUNCTION("""COMPUTED_VALUE"""),"ERROR DE ID")</f>
        <v>ERROR DE ID</v>
      </c>
      <c r="E4565" s="36"/>
      <c r="F4565" s="36"/>
      <c r="G4565" s="36"/>
      <c r="H4565" s="36"/>
    </row>
    <row r="4566">
      <c r="A4566" s="36"/>
      <c r="B4566" s="36" t="str">
        <f>IFERROR(__xludf.DUMMYFUNCTION("""COMPUTED_VALUE"""),"LATITUD")</f>
        <v>LATITUD</v>
      </c>
      <c r="C4566" s="36" t="str">
        <f>IFERROR(__xludf.DUMMYFUNCTION("""COMPUTED_VALUE"""),"LONGITUD")</f>
        <v>LONGITUD</v>
      </c>
      <c r="D4566" s="36" t="str">
        <f>IFERROR(__xludf.DUMMYFUNCTION("""COMPUTED_VALUE"""),"ERROR DE ID")</f>
        <v>ERROR DE ID</v>
      </c>
      <c r="E4566" s="36"/>
      <c r="F4566" s="36"/>
      <c r="G4566" s="36"/>
      <c r="H4566" s="36"/>
    </row>
    <row r="4567">
      <c r="A4567" s="36"/>
      <c r="B4567" s="36" t="str">
        <f>IFERROR(__xludf.DUMMYFUNCTION("""COMPUTED_VALUE"""),"LATITUD")</f>
        <v>LATITUD</v>
      </c>
      <c r="C4567" s="36" t="str">
        <f>IFERROR(__xludf.DUMMYFUNCTION("""COMPUTED_VALUE"""),"LONGITUD")</f>
        <v>LONGITUD</v>
      </c>
      <c r="D4567" s="36" t="str">
        <f>IFERROR(__xludf.DUMMYFUNCTION("""COMPUTED_VALUE"""),"ERROR DE ID")</f>
        <v>ERROR DE ID</v>
      </c>
      <c r="E4567" s="36"/>
      <c r="F4567" s="36"/>
      <c r="G4567" s="36"/>
      <c r="H4567" s="36"/>
    </row>
    <row r="4568">
      <c r="A4568" s="36"/>
      <c r="B4568" s="36" t="str">
        <f>IFERROR(__xludf.DUMMYFUNCTION("""COMPUTED_VALUE"""),"LATITUD")</f>
        <v>LATITUD</v>
      </c>
      <c r="C4568" s="36" t="str">
        <f>IFERROR(__xludf.DUMMYFUNCTION("""COMPUTED_VALUE"""),"LONGITUD")</f>
        <v>LONGITUD</v>
      </c>
      <c r="D4568" s="36" t="str">
        <f>IFERROR(__xludf.DUMMYFUNCTION("""COMPUTED_VALUE"""),"ERROR DE ID")</f>
        <v>ERROR DE ID</v>
      </c>
      <c r="E4568" s="36"/>
      <c r="F4568" s="36"/>
      <c r="G4568" s="36"/>
      <c r="H4568" s="36"/>
    </row>
    <row r="4569">
      <c r="A4569" s="36"/>
      <c r="B4569" s="36" t="str">
        <f>IFERROR(__xludf.DUMMYFUNCTION("""COMPUTED_VALUE"""),"LATITUD")</f>
        <v>LATITUD</v>
      </c>
      <c r="C4569" s="36" t="str">
        <f>IFERROR(__xludf.DUMMYFUNCTION("""COMPUTED_VALUE"""),"LONGITUD")</f>
        <v>LONGITUD</v>
      </c>
      <c r="D4569" s="36" t="str">
        <f>IFERROR(__xludf.DUMMYFUNCTION("""COMPUTED_VALUE"""),"ERROR DE ID")</f>
        <v>ERROR DE ID</v>
      </c>
      <c r="E4569" s="36"/>
      <c r="F4569" s="36"/>
      <c r="G4569" s="36"/>
      <c r="H4569" s="36"/>
    </row>
    <row r="4570">
      <c r="A4570" s="36"/>
      <c r="B4570" s="36" t="str">
        <f>IFERROR(__xludf.DUMMYFUNCTION("""COMPUTED_VALUE"""),"LATITUD")</f>
        <v>LATITUD</v>
      </c>
      <c r="C4570" s="36" t="str">
        <f>IFERROR(__xludf.DUMMYFUNCTION("""COMPUTED_VALUE"""),"LONGITUD")</f>
        <v>LONGITUD</v>
      </c>
      <c r="D4570" s="36" t="str">
        <f>IFERROR(__xludf.DUMMYFUNCTION("""COMPUTED_VALUE"""),"ERROR DE ID")</f>
        <v>ERROR DE ID</v>
      </c>
      <c r="E4570" s="36"/>
      <c r="F4570" s="36"/>
      <c r="G4570" s="36"/>
      <c r="H4570" s="36"/>
    </row>
    <row r="4571">
      <c r="A4571" s="36"/>
      <c r="B4571" s="36" t="str">
        <f>IFERROR(__xludf.DUMMYFUNCTION("""COMPUTED_VALUE"""),"LATITUD")</f>
        <v>LATITUD</v>
      </c>
      <c r="C4571" s="36" t="str">
        <f>IFERROR(__xludf.DUMMYFUNCTION("""COMPUTED_VALUE"""),"LONGITUD")</f>
        <v>LONGITUD</v>
      </c>
      <c r="D4571" s="36" t="str">
        <f>IFERROR(__xludf.DUMMYFUNCTION("""COMPUTED_VALUE"""),"ERROR DE ID")</f>
        <v>ERROR DE ID</v>
      </c>
      <c r="E4571" s="36"/>
      <c r="F4571" s="36"/>
      <c r="G4571" s="36"/>
      <c r="H4571" s="36"/>
    </row>
    <row r="4572">
      <c r="A4572" s="36"/>
      <c r="B4572" s="36" t="str">
        <f>IFERROR(__xludf.DUMMYFUNCTION("""COMPUTED_VALUE"""),"LATITUD")</f>
        <v>LATITUD</v>
      </c>
      <c r="C4572" s="36" t="str">
        <f>IFERROR(__xludf.DUMMYFUNCTION("""COMPUTED_VALUE"""),"LONGITUD")</f>
        <v>LONGITUD</v>
      </c>
      <c r="D4572" s="36" t="str">
        <f>IFERROR(__xludf.DUMMYFUNCTION("""COMPUTED_VALUE"""),"ERROR DE ID")</f>
        <v>ERROR DE ID</v>
      </c>
      <c r="E4572" s="36"/>
      <c r="F4572" s="36"/>
      <c r="G4572" s="36"/>
      <c r="H4572" s="36"/>
    </row>
    <row r="4573">
      <c r="A4573" s="36"/>
      <c r="B4573" s="36" t="str">
        <f>IFERROR(__xludf.DUMMYFUNCTION("""COMPUTED_VALUE"""),"LATITUD")</f>
        <v>LATITUD</v>
      </c>
      <c r="C4573" s="36" t="str">
        <f>IFERROR(__xludf.DUMMYFUNCTION("""COMPUTED_VALUE"""),"LONGITUD")</f>
        <v>LONGITUD</v>
      </c>
      <c r="D4573" s="36" t="str">
        <f>IFERROR(__xludf.DUMMYFUNCTION("""COMPUTED_VALUE"""),"ERROR DE ID")</f>
        <v>ERROR DE ID</v>
      </c>
      <c r="E4573" s="36"/>
      <c r="F4573" s="36"/>
      <c r="G4573" s="36"/>
      <c r="H4573" s="36"/>
    </row>
    <row r="4574">
      <c r="A4574" s="36"/>
      <c r="B4574" s="36" t="str">
        <f>IFERROR(__xludf.DUMMYFUNCTION("""COMPUTED_VALUE"""),"LATITUD")</f>
        <v>LATITUD</v>
      </c>
      <c r="C4574" s="36" t="str">
        <f>IFERROR(__xludf.DUMMYFUNCTION("""COMPUTED_VALUE"""),"LONGITUD")</f>
        <v>LONGITUD</v>
      </c>
      <c r="D4574" s="36" t="str">
        <f>IFERROR(__xludf.DUMMYFUNCTION("""COMPUTED_VALUE"""),"ERROR DE ID")</f>
        <v>ERROR DE ID</v>
      </c>
      <c r="E4574" s="36"/>
      <c r="F4574" s="36"/>
      <c r="G4574" s="36"/>
      <c r="H4574" s="36"/>
    </row>
    <row r="4575">
      <c r="A4575" s="36"/>
      <c r="B4575" s="36" t="str">
        <f>IFERROR(__xludf.DUMMYFUNCTION("""COMPUTED_VALUE"""),"LATITUD")</f>
        <v>LATITUD</v>
      </c>
      <c r="C4575" s="36" t="str">
        <f>IFERROR(__xludf.DUMMYFUNCTION("""COMPUTED_VALUE"""),"LONGITUD")</f>
        <v>LONGITUD</v>
      </c>
      <c r="D4575" s="36" t="str">
        <f>IFERROR(__xludf.DUMMYFUNCTION("""COMPUTED_VALUE"""),"ERROR DE ID")</f>
        <v>ERROR DE ID</v>
      </c>
      <c r="E4575" s="36"/>
      <c r="F4575" s="36"/>
      <c r="G4575" s="36"/>
      <c r="H4575" s="36"/>
    </row>
    <row r="4576">
      <c r="A4576" s="36"/>
      <c r="B4576" s="36" t="str">
        <f>IFERROR(__xludf.DUMMYFUNCTION("""COMPUTED_VALUE"""),"LATITUD")</f>
        <v>LATITUD</v>
      </c>
      <c r="C4576" s="36" t="str">
        <f>IFERROR(__xludf.DUMMYFUNCTION("""COMPUTED_VALUE"""),"LONGITUD")</f>
        <v>LONGITUD</v>
      </c>
      <c r="D4576" s="36" t="str">
        <f>IFERROR(__xludf.DUMMYFUNCTION("""COMPUTED_VALUE"""),"ERROR DE ID")</f>
        <v>ERROR DE ID</v>
      </c>
      <c r="E4576" s="36"/>
      <c r="F4576" s="36"/>
      <c r="G4576" s="36"/>
      <c r="H4576" s="36"/>
    </row>
    <row r="4577">
      <c r="A4577" s="36"/>
      <c r="B4577" s="36" t="str">
        <f>IFERROR(__xludf.DUMMYFUNCTION("""COMPUTED_VALUE"""),"LATITUD")</f>
        <v>LATITUD</v>
      </c>
      <c r="C4577" s="36" t="str">
        <f>IFERROR(__xludf.DUMMYFUNCTION("""COMPUTED_VALUE"""),"LONGITUD")</f>
        <v>LONGITUD</v>
      </c>
      <c r="D4577" s="36" t="str">
        <f>IFERROR(__xludf.DUMMYFUNCTION("""COMPUTED_VALUE"""),"ERROR DE ID")</f>
        <v>ERROR DE ID</v>
      </c>
      <c r="E4577" s="36"/>
      <c r="F4577" s="36"/>
      <c r="G4577" s="36"/>
      <c r="H4577" s="36"/>
    </row>
    <row r="4578">
      <c r="A4578" s="36"/>
      <c r="B4578" s="36" t="str">
        <f>IFERROR(__xludf.DUMMYFUNCTION("""COMPUTED_VALUE"""),"LATITUD")</f>
        <v>LATITUD</v>
      </c>
      <c r="C4578" s="36" t="str">
        <f>IFERROR(__xludf.DUMMYFUNCTION("""COMPUTED_VALUE"""),"LONGITUD")</f>
        <v>LONGITUD</v>
      </c>
      <c r="D4578" s="36" t="str">
        <f>IFERROR(__xludf.DUMMYFUNCTION("""COMPUTED_VALUE"""),"ERROR DE ID")</f>
        <v>ERROR DE ID</v>
      </c>
      <c r="E4578" s="36"/>
      <c r="F4578" s="36"/>
      <c r="G4578" s="36"/>
      <c r="H4578" s="36"/>
    </row>
    <row r="4579">
      <c r="A4579" s="36"/>
      <c r="B4579" s="36" t="str">
        <f>IFERROR(__xludf.DUMMYFUNCTION("""COMPUTED_VALUE"""),"LATITUD")</f>
        <v>LATITUD</v>
      </c>
      <c r="C4579" s="36" t="str">
        <f>IFERROR(__xludf.DUMMYFUNCTION("""COMPUTED_VALUE"""),"LONGITUD")</f>
        <v>LONGITUD</v>
      </c>
      <c r="D4579" s="36" t="str">
        <f>IFERROR(__xludf.DUMMYFUNCTION("""COMPUTED_VALUE"""),"ERROR DE ID")</f>
        <v>ERROR DE ID</v>
      </c>
      <c r="E4579" s="36"/>
      <c r="F4579" s="36"/>
      <c r="G4579" s="36"/>
      <c r="H4579" s="36"/>
    </row>
    <row r="4580">
      <c r="A4580" s="36"/>
      <c r="B4580" s="36" t="str">
        <f>IFERROR(__xludf.DUMMYFUNCTION("""COMPUTED_VALUE"""),"LATITUD")</f>
        <v>LATITUD</v>
      </c>
      <c r="C4580" s="36" t="str">
        <f>IFERROR(__xludf.DUMMYFUNCTION("""COMPUTED_VALUE"""),"LONGITUD")</f>
        <v>LONGITUD</v>
      </c>
      <c r="D4580" s="36" t="str">
        <f>IFERROR(__xludf.DUMMYFUNCTION("""COMPUTED_VALUE"""),"ERROR DE ID")</f>
        <v>ERROR DE ID</v>
      </c>
      <c r="E4580" s="36"/>
      <c r="F4580" s="36"/>
      <c r="G4580" s="36"/>
      <c r="H4580" s="36"/>
    </row>
    <row r="4581">
      <c r="A4581" s="36"/>
      <c r="B4581" s="36" t="str">
        <f>IFERROR(__xludf.DUMMYFUNCTION("""COMPUTED_VALUE"""),"LATITUD")</f>
        <v>LATITUD</v>
      </c>
      <c r="C4581" s="36" t="str">
        <f>IFERROR(__xludf.DUMMYFUNCTION("""COMPUTED_VALUE"""),"LONGITUD")</f>
        <v>LONGITUD</v>
      </c>
      <c r="D4581" s="36" t="str">
        <f>IFERROR(__xludf.DUMMYFUNCTION("""COMPUTED_VALUE"""),"ERROR DE ID")</f>
        <v>ERROR DE ID</v>
      </c>
      <c r="E4581" s="36"/>
      <c r="F4581" s="36"/>
      <c r="G4581" s="36"/>
      <c r="H4581" s="36"/>
    </row>
    <row r="4582">
      <c r="A4582" s="36"/>
      <c r="B4582" s="36" t="str">
        <f>IFERROR(__xludf.DUMMYFUNCTION("""COMPUTED_VALUE"""),"LATITUD")</f>
        <v>LATITUD</v>
      </c>
      <c r="C4582" s="36" t="str">
        <f>IFERROR(__xludf.DUMMYFUNCTION("""COMPUTED_VALUE"""),"LONGITUD")</f>
        <v>LONGITUD</v>
      </c>
      <c r="D4582" s="36" t="str">
        <f>IFERROR(__xludf.DUMMYFUNCTION("""COMPUTED_VALUE"""),"ERROR DE ID")</f>
        <v>ERROR DE ID</v>
      </c>
      <c r="E4582" s="36"/>
      <c r="F4582" s="36"/>
      <c r="G4582" s="36"/>
      <c r="H4582" s="36"/>
    </row>
    <row r="4583">
      <c r="A4583" s="36"/>
      <c r="B4583" s="36" t="str">
        <f>IFERROR(__xludf.DUMMYFUNCTION("""COMPUTED_VALUE"""),"LATITUD")</f>
        <v>LATITUD</v>
      </c>
      <c r="C4583" s="36" t="str">
        <f>IFERROR(__xludf.DUMMYFUNCTION("""COMPUTED_VALUE"""),"LONGITUD")</f>
        <v>LONGITUD</v>
      </c>
      <c r="D4583" s="36" t="str">
        <f>IFERROR(__xludf.DUMMYFUNCTION("""COMPUTED_VALUE"""),"ERROR DE ID")</f>
        <v>ERROR DE ID</v>
      </c>
      <c r="E4583" s="36"/>
      <c r="F4583" s="36"/>
      <c r="G4583" s="36"/>
      <c r="H4583" s="36"/>
    </row>
    <row r="4584">
      <c r="A4584" s="36"/>
      <c r="B4584" s="36" t="str">
        <f>IFERROR(__xludf.DUMMYFUNCTION("""COMPUTED_VALUE"""),"LATITUD")</f>
        <v>LATITUD</v>
      </c>
      <c r="C4584" s="36" t="str">
        <f>IFERROR(__xludf.DUMMYFUNCTION("""COMPUTED_VALUE"""),"LONGITUD")</f>
        <v>LONGITUD</v>
      </c>
      <c r="D4584" s="36" t="str">
        <f>IFERROR(__xludf.DUMMYFUNCTION("""COMPUTED_VALUE"""),"ERROR DE ID")</f>
        <v>ERROR DE ID</v>
      </c>
      <c r="E4584" s="36"/>
      <c r="F4584" s="36"/>
      <c r="G4584" s="36"/>
      <c r="H4584" s="36"/>
    </row>
    <row r="4585">
      <c r="A4585" s="36"/>
      <c r="B4585" s="36" t="str">
        <f>IFERROR(__xludf.DUMMYFUNCTION("""COMPUTED_VALUE"""),"LATITUD")</f>
        <v>LATITUD</v>
      </c>
      <c r="C4585" s="36" t="str">
        <f>IFERROR(__xludf.DUMMYFUNCTION("""COMPUTED_VALUE"""),"LONGITUD")</f>
        <v>LONGITUD</v>
      </c>
      <c r="D4585" s="36" t="str">
        <f>IFERROR(__xludf.DUMMYFUNCTION("""COMPUTED_VALUE"""),"ERROR DE ID")</f>
        <v>ERROR DE ID</v>
      </c>
      <c r="E4585" s="36"/>
      <c r="F4585" s="36"/>
      <c r="G4585" s="36"/>
      <c r="H4585" s="36"/>
    </row>
    <row r="4586">
      <c r="A4586" s="36"/>
      <c r="B4586" s="36" t="str">
        <f>IFERROR(__xludf.DUMMYFUNCTION("""COMPUTED_VALUE"""),"LATITUD")</f>
        <v>LATITUD</v>
      </c>
      <c r="C4586" s="36" t="str">
        <f>IFERROR(__xludf.DUMMYFUNCTION("""COMPUTED_VALUE"""),"LONGITUD")</f>
        <v>LONGITUD</v>
      </c>
      <c r="D4586" s="36" t="str">
        <f>IFERROR(__xludf.DUMMYFUNCTION("""COMPUTED_VALUE"""),"ERROR DE ID")</f>
        <v>ERROR DE ID</v>
      </c>
      <c r="E4586" s="36"/>
      <c r="F4586" s="36"/>
      <c r="G4586" s="36"/>
      <c r="H4586" s="36"/>
    </row>
    <row r="4587">
      <c r="A4587" s="36"/>
      <c r="B4587" s="36" t="str">
        <f>IFERROR(__xludf.DUMMYFUNCTION("""COMPUTED_VALUE"""),"LATITUD")</f>
        <v>LATITUD</v>
      </c>
      <c r="C4587" s="36" t="str">
        <f>IFERROR(__xludf.DUMMYFUNCTION("""COMPUTED_VALUE"""),"LONGITUD")</f>
        <v>LONGITUD</v>
      </c>
      <c r="D4587" s="36" t="str">
        <f>IFERROR(__xludf.DUMMYFUNCTION("""COMPUTED_VALUE"""),"ERROR DE ID")</f>
        <v>ERROR DE ID</v>
      </c>
      <c r="E4587" s="36"/>
      <c r="F4587" s="36"/>
      <c r="G4587" s="36"/>
      <c r="H4587" s="36"/>
    </row>
    <row r="4588">
      <c r="A4588" s="36"/>
      <c r="B4588" s="36" t="str">
        <f>IFERROR(__xludf.DUMMYFUNCTION("""COMPUTED_VALUE"""),"LATITUD")</f>
        <v>LATITUD</v>
      </c>
      <c r="C4588" s="36" t="str">
        <f>IFERROR(__xludf.DUMMYFUNCTION("""COMPUTED_VALUE"""),"LONGITUD")</f>
        <v>LONGITUD</v>
      </c>
      <c r="D4588" s="36" t="str">
        <f>IFERROR(__xludf.DUMMYFUNCTION("""COMPUTED_VALUE"""),"ERROR DE ID")</f>
        <v>ERROR DE ID</v>
      </c>
      <c r="E4588" s="36"/>
      <c r="F4588" s="36"/>
      <c r="G4588" s="36"/>
      <c r="H4588" s="36"/>
    </row>
    <row r="4589">
      <c r="A4589" s="36"/>
      <c r="B4589" s="36" t="str">
        <f>IFERROR(__xludf.DUMMYFUNCTION("""COMPUTED_VALUE"""),"LATITUD")</f>
        <v>LATITUD</v>
      </c>
      <c r="C4589" s="36" t="str">
        <f>IFERROR(__xludf.DUMMYFUNCTION("""COMPUTED_VALUE"""),"LONGITUD")</f>
        <v>LONGITUD</v>
      </c>
      <c r="D4589" s="36" t="str">
        <f>IFERROR(__xludf.DUMMYFUNCTION("""COMPUTED_VALUE"""),"ERROR DE ID")</f>
        <v>ERROR DE ID</v>
      </c>
      <c r="E4589" s="36"/>
      <c r="F4589" s="36"/>
      <c r="G4589" s="36"/>
      <c r="H4589" s="36"/>
    </row>
    <row r="4590">
      <c r="A4590" s="36"/>
      <c r="B4590" s="36" t="str">
        <f>IFERROR(__xludf.DUMMYFUNCTION("""COMPUTED_VALUE"""),"LATITUD")</f>
        <v>LATITUD</v>
      </c>
      <c r="C4590" s="36" t="str">
        <f>IFERROR(__xludf.DUMMYFUNCTION("""COMPUTED_VALUE"""),"LONGITUD")</f>
        <v>LONGITUD</v>
      </c>
      <c r="D4590" s="36" t="str">
        <f>IFERROR(__xludf.DUMMYFUNCTION("""COMPUTED_VALUE"""),"ERROR DE ID")</f>
        <v>ERROR DE ID</v>
      </c>
      <c r="E4590" s="36"/>
      <c r="F4590" s="36"/>
      <c r="G4590" s="36"/>
      <c r="H4590" s="36"/>
    </row>
    <row r="4591">
      <c r="A4591" s="36"/>
      <c r="B4591" s="36" t="str">
        <f>IFERROR(__xludf.DUMMYFUNCTION("""COMPUTED_VALUE"""),"LATITUD")</f>
        <v>LATITUD</v>
      </c>
      <c r="C4591" s="36" t="str">
        <f>IFERROR(__xludf.DUMMYFUNCTION("""COMPUTED_VALUE"""),"LONGITUD")</f>
        <v>LONGITUD</v>
      </c>
      <c r="D4591" s="36" t="str">
        <f>IFERROR(__xludf.DUMMYFUNCTION("""COMPUTED_VALUE"""),"ERROR DE ID")</f>
        <v>ERROR DE ID</v>
      </c>
      <c r="E4591" s="36"/>
      <c r="F4591" s="36"/>
      <c r="G4591" s="36"/>
      <c r="H4591" s="36"/>
    </row>
    <row r="4592">
      <c r="A4592" s="36"/>
      <c r="B4592" s="36" t="str">
        <f>IFERROR(__xludf.DUMMYFUNCTION("""COMPUTED_VALUE"""),"LATITUD")</f>
        <v>LATITUD</v>
      </c>
      <c r="C4592" s="36" t="str">
        <f>IFERROR(__xludf.DUMMYFUNCTION("""COMPUTED_VALUE"""),"LONGITUD")</f>
        <v>LONGITUD</v>
      </c>
      <c r="D4592" s="36" t="str">
        <f>IFERROR(__xludf.DUMMYFUNCTION("""COMPUTED_VALUE"""),"ERROR DE ID")</f>
        <v>ERROR DE ID</v>
      </c>
      <c r="E4592" s="36"/>
      <c r="F4592" s="36"/>
      <c r="G4592" s="36"/>
      <c r="H4592" s="36"/>
    </row>
    <row r="4593">
      <c r="A4593" s="36"/>
      <c r="B4593" s="36" t="str">
        <f>IFERROR(__xludf.DUMMYFUNCTION("""COMPUTED_VALUE"""),"LATITUD")</f>
        <v>LATITUD</v>
      </c>
      <c r="C4593" s="36" t="str">
        <f>IFERROR(__xludf.DUMMYFUNCTION("""COMPUTED_VALUE"""),"LONGITUD")</f>
        <v>LONGITUD</v>
      </c>
      <c r="D4593" s="36" t="str">
        <f>IFERROR(__xludf.DUMMYFUNCTION("""COMPUTED_VALUE"""),"ERROR DE ID")</f>
        <v>ERROR DE ID</v>
      </c>
      <c r="E4593" s="36"/>
      <c r="F4593" s="36"/>
      <c r="G4593" s="36"/>
      <c r="H4593" s="36"/>
    </row>
    <row r="4594">
      <c r="A4594" s="36"/>
      <c r="B4594" s="36" t="str">
        <f>IFERROR(__xludf.DUMMYFUNCTION("""COMPUTED_VALUE"""),"LATITUD")</f>
        <v>LATITUD</v>
      </c>
      <c r="C4594" s="36" t="str">
        <f>IFERROR(__xludf.DUMMYFUNCTION("""COMPUTED_VALUE"""),"LONGITUD")</f>
        <v>LONGITUD</v>
      </c>
      <c r="D4594" s="36" t="str">
        <f>IFERROR(__xludf.DUMMYFUNCTION("""COMPUTED_VALUE"""),"ERROR DE ID")</f>
        <v>ERROR DE ID</v>
      </c>
      <c r="E4594" s="36"/>
      <c r="F4594" s="36"/>
      <c r="G4594" s="36"/>
      <c r="H4594" s="36"/>
    </row>
    <row r="4595">
      <c r="A4595" s="36"/>
      <c r="B4595" s="36" t="str">
        <f>IFERROR(__xludf.DUMMYFUNCTION("""COMPUTED_VALUE"""),"LATITUD")</f>
        <v>LATITUD</v>
      </c>
      <c r="C4595" s="36" t="str">
        <f>IFERROR(__xludf.DUMMYFUNCTION("""COMPUTED_VALUE"""),"LONGITUD")</f>
        <v>LONGITUD</v>
      </c>
      <c r="D4595" s="36" t="str">
        <f>IFERROR(__xludf.DUMMYFUNCTION("""COMPUTED_VALUE"""),"ERROR DE ID")</f>
        <v>ERROR DE ID</v>
      </c>
      <c r="E4595" s="36"/>
      <c r="F4595" s="36"/>
      <c r="G4595" s="36"/>
      <c r="H4595" s="36"/>
    </row>
    <row r="4596">
      <c r="A4596" s="36"/>
      <c r="B4596" s="36" t="str">
        <f>IFERROR(__xludf.DUMMYFUNCTION("""COMPUTED_VALUE"""),"LATITUD")</f>
        <v>LATITUD</v>
      </c>
      <c r="C4596" s="36" t="str">
        <f>IFERROR(__xludf.DUMMYFUNCTION("""COMPUTED_VALUE"""),"LONGITUD")</f>
        <v>LONGITUD</v>
      </c>
      <c r="D4596" s="36" t="str">
        <f>IFERROR(__xludf.DUMMYFUNCTION("""COMPUTED_VALUE"""),"ERROR DE ID")</f>
        <v>ERROR DE ID</v>
      </c>
      <c r="E4596" s="36"/>
      <c r="F4596" s="36"/>
      <c r="G4596" s="36"/>
      <c r="H4596" s="36"/>
    </row>
    <row r="4597">
      <c r="A4597" s="36"/>
      <c r="B4597" s="36" t="str">
        <f>IFERROR(__xludf.DUMMYFUNCTION("""COMPUTED_VALUE"""),"LATITUD")</f>
        <v>LATITUD</v>
      </c>
      <c r="C4597" s="36" t="str">
        <f>IFERROR(__xludf.DUMMYFUNCTION("""COMPUTED_VALUE"""),"LONGITUD")</f>
        <v>LONGITUD</v>
      </c>
      <c r="D4597" s="36" t="str">
        <f>IFERROR(__xludf.DUMMYFUNCTION("""COMPUTED_VALUE"""),"ERROR DE ID")</f>
        <v>ERROR DE ID</v>
      </c>
      <c r="E4597" s="36"/>
      <c r="F4597" s="36"/>
      <c r="G4597" s="36"/>
      <c r="H4597" s="36"/>
    </row>
    <row r="4598">
      <c r="A4598" s="36"/>
      <c r="B4598" s="36" t="str">
        <f>IFERROR(__xludf.DUMMYFUNCTION("""COMPUTED_VALUE"""),"LATITUD")</f>
        <v>LATITUD</v>
      </c>
      <c r="C4598" s="36" t="str">
        <f>IFERROR(__xludf.DUMMYFUNCTION("""COMPUTED_VALUE"""),"LONGITUD")</f>
        <v>LONGITUD</v>
      </c>
      <c r="D4598" s="36" t="str">
        <f>IFERROR(__xludf.DUMMYFUNCTION("""COMPUTED_VALUE"""),"ERROR DE ID")</f>
        <v>ERROR DE ID</v>
      </c>
      <c r="E4598" s="36"/>
      <c r="F4598" s="36"/>
      <c r="G4598" s="36"/>
      <c r="H4598" s="36"/>
    </row>
    <row r="4599">
      <c r="A4599" s="36"/>
      <c r="B4599" s="36" t="str">
        <f>IFERROR(__xludf.DUMMYFUNCTION("""COMPUTED_VALUE"""),"LATITUD")</f>
        <v>LATITUD</v>
      </c>
      <c r="C4599" s="36" t="str">
        <f>IFERROR(__xludf.DUMMYFUNCTION("""COMPUTED_VALUE"""),"LONGITUD")</f>
        <v>LONGITUD</v>
      </c>
      <c r="D4599" s="36" t="str">
        <f>IFERROR(__xludf.DUMMYFUNCTION("""COMPUTED_VALUE"""),"ERROR DE ID")</f>
        <v>ERROR DE ID</v>
      </c>
      <c r="E4599" s="36"/>
      <c r="F4599" s="36"/>
      <c r="G4599" s="36"/>
      <c r="H4599" s="36"/>
    </row>
    <row r="4600">
      <c r="A4600" s="36"/>
      <c r="B4600" s="36" t="str">
        <f>IFERROR(__xludf.DUMMYFUNCTION("""COMPUTED_VALUE"""),"LATITUD")</f>
        <v>LATITUD</v>
      </c>
      <c r="C4600" s="36" t="str">
        <f>IFERROR(__xludf.DUMMYFUNCTION("""COMPUTED_VALUE"""),"LONGITUD")</f>
        <v>LONGITUD</v>
      </c>
      <c r="D4600" s="36" t="str">
        <f>IFERROR(__xludf.DUMMYFUNCTION("""COMPUTED_VALUE"""),"ERROR DE ID")</f>
        <v>ERROR DE ID</v>
      </c>
      <c r="E4600" s="36"/>
      <c r="F4600" s="36"/>
      <c r="G4600" s="36"/>
      <c r="H4600" s="36"/>
    </row>
    <row r="4601">
      <c r="A4601" s="36"/>
      <c r="B4601" s="36" t="str">
        <f>IFERROR(__xludf.DUMMYFUNCTION("""COMPUTED_VALUE"""),"LATITUD")</f>
        <v>LATITUD</v>
      </c>
      <c r="C4601" s="36" t="str">
        <f>IFERROR(__xludf.DUMMYFUNCTION("""COMPUTED_VALUE"""),"LONGITUD")</f>
        <v>LONGITUD</v>
      </c>
      <c r="D4601" s="36" t="str">
        <f>IFERROR(__xludf.DUMMYFUNCTION("""COMPUTED_VALUE"""),"ERROR DE ID")</f>
        <v>ERROR DE ID</v>
      </c>
      <c r="E4601" s="36"/>
      <c r="F4601" s="36"/>
      <c r="G4601" s="36"/>
      <c r="H4601" s="36"/>
    </row>
    <row r="4602">
      <c r="A4602" s="36"/>
      <c r="B4602" s="36" t="str">
        <f>IFERROR(__xludf.DUMMYFUNCTION("""COMPUTED_VALUE"""),"LATITUD")</f>
        <v>LATITUD</v>
      </c>
      <c r="C4602" s="36" t="str">
        <f>IFERROR(__xludf.DUMMYFUNCTION("""COMPUTED_VALUE"""),"LONGITUD")</f>
        <v>LONGITUD</v>
      </c>
      <c r="D4602" s="36" t="str">
        <f>IFERROR(__xludf.DUMMYFUNCTION("""COMPUTED_VALUE"""),"ERROR DE ID")</f>
        <v>ERROR DE ID</v>
      </c>
      <c r="E4602" s="36"/>
      <c r="F4602" s="36"/>
      <c r="G4602" s="36"/>
      <c r="H4602" s="36"/>
    </row>
    <row r="4603">
      <c r="A4603" s="36"/>
      <c r="B4603" s="36" t="str">
        <f>IFERROR(__xludf.DUMMYFUNCTION("""COMPUTED_VALUE"""),"LATITUD")</f>
        <v>LATITUD</v>
      </c>
      <c r="C4603" s="36" t="str">
        <f>IFERROR(__xludf.DUMMYFUNCTION("""COMPUTED_VALUE"""),"LONGITUD")</f>
        <v>LONGITUD</v>
      </c>
      <c r="D4603" s="36" t="str">
        <f>IFERROR(__xludf.DUMMYFUNCTION("""COMPUTED_VALUE"""),"ERROR DE ID")</f>
        <v>ERROR DE ID</v>
      </c>
      <c r="E4603" s="36"/>
      <c r="F4603" s="36"/>
      <c r="G4603" s="36"/>
      <c r="H4603" s="36"/>
    </row>
    <row r="4604">
      <c r="A4604" s="36"/>
      <c r="B4604" s="36" t="str">
        <f>IFERROR(__xludf.DUMMYFUNCTION("""COMPUTED_VALUE"""),"LATITUD")</f>
        <v>LATITUD</v>
      </c>
      <c r="C4604" s="36" t="str">
        <f>IFERROR(__xludf.DUMMYFUNCTION("""COMPUTED_VALUE"""),"LONGITUD")</f>
        <v>LONGITUD</v>
      </c>
      <c r="D4604" s="36" t="str">
        <f>IFERROR(__xludf.DUMMYFUNCTION("""COMPUTED_VALUE"""),"ERROR DE ID")</f>
        <v>ERROR DE ID</v>
      </c>
      <c r="E4604" s="36"/>
      <c r="F4604" s="36"/>
      <c r="G4604" s="36"/>
      <c r="H4604" s="36"/>
    </row>
    <row r="4605">
      <c r="A4605" s="36"/>
      <c r="B4605" s="36" t="str">
        <f>IFERROR(__xludf.DUMMYFUNCTION("""COMPUTED_VALUE"""),"LATITUD")</f>
        <v>LATITUD</v>
      </c>
      <c r="C4605" s="36" t="str">
        <f>IFERROR(__xludf.DUMMYFUNCTION("""COMPUTED_VALUE"""),"LONGITUD")</f>
        <v>LONGITUD</v>
      </c>
      <c r="D4605" s="36" t="str">
        <f>IFERROR(__xludf.DUMMYFUNCTION("""COMPUTED_VALUE"""),"ERROR DE ID")</f>
        <v>ERROR DE ID</v>
      </c>
      <c r="E4605" s="36"/>
      <c r="F4605" s="36"/>
      <c r="G4605" s="36"/>
      <c r="H4605" s="36"/>
    </row>
    <row r="4606">
      <c r="A4606" s="36"/>
      <c r="B4606" s="36" t="str">
        <f>IFERROR(__xludf.DUMMYFUNCTION("""COMPUTED_VALUE"""),"LATITUD")</f>
        <v>LATITUD</v>
      </c>
      <c r="C4606" s="36" t="str">
        <f>IFERROR(__xludf.DUMMYFUNCTION("""COMPUTED_VALUE"""),"LONGITUD")</f>
        <v>LONGITUD</v>
      </c>
      <c r="D4606" s="36" t="str">
        <f>IFERROR(__xludf.DUMMYFUNCTION("""COMPUTED_VALUE"""),"ERROR DE ID")</f>
        <v>ERROR DE ID</v>
      </c>
      <c r="E4606" s="36"/>
      <c r="F4606" s="36"/>
      <c r="G4606" s="36"/>
      <c r="H4606" s="36"/>
    </row>
    <row r="4607">
      <c r="A4607" s="36"/>
      <c r="B4607" s="36" t="str">
        <f>IFERROR(__xludf.DUMMYFUNCTION("""COMPUTED_VALUE"""),"LATITUD")</f>
        <v>LATITUD</v>
      </c>
      <c r="C4607" s="36" t="str">
        <f>IFERROR(__xludf.DUMMYFUNCTION("""COMPUTED_VALUE"""),"LONGITUD")</f>
        <v>LONGITUD</v>
      </c>
      <c r="D4607" s="36" t="str">
        <f>IFERROR(__xludf.DUMMYFUNCTION("""COMPUTED_VALUE"""),"ERROR DE ID")</f>
        <v>ERROR DE ID</v>
      </c>
      <c r="E4607" s="36"/>
      <c r="F4607" s="36"/>
      <c r="G4607" s="36"/>
      <c r="H4607" s="36"/>
    </row>
    <row r="4608">
      <c r="A4608" s="36"/>
      <c r="B4608" s="36" t="str">
        <f>IFERROR(__xludf.DUMMYFUNCTION("""COMPUTED_VALUE"""),"LATITUD")</f>
        <v>LATITUD</v>
      </c>
      <c r="C4608" s="36" t="str">
        <f>IFERROR(__xludf.DUMMYFUNCTION("""COMPUTED_VALUE"""),"LONGITUD")</f>
        <v>LONGITUD</v>
      </c>
      <c r="D4608" s="36" t="str">
        <f>IFERROR(__xludf.DUMMYFUNCTION("""COMPUTED_VALUE"""),"ERROR DE ID")</f>
        <v>ERROR DE ID</v>
      </c>
      <c r="E4608" s="36"/>
      <c r="F4608" s="36"/>
      <c r="G4608" s="36"/>
      <c r="H4608" s="36"/>
    </row>
    <row r="4609">
      <c r="A4609" s="36"/>
      <c r="B4609" s="36" t="str">
        <f>IFERROR(__xludf.DUMMYFUNCTION("""COMPUTED_VALUE"""),"LATITUD")</f>
        <v>LATITUD</v>
      </c>
      <c r="C4609" s="36" t="str">
        <f>IFERROR(__xludf.DUMMYFUNCTION("""COMPUTED_VALUE"""),"LONGITUD")</f>
        <v>LONGITUD</v>
      </c>
      <c r="D4609" s="36" t="str">
        <f>IFERROR(__xludf.DUMMYFUNCTION("""COMPUTED_VALUE"""),"ERROR DE ID")</f>
        <v>ERROR DE ID</v>
      </c>
      <c r="E4609" s="36"/>
      <c r="F4609" s="36"/>
      <c r="G4609" s="36"/>
      <c r="H4609" s="36"/>
    </row>
    <row r="4610">
      <c r="A4610" s="36"/>
      <c r="B4610" s="36" t="str">
        <f>IFERROR(__xludf.DUMMYFUNCTION("""COMPUTED_VALUE"""),"LATITUD")</f>
        <v>LATITUD</v>
      </c>
      <c r="C4610" s="36" t="str">
        <f>IFERROR(__xludf.DUMMYFUNCTION("""COMPUTED_VALUE"""),"LONGITUD")</f>
        <v>LONGITUD</v>
      </c>
      <c r="D4610" s="36" t="str">
        <f>IFERROR(__xludf.DUMMYFUNCTION("""COMPUTED_VALUE"""),"ERROR DE ID")</f>
        <v>ERROR DE ID</v>
      </c>
      <c r="E4610" s="36"/>
      <c r="F4610" s="36"/>
      <c r="G4610" s="36"/>
      <c r="H4610" s="36"/>
    </row>
    <row r="4611">
      <c r="A4611" s="36"/>
      <c r="B4611" s="36" t="str">
        <f>IFERROR(__xludf.DUMMYFUNCTION("""COMPUTED_VALUE"""),"LATITUD")</f>
        <v>LATITUD</v>
      </c>
      <c r="C4611" s="36" t="str">
        <f>IFERROR(__xludf.DUMMYFUNCTION("""COMPUTED_VALUE"""),"LONGITUD")</f>
        <v>LONGITUD</v>
      </c>
      <c r="D4611" s="36" t="str">
        <f>IFERROR(__xludf.DUMMYFUNCTION("""COMPUTED_VALUE"""),"ERROR DE ID")</f>
        <v>ERROR DE ID</v>
      </c>
      <c r="E4611" s="36"/>
      <c r="F4611" s="36"/>
      <c r="G4611" s="36"/>
      <c r="H4611" s="36"/>
    </row>
    <row r="4612">
      <c r="A4612" s="36"/>
      <c r="B4612" s="36" t="str">
        <f>IFERROR(__xludf.DUMMYFUNCTION("""COMPUTED_VALUE"""),"LATITUD")</f>
        <v>LATITUD</v>
      </c>
      <c r="C4612" s="36" t="str">
        <f>IFERROR(__xludf.DUMMYFUNCTION("""COMPUTED_VALUE"""),"LONGITUD")</f>
        <v>LONGITUD</v>
      </c>
      <c r="D4612" s="36" t="str">
        <f>IFERROR(__xludf.DUMMYFUNCTION("""COMPUTED_VALUE"""),"ERROR DE ID")</f>
        <v>ERROR DE ID</v>
      </c>
      <c r="E4612" s="36"/>
      <c r="F4612" s="36"/>
      <c r="G4612" s="36"/>
      <c r="H4612" s="36"/>
    </row>
    <row r="4613">
      <c r="A4613" s="36"/>
      <c r="B4613" s="36" t="str">
        <f>IFERROR(__xludf.DUMMYFUNCTION("""COMPUTED_VALUE"""),"LATITUD")</f>
        <v>LATITUD</v>
      </c>
      <c r="C4613" s="36" t="str">
        <f>IFERROR(__xludf.DUMMYFUNCTION("""COMPUTED_VALUE"""),"LONGITUD")</f>
        <v>LONGITUD</v>
      </c>
      <c r="D4613" s="36" t="str">
        <f>IFERROR(__xludf.DUMMYFUNCTION("""COMPUTED_VALUE"""),"ERROR DE ID")</f>
        <v>ERROR DE ID</v>
      </c>
      <c r="E4613" s="36"/>
      <c r="F4613" s="36"/>
      <c r="G4613" s="36"/>
      <c r="H4613" s="36"/>
    </row>
    <row r="4614">
      <c r="A4614" s="36"/>
      <c r="B4614" s="36" t="str">
        <f>IFERROR(__xludf.DUMMYFUNCTION("""COMPUTED_VALUE"""),"LATITUD")</f>
        <v>LATITUD</v>
      </c>
      <c r="C4614" s="36" t="str">
        <f>IFERROR(__xludf.DUMMYFUNCTION("""COMPUTED_VALUE"""),"LONGITUD")</f>
        <v>LONGITUD</v>
      </c>
      <c r="D4614" s="36" t="str">
        <f>IFERROR(__xludf.DUMMYFUNCTION("""COMPUTED_VALUE"""),"ERROR DE ID")</f>
        <v>ERROR DE ID</v>
      </c>
      <c r="E4614" s="36"/>
      <c r="F4614" s="36"/>
      <c r="G4614" s="36"/>
      <c r="H4614" s="36"/>
    </row>
    <row r="4615">
      <c r="A4615" s="36"/>
      <c r="B4615" s="36" t="str">
        <f>IFERROR(__xludf.DUMMYFUNCTION("""COMPUTED_VALUE"""),"LATITUD")</f>
        <v>LATITUD</v>
      </c>
      <c r="C4615" s="36" t="str">
        <f>IFERROR(__xludf.DUMMYFUNCTION("""COMPUTED_VALUE"""),"LONGITUD")</f>
        <v>LONGITUD</v>
      </c>
      <c r="D4615" s="36" t="str">
        <f>IFERROR(__xludf.DUMMYFUNCTION("""COMPUTED_VALUE"""),"ERROR DE ID")</f>
        <v>ERROR DE ID</v>
      </c>
      <c r="E4615" s="36"/>
      <c r="F4615" s="36"/>
      <c r="G4615" s="36"/>
      <c r="H4615" s="36"/>
    </row>
    <row r="4616">
      <c r="A4616" s="36"/>
      <c r="B4616" s="36" t="str">
        <f>IFERROR(__xludf.DUMMYFUNCTION("""COMPUTED_VALUE"""),"LATITUD")</f>
        <v>LATITUD</v>
      </c>
      <c r="C4616" s="36" t="str">
        <f>IFERROR(__xludf.DUMMYFUNCTION("""COMPUTED_VALUE"""),"LONGITUD")</f>
        <v>LONGITUD</v>
      </c>
      <c r="D4616" s="36" t="str">
        <f>IFERROR(__xludf.DUMMYFUNCTION("""COMPUTED_VALUE"""),"ERROR DE ID")</f>
        <v>ERROR DE ID</v>
      </c>
      <c r="E4616" s="36"/>
      <c r="F4616" s="36"/>
      <c r="G4616" s="36"/>
      <c r="H4616" s="36"/>
    </row>
    <row r="4617">
      <c r="A4617" s="36"/>
      <c r="B4617" s="36" t="str">
        <f>IFERROR(__xludf.DUMMYFUNCTION("""COMPUTED_VALUE"""),"LATITUD")</f>
        <v>LATITUD</v>
      </c>
      <c r="C4617" s="36" t="str">
        <f>IFERROR(__xludf.DUMMYFUNCTION("""COMPUTED_VALUE"""),"LONGITUD")</f>
        <v>LONGITUD</v>
      </c>
      <c r="D4617" s="36" t="str">
        <f>IFERROR(__xludf.DUMMYFUNCTION("""COMPUTED_VALUE"""),"ERROR DE ID")</f>
        <v>ERROR DE ID</v>
      </c>
      <c r="E4617" s="36"/>
      <c r="F4617" s="36"/>
      <c r="G4617" s="36"/>
      <c r="H4617" s="36"/>
    </row>
    <row r="4618">
      <c r="A4618" s="36"/>
      <c r="B4618" s="36" t="str">
        <f>IFERROR(__xludf.DUMMYFUNCTION("""COMPUTED_VALUE"""),"LATITUD")</f>
        <v>LATITUD</v>
      </c>
      <c r="C4618" s="36" t="str">
        <f>IFERROR(__xludf.DUMMYFUNCTION("""COMPUTED_VALUE"""),"LONGITUD")</f>
        <v>LONGITUD</v>
      </c>
      <c r="D4618" s="36" t="str">
        <f>IFERROR(__xludf.DUMMYFUNCTION("""COMPUTED_VALUE"""),"ERROR DE ID")</f>
        <v>ERROR DE ID</v>
      </c>
      <c r="E4618" s="36"/>
      <c r="F4618" s="36"/>
      <c r="G4618" s="36"/>
      <c r="H4618" s="36"/>
    </row>
    <row r="4619">
      <c r="A4619" s="36"/>
      <c r="B4619" s="36" t="str">
        <f>IFERROR(__xludf.DUMMYFUNCTION("""COMPUTED_VALUE"""),"LATITUD")</f>
        <v>LATITUD</v>
      </c>
      <c r="C4619" s="36" t="str">
        <f>IFERROR(__xludf.DUMMYFUNCTION("""COMPUTED_VALUE"""),"LONGITUD")</f>
        <v>LONGITUD</v>
      </c>
      <c r="D4619" s="36" t="str">
        <f>IFERROR(__xludf.DUMMYFUNCTION("""COMPUTED_VALUE"""),"ERROR DE ID")</f>
        <v>ERROR DE ID</v>
      </c>
      <c r="E4619" s="36"/>
      <c r="F4619" s="36"/>
      <c r="G4619" s="36"/>
      <c r="H4619" s="36"/>
    </row>
    <row r="4620">
      <c r="A4620" s="36"/>
      <c r="B4620" s="36" t="str">
        <f>IFERROR(__xludf.DUMMYFUNCTION("""COMPUTED_VALUE"""),"LATITUD")</f>
        <v>LATITUD</v>
      </c>
      <c r="C4620" s="36" t="str">
        <f>IFERROR(__xludf.DUMMYFUNCTION("""COMPUTED_VALUE"""),"LONGITUD")</f>
        <v>LONGITUD</v>
      </c>
      <c r="D4620" s="36" t="str">
        <f>IFERROR(__xludf.DUMMYFUNCTION("""COMPUTED_VALUE"""),"ERROR DE ID")</f>
        <v>ERROR DE ID</v>
      </c>
      <c r="E4620" s="36"/>
      <c r="F4620" s="36"/>
      <c r="G4620" s="36"/>
      <c r="H4620" s="36"/>
    </row>
    <row r="4621">
      <c r="A4621" s="36"/>
      <c r="B4621" s="36" t="str">
        <f>IFERROR(__xludf.DUMMYFUNCTION("""COMPUTED_VALUE"""),"LATITUD")</f>
        <v>LATITUD</v>
      </c>
      <c r="C4621" s="36" t="str">
        <f>IFERROR(__xludf.DUMMYFUNCTION("""COMPUTED_VALUE"""),"LONGITUD")</f>
        <v>LONGITUD</v>
      </c>
      <c r="D4621" s="36" t="str">
        <f>IFERROR(__xludf.DUMMYFUNCTION("""COMPUTED_VALUE"""),"ERROR DE ID")</f>
        <v>ERROR DE ID</v>
      </c>
      <c r="E4621" s="36"/>
      <c r="F4621" s="36"/>
      <c r="G4621" s="36"/>
      <c r="H4621" s="36"/>
    </row>
    <row r="4622">
      <c r="A4622" s="36"/>
      <c r="B4622" s="36" t="str">
        <f>IFERROR(__xludf.DUMMYFUNCTION("""COMPUTED_VALUE"""),"LATITUD")</f>
        <v>LATITUD</v>
      </c>
      <c r="C4622" s="36" t="str">
        <f>IFERROR(__xludf.DUMMYFUNCTION("""COMPUTED_VALUE"""),"LONGITUD")</f>
        <v>LONGITUD</v>
      </c>
      <c r="D4622" s="36" t="str">
        <f>IFERROR(__xludf.DUMMYFUNCTION("""COMPUTED_VALUE"""),"ERROR DE ID")</f>
        <v>ERROR DE ID</v>
      </c>
      <c r="E4622" s="36"/>
      <c r="F4622" s="36"/>
      <c r="G4622" s="36"/>
      <c r="H4622" s="36"/>
    </row>
    <row r="4623">
      <c r="A4623" s="36"/>
      <c r="B4623" s="36" t="str">
        <f>IFERROR(__xludf.DUMMYFUNCTION("""COMPUTED_VALUE"""),"LATITUD")</f>
        <v>LATITUD</v>
      </c>
      <c r="C4623" s="36" t="str">
        <f>IFERROR(__xludf.DUMMYFUNCTION("""COMPUTED_VALUE"""),"LONGITUD")</f>
        <v>LONGITUD</v>
      </c>
      <c r="D4623" s="36" t="str">
        <f>IFERROR(__xludf.DUMMYFUNCTION("""COMPUTED_VALUE"""),"ERROR DE ID")</f>
        <v>ERROR DE ID</v>
      </c>
      <c r="E4623" s="36"/>
      <c r="F4623" s="36"/>
      <c r="G4623" s="36"/>
      <c r="H4623" s="36"/>
    </row>
    <row r="4624">
      <c r="A4624" s="36"/>
      <c r="B4624" s="36" t="str">
        <f>IFERROR(__xludf.DUMMYFUNCTION("""COMPUTED_VALUE"""),"LATITUD")</f>
        <v>LATITUD</v>
      </c>
      <c r="C4624" s="36" t="str">
        <f>IFERROR(__xludf.DUMMYFUNCTION("""COMPUTED_VALUE"""),"LONGITUD")</f>
        <v>LONGITUD</v>
      </c>
      <c r="D4624" s="36" t="str">
        <f>IFERROR(__xludf.DUMMYFUNCTION("""COMPUTED_VALUE"""),"ERROR DE ID")</f>
        <v>ERROR DE ID</v>
      </c>
      <c r="E4624" s="36"/>
      <c r="F4624" s="36"/>
      <c r="G4624" s="36"/>
      <c r="H4624" s="36"/>
    </row>
    <row r="4625">
      <c r="A4625" s="36"/>
      <c r="B4625" s="36" t="str">
        <f>IFERROR(__xludf.DUMMYFUNCTION("""COMPUTED_VALUE"""),"LATITUD")</f>
        <v>LATITUD</v>
      </c>
      <c r="C4625" s="36" t="str">
        <f>IFERROR(__xludf.DUMMYFUNCTION("""COMPUTED_VALUE"""),"LONGITUD")</f>
        <v>LONGITUD</v>
      </c>
      <c r="D4625" s="36" t="str">
        <f>IFERROR(__xludf.DUMMYFUNCTION("""COMPUTED_VALUE"""),"ERROR DE ID")</f>
        <v>ERROR DE ID</v>
      </c>
      <c r="E4625" s="36"/>
      <c r="F4625" s="36"/>
      <c r="G4625" s="36"/>
      <c r="H4625" s="36"/>
    </row>
    <row r="4626">
      <c r="A4626" s="36"/>
      <c r="B4626" s="36" t="str">
        <f>IFERROR(__xludf.DUMMYFUNCTION("""COMPUTED_VALUE"""),"LATITUD")</f>
        <v>LATITUD</v>
      </c>
      <c r="C4626" s="36" t="str">
        <f>IFERROR(__xludf.DUMMYFUNCTION("""COMPUTED_VALUE"""),"LONGITUD")</f>
        <v>LONGITUD</v>
      </c>
      <c r="D4626" s="36" t="str">
        <f>IFERROR(__xludf.DUMMYFUNCTION("""COMPUTED_VALUE"""),"ERROR DE ID")</f>
        <v>ERROR DE ID</v>
      </c>
      <c r="E4626" s="36"/>
      <c r="F4626" s="36"/>
      <c r="G4626" s="36"/>
      <c r="H4626" s="36"/>
    </row>
    <row r="4627">
      <c r="A4627" s="36"/>
      <c r="B4627" s="36" t="str">
        <f>IFERROR(__xludf.DUMMYFUNCTION("""COMPUTED_VALUE"""),"LATITUD")</f>
        <v>LATITUD</v>
      </c>
      <c r="C4627" s="36" t="str">
        <f>IFERROR(__xludf.DUMMYFUNCTION("""COMPUTED_VALUE"""),"LONGITUD")</f>
        <v>LONGITUD</v>
      </c>
      <c r="D4627" s="36" t="str">
        <f>IFERROR(__xludf.DUMMYFUNCTION("""COMPUTED_VALUE"""),"ERROR DE ID")</f>
        <v>ERROR DE ID</v>
      </c>
      <c r="E4627" s="36"/>
      <c r="F4627" s="36"/>
      <c r="G4627" s="36"/>
      <c r="H4627" s="36"/>
    </row>
    <row r="4628">
      <c r="A4628" s="36"/>
      <c r="B4628" s="36" t="str">
        <f>IFERROR(__xludf.DUMMYFUNCTION("""COMPUTED_VALUE"""),"LATITUD")</f>
        <v>LATITUD</v>
      </c>
      <c r="C4628" s="36" t="str">
        <f>IFERROR(__xludf.DUMMYFUNCTION("""COMPUTED_VALUE"""),"LONGITUD")</f>
        <v>LONGITUD</v>
      </c>
      <c r="D4628" s="36" t="str">
        <f>IFERROR(__xludf.DUMMYFUNCTION("""COMPUTED_VALUE"""),"ERROR DE ID")</f>
        <v>ERROR DE ID</v>
      </c>
      <c r="E4628" s="36"/>
      <c r="F4628" s="36"/>
      <c r="G4628" s="36"/>
      <c r="H4628" s="36"/>
    </row>
    <row r="4629">
      <c r="A4629" s="36"/>
      <c r="B4629" s="36" t="str">
        <f>IFERROR(__xludf.DUMMYFUNCTION("""COMPUTED_VALUE"""),"LATITUD")</f>
        <v>LATITUD</v>
      </c>
      <c r="C4629" s="36" t="str">
        <f>IFERROR(__xludf.DUMMYFUNCTION("""COMPUTED_VALUE"""),"LONGITUD")</f>
        <v>LONGITUD</v>
      </c>
      <c r="D4629" s="36" t="str">
        <f>IFERROR(__xludf.DUMMYFUNCTION("""COMPUTED_VALUE"""),"ERROR DE ID")</f>
        <v>ERROR DE ID</v>
      </c>
      <c r="E4629" s="36"/>
      <c r="F4629" s="36"/>
      <c r="G4629" s="36"/>
      <c r="H4629" s="36"/>
    </row>
    <row r="4630">
      <c r="A4630" s="36"/>
      <c r="B4630" s="36" t="str">
        <f>IFERROR(__xludf.DUMMYFUNCTION("""COMPUTED_VALUE"""),"LATITUD")</f>
        <v>LATITUD</v>
      </c>
      <c r="C4630" s="36" t="str">
        <f>IFERROR(__xludf.DUMMYFUNCTION("""COMPUTED_VALUE"""),"LONGITUD")</f>
        <v>LONGITUD</v>
      </c>
      <c r="D4630" s="36" t="str">
        <f>IFERROR(__xludf.DUMMYFUNCTION("""COMPUTED_VALUE"""),"ERROR DE ID")</f>
        <v>ERROR DE ID</v>
      </c>
      <c r="E4630" s="36"/>
      <c r="F4630" s="36"/>
      <c r="G4630" s="36"/>
      <c r="H4630" s="36"/>
    </row>
    <row r="4631">
      <c r="A4631" s="36"/>
      <c r="B4631" s="36" t="str">
        <f>IFERROR(__xludf.DUMMYFUNCTION("""COMPUTED_VALUE"""),"LATITUD")</f>
        <v>LATITUD</v>
      </c>
      <c r="C4631" s="36" t="str">
        <f>IFERROR(__xludf.DUMMYFUNCTION("""COMPUTED_VALUE"""),"LONGITUD")</f>
        <v>LONGITUD</v>
      </c>
      <c r="D4631" s="36" t="str">
        <f>IFERROR(__xludf.DUMMYFUNCTION("""COMPUTED_VALUE"""),"ERROR DE ID")</f>
        <v>ERROR DE ID</v>
      </c>
      <c r="E4631" s="36"/>
      <c r="F4631" s="36"/>
      <c r="G4631" s="36"/>
      <c r="H4631" s="36"/>
    </row>
    <row r="4632">
      <c r="A4632" s="36"/>
      <c r="B4632" s="36" t="str">
        <f>IFERROR(__xludf.DUMMYFUNCTION("""COMPUTED_VALUE"""),"LATITUD")</f>
        <v>LATITUD</v>
      </c>
      <c r="C4632" s="36" t="str">
        <f>IFERROR(__xludf.DUMMYFUNCTION("""COMPUTED_VALUE"""),"LONGITUD")</f>
        <v>LONGITUD</v>
      </c>
      <c r="D4632" s="36" t="str">
        <f>IFERROR(__xludf.DUMMYFUNCTION("""COMPUTED_VALUE"""),"ERROR DE ID")</f>
        <v>ERROR DE ID</v>
      </c>
      <c r="E4632" s="36"/>
      <c r="F4632" s="36"/>
      <c r="G4632" s="36"/>
      <c r="H4632" s="36"/>
    </row>
    <row r="4633">
      <c r="A4633" s="36"/>
      <c r="B4633" s="36" t="str">
        <f>IFERROR(__xludf.DUMMYFUNCTION("""COMPUTED_VALUE"""),"LATITUD")</f>
        <v>LATITUD</v>
      </c>
      <c r="C4633" s="36" t="str">
        <f>IFERROR(__xludf.DUMMYFUNCTION("""COMPUTED_VALUE"""),"LONGITUD")</f>
        <v>LONGITUD</v>
      </c>
      <c r="D4633" s="36" t="str">
        <f>IFERROR(__xludf.DUMMYFUNCTION("""COMPUTED_VALUE"""),"ERROR DE ID")</f>
        <v>ERROR DE ID</v>
      </c>
      <c r="E4633" s="36"/>
      <c r="F4633" s="36"/>
      <c r="G4633" s="36"/>
      <c r="H4633" s="36"/>
    </row>
    <row r="4634">
      <c r="A4634" s="36"/>
      <c r="B4634" s="36" t="str">
        <f>IFERROR(__xludf.DUMMYFUNCTION("""COMPUTED_VALUE"""),"LATITUD")</f>
        <v>LATITUD</v>
      </c>
      <c r="C4634" s="36" t="str">
        <f>IFERROR(__xludf.DUMMYFUNCTION("""COMPUTED_VALUE"""),"LONGITUD")</f>
        <v>LONGITUD</v>
      </c>
      <c r="D4634" s="36" t="str">
        <f>IFERROR(__xludf.DUMMYFUNCTION("""COMPUTED_VALUE"""),"ERROR DE ID")</f>
        <v>ERROR DE ID</v>
      </c>
      <c r="E4634" s="36"/>
      <c r="F4634" s="36"/>
      <c r="G4634" s="36"/>
      <c r="H4634" s="36"/>
    </row>
    <row r="4635">
      <c r="A4635" s="36"/>
      <c r="B4635" s="36" t="str">
        <f>IFERROR(__xludf.DUMMYFUNCTION("""COMPUTED_VALUE"""),"LATITUD")</f>
        <v>LATITUD</v>
      </c>
      <c r="C4635" s="36" t="str">
        <f>IFERROR(__xludf.DUMMYFUNCTION("""COMPUTED_VALUE"""),"LONGITUD")</f>
        <v>LONGITUD</v>
      </c>
      <c r="D4635" s="36" t="str">
        <f>IFERROR(__xludf.DUMMYFUNCTION("""COMPUTED_VALUE"""),"ERROR DE ID")</f>
        <v>ERROR DE ID</v>
      </c>
      <c r="E4635" s="36"/>
      <c r="F4635" s="36"/>
      <c r="G4635" s="36"/>
      <c r="H4635" s="36"/>
    </row>
    <row r="4636">
      <c r="A4636" s="36"/>
      <c r="B4636" s="36" t="str">
        <f>IFERROR(__xludf.DUMMYFUNCTION("""COMPUTED_VALUE"""),"LATITUD")</f>
        <v>LATITUD</v>
      </c>
      <c r="C4636" s="36" t="str">
        <f>IFERROR(__xludf.DUMMYFUNCTION("""COMPUTED_VALUE"""),"LONGITUD")</f>
        <v>LONGITUD</v>
      </c>
      <c r="D4636" s="36" t="str">
        <f>IFERROR(__xludf.DUMMYFUNCTION("""COMPUTED_VALUE"""),"ERROR DE ID")</f>
        <v>ERROR DE ID</v>
      </c>
      <c r="E4636" s="36"/>
      <c r="F4636" s="36"/>
      <c r="G4636" s="36"/>
      <c r="H4636" s="36"/>
    </row>
    <row r="4637">
      <c r="A4637" s="36"/>
      <c r="B4637" s="36" t="str">
        <f>IFERROR(__xludf.DUMMYFUNCTION("""COMPUTED_VALUE"""),"LATITUD")</f>
        <v>LATITUD</v>
      </c>
      <c r="C4637" s="36" t="str">
        <f>IFERROR(__xludf.DUMMYFUNCTION("""COMPUTED_VALUE"""),"LONGITUD")</f>
        <v>LONGITUD</v>
      </c>
      <c r="D4637" s="36" t="str">
        <f>IFERROR(__xludf.DUMMYFUNCTION("""COMPUTED_VALUE"""),"ERROR DE ID")</f>
        <v>ERROR DE ID</v>
      </c>
      <c r="E4637" s="36"/>
      <c r="F4637" s="36"/>
      <c r="G4637" s="36"/>
      <c r="H4637" s="36"/>
    </row>
    <row r="4638">
      <c r="A4638" s="36"/>
      <c r="B4638" s="36" t="str">
        <f>IFERROR(__xludf.DUMMYFUNCTION("""COMPUTED_VALUE"""),"LATITUD")</f>
        <v>LATITUD</v>
      </c>
      <c r="C4638" s="36" t="str">
        <f>IFERROR(__xludf.DUMMYFUNCTION("""COMPUTED_VALUE"""),"LONGITUD")</f>
        <v>LONGITUD</v>
      </c>
      <c r="D4638" s="36" t="str">
        <f>IFERROR(__xludf.DUMMYFUNCTION("""COMPUTED_VALUE"""),"ERROR DE ID")</f>
        <v>ERROR DE ID</v>
      </c>
      <c r="E4638" s="36"/>
      <c r="F4638" s="36"/>
      <c r="G4638" s="36"/>
      <c r="H4638" s="36"/>
    </row>
    <row r="4639">
      <c r="A4639" s="36"/>
      <c r="B4639" s="36" t="str">
        <f>IFERROR(__xludf.DUMMYFUNCTION("""COMPUTED_VALUE"""),"LATITUD")</f>
        <v>LATITUD</v>
      </c>
      <c r="C4639" s="36" t="str">
        <f>IFERROR(__xludf.DUMMYFUNCTION("""COMPUTED_VALUE"""),"LONGITUD")</f>
        <v>LONGITUD</v>
      </c>
      <c r="D4639" s="36" t="str">
        <f>IFERROR(__xludf.DUMMYFUNCTION("""COMPUTED_VALUE"""),"ERROR DE ID")</f>
        <v>ERROR DE ID</v>
      </c>
      <c r="E4639" s="36"/>
      <c r="F4639" s="36"/>
      <c r="G4639" s="36"/>
      <c r="H4639" s="36"/>
    </row>
    <row r="4640">
      <c r="A4640" s="36"/>
      <c r="B4640" s="36" t="str">
        <f>IFERROR(__xludf.DUMMYFUNCTION("""COMPUTED_VALUE"""),"LATITUD")</f>
        <v>LATITUD</v>
      </c>
      <c r="C4640" s="36" t="str">
        <f>IFERROR(__xludf.DUMMYFUNCTION("""COMPUTED_VALUE"""),"LONGITUD")</f>
        <v>LONGITUD</v>
      </c>
      <c r="D4640" s="36" t="str">
        <f>IFERROR(__xludf.DUMMYFUNCTION("""COMPUTED_VALUE"""),"ERROR DE ID")</f>
        <v>ERROR DE ID</v>
      </c>
      <c r="E4640" s="36"/>
      <c r="F4640" s="36"/>
      <c r="G4640" s="36"/>
      <c r="H4640" s="36"/>
    </row>
    <row r="4641">
      <c r="A4641" s="36"/>
      <c r="B4641" s="36" t="str">
        <f>IFERROR(__xludf.DUMMYFUNCTION("""COMPUTED_VALUE"""),"LATITUD")</f>
        <v>LATITUD</v>
      </c>
      <c r="C4641" s="36" t="str">
        <f>IFERROR(__xludf.DUMMYFUNCTION("""COMPUTED_VALUE"""),"LONGITUD")</f>
        <v>LONGITUD</v>
      </c>
      <c r="D4641" s="36" t="str">
        <f>IFERROR(__xludf.DUMMYFUNCTION("""COMPUTED_VALUE"""),"ERROR DE ID")</f>
        <v>ERROR DE ID</v>
      </c>
      <c r="E4641" s="36"/>
      <c r="F4641" s="36"/>
      <c r="G4641" s="36"/>
      <c r="H4641" s="36"/>
    </row>
    <row r="4642">
      <c r="A4642" s="36"/>
      <c r="B4642" s="36" t="str">
        <f>IFERROR(__xludf.DUMMYFUNCTION("""COMPUTED_VALUE"""),"LATITUD")</f>
        <v>LATITUD</v>
      </c>
      <c r="C4642" s="36" t="str">
        <f>IFERROR(__xludf.DUMMYFUNCTION("""COMPUTED_VALUE"""),"LONGITUD")</f>
        <v>LONGITUD</v>
      </c>
      <c r="D4642" s="36" t="str">
        <f>IFERROR(__xludf.DUMMYFUNCTION("""COMPUTED_VALUE"""),"ERROR DE ID")</f>
        <v>ERROR DE ID</v>
      </c>
      <c r="E4642" s="36"/>
      <c r="F4642" s="36"/>
      <c r="G4642" s="36"/>
      <c r="H4642" s="36"/>
    </row>
    <row r="4643">
      <c r="A4643" s="36"/>
      <c r="B4643" s="36" t="str">
        <f>IFERROR(__xludf.DUMMYFUNCTION("""COMPUTED_VALUE"""),"LATITUD")</f>
        <v>LATITUD</v>
      </c>
      <c r="C4643" s="36" t="str">
        <f>IFERROR(__xludf.DUMMYFUNCTION("""COMPUTED_VALUE"""),"LONGITUD")</f>
        <v>LONGITUD</v>
      </c>
      <c r="D4643" s="36" t="str">
        <f>IFERROR(__xludf.DUMMYFUNCTION("""COMPUTED_VALUE"""),"ERROR DE ID")</f>
        <v>ERROR DE ID</v>
      </c>
      <c r="E4643" s="36"/>
      <c r="F4643" s="36"/>
      <c r="G4643" s="36"/>
      <c r="H4643" s="36"/>
    </row>
    <row r="4644">
      <c r="A4644" s="36"/>
      <c r="B4644" s="36" t="str">
        <f>IFERROR(__xludf.DUMMYFUNCTION("""COMPUTED_VALUE"""),"LATITUD")</f>
        <v>LATITUD</v>
      </c>
      <c r="C4644" s="36" t="str">
        <f>IFERROR(__xludf.DUMMYFUNCTION("""COMPUTED_VALUE"""),"LONGITUD")</f>
        <v>LONGITUD</v>
      </c>
      <c r="D4644" s="36" t="str">
        <f>IFERROR(__xludf.DUMMYFUNCTION("""COMPUTED_VALUE"""),"ERROR DE ID")</f>
        <v>ERROR DE ID</v>
      </c>
      <c r="E4644" s="36"/>
      <c r="F4644" s="36"/>
      <c r="G4644" s="36"/>
      <c r="H4644" s="36"/>
    </row>
    <row r="4645">
      <c r="A4645" s="36"/>
      <c r="B4645" s="36" t="str">
        <f>IFERROR(__xludf.DUMMYFUNCTION("""COMPUTED_VALUE"""),"LATITUD")</f>
        <v>LATITUD</v>
      </c>
      <c r="C4645" s="36" t="str">
        <f>IFERROR(__xludf.DUMMYFUNCTION("""COMPUTED_VALUE"""),"LONGITUD")</f>
        <v>LONGITUD</v>
      </c>
      <c r="D4645" s="36" t="str">
        <f>IFERROR(__xludf.DUMMYFUNCTION("""COMPUTED_VALUE"""),"ERROR DE ID")</f>
        <v>ERROR DE ID</v>
      </c>
      <c r="E4645" s="36"/>
      <c r="F4645" s="36"/>
      <c r="G4645" s="36"/>
      <c r="H4645" s="36"/>
    </row>
    <row r="4646">
      <c r="A4646" s="36"/>
      <c r="B4646" s="36" t="str">
        <f>IFERROR(__xludf.DUMMYFUNCTION("""COMPUTED_VALUE"""),"LATITUD")</f>
        <v>LATITUD</v>
      </c>
      <c r="C4646" s="36" t="str">
        <f>IFERROR(__xludf.DUMMYFUNCTION("""COMPUTED_VALUE"""),"LONGITUD")</f>
        <v>LONGITUD</v>
      </c>
      <c r="D4646" s="36" t="str">
        <f>IFERROR(__xludf.DUMMYFUNCTION("""COMPUTED_VALUE"""),"ERROR DE ID")</f>
        <v>ERROR DE ID</v>
      </c>
      <c r="E4646" s="36"/>
      <c r="F4646" s="36"/>
      <c r="G4646" s="36"/>
      <c r="H4646" s="36"/>
    </row>
    <row r="4647">
      <c r="A4647" s="36"/>
      <c r="B4647" s="36" t="str">
        <f>IFERROR(__xludf.DUMMYFUNCTION("""COMPUTED_VALUE"""),"LATITUD")</f>
        <v>LATITUD</v>
      </c>
      <c r="C4647" s="36" t="str">
        <f>IFERROR(__xludf.DUMMYFUNCTION("""COMPUTED_VALUE"""),"LONGITUD")</f>
        <v>LONGITUD</v>
      </c>
      <c r="D4647" s="36" t="str">
        <f>IFERROR(__xludf.DUMMYFUNCTION("""COMPUTED_VALUE"""),"ERROR DE ID")</f>
        <v>ERROR DE ID</v>
      </c>
      <c r="E4647" s="36"/>
      <c r="F4647" s="36"/>
      <c r="G4647" s="36"/>
      <c r="H4647" s="36"/>
    </row>
    <row r="4648">
      <c r="A4648" s="36"/>
      <c r="B4648" s="36" t="str">
        <f>IFERROR(__xludf.DUMMYFUNCTION("""COMPUTED_VALUE"""),"LATITUD")</f>
        <v>LATITUD</v>
      </c>
      <c r="C4648" s="36" t="str">
        <f>IFERROR(__xludf.DUMMYFUNCTION("""COMPUTED_VALUE"""),"LONGITUD")</f>
        <v>LONGITUD</v>
      </c>
      <c r="D4648" s="36" t="str">
        <f>IFERROR(__xludf.DUMMYFUNCTION("""COMPUTED_VALUE"""),"ERROR DE ID")</f>
        <v>ERROR DE ID</v>
      </c>
      <c r="E4648" s="36"/>
      <c r="F4648" s="36"/>
      <c r="G4648" s="36"/>
      <c r="H4648" s="36"/>
    </row>
    <row r="4649">
      <c r="A4649" s="36"/>
      <c r="B4649" s="36" t="str">
        <f>IFERROR(__xludf.DUMMYFUNCTION("""COMPUTED_VALUE"""),"LATITUD")</f>
        <v>LATITUD</v>
      </c>
      <c r="C4649" s="36" t="str">
        <f>IFERROR(__xludf.DUMMYFUNCTION("""COMPUTED_VALUE"""),"LONGITUD")</f>
        <v>LONGITUD</v>
      </c>
      <c r="D4649" s="36" t="str">
        <f>IFERROR(__xludf.DUMMYFUNCTION("""COMPUTED_VALUE"""),"ERROR DE ID")</f>
        <v>ERROR DE ID</v>
      </c>
      <c r="E4649" s="36"/>
      <c r="F4649" s="36"/>
      <c r="G4649" s="36"/>
      <c r="H4649" s="36"/>
    </row>
    <row r="4650">
      <c r="A4650" s="36"/>
      <c r="B4650" s="36" t="str">
        <f>IFERROR(__xludf.DUMMYFUNCTION("""COMPUTED_VALUE"""),"LATITUD")</f>
        <v>LATITUD</v>
      </c>
      <c r="C4650" s="36" t="str">
        <f>IFERROR(__xludf.DUMMYFUNCTION("""COMPUTED_VALUE"""),"LONGITUD")</f>
        <v>LONGITUD</v>
      </c>
      <c r="D4650" s="36" t="str">
        <f>IFERROR(__xludf.DUMMYFUNCTION("""COMPUTED_VALUE"""),"ERROR DE ID")</f>
        <v>ERROR DE ID</v>
      </c>
      <c r="E4650" s="36"/>
      <c r="F4650" s="36"/>
      <c r="G4650" s="36"/>
      <c r="H4650" s="36"/>
    </row>
    <row r="4651">
      <c r="A4651" s="36"/>
      <c r="B4651" s="36" t="str">
        <f>IFERROR(__xludf.DUMMYFUNCTION("""COMPUTED_VALUE"""),"LATITUD")</f>
        <v>LATITUD</v>
      </c>
      <c r="C4651" s="36" t="str">
        <f>IFERROR(__xludf.DUMMYFUNCTION("""COMPUTED_VALUE"""),"LONGITUD")</f>
        <v>LONGITUD</v>
      </c>
      <c r="D4651" s="36" t="str">
        <f>IFERROR(__xludf.DUMMYFUNCTION("""COMPUTED_VALUE"""),"ERROR DE ID")</f>
        <v>ERROR DE ID</v>
      </c>
      <c r="E4651" s="36"/>
      <c r="F4651" s="36"/>
      <c r="G4651" s="36"/>
      <c r="H4651" s="36"/>
    </row>
    <row r="4652">
      <c r="A4652" s="36"/>
      <c r="B4652" s="36" t="str">
        <f>IFERROR(__xludf.DUMMYFUNCTION("""COMPUTED_VALUE"""),"LATITUD")</f>
        <v>LATITUD</v>
      </c>
      <c r="C4652" s="36" t="str">
        <f>IFERROR(__xludf.DUMMYFUNCTION("""COMPUTED_VALUE"""),"LONGITUD")</f>
        <v>LONGITUD</v>
      </c>
      <c r="D4652" s="36" t="str">
        <f>IFERROR(__xludf.DUMMYFUNCTION("""COMPUTED_VALUE"""),"ERROR DE ID")</f>
        <v>ERROR DE ID</v>
      </c>
      <c r="E4652" s="36"/>
      <c r="F4652" s="36"/>
      <c r="G4652" s="36"/>
      <c r="H4652" s="36"/>
    </row>
    <row r="4653">
      <c r="A4653" s="36"/>
      <c r="B4653" s="36" t="str">
        <f>IFERROR(__xludf.DUMMYFUNCTION("""COMPUTED_VALUE"""),"LATITUD")</f>
        <v>LATITUD</v>
      </c>
      <c r="C4653" s="36" t="str">
        <f>IFERROR(__xludf.DUMMYFUNCTION("""COMPUTED_VALUE"""),"LONGITUD")</f>
        <v>LONGITUD</v>
      </c>
      <c r="D4653" s="36" t="str">
        <f>IFERROR(__xludf.DUMMYFUNCTION("""COMPUTED_VALUE"""),"ERROR DE ID")</f>
        <v>ERROR DE ID</v>
      </c>
      <c r="E4653" s="36"/>
      <c r="F4653" s="36"/>
      <c r="G4653" s="36"/>
      <c r="H4653" s="36"/>
    </row>
    <row r="4654">
      <c r="A4654" s="36"/>
      <c r="B4654" s="36" t="str">
        <f>IFERROR(__xludf.DUMMYFUNCTION("""COMPUTED_VALUE"""),"LATITUD")</f>
        <v>LATITUD</v>
      </c>
      <c r="C4654" s="36" t="str">
        <f>IFERROR(__xludf.DUMMYFUNCTION("""COMPUTED_VALUE"""),"LONGITUD")</f>
        <v>LONGITUD</v>
      </c>
      <c r="D4654" s="36" t="str">
        <f>IFERROR(__xludf.DUMMYFUNCTION("""COMPUTED_VALUE"""),"ERROR DE ID")</f>
        <v>ERROR DE ID</v>
      </c>
      <c r="E4654" s="36"/>
      <c r="F4654" s="36"/>
      <c r="G4654" s="36"/>
      <c r="H4654" s="36"/>
    </row>
    <row r="4655">
      <c r="A4655" s="36"/>
      <c r="B4655" s="36" t="str">
        <f>IFERROR(__xludf.DUMMYFUNCTION("""COMPUTED_VALUE"""),"LATITUD")</f>
        <v>LATITUD</v>
      </c>
      <c r="C4655" s="36" t="str">
        <f>IFERROR(__xludf.DUMMYFUNCTION("""COMPUTED_VALUE"""),"LONGITUD")</f>
        <v>LONGITUD</v>
      </c>
      <c r="D4655" s="36" t="str">
        <f>IFERROR(__xludf.DUMMYFUNCTION("""COMPUTED_VALUE"""),"ERROR DE ID")</f>
        <v>ERROR DE ID</v>
      </c>
      <c r="E4655" s="36"/>
      <c r="F4655" s="36"/>
      <c r="G4655" s="36"/>
      <c r="H4655" s="36"/>
    </row>
    <row r="4656">
      <c r="A4656" s="36"/>
      <c r="B4656" s="36" t="str">
        <f>IFERROR(__xludf.DUMMYFUNCTION("""COMPUTED_VALUE"""),"LATITUD")</f>
        <v>LATITUD</v>
      </c>
      <c r="C4656" s="36" t="str">
        <f>IFERROR(__xludf.DUMMYFUNCTION("""COMPUTED_VALUE"""),"LONGITUD")</f>
        <v>LONGITUD</v>
      </c>
      <c r="D4656" s="36" t="str">
        <f>IFERROR(__xludf.DUMMYFUNCTION("""COMPUTED_VALUE"""),"ERROR DE ID")</f>
        <v>ERROR DE ID</v>
      </c>
      <c r="E4656" s="36"/>
      <c r="F4656" s="36"/>
      <c r="G4656" s="36"/>
      <c r="H4656" s="36"/>
    </row>
    <row r="4657">
      <c r="A4657" s="36"/>
      <c r="B4657" s="36" t="str">
        <f>IFERROR(__xludf.DUMMYFUNCTION("""COMPUTED_VALUE"""),"LATITUD")</f>
        <v>LATITUD</v>
      </c>
      <c r="C4657" s="36" t="str">
        <f>IFERROR(__xludf.DUMMYFUNCTION("""COMPUTED_VALUE"""),"LONGITUD")</f>
        <v>LONGITUD</v>
      </c>
      <c r="D4657" s="36" t="str">
        <f>IFERROR(__xludf.DUMMYFUNCTION("""COMPUTED_VALUE"""),"ERROR DE ID")</f>
        <v>ERROR DE ID</v>
      </c>
      <c r="E4657" s="36"/>
      <c r="F4657" s="36"/>
      <c r="G4657" s="36"/>
      <c r="H4657" s="36"/>
    </row>
    <row r="4658">
      <c r="A4658" s="36"/>
      <c r="B4658" s="36" t="str">
        <f>IFERROR(__xludf.DUMMYFUNCTION("""COMPUTED_VALUE"""),"LATITUD")</f>
        <v>LATITUD</v>
      </c>
      <c r="C4658" s="36" t="str">
        <f>IFERROR(__xludf.DUMMYFUNCTION("""COMPUTED_VALUE"""),"LONGITUD")</f>
        <v>LONGITUD</v>
      </c>
      <c r="D4658" s="36" t="str">
        <f>IFERROR(__xludf.DUMMYFUNCTION("""COMPUTED_VALUE"""),"ERROR DE ID")</f>
        <v>ERROR DE ID</v>
      </c>
      <c r="E4658" s="36"/>
      <c r="F4658" s="36"/>
      <c r="G4658" s="36"/>
      <c r="H4658" s="36"/>
    </row>
    <row r="4659">
      <c r="A4659" s="36"/>
      <c r="B4659" s="36" t="str">
        <f>IFERROR(__xludf.DUMMYFUNCTION("""COMPUTED_VALUE"""),"LATITUD")</f>
        <v>LATITUD</v>
      </c>
      <c r="C4659" s="36" t="str">
        <f>IFERROR(__xludf.DUMMYFUNCTION("""COMPUTED_VALUE"""),"LONGITUD")</f>
        <v>LONGITUD</v>
      </c>
      <c r="D4659" s="36" t="str">
        <f>IFERROR(__xludf.DUMMYFUNCTION("""COMPUTED_VALUE"""),"ERROR DE ID")</f>
        <v>ERROR DE ID</v>
      </c>
      <c r="E4659" s="36"/>
      <c r="F4659" s="36"/>
      <c r="G4659" s="36"/>
      <c r="H4659" s="36"/>
    </row>
    <row r="4660">
      <c r="A4660" s="36"/>
      <c r="B4660" s="36" t="str">
        <f>IFERROR(__xludf.DUMMYFUNCTION("""COMPUTED_VALUE"""),"LATITUD")</f>
        <v>LATITUD</v>
      </c>
      <c r="C4660" s="36" t="str">
        <f>IFERROR(__xludf.DUMMYFUNCTION("""COMPUTED_VALUE"""),"LONGITUD")</f>
        <v>LONGITUD</v>
      </c>
      <c r="D4660" s="36" t="str">
        <f>IFERROR(__xludf.DUMMYFUNCTION("""COMPUTED_VALUE"""),"ERROR DE ID")</f>
        <v>ERROR DE ID</v>
      </c>
      <c r="E4660" s="36"/>
      <c r="F4660" s="36"/>
      <c r="G4660" s="36"/>
      <c r="H4660" s="36"/>
    </row>
    <row r="4661">
      <c r="A4661" s="36"/>
      <c r="B4661" s="36" t="str">
        <f>IFERROR(__xludf.DUMMYFUNCTION("""COMPUTED_VALUE"""),"LATITUD")</f>
        <v>LATITUD</v>
      </c>
      <c r="C4661" s="36" t="str">
        <f>IFERROR(__xludf.DUMMYFUNCTION("""COMPUTED_VALUE"""),"LONGITUD")</f>
        <v>LONGITUD</v>
      </c>
      <c r="D4661" s="36" t="str">
        <f>IFERROR(__xludf.DUMMYFUNCTION("""COMPUTED_VALUE"""),"ERROR DE ID")</f>
        <v>ERROR DE ID</v>
      </c>
      <c r="E4661" s="36"/>
      <c r="F4661" s="36"/>
      <c r="G4661" s="36"/>
      <c r="H4661" s="36"/>
    </row>
    <row r="4662">
      <c r="A4662" s="36"/>
      <c r="B4662" s="36" t="str">
        <f>IFERROR(__xludf.DUMMYFUNCTION("""COMPUTED_VALUE"""),"LATITUD")</f>
        <v>LATITUD</v>
      </c>
      <c r="C4662" s="36" t="str">
        <f>IFERROR(__xludf.DUMMYFUNCTION("""COMPUTED_VALUE"""),"LONGITUD")</f>
        <v>LONGITUD</v>
      </c>
      <c r="D4662" s="36" t="str">
        <f>IFERROR(__xludf.DUMMYFUNCTION("""COMPUTED_VALUE"""),"ERROR DE ID")</f>
        <v>ERROR DE ID</v>
      </c>
      <c r="E4662" s="36"/>
      <c r="F4662" s="36"/>
      <c r="G4662" s="36"/>
      <c r="H4662" s="36"/>
    </row>
    <row r="4663">
      <c r="A4663" s="36"/>
      <c r="B4663" s="36" t="str">
        <f>IFERROR(__xludf.DUMMYFUNCTION("""COMPUTED_VALUE"""),"LATITUD")</f>
        <v>LATITUD</v>
      </c>
      <c r="C4663" s="36" t="str">
        <f>IFERROR(__xludf.DUMMYFUNCTION("""COMPUTED_VALUE"""),"LONGITUD")</f>
        <v>LONGITUD</v>
      </c>
      <c r="D4663" s="36" t="str">
        <f>IFERROR(__xludf.DUMMYFUNCTION("""COMPUTED_VALUE"""),"ERROR DE ID")</f>
        <v>ERROR DE ID</v>
      </c>
      <c r="E4663" s="36"/>
      <c r="F4663" s="36"/>
      <c r="G4663" s="36"/>
      <c r="H4663" s="36"/>
    </row>
    <row r="4664">
      <c r="A4664" s="36"/>
      <c r="B4664" s="36" t="str">
        <f>IFERROR(__xludf.DUMMYFUNCTION("""COMPUTED_VALUE"""),"LATITUD")</f>
        <v>LATITUD</v>
      </c>
      <c r="C4664" s="36" t="str">
        <f>IFERROR(__xludf.DUMMYFUNCTION("""COMPUTED_VALUE"""),"LONGITUD")</f>
        <v>LONGITUD</v>
      </c>
      <c r="D4664" s="36" t="str">
        <f>IFERROR(__xludf.DUMMYFUNCTION("""COMPUTED_VALUE"""),"ERROR DE ID")</f>
        <v>ERROR DE ID</v>
      </c>
      <c r="E4664" s="36"/>
      <c r="F4664" s="36"/>
      <c r="G4664" s="36"/>
      <c r="H4664" s="36"/>
    </row>
    <row r="4665">
      <c r="A4665" s="36"/>
      <c r="B4665" s="36" t="str">
        <f>IFERROR(__xludf.DUMMYFUNCTION("""COMPUTED_VALUE"""),"LATITUD")</f>
        <v>LATITUD</v>
      </c>
      <c r="C4665" s="36" t="str">
        <f>IFERROR(__xludf.DUMMYFUNCTION("""COMPUTED_VALUE"""),"LONGITUD")</f>
        <v>LONGITUD</v>
      </c>
      <c r="D4665" s="36" t="str">
        <f>IFERROR(__xludf.DUMMYFUNCTION("""COMPUTED_VALUE"""),"ERROR DE ID")</f>
        <v>ERROR DE ID</v>
      </c>
      <c r="E4665" s="36"/>
      <c r="F4665" s="36"/>
      <c r="G4665" s="36"/>
      <c r="H4665" s="36"/>
    </row>
    <row r="4666">
      <c r="A4666" s="36"/>
      <c r="B4666" s="36" t="str">
        <f>IFERROR(__xludf.DUMMYFUNCTION("""COMPUTED_VALUE"""),"LATITUD")</f>
        <v>LATITUD</v>
      </c>
      <c r="C4666" s="36" t="str">
        <f>IFERROR(__xludf.DUMMYFUNCTION("""COMPUTED_VALUE"""),"LONGITUD")</f>
        <v>LONGITUD</v>
      </c>
      <c r="D4666" s="36" t="str">
        <f>IFERROR(__xludf.DUMMYFUNCTION("""COMPUTED_VALUE"""),"ERROR DE ID")</f>
        <v>ERROR DE ID</v>
      </c>
      <c r="E4666" s="36"/>
      <c r="F4666" s="36"/>
      <c r="G4666" s="36"/>
      <c r="H4666" s="36"/>
    </row>
    <row r="4667">
      <c r="A4667" s="36"/>
      <c r="B4667" s="36" t="str">
        <f>IFERROR(__xludf.DUMMYFUNCTION("""COMPUTED_VALUE"""),"LATITUD")</f>
        <v>LATITUD</v>
      </c>
      <c r="C4667" s="36" t="str">
        <f>IFERROR(__xludf.DUMMYFUNCTION("""COMPUTED_VALUE"""),"LONGITUD")</f>
        <v>LONGITUD</v>
      </c>
      <c r="D4667" s="36" t="str">
        <f>IFERROR(__xludf.DUMMYFUNCTION("""COMPUTED_VALUE"""),"ERROR DE ID")</f>
        <v>ERROR DE ID</v>
      </c>
      <c r="E4667" s="36"/>
      <c r="F4667" s="36"/>
      <c r="G4667" s="36"/>
      <c r="H4667" s="36"/>
    </row>
    <row r="4668">
      <c r="A4668" s="36"/>
      <c r="B4668" s="36" t="str">
        <f>IFERROR(__xludf.DUMMYFUNCTION("""COMPUTED_VALUE"""),"LATITUD")</f>
        <v>LATITUD</v>
      </c>
      <c r="C4668" s="36" t="str">
        <f>IFERROR(__xludf.DUMMYFUNCTION("""COMPUTED_VALUE"""),"LONGITUD")</f>
        <v>LONGITUD</v>
      </c>
      <c r="D4668" s="36" t="str">
        <f>IFERROR(__xludf.DUMMYFUNCTION("""COMPUTED_VALUE"""),"ERROR DE ID")</f>
        <v>ERROR DE ID</v>
      </c>
      <c r="E4668" s="36"/>
      <c r="F4668" s="36"/>
      <c r="G4668" s="36"/>
      <c r="H4668" s="36"/>
    </row>
    <row r="4669">
      <c r="A4669" s="36"/>
      <c r="B4669" s="36" t="str">
        <f>IFERROR(__xludf.DUMMYFUNCTION("""COMPUTED_VALUE"""),"LATITUD")</f>
        <v>LATITUD</v>
      </c>
      <c r="C4669" s="36" t="str">
        <f>IFERROR(__xludf.DUMMYFUNCTION("""COMPUTED_VALUE"""),"LONGITUD")</f>
        <v>LONGITUD</v>
      </c>
      <c r="D4669" s="36" t="str">
        <f>IFERROR(__xludf.DUMMYFUNCTION("""COMPUTED_VALUE"""),"ERROR DE ID")</f>
        <v>ERROR DE ID</v>
      </c>
      <c r="E4669" s="36"/>
      <c r="F4669" s="36"/>
      <c r="G4669" s="36"/>
      <c r="H4669" s="36"/>
    </row>
    <row r="4670">
      <c r="A4670" s="36"/>
      <c r="B4670" s="36" t="str">
        <f>IFERROR(__xludf.DUMMYFUNCTION("""COMPUTED_VALUE"""),"LATITUD")</f>
        <v>LATITUD</v>
      </c>
      <c r="C4670" s="36" t="str">
        <f>IFERROR(__xludf.DUMMYFUNCTION("""COMPUTED_VALUE"""),"LONGITUD")</f>
        <v>LONGITUD</v>
      </c>
      <c r="D4670" s="36" t="str">
        <f>IFERROR(__xludf.DUMMYFUNCTION("""COMPUTED_VALUE"""),"ERROR DE ID")</f>
        <v>ERROR DE ID</v>
      </c>
      <c r="E4670" s="36"/>
      <c r="F4670" s="36"/>
      <c r="G4670" s="36"/>
      <c r="H4670" s="36"/>
    </row>
    <row r="4671">
      <c r="A4671" s="36"/>
      <c r="B4671" s="36" t="str">
        <f>IFERROR(__xludf.DUMMYFUNCTION("""COMPUTED_VALUE"""),"LATITUD")</f>
        <v>LATITUD</v>
      </c>
      <c r="C4671" s="36" t="str">
        <f>IFERROR(__xludf.DUMMYFUNCTION("""COMPUTED_VALUE"""),"LONGITUD")</f>
        <v>LONGITUD</v>
      </c>
      <c r="D4671" s="36" t="str">
        <f>IFERROR(__xludf.DUMMYFUNCTION("""COMPUTED_VALUE"""),"ERROR DE ID")</f>
        <v>ERROR DE ID</v>
      </c>
      <c r="E4671" s="36"/>
      <c r="F4671" s="36"/>
      <c r="G4671" s="36"/>
      <c r="H4671" s="36"/>
    </row>
    <row r="4672">
      <c r="A4672" s="36"/>
      <c r="B4672" s="36" t="str">
        <f>IFERROR(__xludf.DUMMYFUNCTION("""COMPUTED_VALUE"""),"LATITUD")</f>
        <v>LATITUD</v>
      </c>
      <c r="C4672" s="36" t="str">
        <f>IFERROR(__xludf.DUMMYFUNCTION("""COMPUTED_VALUE"""),"LONGITUD")</f>
        <v>LONGITUD</v>
      </c>
      <c r="D4672" s="36" t="str">
        <f>IFERROR(__xludf.DUMMYFUNCTION("""COMPUTED_VALUE"""),"ERROR DE ID")</f>
        <v>ERROR DE ID</v>
      </c>
      <c r="E4672" s="36"/>
      <c r="F4672" s="36"/>
      <c r="G4672" s="36"/>
      <c r="H4672" s="36"/>
    </row>
    <row r="4673">
      <c r="A4673" s="36"/>
      <c r="B4673" s="36" t="str">
        <f>IFERROR(__xludf.DUMMYFUNCTION("""COMPUTED_VALUE"""),"LATITUD")</f>
        <v>LATITUD</v>
      </c>
      <c r="C4673" s="36" t="str">
        <f>IFERROR(__xludf.DUMMYFUNCTION("""COMPUTED_VALUE"""),"LONGITUD")</f>
        <v>LONGITUD</v>
      </c>
      <c r="D4673" s="36" t="str">
        <f>IFERROR(__xludf.DUMMYFUNCTION("""COMPUTED_VALUE"""),"ERROR DE ID")</f>
        <v>ERROR DE ID</v>
      </c>
      <c r="E4673" s="36"/>
      <c r="F4673" s="36"/>
      <c r="G4673" s="36"/>
      <c r="H4673" s="36"/>
    </row>
    <row r="4674">
      <c r="A4674" s="36"/>
      <c r="B4674" s="36" t="str">
        <f>IFERROR(__xludf.DUMMYFUNCTION("""COMPUTED_VALUE"""),"LATITUD")</f>
        <v>LATITUD</v>
      </c>
      <c r="C4674" s="36" t="str">
        <f>IFERROR(__xludf.DUMMYFUNCTION("""COMPUTED_VALUE"""),"LONGITUD")</f>
        <v>LONGITUD</v>
      </c>
      <c r="D4674" s="36" t="str">
        <f>IFERROR(__xludf.DUMMYFUNCTION("""COMPUTED_VALUE"""),"ERROR DE ID")</f>
        <v>ERROR DE ID</v>
      </c>
      <c r="E4674" s="36"/>
      <c r="F4674" s="36"/>
      <c r="G4674" s="36"/>
      <c r="H4674" s="36"/>
    </row>
    <row r="4675">
      <c r="A4675" s="36"/>
      <c r="B4675" s="36" t="str">
        <f>IFERROR(__xludf.DUMMYFUNCTION("""COMPUTED_VALUE"""),"LATITUD")</f>
        <v>LATITUD</v>
      </c>
      <c r="C4675" s="36" t="str">
        <f>IFERROR(__xludf.DUMMYFUNCTION("""COMPUTED_VALUE"""),"LONGITUD")</f>
        <v>LONGITUD</v>
      </c>
      <c r="D4675" s="36" t="str">
        <f>IFERROR(__xludf.DUMMYFUNCTION("""COMPUTED_VALUE"""),"ERROR DE ID")</f>
        <v>ERROR DE ID</v>
      </c>
      <c r="E4675" s="36"/>
      <c r="F4675" s="36"/>
      <c r="G4675" s="36"/>
      <c r="H4675" s="36"/>
    </row>
    <row r="4676">
      <c r="A4676" s="36"/>
      <c r="B4676" s="36" t="str">
        <f>IFERROR(__xludf.DUMMYFUNCTION("""COMPUTED_VALUE"""),"LATITUD")</f>
        <v>LATITUD</v>
      </c>
      <c r="C4676" s="36" t="str">
        <f>IFERROR(__xludf.DUMMYFUNCTION("""COMPUTED_VALUE"""),"LONGITUD")</f>
        <v>LONGITUD</v>
      </c>
      <c r="D4676" s="36" t="str">
        <f>IFERROR(__xludf.DUMMYFUNCTION("""COMPUTED_VALUE"""),"ERROR DE ID")</f>
        <v>ERROR DE ID</v>
      </c>
      <c r="E4676" s="36"/>
      <c r="F4676" s="36"/>
      <c r="G4676" s="36"/>
      <c r="H4676" s="36"/>
    </row>
    <row r="4677">
      <c r="A4677" s="36"/>
      <c r="B4677" s="36" t="str">
        <f>IFERROR(__xludf.DUMMYFUNCTION("""COMPUTED_VALUE"""),"LATITUD")</f>
        <v>LATITUD</v>
      </c>
      <c r="C4677" s="36" t="str">
        <f>IFERROR(__xludf.DUMMYFUNCTION("""COMPUTED_VALUE"""),"LONGITUD")</f>
        <v>LONGITUD</v>
      </c>
      <c r="D4677" s="36" t="str">
        <f>IFERROR(__xludf.DUMMYFUNCTION("""COMPUTED_VALUE"""),"ERROR DE ID")</f>
        <v>ERROR DE ID</v>
      </c>
      <c r="E4677" s="36"/>
      <c r="F4677" s="36"/>
      <c r="G4677" s="36"/>
      <c r="H4677" s="36"/>
    </row>
    <row r="4678">
      <c r="A4678" s="36"/>
      <c r="B4678" s="36" t="str">
        <f>IFERROR(__xludf.DUMMYFUNCTION("""COMPUTED_VALUE"""),"LATITUD")</f>
        <v>LATITUD</v>
      </c>
      <c r="C4678" s="36" t="str">
        <f>IFERROR(__xludf.DUMMYFUNCTION("""COMPUTED_VALUE"""),"LONGITUD")</f>
        <v>LONGITUD</v>
      </c>
      <c r="D4678" s="36" t="str">
        <f>IFERROR(__xludf.DUMMYFUNCTION("""COMPUTED_VALUE"""),"ERROR DE ID")</f>
        <v>ERROR DE ID</v>
      </c>
      <c r="E4678" s="36"/>
      <c r="F4678" s="36"/>
      <c r="G4678" s="36"/>
      <c r="H4678" s="36"/>
    </row>
    <row r="4679">
      <c r="A4679" s="36"/>
      <c r="B4679" s="36" t="str">
        <f>IFERROR(__xludf.DUMMYFUNCTION("""COMPUTED_VALUE"""),"LATITUD")</f>
        <v>LATITUD</v>
      </c>
      <c r="C4679" s="36" t="str">
        <f>IFERROR(__xludf.DUMMYFUNCTION("""COMPUTED_VALUE"""),"LONGITUD")</f>
        <v>LONGITUD</v>
      </c>
      <c r="D4679" s="36" t="str">
        <f>IFERROR(__xludf.DUMMYFUNCTION("""COMPUTED_VALUE"""),"ERROR DE ID")</f>
        <v>ERROR DE ID</v>
      </c>
      <c r="E4679" s="36"/>
      <c r="F4679" s="36"/>
      <c r="G4679" s="36"/>
      <c r="H4679" s="36"/>
    </row>
    <row r="4680">
      <c r="A4680" s="36"/>
      <c r="B4680" s="36" t="str">
        <f>IFERROR(__xludf.DUMMYFUNCTION("""COMPUTED_VALUE"""),"LATITUD")</f>
        <v>LATITUD</v>
      </c>
      <c r="C4680" s="36" t="str">
        <f>IFERROR(__xludf.DUMMYFUNCTION("""COMPUTED_VALUE"""),"LONGITUD")</f>
        <v>LONGITUD</v>
      </c>
      <c r="D4680" s="36" t="str">
        <f>IFERROR(__xludf.DUMMYFUNCTION("""COMPUTED_VALUE"""),"ERROR DE ID")</f>
        <v>ERROR DE ID</v>
      </c>
      <c r="E4680" s="36"/>
      <c r="F4680" s="36"/>
      <c r="G4680" s="36"/>
      <c r="H4680" s="36"/>
    </row>
    <row r="4681">
      <c r="A4681" s="36"/>
      <c r="B4681" s="36" t="str">
        <f>IFERROR(__xludf.DUMMYFUNCTION("""COMPUTED_VALUE"""),"LATITUD")</f>
        <v>LATITUD</v>
      </c>
      <c r="C4681" s="36" t="str">
        <f>IFERROR(__xludf.DUMMYFUNCTION("""COMPUTED_VALUE"""),"LONGITUD")</f>
        <v>LONGITUD</v>
      </c>
      <c r="D4681" s="36" t="str">
        <f>IFERROR(__xludf.DUMMYFUNCTION("""COMPUTED_VALUE"""),"ERROR DE ID")</f>
        <v>ERROR DE ID</v>
      </c>
      <c r="E4681" s="36"/>
      <c r="F4681" s="36"/>
      <c r="G4681" s="36"/>
      <c r="H4681" s="36"/>
    </row>
    <row r="4682">
      <c r="A4682" s="36"/>
      <c r="B4682" s="36" t="str">
        <f>IFERROR(__xludf.DUMMYFUNCTION("""COMPUTED_VALUE"""),"LATITUD")</f>
        <v>LATITUD</v>
      </c>
      <c r="C4682" s="36" t="str">
        <f>IFERROR(__xludf.DUMMYFUNCTION("""COMPUTED_VALUE"""),"LONGITUD")</f>
        <v>LONGITUD</v>
      </c>
      <c r="D4682" s="36" t="str">
        <f>IFERROR(__xludf.DUMMYFUNCTION("""COMPUTED_VALUE"""),"ERROR DE ID")</f>
        <v>ERROR DE ID</v>
      </c>
      <c r="E4682" s="36"/>
      <c r="F4682" s="36"/>
      <c r="G4682" s="36"/>
      <c r="H4682" s="36"/>
    </row>
    <row r="4683">
      <c r="A4683" s="36"/>
      <c r="B4683" s="36" t="str">
        <f>IFERROR(__xludf.DUMMYFUNCTION("""COMPUTED_VALUE"""),"LATITUD")</f>
        <v>LATITUD</v>
      </c>
      <c r="C4683" s="36" t="str">
        <f>IFERROR(__xludf.DUMMYFUNCTION("""COMPUTED_VALUE"""),"LONGITUD")</f>
        <v>LONGITUD</v>
      </c>
      <c r="D4683" s="36" t="str">
        <f>IFERROR(__xludf.DUMMYFUNCTION("""COMPUTED_VALUE"""),"ERROR DE ID")</f>
        <v>ERROR DE ID</v>
      </c>
      <c r="E4683" s="36"/>
      <c r="F4683" s="36"/>
      <c r="G4683" s="36"/>
      <c r="H4683" s="36"/>
    </row>
    <row r="4684">
      <c r="A4684" s="36"/>
      <c r="B4684" s="36" t="str">
        <f>IFERROR(__xludf.DUMMYFUNCTION("""COMPUTED_VALUE"""),"LATITUD")</f>
        <v>LATITUD</v>
      </c>
      <c r="C4684" s="36" t="str">
        <f>IFERROR(__xludf.DUMMYFUNCTION("""COMPUTED_VALUE"""),"LONGITUD")</f>
        <v>LONGITUD</v>
      </c>
      <c r="D4684" s="36" t="str">
        <f>IFERROR(__xludf.DUMMYFUNCTION("""COMPUTED_VALUE"""),"ERROR DE ID")</f>
        <v>ERROR DE ID</v>
      </c>
      <c r="E4684" s="36"/>
      <c r="F4684" s="36"/>
      <c r="G4684" s="36"/>
      <c r="H4684" s="36"/>
    </row>
    <row r="4685">
      <c r="A4685" s="36"/>
      <c r="B4685" s="36" t="str">
        <f>IFERROR(__xludf.DUMMYFUNCTION("""COMPUTED_VALUE"""),"LATITUD")</f>
        <v>LATITUD</v>
      </c>
      <c r="C4685" s="36" t="str">
        <f>IFERROR(__xludf.DUMMYFUNCTION("""COMPUTED_VALUE"""),"LONGITUD")</f>
        <v>LONGITUD</v>
      </c>
      <c r="D4685" s="36" t="str">
        <f>IFERROR(__xludf.DUMMYFUNCTION("""COMPUTED_VALUE"""),"ERROR DE ID")</f>
        <v>ERROR DE ID</v>
      </c>
      <c r="E4685" s="36"/>
      <c r="F4685" s="36"/>
      <c r="G4685" s="36"/>
      <c r="H4685" s="36"/>
    </row>
    <row r="4686">
      <c r="A4686" s="36"/>
      <c r="B4686" s="36" t="str">
        <f>IFERROR(__xludf.DUMMYFUNCTION("""COMPUTED_VALUE"""),"LATITUD")</f>
        <v>LATITUD</v>
      </c>
      <c r="C4686" s="36" t="str">
        <f>IFERROR(__xludf.DUMMYFUNCTION("""COMPUTED_VALUE"""),"LONGITUD")</f>
        <v>LONGITUD</v>
      </c>
      <c r="D4686" s="36" t="str">
        <f>IFERROR(__xludf.DUMMYFUNCTION("""COMPUTED_VALUE"""),"ERROR DE ID")</f>
        <v>ERROR DE ID</v>
      </c>
      <c r="E4686" s="36"/>
      <c r="F4686" s="36"/>
      <c r="G4686" s="36"/>
      <c r="H4686" s="36"/>
    </row>
    <row r="4687">
      <c r="A4687" s="36"/>
      <c r="B4687" s="36" t="str">
        <f>IFERROR(__xludf.DUMMYFUNCTION("""COMPUTED_VALUE"""),"LATITUD")</f>
        <v>LATITUD</v>
      </c>
      <c r="C4687" s="36" t="str">
        <f>IFERROR(__xludf.DUMMYFUNCTION("""COMPUTED_VALUE"""),"LONGITUD")</f>
        <v>LONGITUD</v>
      </c>
      <c r="D4687" s="36" t="str">
        <f>IFERROR(__xludf.DUMMYFUNCTION("""COMPUTED_VALUE"""),"ERROR DE ID")</f>
        <v>ERROR DE ID</v>
      </c>
      <c r="E4687" s="36"/>
      <c r="F4687" s="36"/>
      <c r="G4687" s="36"/>
      <c r="H4687" s="36"/>
    </row>
    <row r="4688">
      <c r="A4688" s="36"/>
      <c r="B4688" s="36" t="str">
        <f>IFERROR(__xludf.DUMMYFUNCTION("""COMPUTED_VALUE"""),"LATITUD")</f>
        <v>LATITUD</v>
      </c>
      <c r="C4688" s="36" t="str">
        <f>IFERROR(__xludf.DUMMYFUNCTION("""COMPUTED_VALUE"""),"LONGITUD")</f>
        <v>LONGITUD</v>
      </c>
      <c r="D4688" s="36" t="str">
        <f>IFERROR(__xludf.DUMMYFUNCTION("""COMPUTED_VALUE"""),"ERROR DE ID")</f>
        <v>ERROR DE ID</v>
      </c>
      <c r="E4688" s="36"/>
      <c r="F4688" s="36"/>
      <c r="G4688" s="36"/>
      <c r="H4688" s="36"/>
    </row>
    <row r="4689">
      <c r="A4689" s="36"/>
      <c r="B4689" s="36" t="str">
        <f>IFERROR(__xludf.DUMMYFUNCTION("""COMPUTED_VALUE"""),"LATITUD")</f>
        <v>LATITUD</v>
      </c>
      <c r="C4689" s="36" t="str">
        <f>IFERROR(__xludf.DUMMYFUNCTION("""COMPUTED_VALUE"""),"LONGITUD")</f>
        <v>LONGITUD</v>
      </c>
      <c r="D4689" s="36" t="str">
        <f>IFERROR(__xludf.DUMMYFUNCTION("""COMPUTED_VALUE"""),"ERROR DE ID")</f>
        <v>ERROR DE ID</v>
      </c>
      <c r="E4689" s="36"/>
      <c r="F4689" s="36"/>
      <c r="G4689" s="36"/>
      <c r="H4689" s="36"/>
    </row>
    <row r="4690">
      <c r="A4690" s="36"/>
      <c r="B4690" s="36" t="str">
        <f>IFERROR(__xludf.DUMMYFUNCTION("""COMPUTED_VALUE"""),"LATITUD")</f>
        <v>LATITUD</v>
      </c>
      <c r="C4690" s="36" t="str">
        <f>IFERROR(__xludf.DUMMYFUNCTION("""COMPUTED_VALUE"""),"LONGITUD")</f>
        <v>LONGITUD</v>
      </c>
      <c r="D4690" s="36" t="str">
        <f>IFERROR(__xludf.DUMMYFUNCTION("""COMPUTED_VALUE"""),"ERROR DE ID")</f>
        <v>ERROR DE ID</v>
      </c>
      <c r="E4690" s="36"/>
      <c r="F4690" s="36"/>
      <c r="G4690" s="36"/>
      <c r="H4690" s="36"/>
    </row>
    <row r="4691">
      <c r="A4691" s="36"/>
      <c r="B4691" s="36" t="str">
        <f>IFERROR(__xludf.DUMMYFUNCTION("""COMPUTED_VALUE"""),"LATITUD")</f>
        <v>LATITUD</v>
      </c>
      <c r="C4691" s="36" t="str">
        <f>IFERROR(__xludf.DUMMYFUNCTION("""COMPUTED_VALUE"""),"LONGITUD")</f>
        <v>LONGITUD</v>
      </c>
      <c r="D4691" s="36" t="str">
        <f>IFERROR(__xludf.DUMMYFUNCTION("""COMPUTED_VALUE"""),"ERROR DE ID")</f>
        <v>ERROR DE ID</v>
      </c>
      <c r="E4691" s="36"/>
      <c r="F4691" s="36"/>
      <c r="G4691" s="36"/>
      <c r="H4691" s="36"/>
    </row>
    <row r="4692">
      <c r="A4692" s="36"/>
      <c r="B4692" s="36" t="str">
        <f>IFERROR(__xludf.DUMMYFUNCTION("""COMPUTED_VALUE"""),"LATITUD")</f>
        <v>LATITUD</v>
      </c>
      <c r="C4692" s="36" t="str">
        <f>IFERROR(__xludf.DUMMYFUNCTION("""COMPUTED_VALUE"""),"LONGITUD")</f>
        <v>LONGITUD</v>
      </c>
      <c r="D4692" s="36" t="str">
        <f>IFERROR(__xludf.DUMMYFUNCTION("""COMPUTED_VALUE"""),"ERROR DE ID")</f>
        <v>ERROR DE ID</v>
      </c>
      <c r="E4692" s="36"/>
      <c r="F4692" s="36"/>
      <c r="G4692" s="36"/>
      <c r="H4692" s="36"/>
    </row>
    <row r="4693">
      <c r="A4693" s="36"/>
      <c r="B4693" s="36" t="str">
        <f>IFERROR(__xludf.DUMMYFUNCTION("""COMPUTED_VALUE"""),"LATITUD")</f>
        <v>LATITUD</v>
      </c>
      <c r="C4693" s="36" t="str">
        <f>IFERROR(__xludf.DUMMYFUNCTION("""COMPUTED_VALUE"""),"LONGITUD")</f>
        <v>LONGITUD</v>
      </c>
      <c r="D4693" s="36" t="str">
        <f>IFERROR(__xludf.DUMMYFUNCTION("""COMPUTED_VALUE"""),"ERROR DE ID")</f>
        <v>ERROR DE ID</v>
      </c>
      <c r="E4693" s="36"/>
      <c r="F4693" s="36"/>
      <c r="G4693" s="36"/>
      <c r="H4693" s="36"/>
    </row>
    <row r="4694">
      <c r="A4694" s="36"/>
      <c r="B4694" s="36" t="str">
        <f>IFERROR(__xludf.DUMMYFUNCTION("""COMPUTED_VALUE"""),"LATITUD")</f>
        <v>LATITUD</v>
      </c>
      <c r="C4694" s="36" t="str">
        <f>IFERROR(__xludf.DUMMYFUNCTION("""COMPUTED_VALUE"""),"LONGITUD")</f>
        <v>LONGITUD</v>
      </c>
      <c r="D4694" s="36" t="str">
        <f>IFERROR(__xludf.DUMMYFUNCTION("""COMPUTED_VALUE"""),"ERROR DE ID")</f>
        <v>ERROR DE ID</v>
      </c>
      <c r="E4694" s="36"/>
      <c r="F4694" s="36"/>
      <c r="G4694" s="36"/>
      <c r="H4694" s="36"/>
    </row>
    <row r="4695">
      <c r="A4695" s="36"/>
      <c r="B4695" s="36" t="str">
        <f>IFERROR(__xludf.DUMMYFUNCTION("""COMPUTED_VALUE"""),"LATITUD")</f>
        <v>LATITUD</v>
      </c>
      <c r="C4695" s="36" t="str">
        <f>IFERROR(__xludf.DUMMYFUNCTION("""COMPUTED_VALUE"""),"LONGITUD")</f>
        <v>LONGITUD</v>
      </c>
      <c r="D4695" s="36" t="str">
        <f>IFERROR(__xludf.DUMMYFUNCTION("""COMPUTED_VALUE"""),"ERROR DE ID")</f>
        <v>ERROR DE ID</v>
      </c>
      <c r="E4695" s="36"/>
      <c r="F4695" s="36"/>
      <c r="G4695" s="36"/>
      <c r="H4695" s="36"/>
    </row>
    <row r="4696">
      <c r="A4696" s="36"/>
      <c r="B4696" s="36" t="str">
        <f>IFERROR(__xludf.DUMMYFUNCTION("""COMPUTED_VALUE"""),"LATITUD")</f>
        <v>LATITUD</v>
      </c>
      <c r="C4696" s="36" t="str">
        <f>IFERROR(__xludf.DUMMYFUNCTION("""COMPUTED_VALUE"""),"LONGITUD")</f>
        <v>LONGITUD</v>
      </c>
      <c r="D4696" s="36" t="str">
        <f>IFERROR(__xludf.DUMMYFUNCTION("""COMPUTED_VALUE"""),"ERROR DE ID")</f>
        <v>ERROR DE ID</v>
      </c>
      <c r="E4696" s="36"/>
      <c r="F4696" s="36"/>
      <c r="G4696" s="36"/>
      <c r="H4696" s="36"/>
    </row>
    <row r="4697">
      <c r="A4697" s="36"/>
      <c r="B4697" s="36" t="str">
        <f>IFERROR(__xludf.DUMMYFUNCTION("""COMPUTED_VALUE"""),"LATITUD")</f>
        <v>LATITUD</v>
      </c>
      <c r="C4697" s="36" t="str">
        <f>IFERROR(__xludf.DUMMYFUNCTION("""COMPUTED_VALUE"""),"LONGITUD")</f>
        <v>LONGITUD</v>
      </c>
      <c r="D4697" s="36" t="str">
        <f>IFERROR(__xludf.DUMMYFUNCTION("""COMPUTED_VALUE"""),"ERROR DE ID")</f>
        <v>ERROR DE ID</v>
      </c>
      <c r="E4697" s="36"/>
      <c r="F4697" s="36"/>
      <c r="G4697" s="36"/>
      <c r="H4697" s="36"/>
    </row>
    <row r="4698">
      <c r="A4698" s="36"/>
      <c r="B4698" s="36" t="str">
        <f>IFERROR(__xludf.DUMMYFUNCTION("""COMPUTED_VALUE"""),"LATITUD")</f>
        <v>LATITUD</v>
      </c>
      <c r="C4698" s="36" t="str">
        <f>IFERROR(__xludf.DUMMYFUNCTION("""COMPUTED_VALUE"""),"LONGITUD")</f>
        <v>LONGITUD</v>
      </c>
      <c r="D4698" s="36" t="str">
        <f>IFERROR(__xludf.DUMMYFUNCTION("""COMPUTED_VALUE"""),"ERROR DE ID")</f>
        <v>ERROR DE ID</v>
      </c>
      <c r="E4698" s="36"/>
      <c r="F4698" s="36"/>
      <c r="G4698" s="36"/>
      <c r="H4698" s="36"/>
    </row>
    <row r="4699">
      <c r="A4699" s="36"/>
      <c r="B4699" s="36" t="str">
        <f>IFERROR(__xludf.DUMMYFUNCTION("""COMPUTED_VALUE"""),"LATITUD")</f>
        <v>LATITUD</v>
      </c>
      <c r="C4699" s="36" t="str">
        <f>IFERROR(__xludf.DUMMYFUNCTION("""COMPUTED_VALUE"""),"LONGITUD")</f>
        <v>LONGITUD</v>
      </c>
      <c r="D4699" s="36" t="str">
        <f>IFERROR(__xludf.DUMMYFUNCTION("""COMPUTED_VALUE"""),"ERROR DE ID")</f>
        <v>ERROR DE ID</v>
      </c>
      <c r="E4699" s="36"/>
      <c r="F4699" s="36"/>
      <c r="G4699" s="36"/>
      <c r="H4699" s="36"/>
    </row>
    <row r="4700">
      <c r="A4700" s="36"/>
      <c r="B4700" s="36" t="str">
        <f>IFERROR(__xludf.DUMMYFUNCTION("""COMPUTED_VALUE"""),"LATITUD")</f>
        <v>LATITUD</v>
      </c>
      <c r="C4700" s="36" t="str">
        <f>IFERROR(__xludf.DUMMYFUNCTION("""COMPUTED_VALUE"""),"LONGITUD")</f>
        <v>LONGITUD</v>
      </c>
      <c r="D4700" s="36" t="str">
        <f>IFERROR(__xludf.DUMMYFUNCTION("""COMPUTED_VALUE"""),"ERROR DE ID")</f>
        <v>ERROR DE ID</v>
      </c>
      <c r="E4700" s="36"/>
      <c r="F4700" s="36"/>
      <c r="G4700" s="36"/>
      <c r="H4700" s="36"/>
    </row>
    <row r="4701">
      <c r="A4701" s="36"/>
      <c r="B4701" s="36" t="str">
        <f>IFERROR(__xludf.DUMMYFUNCTION("""COMPUTED_VALUE"""),"LATITUD")</f>
        <v>LATITUD</v>
      </c>
      <c r="C4701" s="36" t="str">
        <f>IFERROR(__xludf.DUMMYFUNCTION("""COMPUTED_VALUE"""),"LONGITUD")</f>
        <v>LONGITUD</v>
      </c>
      <c r="D4701" s="36" t="str">
        <f>IFERROR(__xludf.DUMMYFUNCTION("""COMPUTED_VALUE"""),"ERROR DE ID")</f>
        <v>ERROR DE ID</v>
      </c>
      <c r="E4701" s="36"/>
      <c r="F4701" s="36"/>
      <c r="G4701" s="36"/>
      <c r="H4701" s="36"/>
    </row>
    <row r="4702">
      <c r="A4702" s="36"/>
      <c r="B4702" s="36" t="str">
        <f>IFERROR(__xludf.DUMMYFUNCTION("""COMPUTED_VALUE"""),"LATITUD")</f>
        <v>LATITUD</v>
      </c>
      <c r="C4702" s="36" t="str">
        <f>IFERROR(__xludf.DUMMYFUNCTION("""COMPUTED_VALUE"""),"LONGITUD")</f>
        <v>LONGITUD</v>
      </c>
      <c r="D4702" s="36" t="str">
        <f>IFERROR(__xludf.DUMMYFUNCTION("""COMPUTED_VALUE"""),"ERROR DE ID")</f>
        <v>ERROR DE ID</v>
      </c>
      <c r="E4702" s="36"/>
      <c r="F4702" s="36"/>
      <c r="G4702" s="36"/>
      <c r="H4702" s="36"/>
    </row>
    <row r="4703">
      <c r="A4703" s="36"/>
      <c r="B4703" s="36" t="str">
        <f>IFERROR(__xludf.DUMMYFUNCTION("""COMPUTED_VALUE"""),"LATITUD")</f>
        <v>LATITUD</v>
      </c>
      <c r="C4703" s="36" t="str">
        <f>IFERROR(__xludf.DUMMYFUNCTION("""COMPUTED_VALUE"""),"LONGITUD")</f>
        <v>LONGITUD</v>
      </c>
      <c r="D4703" s="36" t="str">
        <f>IFERROR(__xludf.DUMMYFUNCTION("""COMPUTED_VALUE"""),"ERROR DE ID")</f>
        <v>ERROR DE ID</v>
      </c>
      <c r="E4703" s="36"/>
      <c r="F4703" s="36"/>
      <c r="G4703" s="36"/>
      <c r="H4703" s="36"/>
    </row>
    <row r="4704">
      <c r="A4704" s="36"/>
      <c r="B4704" s="36" t="str">
        <f>IFERROR(__xludf.DUMMYFUNCTION("""COMPUTED_VALUE"""),"LATITUD")</f>
        <v>LATITUD</v>
      </c>
      <c r="C4704" s="36" t="str">
        <f>IFERROR(__xludf.DUMMYFUNCTION("""COMPUTED_VALUE"""),"LONGITUD")</f>
        <v>LONGITUD</v>
      </c>
      <c r="D4704" s="36" t="str">
        <f>IFERROR(__xludf.DUMMYFUNCTION("""COMPUTED_VALUE"""),"ERROR DE ID")</f>
        <v>ERROR DE ID</v>
      </c>
      <c r="E4704" s="36"/>
      <c r="F4704" s="36"/>
      <c r="G4704" s="36"/>
      <c r="H4704" s="36"/>
    </row>
    <row r="4705">
      <c r="A4705" s="36"/>
      <c r="B4705" s="36" t="str">
        <f>IFERROR(__xludf.DUMMYFUNCTION("""COMPUTED_VALUE"""),"LATITUD")</f>
        <v>LATITUD</v>
      </c>
      <c r="C4705" s="36" t="str">
        <f>IFERROR(__xludf.DUMMYFUNCTION("""COMPUTED_VALUE"""),"LONGITUD")</f>
        <v>LONGITUD</v>
      </c>
      <c r="D4705" s="36" t="str">
        <f>IFERROR(__xludf.DUMMYFUNCTION("""COMPUTED_VALUE"""),"ERROR DE ID")</f>
        <v>ERROR DE ID</v>
      </c>
      <c r="E4705" s="36"/>
      <c r="F4705" s="36"/>
      <c r="G4705" s="36"/>
      <c r="H4705" s="36"/>
    </row>
    <row r="4706">
      <c r="A4706" s="36"/>
      <c r="B4706" s="36" t="str">
        <f>IFERROR(__xludf.DUMMYFUNCTION("""COMPUTED_VALUE"""),"LATITUD")</f>
        <v>LATITUD</v>
      </c>
      <c r="C4706" s="36" t="str">
        <f>IFERROR(__xludf.DUMMYFUNCTION("""COMPUTED_VALUE"""),"LONGITUD")</f>
        <v>LONGITUD</v>
      </c>
      <c r="D4706" s="36" t="str">
        <f>IFERROR(__xludf.DUMMYFUNCTION("""COMPUTED_VALUE"""),"ERROR DE ID")</f>
        <v>ERROR DE ID</v>
      </c>
      <c r="E4706" s="36"/>
      <c r="F4706" s="36"/>
      <c r="G4706" s="36"/>
      <c r="H4706" s="36"/>
    </row>
    <row r="4707">
      <c r="A4707" s="36"/>
      <c r="B4707" s="36" t="str">
        <f>IFERROR(__xludf.DUMMYFUNCTION("""COMPUTED_VALUE"""),"LATITUD")</f>
        <v>LATITUD</v>
      </c>
      <c r="C4707" s="36" t="str">
        <f>IFERROR(__xludf.DUMMYFUNCTION("""COMPUTED_VALUE"""),"LONGITUD")</f>
        <v>LONGITUD</v>
      </c>
      <c r="D4707" s="36" t="str">
        <f>IFERROR(__xludf.DUMMYFUNCTION("""COMPUTED_VALUE"""),"ERROR DE ID")</f>
        <v>ERROR DE ID</v>
      </c>
      <c r="E4707" s="36"/>
      <c r="F4707" s="36"/>
      <c r="G4707" s="36"/>
      <c r="H4707" s="36"/>
    </row>
    <row r="4708">
      <c r="A4708" s="36"/>
      <c r="B4708" s="36" t="str">
        <f>IFERROR(__xludf.DUMMYFUNCTION("""COMPUTED_VALUE"""),"LATITUD")</f>
        <v>LATITUD</v>
      </c>
      <c r="C4708" s="36" t="str">
        <f>IFERROR(__xludf.DUMMYFUNCTION("""COMPUTED_VALUE"""),"LONGITUD")</f>
        <v>LONGITUD</v>
      </c>
      <c r="D4708" s="36" t="str">
        <f>IFERROR(__xludf.DUMMYFUNCTION("""COMPUTED_VALUE"""),"ERROR DE ID")</f>
        <v>ERROR DE ID</v>
      </c>
      <c r="E4708" s="36"/>
      <c r="F4708" s="36"/>
      <c r="G4708" s="36"/>
      <c r="H4708" s="36"/>
    </row>
    <row r="4709">
      <c r="A4709" s="36"/>
      <c r="B4709" s="36" t="str">
        <f>IFERROR(__xludf.DUMMYFUNCTION("""COMPUTED_VALUE"""),"LATITUD")</f>
        <v>LATITUD</v>
      </c>
      <c r="C4709" s="36" t="str">
        <f>IFERROR(__xludf.DUMMYFUNCTION("""COMPUTED_VALUE"""),"LONGITUD")</f>
        <v>LONGITUD</v>
      </c>
      <c r="D4709" s="36" t="str">
        <f>IFERROR(__xludf.DUMMYFUNCTION("""COMPUTED_VALUE"""),"ERROR DE ID")</f>
        <v>ERROR DE ID</v>
      </c>
      <c r="E4709" s="36"/>
      <c r="F4709" s="36"/>
      <c r="G4709" s="36"/>
      <c r="H4709" s="36"/>
    </row>
    <row r="4710">
      <c r="A4710" s="36"/>
      <c r="B4710" s="36" t="str">
        <f>IFERROR(__xludf.DUMMYFUNCTION("""COMPUTED_VALUE"""),"LATITUD")</f>
        <v>LATITUD</v>
      </c>
      <c r="C4710" s="36" t="str">
        <f>IFERROR(__xludf.DUMMYFUNCTION("""COMPUTED_VALUE"""),"LONGITUD")</f>
        <v>LONGITUD</v>
      </c>
      <c r="D4710" s="36" t="str">
        <f>IFERROR(__xludf.DUMMYFUNCTION("""COMPUTED_VALUE"""),"ERROR DE ID")</f>
        <v>ERROR DE ID</v>
      </c>
      <c r="E4710" s="36"/>
      <c r="F4710" s="36"/>
      <c r="G4710" s="36"/>
      <c r="H4710" s="36"/>
    </row>
    <row r="4711">
      <c r="A4711" s="36"/>
      <c r="B4711" s="36" t="str">
        <f>IFERROR(__xludf.DUMMYFUNCTION("""COMPUTED_VALUE"""),"LATITUD")</f>
        <v>LATITUD</v>
      </c>
      <c r="C4711" s="36" t="str">
        <f>IFERROR(__xludf.DUMMYFUNCTION("""COMPUTED_VALUE"""),"LONGITUD")</f>
        <v>LONGITUD</v>
      </c>
      <c r="D4711" s="36" t="str">
        <f>IFERROR(__xludf.DUMMYFUNCTION("""COMPUTED_VALUE"""),"ERROR DE ID")</f>
        <v>ERROR DE ID</v>
      </c>
      <c r="E4711" s="36"/>
      <c r="F4711" s="36"/>
      <c r="G4711" s="36"/>
      <c r="H4711" s="36"/>
    </row>
    <row r="4712">
      <c r="A4712" s="36"/>
      <c r="B4712" s="36" t="str">
        <f>IFERROR(__xludf.DUMMYFUNCTION("""COMPUTED_VALUE"""),"LATITUD")</f>
        <v>LATITUD</v>
      </c>
      <c r="C4712" s="36" t="str">
        <f>IFERROR(__xludf.DUMMYFUNCTION("""COMPUTED_VALUE"""),"LONGITUD")</f>
        <v>LONGITUD</v>
      </c>
      <c r="D4712" s="36" t="str">
        <f>IFERROR(__xludf.DUMMYFUNCTION("""COMPUTED_VALUE"""),"ERROR DE ID")</f>
        <v>ERROR DE ID</v>
      </c>
      <c r="E4712" s="36"/>
      <c r="F4712" s="36"/>
      <c r="G4712" s="36"/>
      <c r="H4712" s="36"/>
    </row>
    <row r="4713">
      <c r="A4713" s="36"/>
      <c r="B4713" s="36" t="str">
        <f>IFERROR(__xludf.DUMMYFUNCTION("""COMPUTED_VALUE"""),"LATITUD")</f>
        <v>LATITUD</v>
      </c>
      <c r="C4713" s="36" t="str">
        <f>IFERROR(__xludf.DUMMYFUNCTION("""COMPUTED_VALUE"""),"LONGITUD")</f>
        <v>LONGITUD</v>
      </c>
      <c r="D4713" s="36" t="str">
        <f>IFERROR(__xludf.DUMMYFUNCTION("""COMPUTED_VALUE"""),"ERROR DE ID")</f>
        <v>ERROR DE ID</v>
      </c>
      <c r="E4713" s="36"/>
      <c r="F4713" s="36"/>
      <c r="G4713" s="36"/>
      <c r="H4713" s="36"/>
    </row>
    <row r="4714">
      <c r="A4714" s="36"/>
      <c r="B4714" s="36" t="str">
        <f>IFERROR(__xludf.DUMMYFUNCTION("""COMPUTED_VALUE"""),"LATITUD")</f>
        <v>LATITUD</v>
      </c>
      <c r="C4714" s="36" t="str">
        <f>IFERROR(__xludf.DUMMYFUNCTION("""COMPUTED_VALUE"""),"LONGITUD")</f>
        <v>LONGITUD</v>
      </c>
      <c r="D4714" s="36" t="str">
        <f>IFERROR(__xludf.DUMMYFUNCTION("""COMPUTED_VALUE"""),"ERROR DE ID")</f>
        <v>ERROR DE ID</v>
      </c>
      <c r="E4714" s="36"/>
      <c r="F4714" s="36"/>
      <c r="G4714" s="36"/>
      <c r="H4714" s="36"/>
    </row>
    <row r="4715">
      <c r="A4715" s="36"/>
      <c r="B4715" s="36" t="str">
        <f>IFERROR(__xludf.DUMMYFUNCTION("""COMPUTED_VALUE"""),"LATITUD")</f>
        <v>LATITUD</v>
      </c>
      <c r="C4715" s="36" t="str">
        <f>IFERROR(__xludf.DUMMYFUNCTION("""COMPUTED_VALUE"""),"LONGITUD")</f>
        <v>LONGITUD</v>
      </c>
      <c r="D4715" s="36" t="str">
        <f>IFERROR(__xludf.DUMMYFUNCTION("""COMPUTED_VALUE"""),"ERROR DE ID")</f>
        <v>ERROR DE ID</v>
      </c>
      <c r="E4715" s="36"/>
      <c r="F4715" s="36"/>
      <c r="G4715" s="36"/>
      <c r="H4715" s="36"/>
    </row>
    <row r="4716">
      <c r="A4716" s="36"/>
      <c r="B4716" s="36" t="str">
        <f>IFERROR(__xludf.DUMMYFUNCTION("""COMPUTED_VALUE"""),"LATITUD")</f>
        <v>LATITUD</v>
      </c>
      <c r="C4716" s="36" t="str">
        <f>IFERROR(__xludf.DUMMYFUNCTION("""COMPUTED_VALUE"""),"LONGITUD")</f>
        <v>LONGITUD</v>
      </c>
      <c r="D4716" s="36" t="str">
        <f>IFERROR(__xludf.DUMMYFUNCTION("""COMPUTED_VALUE"""),"ERROR DE ID")</f>
        <v>ERROR DE ID</v>
      </c>
      <c r="E4716" s="36"/>
      <c r="F4716" s="36"/>
      <c r="G4716" s="36"/>
      <c r="H4716" s="36"/>
    </row>
    <row r="4717">
      <c r="A4717" s="36"/>
      <c r="B4717" s="36" t="str">
        <f>IFERROR(__xludf.DUMMYFUNCTION("""COMPUTED_VALUE"""),"LATITUD")</f>
        <v>LATITUD</v>
      </c>
      <c r="C4717" s="36" t="str">
        <f>IFERROR(__xludf.DUMMYFUNCTION("""COMPUTED_VALUE"""),"LONGITUD")</f>
        <v>LONGITUD</v>
      </c>
      <c r="D4717" s="36" t="str">
        <f>IFERROR(__xludf.DUMMYFUNCTION("""COMPUTED_VALUE"""),"ERROR DE ID")</f>
        <v>ERROR DE ID</v>
      </c>
      <c r="E4717" s="36"/>
      <c r="F4717" s="36"/>
      <c r="G4717" s="36"/>
      <c r="H4717" s="36"/>
    </row>
    <row r="4718">
      <c r="A4718" s="36"/>
      <c r="B4718" s="36" t="str">
        <f>IFERROR(__xludf.DUMMYFUNCTION("""COMPUTED_VALUE"""),"LATITUD")</f>
        <v>LATITUD</v>
      </c>
      <c r="C4718" s="36" t="str">
        <f>IFERROR(__xludf.DUMMYFUNCTION("""COMPUTED_VALUE"""),"LONGITUD")</f>
        <v>LONGITUD</v>
      </c>
      <c r="D4718" s="36" t="str">
        <f>IFERROR(__xludf.DUMMYFUNCTION("""COMPUTED_VALUE"""),"ERROR DE ID")</f>
        <v>ERROR DE ID</v>
      </c>
      <c r="E4718" s="36"/>
      <c r="F4718" s="36"/>
      <c r="G4718" s="36"/>
      <c r="H4718" s="36"/>
    </row>
    <row r="4719">
      <c r="A4719" s="36"/>
      <c r="B4719" s="36" t="str">
        <f>IFERROR(__xludf.DUMMYFUNCTION("""COMPUTED_VALUE"""),"LATITUD")</f>
        <v>LATITUD</v>
      </c>
      <c r="C4719" s="36" t="str">
        <f>IFERROR(__xludf.DUMMYFUNCTION("""COMPUTED_VALUE"""),"LONGITUD")</f>
        <v>LONGITUD</v>
      </c>
      <c r="D4719" s="36" t="str">
        <f>IFERROR(__xludf.DUMMYFUNCTION("""COMPUTED_VALUE"""),"ERROR DE ID")</f>
        <v>ERROR DE ID</v>
      </c>
      <c r="E4719" s="36"/>
      <c r="F4719" s="36"/>
      <c r="G4719" s="36"/>
      <c r="H4719" s="36"/>
    </row>
    <row r="4720">
      <c r="A4720" s="36"/>
      <c r="B4720" s="36" t="str">
        <f>IFERROR(__xludf.DUMMYFUNCTION("""COMPUTED_VALUE"""),"LATITUD")</f>
        <v>LATITUD</v>
      </c>
      <c r="C4720" s="36" t="str">
        <f>IFERROR(__xludf.DUMMYFUNCTION("""COMPUTED_VALUE"""),"LONGITUD")</f>
        <v>LONGITUD</v>
      </c>
      <c r="D4720" s="36" t="str">
        <f>IFERROR(__xludf.DUMMYFUNCTION("""COMPUTED_VALUE"""),"ERROR DE ID")</f>
        <v>ERROR DE ID</v>
      </c>
      <c r="E4720" s="36"/>
      <c r="F4720" s="36"/>
      <c r="G4720" s="36"/>
      <c r="H4720" s="36"/>
    </row>
    <row r="4721">
      <c r="A4721" s="36"/>
      <c r="B4721" s="36" t="str">
        <f>IFERROR(__xludf.DUMMYFUNCTION("""COMPUTED_VALUE"""),"LATITUD")</f>
        <v>LATITUD</v>
      </c>
      <c r="C4721" s="36" t="str">
        <f>IFERROR(__xludf.DUMMYFUNCTION("""COMPUTED_VALUE"""),"LONGITUD")</f>
        <v>LONGITUD</v>
      </c>
      <c r="D4721" s="36" t="str">
        <f>IFERROR(__xludf.DUMMYFUNCTION("""COMPUTED_VALUE"""),"ERROR DE ID")</f>
        <v>ERROR DE ID</v>
      </c>
      <c r="E4721" s="36"/>
      <c r="F4721" s="36"/>
      <c r="G4721" s="36"/>
      <c r="H4721" s="36"/>
    </row>
    <row r="4722">
      <c r="A4722" s="36"/>
      <c r="B4722" s="36" t="str">
        <f>IFERROR(__xludf.DUMMYFUNCTION("""COMPUTED_VALUE"""),"LATITUD")</f>
        <v>LATITUD</v>
      </c>
      <c r="C4722" s="36" t="str">
        <f>IFERROR(__xludf.DUMMYFUNCTION("""COMPUTED_VALUE"""),"LONGITUD")</f>
        <v>LONGITUD</v>
      </c>
      <c r="D4722" s="36" t="str">
        <f>IFERROR(__xludf.DUMMYFUNCTION("""COMPUTED_VALUE"""),"ERROR DE ID")</f>
        <v>ERROR DE ID</v>
      </c>
      <c r="E4722" s="36"/>
      <c r="F4722" s="36"/>
      <c r="G4722" s="36"/>
      <c r="H4722" s="36"/>
    </row>
    <row r="4723">
      <c r="A4723" s="36"/>
      <c r="B4723" s="36" t="str">
        <f>IFERROR(__xludf.DUMMYFUNCTION("""COMPUTED_VALUE"""),"LATITUD")</f>
        <v>LATITUD</v>
      </c>
      <c r="C4723" s="36" t="str">
        <f>IFERROR(__xludf.DUMMYFUNCTION("""COMPUTED_VALUE"""),"LONGITUD")</f>
        <v>LONGITUD</v>
      </c>
      <c r="D4723" s="36" t="str">
        <f>IFERROR(__xludf.DUMMYFUNCTION("""COMPUTED_VALUE"""),"ERROR DE ID")</f>
        <v>ERROR DE ID</v>
      </c>
      <c r="E4723" s="36"/>
      <c r="F4723" s="36"/>
      <c r="G4723" s="36"/>
      <c r="H4723" s="36"/>
    </row>
    <row r="4724">
      <c r="A4724" s="36"/>
      <c r="B4724" s="36" t="str">
        <f>IFERROR(__xludf.DUMMYFUNCTION("""COMPUTED_VALUE"""),"LATITUD")</f>
        <v>LATITUD</v>
      </c>
      <c r="C4724" s="36" t="str">
        <f>IFERROR(__xludf.DUMMYFUNCTION("""COMPUTED_VALUE"""),"LONGITUD")</f>
        <v>LONGITUD</v>
      </c>
      <c r="D4724" s="36" t="str">
        <f>IFERROR(__xludf.DUMMYFUNCTION("""COMPUTED_VALUE"""),"ERROR DE ID")</f>
        <v>ERROR DE ID</v>
      </c>
      <c r="E4724" s="36"/>
      <c r="F4724" s="36"/>
      <c r="G4724" s="36"/>
      <c r="H4724" s="36"/>
    </row>
    <row r="4725">
      <c r="A4725" s="36"/>
      <c r="B4725" s="36" t="str">
        <f>IFERROR(__xludf.DUMMYFUNCTION("""COMPUTED_VALUE"""),"LATITUD")</f>
        <v>LATITUD</v>
      </c>
      <c r="C4725" s="36" t="str">
        <f>IFERROR(__xludf.DUMMYFUNCTION("""COMPUTED_VALUE"""),"LONGITUD")</f>
        <v>LONGITUD</v>
      </c>
      <c r="D4725" s="36" t="str">
        <f>IFERROR(__xludf.DUMMYFUNCTION("""COMPUTED_VALUE"""),"ERROR DE ID")</f>
        <v>ERROR DE ID</v>
      </c>
      <c r="E4725" s="36"/>
      <c r="F4725" s="36"/>
      <c r="G4725" s="36"/>
      <c r="H4725" s="36"/>
    </row>
    <row r="4726">
      <c r="A4726" s="36"/>
      <c r="B4726" s="36" t="str">
        <f>IFERROR(__xludf.DUMMYFUNCTION("""COMPUTED_VALUE"""),"LATITUD")</f>
        <v>LATITUD</v>
      </c>
      <c r="C4726" s="36" t="str">
        <f>IFERROR(__xludf.DUMMYFUNCTION("""COMPUTED_VALUE"""),"LONGITUD")</f>
        <v>LONGITUD</v>
      </c>
      <c r="D4726" s="36" t="str">
        <f>IFERROR(__xludf.DUMMYFUNCTION("""COMPUTED_VALUE"""),"ERROR DE ID")</f>
        <v>ERROR DE ID</v>
      </c>
      <c r="E4726" s="36"/>
      <c r="F4726" s="36"/>
      <c r="G4726" s="36"/>
      <c r="H4726" s="36"/>
    </row>
    <row r="4727">
      <c r="A4727" s="36"/>
      <c r="B4727" s="36" t="str">
        <f>IFERROR(__xludf.DUMMYFUNCTION("""COMPUTED_VALUE"""),"LATITUD")</f>
        <v>LATITUD</v>
      </c>
      <c r="C4727" s="36" t="str">
        <f>IFERROR(__xludf.DUMMYFUNCTION("""COMPUTED_VALUE"""),"LONGITUD")</f>
        <v>LONGITUD</v>
      </c>
      <c r="D4727" s="36" t="str">
        <f>IFERROR(__xludf.DUMMYFUNCTION("""COMPUTED_VALUE"""),"ERROR DE ID")</f>
        <v>ERROR DE ID</v>
      </c>
      <c r="E4727" s="36"/>
      <c r="F4727" s="36"/>
      <c r="G4727" s="36"/>
      <c r="H4727" s="36"/>
    </row>
    <row r="4728">
      <c r="A4728" s="36"/>
      <c r="B4728" s="36" t="str">
        <f>IFERROR(__xludf.DUMMYFUNCTION("""COMPUTED_VALUE"""),"LATITUD")</f>
        <v>LATITUD</v>
      </c>
      <c r="C4728" s="36" t="str">
        <f>IFERROR(__xludf.DUMMYFUNCTION("""COMPUTED_VALUE"""),"LONGITUD")</f>
        <v>LONGITUD</v>
      </c>
      <c r="D4728" s="36" t="str">
        <f>IFERROR(__xludf.DUMMYFUNCTION("""COMPUTED_VALUE"""),"ERROR DE ID")</f>
        <v>ERROR DE ID</v>
      </c>
      <c r="E4728" s="36"/>
      <c r="F4728" s="36"/>
      <c r="G4728" s="36"/>
      <c r="H4728" s="36"/>
    </row>
    <row r="4729">
      <c r="A4729" s="36"/>
      <c r="B4729" s="36" t="str">
        <f>IFERROR(__xludf.DUMMYFUNCTION("""COMPUTED_VALUE"""),"LATITUD")</f>
        <v>LATITUD</v>
      </c>
      <c r="C4729" s="36" t="str">
        <f>IFERROR(__xludf.DUMMYFUNCTION("""COMPUTED_VALUE"""),"LONGITUD")</f>
        <v>LONGITUD</v>
      </c>
      <c r="D4729" s="36" t="str">
        <f>IFERROR(__xludf.DUMMYFUNCTION("""COMPUTED_VALUE"""),"ERROR DE ID")</f>
        <v>ERROR DE ID</v>
      </c>
      <c r="E4729" s="36"/>
      <c r="F4729" s="36"/>
      <c r="G4729" s="36"/>
      <c r="H4729" s="36"/>
    </row>
    <row r="4730">
      <c r="A4730" s="36"/>
      <c r="B4730" s="36" t="str">
        <f>IFERROR(__xludf.DUMMYFUNCTION("""COMPUTED_VALUE"""),"LATITUD")</f>
        <v>LATITUD</v>
      </c>
      <c r="C4730" s="36" t="str">
        <f>IFERROR(__xludf.DUMMYFUNCTION("""COMPUTED_VALUE"""),"LONGITUD")</f>
        <v>LONGITUD</v>
      </c>
      <c r="D4730" s="36" t="str">
        <f>IFERROR(__xludf.DUMMYFUNCTION("""COMPUTED_VALUE"""),"ERROR DE ID")</f>
        <v>ERROR DE ID</v>
      </c>
      <c r="E4730" s="36"/>
      <c r="F4730" s="36"/>
      <c r="G4730" s="36"/>
      <c r="H4730" s="36"/>
    </row>
    <row r="4731">
      <c r="A4731" s="36"/>
      <c r="B4731" s="36" t="str">
        <f>IFERROR(__xludf.DUMMYFUNCTION("""COMPUTED_VALUE"""),"LATITUD")</f>
        <v>LATITUD</v>
      </c>
      <c r="C4731" s="36" t="str">
        <f>IFERROR(__xludf.DUMMYFUNCTION("""COMPUTED_VALUE"""),"LONGITUD")</f>
        <v>LONGITUD</v>
      </c>
      <c r="D4731" s="36" t="str">
        <f>IFERROR(__xludf.DUMMYFUNCTION("""COMPUTED_VALUE"""),"ERROR DE ID")</f>
        <v>ERROR DE ID</v>
      </c>
      <c r="E4731" s="36"/>
      <c r="F4731" s="36"/>
      <c r="G4731" s="36"/>
      <c r="H4731" s="36"/>
    </row>
    <row r="4732">
      <c r="A4732" s="36"/>
      <c r="B4732" s="36" t="str">
        <f>IFERROR(__xludf.DUMMYFUNCTION("""COMPUTED_VALUE"""),"LATITUD")</f>
        <v>LATITUD</v>
      </c>
      <c r="C4732" s="36" t="str">
        <f>IFERROR(__xludf.DUMMYFUNCTION("""COMPUTED_VALUE"""),"LONGITUD")</f>
        <v>LONGITUD</v>
      </c>
      <c r="D4732" s="36" t="str">
        <f>IFERROR(__xludf.DUMMYFUNCTION("""COMPUTED_VALUE"""),"ERROR DE ID")</f>
        <v>ERROR DE ID</v>
      </c>
      <c r="E4732" s="36"/>
      <c r="F4732" s="36"/>
      <c r="G4732" s="36"/>
      <c r="H4732" s="36"/>
    </row>
    <row r="4733">
      <c r="A4733" s="36"/>
      <c r="B4733" s="36" t="str">
        <f>IFERROR(__xludf.DUMMYFUNCTION("""COMPUTED_VALUE"""),"LATITUD")</f>
        <v>LATITUD</v>
      </c>
      <c r="C4733" s="36" t="str">
        <f>IFERROR(__xludf.DUMMYFUNCTION("""COMPUTED_VALUE"""),"LONGITUD")</f>
        <v>LONGITUD</v>
      </c>
      <c r="D4733" s="36" t="str">
        <f>IFERROR(__xludf.DUMMYFUNCTION("""COMPUTED_VALUE"""),"ERROR DE ID")</f>
        <v>ERROR DE ID</v>
      </c>
      <c r="E4733" s="36"/>
      <c r="F4733" s="36"/>
      <c r="G4733" s="36"/>
      <c r="H4733" s="36"/>
    </row>
    <row r="4734">
      <c r="A4734" s="36"/>
      <c r="B4734" s="36" t="str">
        <f>IFERROR(__xludf.DUMMYFUNCTION("""COMPUTED_VALUE"""),"LATITUD")</f>
        <v>LATITUD</v>
      </c>
      <c r="C4734" s="36" t="str">
        <f>IFERROR(__xludf.DUMMYFUNCTION("""COMPUTED_VALUE"""),"LONGITUD")</f>
        <v>LONGITUD</v>
      </c>
      <c r="D4734" s="36" t="str">
        <f>IFERROR(__xludf.DUMMYFUNCTION("""COMPUTED_VALUE"""),"ERROR DE ID")</f>
        <v>ERROR DE ID</v>
      </c>
      <c r="E4734" s="36"/>
      <c r="F4734" s="36"/>
      <c r="G4734" s="36"/>
      <c r="H4734" s="36"/>
    </row>
    <row r="4735">
      <c r="A4735" s="36"/>
      <c r="B4735" s="36" t="str">
        <f>IFERROR(__xludf.DUMMYFUNCTION("""COMPUTED_VALUE"""),"LATITUD")</f>
        <v>LATITUD</v>
      </c>
      <c r="C4735" s="36" t="str">
        <f>IFERROR(__xludf.DUMMYFUNCTION("""COMPUTED_VALUE"""),"LONGITUD")</f>
        <v>LONGITUD</v>
      </c>
      <c r="D4735" s="36" t="str">
        <f>IFERROR(__xludf.DUMMYFUNCTION("""COMPUTED_VALUE"""),"ERROR DE ID")</f>
        <v>ERROR DE ID</v>
      </c>
      <c r="E4735" s="36"/>
      <c r="F4735" s="36"/>
      <c r="G4735" s="36"/>
      <c r="H4735" s="36"/>
    </row>
    <row r="4736">
      <c r="A4736" s="36"/>
      <c r="B4736" s="36" t="str">
        <f>IFERROR(__xludf.DUMMYFUNCTION("""COMPUTED_VALUE"""),"LATITUD")</f>
        <v>LATITUD</v>
      </c>
      <c r="C4736" s="36" t="str">
        <f>IFERROR(__xludf.DUMMYFUNCTION("""COMPUTED_VALUE"""),"LONGITUD")</f>
        <v>LONGITUD</v>
      </c>
      <c r="D4736" s="36" t="str">
        <f>IFERROR(__xludf.DUMMYFUNCTION("""COMPUTED_VALUE"""),"ERROR DE ID")</f>
        <v>ERROR DE ID</v>
      </c>
      <c r="E4736" s="36"/>
      <c r="F4736" s="36"/>
      <c r="G4736" s="36"/>
      <c r="H4736" s="36"/>
    </row>
    <row r="4737">
      <c r="A4737" s="36"/>
      <c r="B4737" s="36" t="str">
        <f>IFERROR(__xludf.DUMMYFUNCTION("""COMPUTED_VALUE"""),"LATITUD")</f>
        <v>LATITUD</v>
      </c>
      <c r="C4737" s="36" t="str">
        <f>IFERROR(__xludf.DUMMYFUNCTION("""COMPUTED_VALUE"""),"LONGITUD")</f>
        <v>LONGITUD</v>
      </c>
      <c r="D4737" s="36" t="str">
        <f>IFERROR(__xludf.DUMMYFUNCTION("""COMPUTED_VALUE"""),"ERROR DE ID")</f>
        <v>ERROR DE ID</v>
      </c>
      <c r="E4737" s="36"/>
      <c r="F4737" s="36"/>
      <c r="G4737" s="36"/>
      <c r="H4737" s="36"/>
    </row>
    <row r="4738">
      <c r="A4738" s="36"/>
      <c r="B4738" s="36" t="str">
        <f>IFERROR(__xludf.DUMMYFUNCTION("""COMPUTED_VALUE"""),"LATITUD")</f>
        <v>LATITUD</v>
      </c>
      <c r="C4738" s="36" t="str">
        <f>IFERROR(__xludf.DUMMYFUNCTION("""COMPUTED_VALUE"""),"LONGITUD")</f>
        <v>LONGITUD</v>
      </c>
      <c r="D4738" s="36" t="str">
        <f>IFERROR(__xludf.DUMMYFUNCTION("""COMPUTED_VALUE"""),"ERROR DE ID")</f>
        <v>ERROR DE ID</v>
      </c>
      <c r="E4738" s="36"/>
      <c r="F4738" s="36"/>
      <c r="G4738" s="36"/>
      <c r="H4738" s="36"/>
    </row>
    <row r="4739">
      <c r="A4739" s="36"/>
      <c r="B4739" s="36" t="str">
        <f>IFERROR(__xludf.DUMMYFUNCTION("""COMPUTED_VALUE"""),"LATITUD")</f>
        <v>LATITUD</v>
      </c>
      <c r="C4739" s="36" t="str">
        <f>IFERROR(__xludf.DUMMYFUNCTION("""COMPUTED_VALUE"""),"LONGITUD")</f>
        <v>LONGITUD</v>
      </c>
      <c r="D4739" s="36" t="str">
        <f>IFERROR(__xludf.DUMMYFUNCTION("""COMPUTED_VALUE"""),"ERROR DE ID")</f>
        <v>ERROR DE ID</v>
      </c>
      <c r="E4739" s="36"/>
      <c r="F4739" s="36"/>
      <c r="G4739" s="36"/>
      <c r="H4739" s="36"/>
    </row>
    <row r="4740">
      <c r="A4740" s="36"/>
      <c r="B4740" s="36" t="str">
        <f>IFERROR(__xludf.DUMMYFUNCTION("""COMPUTED_VALUE"""),"LATITUD")</f>
        <v>LATITUD</v>
      </c>
      <c r="C4740" s="36" t="str">
        <f>IFERROR(__xludf.DUMMYFUNCTION("""COMPUTED_VALUE"""),"LONGITUD")</f>
        <v>LONGITUD</v>
      </c>
      <c r="D4740" s="36" t="str">
        <f>IFERROR(__xludf.DUMMYFUNCTION("""COMPUTED_VALUE"""),"ERROR DE ID")</f>
        <v>ERROR DE ID</v>
      </c>
      <c r="E4740" s="36"/>
      <c r="F4740" s="36"/>
      <c r="G4740" s="36"/>
      <c r="H4740" s="36"/>
    </row>
    <row r="4741">
      <c r="A4741" s="36"/>
      <c r="B4741" s="36" t="str">
        <f>IFERROR(__xludf.DUMMYFUNCTION("""COMPUTED_VALUE"""),"LATITUD")</f>
        <v>LATITUD</v>
      </c>
      <c r="C4741" s="36" t="str">
        <f>IFERROR(__xludf.DUMMYFUNCTION("""COMPUTED_VALUE"""),"LONGITUD")</f>
        <v>LONGITUD</v>
      </c>
      <c r="D4741" s="36" t="str">
        <f>IFERROR(__xludf.DUMMYFUNCTION("""COMPUTED_VALUE"""),"ERROR DE ID")</f>
        <v>ERROR DE ID</v>
      </c>
      <c r="E4741" s="36"/>
      <c r="F4741" s="36"/>
      <c r="G4741" s="36"/>
      <c r="H4741" s="36"/>
    </row>
    <row r="4742">
      <c r="A4742" s="36"/>
      <c r="B4742" s="36" t="str">
        <f>IFERROR(__xludf.DUMMYFUNCTION("""COMPUTED_VALUE"""),"LATITUD")</f>
        <v>LATITUD</v>
      </c>
      <c r="C4742" s="36" t="str">
        <f>IFERROR(__xludf.DUMMYFUNCTION("""COMPUTED_VALUE"""),"LONGITUD")</f>
        <v>LONGITUD</v>
      </c>
      <c r="D4742" s="36" t="str">
        <f>IFERROR(__xludf.DUMMYFUNCTION("""COMPUTED_VALUE"""),"ERROR DE ID")</f>
        <v>ERROR DE ID</v>
      </c>
      <c r="E4742" s="36"/>
      <c r="F4742" s="36"/>
      <c r="G4742" s="36"/>
      <c r="H4742" s="36"/>
    </row>
    <row r="4743">
      <c r="A4743" s="36"/>
      <c r="B4743" s="36" t="str">
        <f>IFERROR(__xludf.DUMMYFUNCTION("""COMPUTED_VALUE"""),"LATITUD")</f>
        <v>LATITUD</v>
      </c>
      <c r="C4743" s="36" t="str">
        <f>IFERROR(__xludf.DUMMYFUNCTION("""COMPUTED_VALUE"""),"LONGITUD")</f>
        <v>LONGITUD</v>
      </c>
      <c r="D4743" s="36" t="str">
        <f>IFERROR(__xludf.DUMMYFUNCTION("""COMPUTED_VALUE"""),"ERROR DE ID")</f>
        <v>ERROR DE ID</v>
      </c>
      <c r="E4743" s="36"/>
      <c r="F4743" s="36"/>
      <c r="G4743" s="36"/>
      <c r="H4743" s="36"/>
    </row>
    <row r="4744">
      <c r="A4744" s="36"/>
      <c r="B4744" s="36" t="str">
        <f>IFERROR(__xludf.DUMMYFUNCTION("""COMPUTED_VALUE"""),"LATITUD")</f>
        <v>LATITUD</v>
      </c>
      <c r="C4744" s="36" t="str">
        <f>IFERROR(__xludf.DUMMYFUNCTION("""COMPUTED_VALUE"""),"LONGITUD")</f>
        <v>LONGITUD</v>
      </c>
      <c r="D4744" s="36" t="str">
        <f>IFERROR(__xludf.DUMMYFUNCTION("""COMPUTED_VALUE"""),"ERROR DE ID")</f>
        <v>ERROR DE ID</v>
      </c>
      <c r="E4744" s="36"/>
      <c r="F4744" s="36"/>
      <c r="G4744" s="36"/>
      <c r="H4744" s="36"/>
    </row>
    <row r="4745">
      <c r="A4745" s="36"/>
      <c r="B4745" s="36" t="str">
        <f>IFERROR(__xludf.DUMMYFUNCTION("""COMPUTED_VALUE"""),"LATITUD")</f>
        <v>LATITUD</v>
      </c>
      <c r="C4745" s="36" t="str">
        <f>IFERROR(__xludf.DUMMYFUNCTION("""COMPUTED_VALUE"""),"LONGITUD")</f>
        <v>LONGITUD</v>
      </c>
      <c r="D4745" s="36" t="str">
        <f>IFERROR(__xludf.DUMMYFUNCTION("""COMPUTED_VALUE"""),"ERROR DE ID")</f>
        <v>ERROR DE ID</v>
      </c>
      <c r="E4745" s="36"/>
      <c r="F4745" s="36"/>
      <c r="G4745" s="36"/>
      <c r="H4745" s="36"/>
    </row>
    <row r="4746">
      <c r="A4746" s="36"/>
      <c r="B4746" s="36" t="str">
        <f>IFERROR(__xludf.DUMMYFUNCTION("""COMPUTED_VALUE"""),"LATITUD")</f>
        <v>LATITUD</v>
      </c>
      <c r="C4746" s="36" t="str">
        <f>IFERROR(__xludf.DUMMYFUNCTION("""COMPUTED_VALUE"""),"LONGITUD")</f>
        <v>LONGITUD</v>
      </c>
      <c r="D4746" s="36" t="str">
        <f>IFERROR(__xludf.DUMMYFUNCTION("""COMPUTED_VALUE"""),"ERROR DE ID")</f>
        <v>ERROR DE ID</v>
      </c>
      <c r="E4746" s="36"/>
      <c r="F4746" s="36"/>
      <c r="G4746" s="36"/>
      <c r="H4746" s="36"/>
    </row>
    <row r="4747">
      <c r="A4747" s="36"/>
      <c r="B4747" s="36" t="str">
        <f>IFERROR(__xludf.DUMMYFUNCTION("""COMPUTED_VALUE"""),"LATITUD")</f>
        <v>LATITUD</v>
      </c>
      <c r="C4747" s="36" t="str">
        <f>IFERROR(__xludf.DUMMYFUNCTION("""COMPUTED_VALUE"""),"LONGITUD")</f>
        <v>LONGITUD</v>
      </c>
      <c r="D4747" s="36" t="str">
        <f>IFERROR(__xludf.DUMMYFUNCTION("""COMPUTED_VALUE"""),"ERROR DE ID")</f>
        <v>ERROR DE ID</v>
      </c>
      <c r="E4747" s="36"/>
      <c r="F4747" s="36"/>
      <c r="G4747" s="36"/>
      <c r="H4747" s="36"/>
    </row>
    <row r="4748">
      <c r="A4748" s="36"/>
      <c r="B4748" s="36" t="str">
        <f>IFERROR(__xludf.DUMMYFUNCTION("""COMPUTED_VALUE"""),"LATITUD")</f>
        <v>LATITUD</v>
      </c>
      <c r="C4748" s="36" t="str">
        <f>IFERROR(__xludf.DUMMYFUNCTION("""COMPUTED_VALUE"""),"LONGITUD")</f>
        <v>LONGITUD</v>
      </c>
      <c r="D4748" s="36" t="str">
        <f>IFERROR(__xludf.DUMMYFUNCTION("""COMPUTED_VALUE"""),"ERROR DE ID")</f>
        <v>ERROR DE ID</v>
      </c>
      <c r="E4748" s="36"/>
      <c r="F4748" s="36"/>
      <c r="G4748" s="36"/>
      <c r="H4748" s="36"/>
    </row>
    <row r="4749">
      <c r="A4749" s="36"/>
      <c r="B4749" s="36" t="str">
        <f>IFERROR(__xludf.DUMMYFUNCTION("""COMPUTED_VALUE"""),"LATITUD")</f>
        <v>LATITUD</v>
      </c>
      <c r="C4749" s="36" t="str">
        <f>IFERROR(__xludf.DUMMYFUNCTION("""COMPUTED_VALUE"""),"LONGITUD")</f>
        <v>LONGITUD</v>
      </c>
      <c r="D4749" s="36" t="str">
        <f>IFERROR(__xludf.DUMMYFUNCTION("""COMPUTED_VALUE"""),"ERROR DE ID")</f>
        <v>ERROR DE ID</v>
      </c>
      <c r="E4749" s="36"/>
      <c r="F4749" s="36"/>
      <c r="G4749" s="36"/>
      <c r="H4749" s="36"/>
    </row>
    <row r="4750">
      <c r="A4750" s="36"/>
      <c r="B4750" s="36" t="str">
        <f>IFERROR(__xludf.DUMMYFUNCTION("""COMPUTED_VALUE"""),"LATITUD")</f>
        <v>LATITUD</v>
      </c>
      <c r="C4750" s="36" t="str">
        <f>IFERROR(__xludf.DUMMYFUNCTION("""COMPUTED_VALUE"""),"LONGITUD")</f>
        <v>LONGITUD</v>
      </c>
      <c r="D4750" s="36" t="str">
        <f>IFERROR(__xludf.DUMMYFUNCTION("""COMPUTED_VALUE"""),"ERROR DE ID")</f>
        <v>ERROR DE ID</v>
      </c>
      <c r="E4750" s="36"/>
      <c r="F4750" s="36"/>
      <c r="G4750" s="36"/>
      <c r="H4750" s="36"/>
    </row>
    <row r="4751">
      <c r="A4751" s="36"/>
      <c r="B4751" s="36" t="str">
        <f>IFERROR(__xludf.DUMMYFUNCTION("""COMPUTED_VALUE"""),"LATITUD")</f>
        <v>LATITUD</v>
      </c>
      <c r="C4751" s="36" t="str">
        <f>IFERROR(__xludf.DUMMYFUNCTION("""COMPUTED_VALUE"""),"LONGITUD")</f>
        <v>LONGITUD</v>
      </c>
      <c r="D4751" s="36" t="str">
        <f>IFERROR(__xludf.DUMMYFUNCTION("""COMPUTED_VALUE"""),"ERROR DE ID")</f>
        <v>ERROR DE ID</v>
      </c>
      <c r="E4751" s="36"/>
      <c r="F4751" s="36"/>
      <c r="G4751" s="36"/>
      <c r="H4751" s="36"/>
    </row>
    <row r="4752">
      <c r="A4752" s="36"/>
      <c r="B4752" s="36" t="str">
        <f>IFERROR(__xludf.DUMMYFUNCTION("""COMPUTED_VALUE"""),"LATITUD")</f>
        <v>LATITUD</v>
      </c>
      <c r="C4752" s="36" t="str">
        <f>IFERROR(__xludf.DUMMYFUNCTION("""COMPUTED_VALUE"""),"LONGITUD")</f>
        <v>LONGITUD</v>
      </c>
      <c r="D4752" s="36" t="str">
        <f>IFERROR(__xludf.DUMMYFUNCTION("""COMPUTED_VALUE"""),"ERROR DE ID")</f>
        <v>ERROR DE ID</v>
      </c>
      <c r="E4752" s="36"/>
      <c r="F4752" s="36"/>
      <c r="G4752" s="36"/>
      <c r="H4752" s="36"/>
    </row>
    <row r="4753">
      <c r="A4753" s="36"/>
      <c r="B4753" s="36" t="str">
        <f>IFERROR(__xludf.DUMMYFUNCTION("""COMPUTED_VALUE"""),"LATITUD")</f>
        <v>LATITUD</v>
      </c>
      <c r="C4753" s="36" t="str">
        <f>IFERROR(__xludf.DUMMYFUNCTION("""COMPUTED_VALUE"""),"LONGITUD")</f>
        <v>LONGITUD</v>
      </c>
      <c r="D4753" s="36" t="str">
        <f>IFERROR(__xludf.DUMMYFUNCTION("""COMPUTED_VALUE"""),"ERROR DE ID")</f>
        <v>ERROR DE ID</v>
      </c>
      <c r="E4753" s="36"/>
      <c r="F4753" s="36"/>
      <c r="G4753" s="36"/>
      <c r="H4753" s="36"/>
    </row>
    <row r="4754">
      <c r="A4754" s="36"/>
      <c r="B4754" s="36" t="str">
        <f>IFERROR(__xludf.DUMMYFUNCTION("""COMPUTED_VALUE"""),"LATITUD")</f>
        <v>LATITUD</v>
      </c>
      <c r="C4754" s="36" t="str">
        <f>IFERROR(__xludf.DUMMYFUNCTION("""COMPUTED_VALUE"""),"LONGITUD")</f>
        <v>LONGITUD</v>
      </c>
      <c r="D4754" s="36" t="str">
        <f>IFERROR(__xludf.DUMMYFUNCTION("""COMPUTED_VALUE"""),"ERROR DE ID")</f>
        <v>ERROR DE ID</v>
      </c>
      <c r="E4754" s="36"/>
      <c r="F4754" s="36"/>
      <c r="G4754" s="36"/>
      <c r="H4754" s="36"/>
    </row>
    <row r="4755">
      <c r="A4755" s="36"/>
      <c r="B4755" s="36" t="str">
        <f>IFERROR(__xludf.DUMMYFUNCTION("""COMPUTED_VALUE"""),"LATITUD")</f>
        <v>LATITUD</v>
      </c>
      <c r="C4755" s="36" t="str">
        <f>IFERROR(__xludf.DUMMYFUNCTION("""COMPUTED_VALUE"""),"LONGITUD")</f>
        <v>LONGITUD</v>
      </c>
      <c r="D4755" s="36" t="str">
        <f>IFERROR(__xludf.DUMMYFUNCTION("""COMPUTED_VALUE"""),"ERROR DE ID")</f>
        <v>ERROR DE ID</v>
      </c>
      <c r="E4755" s="36"/>
      <c r="F4755" s="36"/>
      <c r="G4755" s="36"/>
      <c r="H4755" s="36"/>
    </row>
    <row r="4756">
      <c r="A4756" s="36"/>
      <c r="B4756" s="36" t="str">
        <f>IFERROR(__xludf.DUMMYFUNCTION("""COMPUTED_VALUE"""),"LATITUD")</f>
        <v>LATITUD</v>
      </c>
      <c r="C4756" s="36" t="str">
        <f>IFERROR(__xludf.DUMMYFUNCTION("""COMPUTED_VALUE"""),"LONGITUD")</f>
        <v>LONGITUD</v>
      </c>
      <c r="D4756" s="36" t="str">
        <f>IFERROR(__xludf.DUMMYFUNCTION("""COMPUTED_VALUE"""),"ERROR DE ID")</f>
        <v>ERROR DE ID</v>
      </c>
      <c r="E4756" s="36"/>
      <c r="F4756" s="36"/>
      <c r="G4756" s="36"/>
      <c r="H4756" s="36"/>
    </row>
    <row r="4757">
      <c r="A4757" s="36"/>
      <c r="B4757" s="36" t="str">
        <f>IFERROR(__xludf.DUMMYFUNCTION("""COMPUTED_VALUE"""),"LATITUD")</f>
        <v>LATITUD</v>
      </c>
      <c r="C4757" s="36" t="str">
        <f>IFERROR(__xludf.DUMMYFUNCTION("""COMPUTED_VALUE"""),"LONGITUD")</f>
        <v>LONGITUD</v>
      </c>
      <c r="D4757" s="36" t="str">
        <f>IFERROR(__xludf.DUMMYFUNCTION("""COMPUTED_VALUE"""),"ERROR DE ID")</f>
        <v>ERROR DE ID</v>
      </c>
      <c r="E4757" s="36"/>
      <c r="F4757" s="36"/>
      <c r="G4757" s="36"/>
      <c r="H4757" s="36"/>
    </row>
    <row r="4758">
      <c r="A4758" s="36"/>
      <c r="B4758" s="36" t="str">
        <f>IFERROR(__xludf.DUMMYFUNCTION("""COMPUTED_VALUE"""),"LATITUD")</f>
        <v>LATITUD</v>
      </c>
      <c r="C4758" s="36" t="str">
        <f>IFERROR(__xludf.DUMMYFUNCTION("""COMPUTED_VALUE"""),"LONGITUD")</f>
        <v>LONGITUD</v>
      </c>
      <c r="D4758" s="36" t="str">
        <f>IFERROR(__xludf.DUMMYFUNCTION("""COMPUTED_VALUE"""),"ERROR DE ID")</f>
        <v>ERROR DE ID</v>
      </c>
      <c r="E4758" s="36"/>
      <c r="F4758" s="36"/>
      <c r="G4758" s="36"/>
      <c r="H4758" s="36"/>
    </row>
    <row r="4759">
      <c r="A4759" s="36"/>
      <c r="B4759" s="36" t="str">
        <f>IFERROR(__xludf.DUMMYFUNCTION("""COMPUTED_VALUE"""),"LATITUD")</f>
        <v>LATITUD</v>
      </c>
      <c r="C4759" s="36" t="str">
        <f>IFERROR(__xludf.DUMMYFUNCTION("""COMPUTED_VALUE"""),"LONGITUD")</f>
        <v>LONGITUD</v>
      </c>
      <c r="D4759" s="36" t="str">
        <f>IFERROR(__xludf.DUMMYFUNCTION("""COMPUTED_VALUE"""),"ERROR DE ID")</f>
        <v>ERROR DE ID</v>
      </c>
      <c r="E4759" s="36"/>
      <c r="F4759" s="36"/>
      <c r="G4759" s="36"/>
      <c r="H4759" s="36"/>
    </row>
    <row r="4760">
      <c r="A4760" s="36"/>
      <c r="B4760" s="36" t="str">
        <f>IFERROR(__xludf.DUMMYFUNCTION("""COMPUTED_VALUE"""),"LATITUD")</f>
        <v>LATITUD</v>
      </c>
      <c r="C4760" s="36" t="str">
        <f>IFERROR(__xludf.DUMMYFUNCTION("""COMPUTED_VALUE"""),"LONGITUD")</f>
        <v>LONGITUD</v>
      </c>
      <c r="D4760" s="36" t="str">
        <f>IFERROR(__xludf.DUMMYFUNCTION("""COMPUTED_VALUE"""),"ERROR DE ID")</f>
        <v>ERROR DE ID</v>
      </c>
      <c r="E4760" s="36"/>
      <c r="F4760" s="36"/>
      <c r="G4760" s="36"/>
      <c r="H4760" s="36"/>
    </row>
    <row r="4761">
      <c r="A4761" s="36"/>
      <c r="B4761" s="36" t="str">
        <f>IFERROR(__xludf.DUMMYFUNCTION("""COMPUTED_VALUE"""),"LATITUD")</f>
        <v>LATITUD</v>
      </c>
      <c r="C4761" s="36" t="str">
        <f>IFERROR(__xludf.DUMMYFUNCTION("""COMPUTED_VALUE"""),"LONGITUD")</f>
        <v>LONGITUD</v>
      </c>
      <c r="D4761" s="36" t="str">
        <f>IFERROR(__xludf.DUMMYFUNCTION("""COMPUTED_VALUE"""),"ERROR DE ID")</f>
        <v>ERROR DE ID</v>
      </c>
      <c r="E4761" s="36"/>
      <c r="F4761" s="36"/>
      <c r="G4761" s="36"/>
      <c r="H4761" s="36"/>
    </row>
    <row r="4762">
      <c r="A4762" s="36"/>
      <c r="B4762" s="36" t="str">
        <f>IFERROR(__xludf.DUMMYFUNCTION("""COMPUTED_VALUE"""),"LATITUD")</f>
        <v>LATITUD</v>
      </c>
      <c r="C4762" s="36" t="str">
        <f>IFERROR(__xludf.DUMMYFUNCTION("""COMPUTED_VALUE"""),"LONGITUD")</f>
        <v>LONGITUD</v>
      </c>
      <c r="D4762" s="36" t="str">
        <f>IFERROR(__xludf.DUMMYFUNCTION("""COMPUTED_VALUE"""),"ERROR DE ID")</f>
        <v>ERROR DE ID</v>
      </c>
      <c r="E4762" s="36"/>
      <c r="F4762" s="36"/>
      <c r="G4762" s="36"/>
      <c r="H4762" s="36"/>
    </row>
    <row r="4763">
      <c r="A4763" s="36"/>
      <c r="B4763" s="36" t="str">
        <f>IFERROR(__xludf.DUMMYFUNCTION("""COMPUTED_VALUE"""),"LATITUD")</f>
        <v>LATITUD</v>
      </c>
      <c r="C4763" s="36" t="str">
        <f>IFERROR(__xludf.DUMMYFUNCTION("""COMPUTED_VALUE"""),"LONGITUD")</f>
        <v>LONGITUD</v>
      </c>
      <c r="D4763" s="36" t="str">
        <f>IFERROR(__xludf.DUMMYFUNCTION("""COMPUTED_VALUE"""),"ERROR DE ID")</f>
        <v>ERROR DE ID</v>
      </c>
      <c r="E4763" s="36"/>
      <c r="F4763" s="36"/>
      <c r="G4763" s="36"/>
      <c r="H4763" s="36"/>
    </row>
    <row r="4764">
      <c r="A4764" s="36"/>
      <c r="B4764" s="36" t="str">
        <f>IFERROR(__xludf.DUMMYFUNCTION("""COMPUTED_VALUE"""),"LATITUD")</f>
        <v>LATITUD</v>
      </c>
      <c r="C4764" s="36" t="str">
        <f>IFERROR(__xludf.DUMMYFUNCTION("""COMPUTED_VALUE"""),"LONGITUD")</f>
        <v>LONGITUD</v>
      </c>
      <c r="D4764" s="36" t="str">
        <f>IFERROR(__xludf.DUMMYFUNCTION("""COMPUTED_VALUE"""),"ERROR DE ID")</f>
        <v>ERROR DE ID</v>
      </c>
      <c r="E4764" s="36"/>
      <c r="F4764" s="36"/>
      <c r="G4764" s="36"/>
      <c r="H4764" s="36"/>
    </row>
    <row r="4765">
      <c r="A4765" s="36"/>
      <c r="B4765" s="36" t="str">
        <f>IFERROR(__xludf.DUMMYFUNCTION("""COMPUTED_VALUE"""),"LATITUD")</f>
        <v>LATITUD</v>
      </c>
      <c r="C4765" s="36" t="str">
        <f>IFERROR(__xludf.DUMMYFUNCTION("""COMPUTED_VALUE"""),"LONGITUD")</f>
        <v>LONGITUD</v>
      </c>
      <c r="D4765" s="36" t="str">
        <f>IFERROR(__xludf.DUMMYFUNCTION("""COMPUTED_VALUE"""),"ERROR DE ID")</f>
        <v>ERROR DE ID</v>
      </c>
      <c r="E4765" s="36"/>
      <c r="F4765" s="36"/>
      <c r="G4765" s="36"/>
      <c r="H4765" s="36"/>
    </row>
    <row r="4766">
      <c r="A4766" s="36"/>
      <c r="B4766" s="36" t="str">
        <f>IFERROR(__xludf.DUMMYFUNCTION("""COMPUTED_VALUE"""),"LATITUD")</f>
        <v>LATITUD</v>
      </c>
      <c r="C4766" s="36" t="str">
        <f>IFERROR(__xludf.DUMMYFUNCTION("""COMPUTED_VALUE"""),"LONGITUD")</f>
        <v>LONGITUD</v>
      </c>
      <c r="D4766" s="36" t="str">
        <f>IFERROR(__xludf.DUMMYFUNCTION("""COMPUTED_VALUE"""),"ERROR DE ID")</f>
        <v>ERROR DE ID</v>
      </c>
      <c r="E4766" s="36"/>
      <c r="F4766" s="36"/>
      <c r="G4766" s="36"/>
      <c r="H4766" s="36"/>
    </row>
    <row r="4767">
      <c r="A4767" s="36"/>
      <c r="B4767" s="36" t="str">
        <f>IFERROR(__xludf.DUMMYFUNCTION("""COMPUTED_VALUE"""),"LATITUD")</f>
        <v>LATITUD</v>
      </c>
      <c r="C4767" s="36" t="str">
        <f>IFERROR(__xludf.DUMMYFUNCTION("""COMPUTED_VALUE"""),"LONGITUD")</f>
        <v>LONGITUD</v>
      </c>
      <c r="D4767" s="36" t="str">
        <f>IFERROR(__xludf.DUMMYFUNCTION("""COMPUTED_VALUE"""),"ERROR DE ID")</f>
        <v>ERROR DE ID</v>
      </c>
      <c r="E4767" s="36"/>
      <c r="F4767" s="36"/>
      <c r="G4767" s="36"/>
      <c r="H4767" s="36"/>
    </row>
    <row r="4768">
      <c r="A4768" s="36"/>
      <c r="B4768" s="36" t="str">
        <f>IFERROR(__xludf.DUMMYFUNCTION("""COMPUTED_VALUE"""),"LATITUD")</f>
        <v>LATITUD</v>
      </c>
      <c r="C4768" s="36" t="str">
        <f>IFERROR(__xludf.DUMMYFUNCTION("""COMPUTED_VALUE"""),"LONGITUD")</f>
        <v>LONGITUD</v>
      </c>
      <c r="D4768" s="36" t="str">
        <f>IFERROR(__xludf.DUMMYFUNCTION("""COMPUTED_VALUE"""),"ERROR DE ID")</f>
        <v>ERROR DE ID</v>
      </c>
      <c r="E4768" s="36"/>
      <c r="F4768" s="36"/>
      <c r="G4768" s="36"/>
      <c r="H4768" s="36"/>
    </row>
    <row r="4769">
      <c r="A4769" s="36"/>
      <c r="B4769" s="36" t="str">
        <f>IFERROR(__xludf.DUMMYFUNCTION("""COMPUTED_VALUE"""),"LATITUD")</f>
        <v>LATITUD</v>
      </c>
      <c r="C4769" s="36" t="str">
        <f>IFERROR(__xludf.DUMMYFUNCTION("""COMPUTED_VALUE"""),"LONGITUD")</f>
        <v>LONGITUD</v>
      </c>
      <c r="D4769" s="36" t="str">
        <f>IFERROR(__xludf.DUMMYFUNCTION("""COMPUTED_VALUE"""),"ERROR DE ID")</f>
        <v>ERROR DE ID</v>
      </c>
      <c r="E4769" s="36"/>
      <c r="F4769" s="36"/>
      <c r="G4769" s="36"/>
      <c r="H4769" s="36"/>
    </row>
    <row r="4770">
      <c r="A4770" s="36"/>
      <c r="B4770" s="36" t="str">
        <f>IFERROR(__xludf.DUMMYFUNCTION("""COMPUTED_VALUE"""),"LATITUD")</f>
        <v>LATITUD</v>
      </c>
      <c r="C4770" s="36" t="str">
        <f>IFERROR(__xludf.DUMMYFUNCTION("""COMPUTED_VALUE"""),"LONGITUD")</f>
        <v>LONGITUD</v>
      </c>
      <c r="D4770" s="36" t="str">
        <f>IFERROR(__xludf.DUMMYFUNCTION("""COMPUTED_VALUE"""),"ERROR DE ID")</f>
        <v>ERROR DE ID</v>
      </c>
      <c r="E4770" s="36"/>
      <c r="F4770" s="36"/>
      <c r="G4770" s="36"/>
      <c r="H4770" s="36"/>
    </row>
    <row r="4771">
      <c r="A4771" s="36"/>
      <c r="B4771" s="36" t="str">
        <f>IFERROR(__xludf.DUMMYFUNCTION("""COMPUTED_VALUE"""),"LATITUD")</f>
        <v>LATITUD</v>
      </c>
      <c r="C4771" s="36" t="str">
        <f>IFERROR(__xludf.DUMMYFUNCTION("""COMPUTED_VALUE"""),"LONGITUD")</f>
        <v>LONGITUD</v>
      </c>
      <c r="D4771" s="36" t="str">
        <f>IFERROR(__xludf.DUMMYFUNCTION("""COMPUTED_VALUE"""),"ERROR DE ID")</f>
        <v>ERROR DE ID</v>
      </c>
      <c r="E4771" s="36"/>
      <c r="F4771" s="36"/>
      <c r="G4771" s="36"/>
      <c r="H4771" s="36"/>
    </row>
    <row r="4772">
      <c r="A4772" s="36"/>
      <c r="B4772" s="36" t="str">
        <f>IFERROR(__xludf.DUMMYFUNCTION("""COMPUTED_VALUE"""),"LATITUD")</f>
        <v>LATITUD</v>
      </c>
      <c r="C4772" s="36" t="str">
        <f>IFERROR(__xludf.DUMMYFUNCTION("""COMPUTED_VALUE"""),"LONGITUD")</f>
        <v>LONGITUD</v>
      </c>
      <c r="D4772" s="36" t="str">
        <f>IFERROR(__xludf.DUMMYFUNCTION("""COMPUTED_VALUE"""),"ERROR DE ID")</f>
        <v>ERROR DE ID</v>
      </c>
      <c r="E4772" s="36"/>
      <c r="F4772" s="36"/>
      <c r="G4772" s="36"/>
      <c r="H4772" s="36"/>
    </row>
    <row r="4773">
      <c r="A4773" s="36"/>
      <c r="B4773" s="36" t="str">
        <f>IFERROR(__xludf.DUMMYFUNCTION("""COMPUTED_VALUE"""),"LATITUD")</f>
        <v>LATITUD</v>
      </c>
      <c r="C4773" s="36" t="str">
        <f>IFERROR(__xludf.DUMMYFUNCTION("""COMPUTED_VALUE"""),"LONGITUD")</f>
        <v>LONGITUD</v>
      </c>
      <c r="D4773" s="36" t="str">
        <f>IFERROR(__xludf.DUMMYFUNCTION("""COMPUTED_VALUE"""),"ERROR DE ID")</f>
        <v>ERROR DE ID</v>
      </c>
      <c r="E4773" s="36"/>
      <c r="F4773" s="36"/>
      <c r="G4773" s="36"/>
      <c r="H4773" s="36"/>
    </row>
    <row r="4774">
      <c r="A4774" s="36"/>
      <c r="B4774" s="36" t="str">
        <f>IFERROR(__xludf.DUMMYFUNCTION("""COMPUTED_VALUE"""),"LATITUD")</f>
        <v>LATITUD</v>
      </c>
      <c r="C4774" s="36" t="str">
        <f>IFERROR(__xludf.DUMMYFUNCTION("""COMPUTED_VALUE"""),"LONGITUD")</f>
        <v>LONGITUD</v>
      </c>
      <c r="D4774" s="36" t="str">
        <f>IFERROR(__xludf.DUMMYFUNCTION("""COMPUTED_VALUE"""),"ERROR DE ID")</f>
        <v>ERROR DE ID</v>
      </c>
      <c r="E4774" s="36"/>
      <c r="F4774" s="36"/>
      <c r="G4774" s="36"/>
      <c r="H4774" s="36"/>
    </row>
    <row r="4775">
      <c r="A4775" s="36"/>
      <c r="B4775" s="36" t="str">
        <f>IFERROR(__xludf.DUMMYFUNCTION("""COMPUTED_VALUE"""),"LATITUD")</f>
        <v>LATITUD</v>
      </c>
      <c r="C4775" s="36" t="str">
        <f>IFERROR(__xludf.DUMMYFUNCTION("""COMPUTED_VALUE"""),"LONGITUD")</f>
        <v>LONGITUD</v>
      </c>
      <c r="D4775" s="36" t="str">
        <f>IFERROR(__xludf.DUMMYFUNCTION("""COMPUTED_VALUE"""),"ERROR DE ID")</f>
        <v>ERROR DE ID</v>
      </c>
      <c r="E4775" s="36"/>
      <c r="F4775" s="36"/>
      <c r="G4775" s="36"/>
      <c r="H4775" s="36"/>
    </row>
    <row r="4776">
      <c r="A4776" s="36"/>
      <c r="B4776" s="36" t="str">
        <f>IFERROR(__xludf.DUMMYFUNCTION("""COMPUTED_VALUE"""),"LATITUD")</f>
        <v>LATITUD</v>
      </c>
      <c r="C4776" s="36" t="str">
        <f>IFERROR(__xludf.DUMMYFUNCTION("""COMPUTED_VALUE"""),"LONGITUD")</f>
        <v>LONGITUD</v>
      </c>
      <c r="D4776" s="36" t="str">
        <f>IFERROR(__xludf.DUMMYFUNCTION("""COMPUTED_VALUE"""),"ERROR DE ID")</f>
        <v>ERROR DE ID</v>
      </c>
      <c r="E4776" s="36"/>
      <c r="F4776" s="36"/>
      <c r="G4776" s="36"/>
      <c r="H4776" s="36"/>
    </row>
    <row r="4777">
      <c r="A4777" s="36"/>
      <c r="B4777" s="36" t="str">
        <f>IFERROR(__xludf.DUMMYFUNCTION("""COMPUTED_VALUE"""),"LATITUD")</f>
        <v>LATITUD</v>
      </c>
      <c r="C4777" s="36" t="str">
        <f>IFERROR(__xludf.DUMMYFUNCTION("""COMPUTED_VALUE"""),"LONGITUD")</f>
        <v>LONGITUD</v>
      </c>
      <c r="D4777" s="36" t="str">
        <f>IFERROR(__xludf.DUMMYFUNCTION("""COMPUTED_VALUE"""),"ERROR DE ID")</f>
        <v>ERROR DE ID</v>
      </c>
      <c r="E4777" s="36"/>
      <c r="F4777" s="36"/>
      <c r="G4777" s="36"/>
      <c r="H4777" s="36"/>
    </row>
    <row r="4778">
      <c r="A4778" s="36"/>
      <c r="B4778" s="36" t="str">
        <f>IFERROR(__xludf.DUMMYFUNCTION("""COMPUTED_VALUE"""),"LATITUD")</f>
        <v>LATITUD</v>
      </c>
      <c r="C4778" s="36" t="str">
        <f>IFERROR(__xludf.DUMMYFUNCTION("""COMPUTED_VALUE"""),"LONGITUD")</f>
        <v>LONGITUD</v>
      </c>
      <c r="D4778" s="36" t="str">
        <f>IFERROR(__xludf.DUMMYFUNCTION("""COMPUTED_VALUE"""),"ERROR DE ID")</f>
        <v>ERROR DE ID</v>
      </c>
      <c r="E4778" s="36"/>
      <c r="F4778" s="36"/>
      <c r="G4778" s="36"/>
      <c r="H4778" s="36"/>
    </row>
    <row r="4779">
      <c r="A4779" s="36"/>
      <c r="B4779" s="36" t="str">
        <f>IFERROR(__xludf.DUMMYFUNCTION("""COMPUTED_VALUE"""),"LATITUD")</f>
        <v>LATITUD</v>
      </c>
      <c r="C4779" s="36" t="str">
        <f>IFERROR(__xludf.DUMMYFUNCTION("""COMPUTED_VALUE"""),"LONGITUD")</f>
        <v>LONGITUD</v>
      </c>
      <c r="D4779" s="36" t="str">
        <f>IFERROR(__xludf.DUMMYFUNCTION("""COMPUTED_VALUE"""),"ERROR DE ID")</f>
        <v>ERROR DE ID</v>
      </c>
      <c r="E4779" s="36"/>
      <c r="F4779" s="36"/>
      <c r="G4779" s="36"/>
      <c r="H4779" s="36"/>
    </row>
    <row r="4780">
      <c r="A4780" s="36"/>
      <c r="B4780" s="36" t="str">
        <f>IFERROR(__xludf.DUMMYFUNCTION("""COMPUTED_VALUE"""),"LATITUD")</f>
        <v>LATITUD</v>
      </c>
      <c r="C4780" s="36" t="str">
        <f>IFERROR(__xludf.DUMMYFUNCTION("""COMPUTED_VALUE"""),"LONGITUD")</f>
        <v>LONGITUD</v>
      </c>
      <c r="D4780" s="36" t="str">
        <f>IFERROR(__xludf.DUMMYFUNCTION("""COMPUTED_VALUE"""),"ERROR DE ID")</f>
        <v>ERROR DE ID</v>
      </c>
      <c r="E4780" s="36"/>
      <c r="F4780" s="36"/>
      <c r="G4780" s="36"/>
      <c r="H4780" s="36"/>
    </row>
    <row r="4781">
      <c r="A4781" s="36"/>
      <c r="B4781" s="36" t="str">
        <f>IFERROR(__xludf.DUMMYFUNCTION("""COMPUTED_VALUE"""),"LATITUD")</f>
        <v>LATITUD</v>
      </c>
      <c r="C4781" s="36" t="str">
        <f>IFERROR(__xludf.DUMMYFUNCTION("""COMPUTED_VALUE"""),"LONGITUD")</f>
        <v>LONGITUD</v>
      </c>
      <c r="D4781" s="36" t="str">
        <f>IFERROR(__xludf.DUMMYFUNCTION("""COMPUTED_VALUE"""),"ERROR DE ID")</f>
        <v>ERROR DE ID</v>
      </c>
      <c r="E4781" s="36"/>
      <c r="F4781" s="36"/>
      <c r="G4781" s="36"/>
      <c r="H4781" s="36"/>
    </row>
    <row r="4782">
      <c r="A4782" s="36"/>
      <c r="B4782" s="36" t="str">
        <f>IFERROR(__xludf.DUMMYFUNCTION("""COMPUTED_VALUE"""),"LATITUD")</f>
        <v>LATITUD</v>
      </c>
      <c r="C4782" s="36" t="str">
        <f>IFERROR(__xludf.DUMMYFUNCTION("""COMPUTED_VALUE"""),"LONGITUD")</f>
        <v>LONGITUD</v>
      </c>
      <c r="D4782" s="36" t="str">
        <f>IFERROR(__xludf.DUMMYFUNCTION("""COMPUTED_VALUE"""),"ERROR DE ID")</f>
        <v>ERROR DE ID</v>
      </c>
      <c r="E4782" s="36"/>
      <c r="F4782" s="36"/>
      <c r="G4782" s="36"/>
      <c r="H4782" s="36"/>
    </row>
    <row r="4783">
      <c r="A4783" s="36"/>
      <c r="B4783" s="36" t="str">
        <f>IFERROR(__xludf.DUMMYFUNCTION("""COMPUTED_VALUE"""),"LATITUD")</f>
        <v>LATITUD</v>
      </c>
      <c r="C4783" s="36" t="str">
        <f>IFERROR(__xludf.DUMMYFUNCTION("""COMPUTED_VALUE"""),"LONGITUD")</f>
        <v>LONGITUD</v>
      </c>
      <c r="D4783" s="36" t="str">
        <f>IFERROR(__xludf.DUMMYFUNCTION("""COMPUTED_VALUE"""),"ERROR DE ID")</f>
        <v>ERROR DE ID</v>
      </c>
      <c r="E4783" s="36"/>
      <c r="F4783" s="36"/>
      <c r="G4783" s="36"/>
      <c r="H4783" s="36"/>
    </row>
    <row r="4784">
      <c r="A4784" s="36"/>
      <c r="B4784" s="36" t="str">
        <f>IFERROR(__xludf.DUMMYFUNCTION("""COMPUTED_VALUE"""),"LATITUD")</f>
        <v>LATITUD</v>
      </c>
      <c r="C4784" s="36" t="str">
        <f>IFERROR(__xludf.DUMMYFUNCTION("""COMPUTED_VALUE"""),"LONGITUD")</f>
        <v>LONGITUD</v>
      </c>
      <c r="D4784" s="36" t="str">
        <f>IFERROR(__xludf.DUMMYFUNCTION("""COMPUTED_VALUE"""),"ERROR DE ID")</f>
        <v>ERROR DE ID</v>
      </c>
      <c r="E4784" s="36"/>
      <c r="F4784" s="36"/>
      <c r="G4784" s="36"/>
      <c r="H4784" s="36"/>
    </row>
    <row r="4785">
      <c r="A4785" s="36"/>
      <c r="B4785" s="36" t="str">
        <f>IFERROR(__xludf.DUMMYFUNCTION("""COMPUTED_VALUE"""),"LATITUD")</f>
        <v>LATITUD</v>
      </c>
      <c r="C4785" s="36" t="str">
        <f>IFERROR(__xludf.DUMMYFUNCTION("""COMPUTED_VALUE"""),"LONGITUD")</f>
        <v>LONGITUD</v>
      </c>
      <c r="D4785" s="36" t="str">
        <f>IFERROR(__xludf.DUMMYFUNCTION("""COMPUTED_VALUE"""),"ERROR DE ID")</f>
        <v>ERROR DE ID</v>
      </c>
      <c r="E4785" s="36"/>
      <c r="F4785" s="36"/>
      <c r="G4785" s="36"/>
      <c r="H4785" s="36"/>
    </row>
    <row r="4786">
      <c r="A4786" s="36"/>
      <c r="B4786" s="36" t="str">
        <f>IFERROR(__xludf.DUMMYFUNCTION("""COMPUTED_VALUE"""),"LATITUD")</f>
        <v>LATITUD</v>
      </c>
      <c r="C4786" s="36" t="str">
        <f>IFERROR(__xludf.DUMMYFUNCTION("""COMPUTED_VALUE"""),"LONGITUD")</f>
        <v>LONGITUD</v>
      </c>
      <c r="D4786" s="36" t="str">
        <f>IFERROR(__xludf.DUMMYFUNCTION("""COMPUTED_VALUE"""),"ERROR DE ID")</f>
        <v>ERROR DE ID</v>
      </c>
      <c r="E4786" s="36"/>
      <c r="F4786" s="36"/>
      <c r="G4786" s="36"/>
      <c r="H4786" s="36"/>
    </row>
    <row r="4787">
      <c r="A4787" s="36"/>
      <c r="B4787" s="36" t="str">
        <f>IFERROR(__xludf.DUMMYFUNCTION("""COMPUTED_VALUE"""),"LATITUD")</f>
        <v>LATITUD</v>
      </c>
      <c r="C4787" s="36" t="str">
        <f>IFERROR(__xludf.DUMMYFUNCTION("""COMPUTED_VALUE"""),"LONGITUD")</f>
        <v>LONGITUD</v>
      </c>
      <c r="D4787" s="36" t="str">
        <f>IFERROR(__xludf.DUMMYFUNCTION("""COMPUTED_VALUE"""),"ERROR DE ID")</f>
        <v>ERROR DE ID</v>
      </c>
      <c r="E4787" s="36"/>
      <c r="F4787" s="36"/>
      <c r="G4787" s="36"/>
      <c r="H4787" s="36"/>
    </row>
    <row r="4788">
      <c r="A4788" s="36"/>
      <c r="B4788" s="36" t="str">
        <f>IFERROR(__xludf.DUMMYFUNCTION("""COMPUTED_VALUE"""),"LATITUD")</f>
        <v>LATITUD</v>
      </c>
      <c r="C4788" s="36" t="str">
        <f>IFERROR(__xludf.DUMMYFUNCTION("""COMPUTED_VALUE"""),"LONGITUD")</f>
        <v>LONGITUD</v>
      </c>
      <c r="D4788" s="36" t="str">
        <f>IFERROR(__xludf.DUMMYFUNCTION("""COMPUTED_VALUE"""),"ERROR DE ID")</f>
        <v>ERROR DE ID</v>
      </c>
      <c r="E4788" s="36"/>
      <c r="F4788" s="36"/>
      <c r="G4788" s="36"/>
      <c r="H4788" s="36"/>
    </row>
    <row r="4789">
      <c r="A4789" s="36"/>
      <c r="B4789" s="36" t="str">
        <f>IFERROR(__xludf.DUMMYFUNCTION("""COMPUTED_VALUE"""),"LATITUD")</f>
        <v>LATITUD</v>
      </c>
      <c r="C4789" s="36" t="str">
        <f>IFERROR(__xludf.DUMMYFUNCTION("""COMPUTED_VALUE"""),"LONGITUD")</f>
        <v>LONGITUD</v>
      </c>
      <c r="D4789" s="36" t="str">
        <f>IFERROR(__xludf.DUMMYFUNCTION("""COMPUTED_VALUE"""),"ERROR DE ID")</f>
        <v>ERROR DE ID</v>
      </c>
      <c r="E4789" s="36"/>
      <c r="F4789" s="36"/>
      <c r="G4789" s="36"/>
      <c r="H4789" s="36"/>
    </row>
    <row r="4790">
      <c r="A4790" s="36"/>
      <c r="B4790" s="36" t="str">
        <f>IFERROR(__xludf.DUMMYFUNCTION("""COMPUTED_VALUE"""),"LATITUD")</f>
        <v>LATITUD</v>
      </c>
      <c r="C4790" s="36" t="str">
        <f>IFERROR(__xludf.DUMMYFUNCTION("""COMPUTED_VALUE"""),"LONGITUD")</f>
        <v>LONGITUD</v>
      </c>
      <c r="D4790" s="36" t="str">
        <f>IFERROR(__xludf.DUMMYFUNCTION("""COMPUTED_VALUE"""),"ERROR DE ID")</f>
        <v>ERROR DE ID</v>
      </c>
      <c r="E4790" s="36"/>
      <c r="F4790" s="36"/>
      <c r="G4790" s="36"/>
      <c r="H4790" s="36"/>
    </row>
    <row r="4791">
      <c r="A4791" s="36"/>
      <c r="B4791" s="36" t="str">
        <f>IFERROR(__xludf.DUMMYFUNCTION("""COMPUTED_VALUE"""),"LATITUD")</f>
        <v>LATITUD</v>
      </c>
      <c r="C4791" s="36" t="str">
        <f>IFERROR(__xludf.DUMMYFUNCTION("""COMPUTED_VALUE"""),"LONGITUD")</f>
        <v>LONGITUD</v>
      </c>
      <c r="D4791" s="36" t="str">
        <f>IFERROR(__xludf.DUMMYFUNCTION("""COMPUTED_VALUE"""),"ERROR DE ID")</f>
        <v>ERROR DE ID</v>
      </c>
      <c r="E4791" s="36"/>
      <c r="F4791" s="36"/>
      <c r="G4791" s="36"/>
      <c r="H4791" s="36"/>
    </row>
    <row r="4792">
      <c r="A4792" s="36"/>
      <c r="B4792" s="36" t="str">
        <f>IFERROR(__xludf.DUMMYFUNCTION("""COMPUTED_VALUE"""),"LATITUD")</f>
        <v>LATITUD</v>
      </c>
      <c r="C4792" s="36" t="str">
        <f>IFERROR(__xludf.DUMMYFUNCTION("""COMPUTED_VALUE"""),"LONGITUD")</f>
        <v>LONGITUD</v>
      </c>
      <c r="D4792" s="36" t="str">
        <f>IFERROR(__xludf.DUMMYFUNCTION("""COMPUTED_VALUE"""),"ERROR DE ID")</f>
        <v>ERROR DE ID</v>
      </c>
      <c r="E4792" s="36"/>
      <c r="F4792" s="36"/>
      <c r="G4792" s="36"/>
      <c r="H4792" s="36"/>
    </row>
    <row r="4793">
      <c r="A4793" s="36"/>
      <c r="B4793" s="36" t="str">
        <f>IFERROR(__xludf.DUMMYFUNCTION("""COMPUTED_VALUE"""),"LATITUD")</f>
        <v>LATITUD</v>
      </c>
      <c r="C4793" s="36" t="str">
        <f>IFERROR(__xludf.DUMMYFUNCTION("""COMPUTED_VALUE"""),"LONGITUD")</f>
        <v>LONGITUD</v>
      </c>
      <c r="D4793" s="36" t="str">
        <f>IFERROR(__xludf.DUMMYFUNCTION("""COMPUTED_VALUE"""),"ERROR DE ID")</f>
        <v>ERROR DE ID</v>
      </c>
      <c r="E4793" s="36"/>
      <c r="F4793" s="36"/>
      <c r="G4793" s="36"/>
      <c r="H4793" s="36"/>
    </row>
    <row r="4794">
      <c r="A4794" s="36"/>
      <c r="B4794" s="36" t="str">
        <f>IFERROR(__xludf.DUMMYFUNCTION("""COMPUTED_VALUE"""),"LATITUD")</f>
        <v>LATITUD</v>
      </c>
      <c r="C4794" s="36" t="str">
        <f>IFERROR(__xludf.DUMMYFUNCTION("""COMPUTED_VALUE"""),"LONGITUD")</f>
        <v>LONGITUD</v>
      </c>
      <c r="D4794" s="36" t="str">
        <f>IFERROR(__xludf.DUMMYFUNCTION("""COMPUTED_VALUE"""),"ERROR DE ID")</f>
        <v>ERROR DE ID</v>
      </c>
      <c r="E4794" s="36"/>
      <c r="F4794" s="36"/>
      <c r="G4794" s="36"/>
      <c r="H4794" s="36"/>
    </row>
    <row r="4795">
      <c r="A4795" s="36"/>
      <c r="B4795" s="36" t="str">
        <f>IFERROR(__xludf.DUMMYFUNCTION("""COMPUTED_VALUE"""),"LATITUD")</f>
        <v>LATITUD</v>
      </c>
      <c r="C4795" s="36" t="str">
        <f>IFERROR(__xludf.DUMMYFUNCTION("""COMPUTED_VALUE"""),"LONGITUD")</f>
        <v>LONGITUD</v>
      </c>
      <c r="D4795" s="36" t="str">
        <f>IFERROR(__xludf.DUMMYFUNCTION("""COMPUTED_VALUE"""),"ERROR DE ID")</f>
        <v>ERROR DE ID</v>
      </c>
      <c r="E4795" s="36"/>
      <c r="F4795" s="36"/>
      <c r="G4795" s="36"/>
      <c r="H4795" s="36"/>
    </row>
    <row r="4796">
      <c r="A4796" s="36"/>
      <c r="B4796" s="36" t="str">
        <f>IFERROR(__xludf.DUMMYFUNCTION("""COMPUTED_VALUE"""),"LATITUD")</f>
        <v>LATITUD</v>
      </c>
      <c r="C4796" s="36" t="str">
        <f>IFERROR(__xludf.DUMMYFUNCTION("""COMPUTED_VALUE"""),"LONGITUD")</f>
        <v>LONGITUD</v>
      </c>
      <c r="D4796" s="36" t="str">
        <f>IFERROR(__xludf.DUMMYFUNCTION("""COMPUTED_VALUE"""),"ERROR DE ID")</f>
        <v>ERROR DE ID</v>
      </c>
      <c r="E4796" s="36"/>
      <c r="F4796" s="36"/>
      <c r="G4796" s="36"/>
      <c r="H4796" s="36"/>
    </row>
    <row r="4797">
      <c r="A4797" s="36"/>
      <c r="B4797" s="36" t="str">
        <f>IFERROR(__xludf.DUMMYFUNCTION("""COMPUTED_VALUE"""),"LATITUD")</f>
        <v>LATITUD</v>
      </c>
      <c r="C4797" s="36" t="str">
        <f>IFERROR(__xludf.DUMMYFUNCTION("""COMPUTED_VALUE"""),"LONGITUD")</f>
        <v>LONGITUD</v>
      </c>
      <c r="D4797" s="36" t="str">
        <f>IFERROR(__xludf.DUMMYFUNCTION("""COMPUTED_VALUE"""),"ERROR DE ID")</f>
        <v>ERROR DE ID</v>
      </c>
      <c r="E4797" s="36"/>
      <c r="F4797" s="36"/>
      <c r="G4797" s="36"/>
      <c r="H4797" s="36"/>
    </row>
    <row r="4798">
      <c r="A4798" s="36"/>
      <c r="B4798" s="36" t="str">
        <f>IFERROR(__xludf.DUMMYFUNCTION("""COMPUTED_VALUE"""),"LATITUD")</f>
        <v>LATITUD</v>
      </c>
      <c r="C4798" s="36" t="str">
        <f>IFERROR(__xludf.DUMMYFUNCTION("""COMPUTED_VALUE"""),"LONGITUD")</f>
        <v>LONGITUD</v>
      </c>
      <c r="D4798" s="36" t="str">
        <f>IFERROR(__xludf.DUMMYFUNCTION("""COMPUTED_VALUE"""),"ERROR DE ID")</f>
        <v>ERROR DE ID</v>
      </c>
      <c r="E4798" s="36"/>
      <c r="F4798" s="36"/>
      <c r="G4798" s="36"/>
      <c r="H4798" s="36"/>
    </row>
    <row r="4799">
      <c r="A4799" s="36"/>
      <c r="B4799" s="36" t="str">
        <f>IFERROR(__xludf.DUMMYFUNCTION("""COMPUTED_VALUE"""),"LATITUD")</f>
        <v>LATITUD</v>
      </c>
      <c r="C4799" s="36" t="str">
        <f>IFERROR(__xludf.DUMMYFUNCTION("""COMPUTED_VALUE"""),"LONGITUD")</f>
        <v>LONGITUD</v>
      </c>
      <c r="D4799" s="36" t="str">
        <f>IFERROR(__xludf.DUMMYFUNCTION("""COMPUTED_VALUE"""),"ERROR DE ID")</f>
        <v>ERROR DE ID</v>
      </c>
      <c r="E4799" s="36"/>
      <c r="F4799" s="36"/>
      <c r="G4799" s="36"/>
      <c r="H4799" s="36"/>
    </row>
    <row r="4800">
      <c r="A4800" s="36"/>
      <c r="B4800" s="36" t="str">
        <f>IFERROR(__xludf.DUMMYFUNCTION("""COMPUTED_VALUE"""),"LATITUD")</f>
        <v>LATITUD</v>
      </c>
      <c r="C4800" s="36" t="str">
        <f>IFERROR(__xludf.DUMMYFUNCTION("""COMPUTED_VALUE"""),"LONGITUD")</f>
        <v>LONGITUD</v>
      </c>
      <c r="D4800" s="36" t="str">
        <f>IFERROR(__xludf.DUMMYFUNCTION("""COMPUTED_VALUE"""),"ERROR DE ID")</f>
        <v>ERROR DE ID</v>
      </c>
      <c r="E4800" s="36"/>
      <c r="F4800" s="36"/>
      <c r="G4800" s="36"/>
      <c r="H4800" s="36"/>
    </row>
    <row r="4801">
      <c r="A4801" s="36"/>
      <c r="B4801" s="36" t="str">
        <f>IFERROR(__xludf.DUMMYFUNCTION("""COMPUTED_VALUE"""),"LATITUD")</f>
        <v>LATITUD</v>
      </c>
      <c r="C4801" s="36" t="str">
        <f>IFERROR(__xludf.DUMMYFUNCTION("""COMPUTED_VALUE"""),"LONGITUD")</f>
        <v>LONGITUD</v>
      </c>
      <c r="D4801" s="36" t="str">
        <f>IFERROR(__xludf.DUMMYFUNCTION("""COMPUTED_VALUE"""),"ERROR DE ID")</f>
        <v>ERROR DE ID</v>
      </c>
      <c r="E4801" s="36"/>
      <c r="F4801" s="36"/>
      <c r="G4801" s="36"/>
      <c r="H4801" s="36"/>
    </row>
    <row r="4802">
      <c r="A4802" s="36"/>
      <c r="B4802" s="36" t="str">
        <f>IFERROR(__xludf.DUMMYFUNCTION("""COMPUTED_VALUE"""),"LATITUD")</f>
        <v>LATITUD</v>
      </c>
      <c r="C4802" s="36" t="str">
        <f>IFERROR(__xludf.DUMMYFUNCTION("""COMPUTED_VALUE"""),"LONGITUD")</f>
        <v>LONGITUD</v>
      </c>
      <c r="D4802" s="36" t="str">
        <f>IFERROR(__xludf.DUMMYFUNCTION("""COMPUTED_VALUE"""),"ERROR DE ID")</f>
        <v>ERROR DE ID</v>
      </c>
      <c r="E4802" s="36"/>
      <c r="F4802" s="36"/>
      <c r="G4802" s="36"/>
      <c r="H4802" s="36"/>
    </row>
    <row r="4803">
      <c r="A4803" s="36"/>
      <c r="B4803" s="36" t="str">
        <f>IFERROR(__xludf.DUMMYFUNCTION("""COMPUTED_VALUE"""),"LATITUD")</f>
        <v>LATITUD</v>
      </c>
      <c r="C4803" s="36" t="str">
        <f>IFERROR(__xludf.DUMMYFUNCTION("""COMPUTED_VALUE"""),"LONGITUD")</f>
        <v>LONGITUD</v>
      </c>
      <c r="D4803" s="36" t="str">
        <f>IFERROR(__xludf.DUMMYFUNCTION("""COMPUTED_VALUE"""),"ERROR DE ID")</f>
        <v>ERROR DE ID</v>
      </c>
      <c r="E4803" s="36"/>
      <c r="F4803" s="36"/>
      <c r="G4803" s="36"/>
      <c r="H4803" s="36"/>
    </row>
    <row r="4804">
      <c r="A4804" s="36"/>
      <c r="B4804" s="36" t="str">
        <f>IFERROR(__xludf.DUMMYFUNCTION("""COMPUTED_VALUE"""),"LATITUD")</f>
        <v>LATITUD</v>
      </c>
      <c r="C4804" s="36" t="str">
        <f>IFERROR(__xludf.DUMMYFUNCTION("""COMPUTED_VALUE"""),"LONGITUD")</f>
        <v>LONGITUD</v>
      </c>
      <c r="D4804" s="36" t="str">
        <f>IFERROR(__xludf.DUMMYFUNCTION("""COMPUTED_VALUE"""),"ERROR DE ID")</f>
        <v>ERROR DE ID</v>
      </c>
      <c r="E4804" s="36"/>
      <c r="F4804" s="36"/>
      <c r="G4804" s="36"/>
      <c r="H4804" s="36"/>
    </row>
    <row r="4805">
      <c r="A4805" s="36"/>
      <c r="B4805" s="36" t="str">
        <f>IFERROR(__xludf.DUMMYFUNCTION("""COMPUTED_VALUE"""),"LATITUD")</f>
        <v>LATITUD</v>
      </c>
      <c r="C4805" s="36" t="str">
        <f>IFERROR(__xludf.DUMMYFUNCTION("""COMPUTED_VALUE"""),"LONGITUD")</f>
        <v>LONGITUD</v>
      </c>
      <c r="D4805" s="36" t="str">
        <f>IFERROR(__xludf.DUMMYFUNCTION("""COMPUTED_VALUE"""),"ERROR DE ID")</f>
        <v>ERROR DE ID</v>
      </c>
      <c r="E4805" s="36"/>
      <c r="F4805" s="36"/>
      <c r="G4805" s="36"/>
      <c r="H4805" s="36"/>
    </row>
    <row r="4806">
      <c r="A4806" s="36"/>
      <c r="B4806" s="36" t="str">
        <f>IFERROR(__xludf.DUMMYFUNCTION("""COMPUTED_VALUE"""),"LATITUD")</f>
        <v>LATITUD</v>
      </c>
      <c r="C4806" s="36" t="str">
        <f>IFERROR(__xludf.DUMMYFUNCTION("""COMPUTED_VALUE"""),"LONGITUD")</f>
        <v>LONGITUD</v>
      </c>
      <c r="D4806" s="36" t="str">
        <f>IFERROR(__xludf.DUMMYFUNCTION("""COMPUTED_VALUE"""),"ERROR DE ID")</f>
        <v>ERROR DE ID</v>
      </c>
      <c r="E4806" s="36"/>
      <c r="F4806" s="36"/>
      <c r="G4806" s="36"/>
      <c r="H4806" s="36"/>
    </row>
    <row r="4807">
      <c r="A4807" s="36"/>
      <c r="B4807" s="36" t="str">
        <f>IFERROR(__xludf.DUMMYFUNCTION("""COMPUTED_VALUE"""),"LATITUD")</f>
        <v>LATITUD</v>
      </c>
      <c r="C4807" s="36" t="str">
        <f>IFERROR(__xludf.DUMMYFUNCTION("""COMPUTED_VALUE"""),"LONGITUD")</f>
        <v>LONGITUD</v>
      </c>
      <c r="D4807" s="36" t="str">
        <f>IFERROR(__xludf.DUMMYFUNCTION("""COMPUTED_VALUE"""),"ERROR DE ID")</f>
        <v>ERROR DE ID</v>
      </c>
      <c r="E4807" s="36"/>
      <c r="F4807" s="36"/>
      <c r="G4807" s="36"/>
      <c r="H4807" s="36"/>
    </row>
    <row r="4808">
      <c r="A4808" s="36"/>
      <c r="B4808" s="36" t="str">
        <f>IFERROR(__xludf.DUMMYFUNCTION("""COMPUTED_VALUE"""),"LATITUD")</f>
        <v>LATITUD</v>
      </c>
      <c r="C4808" s="36" t="str">
        <f>IFERROR(__xludf.DUMMYFUNCTION("""COMPUTED_VALUE"""),"LONGITUD")</f>
        <v>LONGITUD</v>
      </c>
      <c r="D4808" s="36" t="str">
        <f>IFERROR(__xludf.DUMMYFUNCTION("""COMPUTED_VALUE"""),"ERROR DE ID")</f>
        <v>ERROR DE ID</v>
      </c>
      <c r="E4808" s="36"/>
      <c r="F4808" s="36"/>
      <c r="G4808" s="36"/>
      <c r="H4808" s="36"/>
    </row>
    <row r="4809">
      <c r="A4809" s="36"/>
      <c r="B4809" s="36" t="str">
        <f>IFERROR(__xludf.DUMMYFUNCTION("""COMPUTED_VALUE"""),"LATITUD")</f>
        <v>LATITUD</v>
      </c>
      <c r="C4809" s="36" t="str">
        <f>IFERROR(__xludf.DUMMYFUNCTION("""COMPUTED_VALUE"""),"LONGITUD")</f>
        <v>LONGITUD</v>
      </c>
      <c r="D4809" s="36" t="str">
        <f>IFERROR(__xludf.DUMMYFUNCTION("""COMPUTED_VALUE"""),"ERROR DE ID")</f>
        <v>ERROR DE ID</v>
      </c>
      <c r="E4809" s="36"/>
      <c r="F4809" s="36"/>
      <c r="G4809" s="36"/>
      <c r="H4809" s="36"/>
    </row>
    <row r="4810">
      <c r="A4810" s="36"/>
      <c r="B4810" s="36" t="str">
        <f>IFERROR(__xludf.DUMMYFUNCTION("""COMPUTED_VALUE"""),"LATITUD")</f>
        <v>LATITUD</v>
      </c>
      <c r="C4810" s="36" t="str">
        <f>IFERROR(__xludf.DUMMYFUNCTION("""COMPUTED_VALUE"""),"LONGITUD")</f>
        <v>LONGITUD</v>
      </c>
      <c r="D4810" s="36" t="str">
        <f>IFERROR(__xludf.DUMMYFUNCTION("""COMPUTED_VALUE"""),"ERROR DE ID")</f>
        <v>ERROR DE ID</v>
      </c>
      <c r="E4810" s="36"/>
      <c r="F4810" s="36"/>
      <c r="G4810" s="36"/>
      <c r="H4810" s="36"/>
    </row>
    <row r="4811">
      <c r="A4811" s="36"/>
      <c r="B4811" s="36" t="str">
        <f>IFERROR(__xludf.DUMMYFUNCTION("""COMPUTED_VALUE"""),"LATITUD")</f>
        <v>LATITUD</v>
      </c>
      <c r="C4811" s="36" t="str">
        <f>IFERROR(__xludf.DUMMYFUNCTION("""COMPUTED_VALUE"""),"LONGITUD")</f>
        <v>LONGITUD</v>
      </c>
      <c r="D4811" s="36" t="str">
        <f>IFERROR(__xludf.DUMMYFUNCTION("""COMPUTED_VALUE"""),"ERROR DE ID")</f>
        <v>ERROR DE ID</v>
      </c>
      <c r="E4811" s="36"/>
      <c r="F4811" s="36"/>
      <c r="G4811" s="36"/>
      <c r="H4811" s="36"/>
    </row>
    <row r="4812">
      <c r="A4812" s="36"/>
      <c r="B4812" s="36" t="str">
        <f>IFERROR(__xludf.DUMMYFUNCTION("""COMPUTED_VALUE"""),"LATITUD")</f>
        <v>LATITUD</v>
      </c>
      <c r="C4812" s="36" t="str">
        <f>IFERROR(__xludf.DUMMYFUNCTION("""COMPUTED_VALUE"""),"LONGITUD")</f>
        <v>LONGITUD</v>
      </c>
      <c r="D4812" s="36" t="str">
        <f>IFERROR(__xludf.DUMMYFUNCTION("""COMPUTED_VALUE"""),"ERROR DE ID")</f>
        <v>ERROR DE ID</v>
      </c>
      <c r="E4812" s="36"/>
      <c r="F4812" s="36"/>
      <c r="G4812" s="36"/>
      <c r="H4812" s="36"/>
    </row>
    <row r="4813">
      <c r="A4813" s="36"/>
      <c r="B4813" s="36" t="str">
        <f>IFERROR(__xludf.DUMMYFUNCTION("""COMPUTED_VALUE"""),"LATITUD")</f>
        <v>LATITUD</v>
      </c>
      <c r="C4813" s="36" t="str">
        <f>IFERROR(__xludf.DUMMYFUNCTION("""COMPUTED_VALUE"""),"LONGITUD")</f>
        <v>LONGITUD</v>
      </c>
      <c r="D4813" s="36" t="str">
        <f>IFERROR(__xludf.DUMMYFUNCTION("""COMPUTED_VALUE"""),"ERROR DE ID")</f>
        <v>ERROR DE ID</v>
      </c>
      <c r="E4813" s="36"/>
      <c r="F4813" s="36"/>
      <c r="G4813" s="36"/>
      <c r="H4813" s="36"/>
    </row>
    <row r="4814">
      <c r="A4814" s="36"/>
      <c r="B4814" s="36" t="str">
        <f>IFERROR(__xludf.DUMMYFUNCTION("""COMPUTED_VALUE"""),"LATITUD")</f>
        <v>LATITUD</v>
      </c>
      <c r="C4814" s="36" t="str">
        <f>IFERROR(__xludf.DUMMYFUNCTION("""COMPUTED_VALUE"""),"LONGITUD")</f>
        <v>LONGITUD</v>
      </c>
      <c r="D4814" s="36" t="str">
        <f>IFERROR(__xludf.DUMMYFUNCTION("""COMPUTED_VALUE"""),"ERROR DE ID")</f>
        <v>ERROR DE ID</v>
      </c>
      <c r="E4814" s="36"/>
      <c r="F4814" s="36"/>
      <c r="G4814" s="36"/>
      <c r="H4814" s="36"/>
    </row>
    <row r="4815">
      <c r="A4815" s="36"/>
      <c r="B4815" s="36" t="str">
        <f>IFERROR(__xludf.DUMMYFUNCTION("""COMPUTED_VALUE"""),"LATITUD")</f>
        <v>LATITUD</v>
      </c>
      <c r="C4815" s="36" t="str">
        <f>IFERROR(__xludf.DUMMYFUNCTION("""COMPUTED_VALUE"""),"LONGITUD")</f>
        <v>LONGITUD</v>
      </c>
      <c r="D4815" s="36" t="str">
        <f>IFERROR(__xludf.DUMMYFUNCTION("""COMPUTED_VALUE"""),"ERROR DE ID")</f>
        <v>ERROR DE ID</v>
      </c>
      <c r="E4815" s="36"/>
      <c r="F4815" s="36"/>
      <c r="G4815" s="36"/>
      <c r="H4815" s="36"/>
    </row>
    <row r="4816">
      <c r="A4816" s="36"/>
      <c r="B4816" s="36" t="str">
        <f>IFERROR(__xludf.DUMMYFUNCTION("""COMPUTED_VALUE"""),"LATITUD")</f>
        <v>LATITUD</v>
      </c>
      <c r="C4816" s="36" t="str">
        <f>IFERROR(__xludf.DUMMYFUNCTION("""COMPUTED_VALUE"""),"LONGITUD")</f>
        <v>LONGITUD</v>
      </c>
      <c r="D4816" s="36" t="str">
        <f>IFERROR(__xludf.DUMMYFUNCTION("""COMPUTED_VALUE"""),"ERROR DE ID")</f>
        <v>ERROR DE ID</v>
      </c>
      <c r="E4816" s="36"/>
      <c r="F4816" s="36"/>
      <c r="G4816" s="36"/>
      <c r="H4816" s="36"/>
    </row>
    <row r="4817">
      <c r="A4817" s="36"/>
      <c r="B4817" s="36" t="str">
        <f>IFERROR(__xludf.DUMMYFUNCTION("""COMPUTED_VALUE"""),"LATITUD")</f>
        <v>LATITUD</v>
      </c>
      <c r="C4817" s="36" t="str">
        <f>IFERROR(__xludf.DUMMYFUNCTION("""COMPUTED_VALUE"""),"LONGITUD")</f>
        <v>LONGITUD</v>
      </c>
      <c r="D4817" s="36" t="str">
        <f>IFERROR(__xludf.DUMMYFUNCTION("""COMPUTED_VALUE"""),"ERROR DE ID")</f>
        <v>ERROR DE ID</v>
      </c>
      <c r="E4817" s="36"/>
      <c r="F4817" s="36"/>
      <c r="G4817" s="36"/>
      <c r="H4817" s="36"/>
    </row>
    <row r="4818">
      <c r="A4818" s="36"/>
      <c r="B4818" s="36" t="str">
        <f>IFERROR(__xludf.DUMMYFUNCTION("""COMPUTED_VALUE"""),"LATITUD")</f>
        <v>LATITUD</v>
      </c>
      <c r="C4818" s="36" t="str">
        <f>IFERROR(__xludf.DUMMYFUNCTION("""COMPUTED_VALUE"""),"LONGITUD")</f>
        <v>LONGITUD</v>
      </c>
      <c r="D4818" s="36" t="str">
        <f>IFERROR(__xludf.DUMMYFUNCTION("""COMPUTED_VALUE"""),"ERROR DE ID")</f>
        <v>ERROR DE ID</v>
      </c>
      <c r="E4818" s="36"/>
      <c r="F4818" s="36"/>
      <c r="G4818" s="36"/>
      <c r="H4818" s="36"/>
    </row>
    <row r="4819">
      <c r="A4819" s="36"/>
      <c r="B4819" s="36" t="str">
        <f>IFERROR(__xludf.DUMMYFUNCTION("""COMPUTED_VALUE"""),"LATITUD")</f>
        <v>LATITUD</v>
      </c>
      <c r="C4819" s="36" t="str">
        <f>IFERROR(__xludf.DUMMYFUNCTION("""COMPUTED_VALUE"""),"LONGITUD")</f>
        <v>LONGITUD</v>
      </c>
      <c r="D4819" s="36" t="str">
        <f>IFERROR(__xludf.DUMMYFUNCTION("""COMPUTED_VALUE"""),"ERROR DE ID")</f>
        <v>ERROR DE ID</v>
      </c>
      <c r="E4819" s="36"/>
      <c r="F4819" s="36"/>
      <c r="G4819" s="36"/>
      <c r="H4819" s="36"/>
    </row>
    <row r="4820">
      <c r="A4820" s="36"/>
      <c r="B4820" s="36" t="str">
        <f>IFERROR(__xludf.DUMMYFUNCTION("""COMPUTED_VALUE"""),"LATITUD")</f>
        <v>LATITUD</v>
      </c>
      <c r="C4820" s="36" t="str">
        <f>IFERROR(__xludf.DUMMYFUNCTION("""COMPUTED_VALUE"""),"LONGITUD")</f>
        <v>LONGITUD</v>
      </c>
      <c r="D4820" s="36" t="str">
        <f>IFERROR(__xludf.DUMMYFUNCTION("""COMPUTED_VALUE"""),"ERROR DE ID")</f>
        <v>ERROR DE ID</v>
      </c>
      <c r="E4820" s="36"/>
      <c r="F4820" s="36"/>
      <c r="G4820" s="36"/>
      <c r="H4820" s="36"/>
    </row>
    <row r="4821">
      <c r="A4821" s="36"/>
      <c r="B4821" s="36" t="str">
        <f>IFERROR(__xludf.DUMMYFUNCTION("""COMPUTED_VALUE"""),"LATITUD")</f>
        <v>LATITUD</v>
      </c>
      <c r="C4821" s="36" t="str">
        <f>IFERROR(__xludf.DUMMYFUNCTION("""COMPUTED_VALUE"""),"LONGITUD")</f>
        <v>LONGITUD</v>
      </c>
      <c r="D4821" s="36" t="str">
        <f>IFERROR(__xludf.DUMMYFUNCTION("""COMPUTED_VALUE"""),"ERROR DE ID")</f>
        <v>ERROR DE ID</v>
      </c>
      <c r="E4821" s="36"/>
      <c r="F4821" s="36"/>
      <c r="G4821" s="36"/>
      <c r="H4821" s="36"/>
    </row>
    <row r="4822">
      <c r="A4822" s="36"/>
      <c r="B4822" s="36" t="str">
        <f>IFERROR(__xludf.DUMMYFUNCTION("""COMPUTED_VALUE"""),"LATITUD")</f>
        <v>LATITUD</v>
      </c>
      <c r="C4822" s="36" t="str">
        <f>IFERROR(__xludf.DUMMYFUNCTION("""COMPUTED_VALUE"""),"LONGITUD")</f>
        <v>LONGITUD</v>
      </c>
      <c r="D4822" s="36" t="str">
        <f>IFERROR(__xludf.DUMMYFUNCTION("""COMPUTED_VALUE"""),"ERROR DE ID")</f>
        <v>ERROR DE ID</v>
      </c>
      <c r="E4822" s="36"/>
      <c r="F4822" s="36"/>
      <c r="G4822" s="36"/>
      <c r="H4822" s="36"/>
    </row>
    <row r="4823">
      <c r="A4823" s="36"/>
      <c r="B4823" s="36" t="str">
        <f>IFERROR(__xludf.DUMMYFUNCTION("""COMPUTED_VALUE"""),"LATITUD")</f>
        <v>LATITUD</v>
      </c>
      <c r="C4823" s="36" t="str">
        <f>IFERROR(__xludf.DUMMYFUNCTION("""COMPUTED_VALUE"""),"LONGITUD")</f>
        <v>LONGITUD</v>
      </c>
      <c r="D4823" s="36" t="str">
        <f>IFERROR(__xludf.DUMMYFUNCTION("""COMPUTED_VALUE"""),"ERROR DE ID")</f>
        <v>ERROR DE ID</v>
      </c>
      <c r="E4823" s="36"/>
      <c r="F4823" s="36"/>
      <c r="G4823" s="36"/>
      <c r="H4823" s="36"/>
    </row>
    <row r="4824">
      <c r="A4824" s="36"/>
      <c r="B4824" s="36" t="str">
        <f>IFERROR(__xludf.DUMMYFUNCTION("""COMPUTED_VALUE"""),"LATITUD")</f>
        <v>LATITUD</v>
      </c>
      <c r="C4824" s="36" t="str">
        <f>IFERROR(__xludf.DUMMYFUNCTION("""COMPUTED_VALUE"""),"LONGITUD")</f>
        <v>LONGITUD</v>
      </c>
      <c r="D4824" s="36" t="str">
        <f>IFERROR(__xludf.DUMMYFUNCTION("""COMPUTED_VALUE"""),"ERROR DE ID")</f>
        <v>ERROR DE ID</v>
      </c>
      <c r="E4824" s="36"/>
      <c r="F4824" s="36"/>
      <c r="G4824" s="36"/>
      <c r="H4824" s="36"/>
    </row>
    <row r="4825">
      <c r="A4825" s="36"/>
      <c r="B4825" s="36" t="str">
        <f>IFERROR(__xludf.DUMMYFUNCTION("""COMPUTED_VALUE"""),"LATITUD")</f>
        <v>LATITUD</v>
      </c>
      <c r="C4825" s="36" t="str">
        <f>IFERROR(__xludf.DUMMYFUNCTION("""COMPUTED_VALUE"""),"LONGITUD")</f>
        <v>LONGITUD</v>
      </c>
      <c r="D4825" s="36" t="str">
        <f>IFERROR(__xludf.DUMMYFUNCTION("""COMPUTED_VALUE"""),"ERROR DE ID")</f>
        <v>ERROR DE ID</v>
      </c>
      <c r="E4825" s="36"/>
      <c r="F4825" s="36"/>
      <c r="G4825" s="36"/>
      <c r="H4825" s="36"/>
    </row>
    <row r="4826">
      <c r="A4826" s="36"/>
      <c r="B4826" s="36" t="str">
        <f>IFERROR(__xludf.DUMMYFUNCTION("""COMPUTED_VALUE"""),"LATITUD")</f>
        <v>LATITUD</v>
      </c>
      <c r="C4826" s="36" t="str">
        <f>IFERROR(__xludf.DUMMYFUNCTION("""COMPUTED_VALUE"""),"LONGITUD")</f>
        <v>LONGITUD</v>
      </c>
      <c r="D4826" s="36" t="str">
        <f>IFERROR(__xludf.DUMMYFUNCTION("""COMPUTED_VALUE"""),"ERROR DE ID")</f>
        <v>ERROR DE ID</v>
      </c>
      <c r="E4826" s="36"/>
      <c r="F4826" s="36"/>
      <c r="G4826" s="36"/>
      <c r="H4826" s="36"/>
    </row>
    <row r="4827">
      <c r="A4827" s="36"/>
      <c r="B4827" s="36" t="str">
        <f>IFERROR(__xludf.DUMMYFUNCTION("""COMPUTED_VALUE"""),"LATITUD")</f>
        <v>LATITUD</v>
      </c>
      <c r="C4827" s="36" t="str">
        <f>IFERROR(__xludf.DUMMYFUNCTION("""COMPUTED_VALUE"""),"LONGITUD")</f>
        <v>LONGITUD</v>
      </c>
      <c r="D4827" s="36" t="str">
        <f>IFERROR(__xludf.DUMMYFUNCTION("""COMPUTED_VALUE"""),"ERROR DE ID")</f>
        <v>ERROR DE ID</v>
      </c>
      <c r="E4827" s="36"/>
      <c r="F4827" s="36"/>
      <c r="G4827" s="36"/>
      <c r="H4827" s="36"/>
    </row>
    <row r="4828">
      <c r="A4828" s="36"/>
      <c r="B4828" s="36" t="str">
        <f>IFERROR(__xludf.DUMMYFUNCTION("""COMPUTED_VALUE"""),"LATITUD")</f>
        <v>LATITUD</v>
      </c>
      <c r="C4828" s="36" t="str">
        <f>IFERROR(__xludf.DUMMYFUNCTION("""COMPUTED_VALUE"""),"LONGITUD")</f>
        <v>LONGITUD</v>
      </c>
      <c r="D4828" s="36" t="str">
        <f>IFERROR(__xludf.DUMMYFUNCTION("""COMPUTED_VALUE"""),"ERROR DE ID")</f>
        <v>ERROR DE ID</v>
      </c>
      <c r="E4828" s="36"/>
      <c r="F4828" s="36"/>
      <c r="G4828" s="36"/>
      <c r="H4828" s="36"/>
    </row>
    <row r="4829">
      <c r="A4829" s="36"/>
      <c r="B4829" s="36" t="str">
        <f>IFERROR(__xludf.DUMMYFUNCTION("""COMPUTED_VALUE"""),"LATITUD")</f>
        <v>LATITUD</v>
      </c>
      <c r="C4829" s="36" t="str">
        <f>IFERROR(__xludf.DUMMYFUNCTION("""COMPUTED_VALUE"""),"LONGITUD")</f>
        <v>LONGITUD</v>
      </c>
      <c r="D4829" s="36" t="str">
        <f>IFERROR(__xludf.DUMMYFUNCTION("""COMPUTED_VALUE"""),"ERROR DE ID")</f>
        <v>ERROR DE ID</v>
      </c>
      <c r="E4829" s="36"/>
      <c r="F4829" s="36"/>
      <c r="G4829" s="36"/>
      <c r="H4829" s="36"/>
    </row>
    <row r="4830">
      <c r="A4830" s="36"/>
      <c r="B4830" s="36" t="str">
        <f>IFERROR(__xludf.DUMMYFUNCTION("""COMPUTED_VALUE"""),"LATITUD")</f>
        <v>LATITUD</v>
      </c>
      <c r="C4830" s="36" t="str">
        <f>IFERROR(__xludf.DUMMYFUNCTION("""COMPUTED_VALUE"""),"LONGITUD")</f>
        <v>LONGITUD</v>
      </c>
      <c r="D4830" s="36" t="str">
        <f>IFERROR(__xludf.DUMMYFUNCTION("""COMPUTED_VALUE"""),"ERROR DE ID")</f>
        <v>ERROR DE ID</v>
      </c>
      <c r="E4830" s="36"/>
      <c r="F4830" s="36"/>
      <c r="G4830" s="36"/>
      <c r="H4830" s="36"/>
    </row>
    <row r="4831">
      <c r="A4831" s="36"/>
      <c r="B4831" s="36" t="str">
        <f>IFERROR(__xludf.DUMMYFUNCTION("""COMPUTED_VALUE"""),"LATITUD")</f>
        <v>LATITUD</v>
      </c>
      <c r="C4831" s="36" t="str">
        <f>IFERROR(__xludf.DUMMYFUNCTION("""COMPUTED_VALUE"""),"LONGITUD")</f>
        <v>LONGITUD</v>
      </c>
      <c r="D4831" s="36" t="str">
        <f>IFERROR(__xludf.DUMMYFUNCTION("""COMPUTED_VALUE"""),"ERROR DE ID")</f>
        <v>ERROR DE ID</v>
      </c>
      <c r="E4831" s="36"/>
      <c r="F4831" s="36"/>
      <c r="G4831" s="36"/>
      <c r="H4831" s="36"/>
    </row>
    <row r="4832">
      <c r="A4832" s="36"/>
      <c r="B4832" s="36" t="str">
        <f>IFERROR(__xludf.DUMMYFUNCTION("""COMPUTED_VALUE"""),"LATITUD")</f>
        <v>LATITUD</v>
      </c>
      <c r="C4832" s="36" t="str">
        <f>IFERROR(__xludf.DUMMYFUNCTION("""COMPUTED_VALUE"""),"LONGITUD")</f>
        <v>LONGITUD</v>
      </c>
      <c r="D4832" s="36" t="str">
        <f>IFERROR(__xludf.DUMMYFUNCTION("""COMPUTED_VALUE"""),"ERROR DE ID")</f>
        <v>ERROR DE ID</v>
      </c>
      <c r="E4832" s="36"/>
      <c r="F4832" s="36"/>
      <c r="G4832" s="36"/>
      <c r="H4832" s="36"/>
    </row>
    <row r="4833">
      <c r="A4833" s="36"/>
      <c r="B4833" s="36" t="str">
        <f>IFERROR(__xludf.DUMMYFUNCTION("""COMPUTED_VALUE"""),"LATITUD")</f>
        <v>LATITUD</v>
      </c>
      <c r="C4833" s="36" t="str">
        <f>IFERROR(__xludf.DUMMYFUNCTION("""COMPUTED_VALUE"""),"LONGITUD")</f>
        <v>LONGITUD</v>
      </c>
      <c r="D4833" s="36" t="str">
        <f>IFERROR(__xludf.DUMMYFUNCTION("""COMPUTED_VALUE"""),"ERROR DE ID")</f>
        <v>ERROR DE ID</v>
      </c>
      <c r="E4833" s="36"/>
      <c r="F4833" s="36"/>
      <c r="G4833" s="36"/>
      <c r="H4833" s="36"/>
    </row>
    <row r="4834">
      <c r="A4834" s="36"/>
      <c r="B4834" s="36" t="str">
        <f>IFERROR(__xludf.DUMMYFUNCTION("""COMPUTED_VALUE"""),"LATITUD")</f>
        <v>LATITUD</v>
      </c>
      <c r="C4834" s="36" t="str">
        <f>IFERROR(__xludf.DUMMYFUNCTION("""COMPUTED_VALUE"""),"LONGITUD")</f>
        <v>LONGITUD</v>
      </c>
      <c r="D4834" s="36" t="str">
        <f>IFERROR(__xludf.DUMMYFUNCTION("""COMPUTED_VALUE"""),"ERROR DE ID")</f>
        <v>ERROR DE ID</v>
      </c>
      <c r="E4834" s="36"/>
      <c r="F4834" s="36"/>
      <c r="G4834" s="36"/>
      <c r="H4834" s="36"/>
    </row>
    <row r="4835">
      <c r="A4835" s="36"/>
      <c r="B4835" s="36" t="str">
        <f>IFERROR(__xludf.DUMMYFUNCTION("""COMPUTED_VALUE"""),"LATITUD")</f>
        <v>LATITUD</v>
      </c>
      <c r="C4835" s="36" t="str">
        <f>IFERROR(__xludf.DUMMYFUNCTION("""COMPUTED_VALUE"""),"LONGITUD")</f>
        <v>LONGITUD</v>
      </c>
      <c r="D4835" s="36" t="str">
        <f>IFERROR(__xludf.DUMMYFUNCTION("""COMPUTED_VALUE"""),"ERROR DE ID")</f>
        <v>ERROR DE ID</v>
      </c>
      <c r="E4835" s="36"/>
      <c r="F4835" s="36"/>
      <c r="G4835" s="36"/>
      <c r="H4835" s="36"/>
    </row>
    <row r="4836">
      <c r="A4836" s="36"/>
      <c r="B4836" s="36" t="str">
        <f>IFERROR(__xludf.DUMMYFUNCTION("""COMPUTED_VALUE"""),"LATITUD")</f>
        <v>LATITUD</v>
      </c>
      <c r="C4836" s="36" t="str">
        <f>IFERROR(__xludf.DUMMYFUNCTION("""COMPUTED_VALUE"""),"LONGITUD")</f>
        <v>LONGITUD</v>
      </c>
      <c r="D4836" s="36" t="str">
        <f>IFERROR(__xludf.DUMMYFUNCTION("""COMPUTED_VALUE"""),"ERROR DE ID")</f>
        <v>ERROR DE ID</v>
      </c>
      <c r="E4836" s="36"/>
      <c r="F4836" s="36"/>
      <c r="G4836" s="36"/>
      <c r="H4836" s="36"/>
    </row>
    <row r="4837">
      <c r="A4837" s="36"/>
      <c r="B4837" s="36" t="str">
        <f>IFERROR(__xludf.DUMMYFUNCTION("""COMPUTED_VALUE"""),"LATITUD")</f>
        <v>LATITUD</v>
      </c>
      <c r="C4837" s="36" t="str">
        <f>IFERROR(__xludf.DUMMYFUNCTION("""COMPUTED_VALUE"""),"LONGITUD")</f>
        <v>LONGITUD</v>
      </c>
      <c r="D4837" s="36" t="str">
        <f>IFERROR(__xludf.DUMMYFUNCTION("""COMPUTED_VALUE"""),"ERROR DE ID")</f>
        <v>ERROR DE ID</v>
      </c>
      <c r="E4837" s="36"/>
      <c r="F4837" s="36"/>
      <c r="G4837" s="36"/>
      <c r="H4837" s="36"/>
    </row>
    <row r="4838">
      <c r="A4838" s="36"/>
      <c r="B4838" s="36" t="str">
        <f>IFERROR(__xludf.DUMMYFUNCTION("""COMPUTED_VALUE"""),"LATITUD")</f>
        <v>LATITUD</v>
      </c>
      <c r="C4838" s="36" t="str">
        <f>IFERROR(__xludf.DUMMYFUNCTION("""COMPUTED_VALUE"""),"LONGITUD")</f>
        <v>LONGITUD</v>
      </c>
      <c r="D4838" s="36" t="str">
        <f>IFERROR(__xludf.DUMMYFUNCTION("""COMPUTED_VALUE"""),"ERROR DE ID")</f>
        <v>ERROR DE ID</v>
      </c>
      <c r="E4838" s="36"/>
      <c r="F4838" s="36"/>
      <c r="G4838" s="36"/>
      <c r="H4838" s="36"/>
    </row>
    <row r="4839">
      <c r="A4839" s="36"/>
      <c r="B4839" s="36" t="str">
        <f>IFERROR(__xludf.DUMMYFUNCTION("""COMPUTED_VALUE"""),"LATITUD")</f>
        <v>LATITUD</v>
      </c>
      <c r="C4839" s="36" t="str">
        <f>IFERROR(__xludf.DUMMYFUNCTION("""COMPUTED_VALUE"""),"LONGITUD")</f>
        <v>LONGITUD</v>
      </c>
      <c r="D4839" s="36" t="str">
        <f>IFERROR(__xludf.DUMMYFUNCTION("""COMPUTED_VALUE"""),"ERROR DE ID")</f>
        <v>ERROR DE ID</v>
      </c>
      <c r="E4839" s="36"/>
      <c r="F4839" s="36"/>
      <c r="G4839" s="36"/>
      <c r="H4839" s="36"/>
    </row>
    <row r="4840">
      <c r="A4840" s="36"/>
      <c r="B4840" s="36" t="str">
        <f>IFERROR(__xludf.DUMMYFUNCTION("""COMPUTED_VALUE"""),"LATITUD")</f>
        <v>LATITUD</v>
      </c>
      <c r="C4840" s="36" t="str">
        <f>IFERROR(__xludf.DUMMYFUNCTION("""COMPUTED_VALUE"""),"LONGITUD")</f>
        <v>LONGITUD</v>
      </c>
      <c r="D4840" s="36" t="str">
        <f>IFERROR(__xludf.DUMMYFUNCTION("""COMPUTED_VALUE"""),"ERROR DE ID")</f>
        <v>ERROR DE ID</v>
      </c>
      <c r="E4840" s="36"/>
      <c r="F4840" s="36"/>
      <c r="G4840" s="36"/>
      <c r="H4840" s="36"/>
    </row>
    <row r="4841">
      <c r="A4841" s="36"/>
      <c r="B4841" s="36" t="str">
        <f>IFERROR(__xludf.DUMMYFUNCTION("""COMPUTED_VALUE"""),"LATITUD")</f>
        <v>LATITUD</v>
      </c>
      <c r="C4841" s="36" t="str">
        <f>IFERROR(__xludf.DUMMYFUNCTION("""COMPUTED_VALUE"""),"LONGITUD")</f>
        <v>LONGITUD</v>
      </c>
      <c r="D4841" s="36" t="str">
        <f>IFERROR(__xludf.DUMMYFUNCTION("""COMPUTED_VALUE"""),"ERROR DE ID")</f>
        <v>ERROR DE ID</v>
      </c>
      <c r="E4841" s="36"/>
      <c r="F4841" s="36"/>
      <c r="G4841" s="36"/>
      <c r="H4841" s="36"/>
    </row>
    <row r="4842">
      <c r="A4842" s="36"/>
      <c r="B4842" s="36" t="str">
        <f>IFERROR(__xludf.DUMMYFUNCTION("""COMPUTED_VALUE"""),"LATITUD")</f>
        <v>LATITUD</v>
      </c>
      <c r="C4842" s="36" t="str">
        <f>IFERROR(__xludf.DUMMYFUNCTION("""COMPUTED_VALUE"""),"LONGITUD")</f>
        <v>LONGITUD</v>
      </c>
      <c r="D4842" s="36" t="str">
        <f>IFERROR(__xludf.DUMMYFUNCTION("""COMPUTED_VALUE"""),"ERROR DE ID")</f>
        <v>ERROR DE ID</v>
      </c>
      <c r="E4842" s="36"/>
      <c r="F4842" s="36"/>
      <c r="G4842" s="36"/>
      <c r="H4842" s="36"/>
    </row>
    <row r="4843">
      <c r="A4843" s="36"/>
      <c r="B4843" s="36" t="str">
        <f>IFERROR(__xludf.DUMMYFUNCTION("""COMPUTED_VALUE"""),"LATITUD")</f>
        <v>LATITUD</v>
      </c>
      <c r="C4843" s="36" t="str">
        <f>IFERROR(__xludf.DUMMYFUNCTION("""COMPUTED_VALUE"""),"LONGITUD")</f>
        <v>LONGITUD</v>
      </c>
      <c r="D4843" s="36" t="str">
        <f>IFERROR(__xludf.DUMMYFUNCTION("""COMPUTED_VALUE"""),"ERROR DE ID")</f>
        <v>ERROR DE ID</v>
      </c>
      <c r="E4843" s="36"/>
      <c r="F4843" s="36"/>
      <c r="G4843" s="36"/>
      <c r="H4843" s="36"/>
    </row>
    <row r="4844">
      <c r="A4844" s="36"/>
      <c r="B4844" s="36" t="str">
        <f>IFERROR(__xludf.DUMMYFUNCTION("""COMPUTED_VALUE"""),"LATITUD")</f>
        <v>LATITUD</v>
      </c>
      <c r="C4844" s="36" t="str">
        <f>IFERROR(__xludf.DUMMYFUNCTION("""COMPUTED_VALUE"""),"LONGITUD")</f>
        <v>LONGITUD</v>
      </c>
      <c r="D4844" s="36" t="str">
        <f>IFERROR(__xludf.DUMMYFUNCTION("""COMPUTED_VALUE"""),"ERROR DE ID")</f>
        <v>ERROR DE ID</v>
      </c>
      <c r="E4844" s="36"/>
      <c r="F4844" s="36"/>
      <c r="G4844" s="36"/>
      <c r="H4844" s="36"/>
    </row>
    <row r="4845">
      <c r="A4845" s="36"/>
      <c r="B4845" s="36" t="str">
        <f>IFERROR(__xludf.DUMMYFUNCTION("""COMPUTED_VALUE"""),"LATITUD")</f>
        <v>LATITUD</v>
      </c>
      <c r="C4845" s="36" t="str">
        <f>IFERROR(__xludf.DUMMYFUNCTION("""COMPUTED_VALUE"""),"LONGITUD")</f>
        <v>LONGITUD</v>
      </c>
      <c r="D4845" s="36" t="str">
        <f>IFERROR(__xludf.DUMMYFUNCTION("""COMPUTED_VALUE"""),"ERROR DE ID")</f>
        <v>ERROR DE ID</v>
      </c>
      <c r="E4845" s="36"/>
      <c r="F4845" s="36"/>
      <c r="G4845" s="36"/>
      <c r="H4845" s="36"/>
    </row>
    <row r="4846">
      <c r="A4846" s="36"/>
      <c r="B4846" s="36" t="str">
        <f>IFERROR(__xludf.DUMMYFUNCTION("""COMPUTED_VALUE"""),"LATITUD")</f>
        <v>LATITUD</v>
      </c>
      <c r="C4846" s="36" t="str">
        <f>IFERROR(__xludf.DUMMYFUNCTION("""COMPUTED_VALUE"""),"LONGITUD")</f>
        <v>LONGITUD</v>
      </c>
      <c r="D4846" s="36" t="str">
        <f>IFERROR(__xludf.DUMMYFUNCTION("""COMPUTED_VALUE"""),"ERROR DE ID")</f>
        <v>ERROR DE ID</v>
      </c>
      <c r="E4846" s="36"/>
      <c r="F4846" s="36"/>
      <c r="G4846" s="36"/>
      <c r="H4846" s="36"/>
    </row>
    <row r="4847">
      <c r="A4847" s="36"/>
      <c r="B4847" s="36" t="str">
        <f>IFERROR(__xludf.DUMMYFUNCTION("""COMPUTED_VALUE"""),"LATITUD")</f>
        <v>LATITUD</v>
      </c>
      <c r="C4847" s="36" t="str">
        <f>IFERROR(__xludf.DUMMYFUNCTION("""COMPUTED_VALUE"""),"LONGITUD")</f>
        <v>LONGITUD</v>
      </c>
      <c r="D4847" s="36" t="str">
        <f>IFERROR(__xludf.DUMMYFUNCTION("""COMPUTED_VALUE"""),"ERROR DE ID")</f>
        <v>ERROR DE ID</v>
      </c>
      <c r="E4847" s="36"/>
      <c r="F4847" s="36"/>
      <c r="G4847" s="36"/>
      <c r="H4847" s="36"/>
    </row>
    <row r="4848">
      <c r="A4848" s="36"/>
      <c r="B4848" s="36" t="str">
        <f>IFERROR(__xludf.DUMMYFUNCTION("""COMPUTED_VALUE"""),"LATITUD")</f>
        <v>LATITUD</v>
      </c>
      <c r="C4848" s="36" t="str">
        <f>IFERROR(__xludf.DUMMYFUNCTION("""COMPUTED_VALUE"""),"LONGITUD")</f>
        <v>LONGITUD</v>
      </c>
      <c r="D4848" s="36" t="str">
        <f>IFERROR(__xludf.DUMMYFUNCTION("""COMPUTED_VALUE"""),"ERROR DE ID")</f>
        <v>ERROR DE ID</v>
      </c>
      <c r="E4848" s="36"/>
      <c r="F4848" s="36"/>
      <c r="G4848" s="36"/>
      <c r="H4848" s="36"/>
    </row>
    <row r="4849">
      <c r="A4849" s="36"/>
      <c r="B4849" s="36" t="str">
        <f>IFERROR(__xludf.DUMMYFUNCTION("""COMPUTED_VALUE"""),"LATITUD")</f>
        <v>LATITUD</v>
      </c>
      <c r="C4849" s="36" t="str">
        <f>IFERROR(__xludf.DUMMYFUNCTION("""COMPUTED_VALUE"""),"LONGITUD")</f>
        <v>LONGITUD</v>
      </c>
      <c r="D4849" s="36" t="str">
        <f>IFERROR(__xludf.DUMMYFUNCTION("""COMPUTED_VALUE"""),"ERROR DE ID")</f>
        <v>ERROR DE ID</v>
      </c>
      <c r="E4849" s="36"/>
      <c r="F4849" s="36"/>
      <c r="G4849" s="36"/>
      <c r="H4849" s="36"/>
    </row>
    <row r="4850">
      <c r="A4850" s="36"/>
      <c r="B4850" s="36" t="str">
        <f>IFERROR(__xludf.DUMMYFUNCTION("""COMPUTED_VALUE"""),"LATITUD")</f>
        <v>LATITUD</v>
      </c>
      <c r="C4850" s="36" t="str">
        <f>IFERROR(__xludf.DUMMYFUNCTION("""COMPUTED_VALUE"""),"LONGITUD")</f>
        <v>LONGITUD</v>
      </c>
      <c r="D4850" s="36" t="str">
        <f>IFERROR(__xludf.DUMMYFUNCTION("""COMPUTED_VALUE"""),"ERROR DE ID")</f>
        <v>ERROR DE ID</v>
      </c>
      <c r="E4850" s="36"/>
      <c r="F4850" s="36"/>
      <c r="G4850" s="36"/>
      <c r="H4850" s="36"/>
    </row>
    <row r="4851">
      <c r="A4851" s="36"/>
      <c r="B4851" s="36" t="str">
        <f>IFERROR(__xludf.DUMMYFUNCTION("""COMPUTED_VALUE"""),"LATITUD")</f>
        <v>LATITUD</v>
      </c>
      <c r="C4851" s="36" t="str">
        <f>IFERROR(__xludf.DUMMYFUNCTION("""COMPUTED_VALUE"""),"LONGITUD")</f>
        <v>LONGITUD</v>
      </c>
      <c r="D4851" s="36" t="str">
        <f>IFERROR(__xludf.DUMMYFUNCTION("""COMPUTED_VALUE"""),"ERROR DE ID")</f>
        <v>ERROR DE ID</v>
      </c>
      <c r="E4851" s="36"/>
      <c r="F4851" s="36"/>
      <c r="G4851" s="36"/>
      <c r="H4851" s="36"/>
    </row>
    <row r="4852">
      <c r="A4852" s="36"/>
      <c r="B4852" s="36" t="str">
        <f>IFERROR(__xludf.DUMMYFUNCTION("""COMPUTED_VALUE"""),"LATITUD")</f>
        <v>LATITUD</v>
      </c>
      <c r="C4852" s="36" t="str">
        <f>IFERROR(__xludf.DUMMYFUNCTION("""COMPUTED_VALUE"""),"LONGITUD")</f>
        <v>LONGITUD</v>
      </c>
      <c r="D4852" s="36" t="str">
        <f>IFERROR(__xludf.DUMMYFUNCTION("""COMPUTED_VALUE"""),"ERROR DE ID")</f>
        <v>ERROR DE ID</v>
      </c>
      <c r="E4852" s="36"/>
      <c r="F4852" s="36"/>
      <c r="G4852" s="36"/>
      <c r="H4852" s="36"/>
    </row>
    <row r="4853">
      <c r="A4853" s="36"/>
      <c r="B4853" s="36" t="str">
        <f>IFERROR(__xludf.DUMMYFUNCTION("""COMPUTED_VALUE"""),"LATITUD")</f>
        <v>LATITUD</v>
      </c>
      <c r="C4853" s="36" t="str">
        <f>IFERROR(__xludf.DUMMYFUNCTION("""COMPUTED_VALUE"""),"LONGITUD")</f>
        <v>LONGITUD</v>
      </c>
      <c r="D4853" s="36" t="str">
        <f>IFERROR(__xludf.DUMMYFUNCTION("""COMPUTED_VALUE"""),"ERROR DE ID")</f>
        <v>ERROR DE ID</v>
      </c>
      <c r="E4853" s="36"/>
      <c r="F4853" s="36"/>
      <c r="G4853" s="36"/>
      <c r="H4853" s="36"/>
    </row>
    <row r="4854">
      <c r="A4854" s="36"/>
      <c r="B4854" s="36" t="str">
        <f>IFERROR(__xludf.DUMMYFUNCTION("""COMPUTED_VALUE"""),"LATITUD")</f>
        <v>LATITUD</v>
      </c>
      <c r="C4854" s="36" t="str">
        <f>IFERROR(__xludf.DUMMYFUNCTION("""COMPUTED_VALUE"""),"LONGITUD")</f>
        <v>LONGITUD</v>
      </c>
      <c r="D4854" s="36" t="str">
        <f>IFERROR(__xludf.DUMMYFUNCTION("""COMPUTED_VALUE"""),"ERROR DE ID")</f>
        <v>ERROR DE ID</v>
      </c>
      <c r="E4854" s="36"/>
      <c r="F4854" s="36"/>
      <c r="G4854" s="36"/>
      <c r="H4854" s="36"/>
    </row>
    <row r="4855">
      <c r="A4855" s="36"/>
      <c r="B4855" s="36" t="str">
        <f>IFERROR(__xludf.DUMMYFUNCTION("""COMPUTED_VALUE"""),"LATITUD")</f>
        <v>LATITUD</v>
      </c>
      <c r="C4855" s="36" t="str">
        <f>IFERROR(__xludf.DUMMYFUNCTION("""COMPUTED_VALUE"""),"LONGITUD")</f>
        <v>LONGITUD</v>
      </c>
      <c r="D4855" s="36" t="str">
        <f>IFERROR(__xludf.DUMMYFUNCTION("""COMPUTED_VALUE"""),"ERROR DE ID")</f>
        <v>ERROR DE ID</v>
      </c>
      <c r="E4855" s="36"/>
      <c r="F4855" s="36"/>
      <c r="G4855" s="36"/>
      <c r="H4855" s="36"/>
    </row>
    <row r="4856">
      <c r="A4856" s="36"/>
      <c r="B4856" s="36" t="str">
        <f>IFERROR(__xludf.DUMMYFUNCTION("""COMPUTED_VALUE"""),"LATITUD")</f>
        <v>LATITUD</v>
      </c>
      <c r="C4856" s="36" t="str">
        <f>IFERROR(__xludf.DUMMYFUNCTION("""COMPUTED_VALUE"""),"LONGITUD")</f>
        <v>LONGITUD</v>
      </c>
      <c r="D4856" s="36" t="str">
        <f>IFERROR(__xludf.DUMMYFUNCTION("""COMPUTED_VALUE"""),"ERROR DE ID")</f>
        <v>ERROR DE ID</v>
      </c>
      <c r="E4856" s="36"/>
      <c r="F4856" s="36"/>
      <c r="G4856" s="36"/>
      <c r="H4856" s="36"/>
    </row>
    <row r="4857">
      <c r="A4857" s="36"/>
      <c r="B4857" s="36" t="str">
        <f>IFERROR(__xludf.DUMMYFUNCTION("""COMPUTED_VALUE"""),"LATITUD")</f>
        <v>LATITUD</v>
      </c>
      <c r="C4857" s="36" t="str">
        <f>IFERROR(__xludf.DUMMYFUNCTION("""COMPUTED_VALUE"""),"LONGITUD")</f>
        <v>LONGITUD</v>
      </c>
      <c r="D4857" s="36" t="str">
        <f>IFERROR(__xludf.DUMMYFUNCTION("""COMPUTED_VALUE"""),"ERROR DE ID")</f>
        <v>ERROR DE ID</v>
      </c>
      <c r="E4857" s="36"/>
      <c r="F4857" s="36"/>
      <c r="G4857" s="36"/>
      <c r="H4857" s="36"/>
    </row>
    <row r="4858">
      <c r="A4858" s="36"/>
      <c r="B4858" s="36" t="str">
        <f>IFERROR(__xludf.DUMMYFUNCTION("""COMPUTED_VALUE"""),"LATITUD")</f>
        <v>LATITUD</v>
      </c>
      <c r="C4858" s="36" t="str">
        <f>IFERROR(__xludf.DUMMYFUNCTION("""COMPUTED_VALUE"""),"LONGITUD")</f>
        <v>LONGITUD</v>
      </c>
      <c r="D4858" s="36" t="str">
        <f>IFERROR(__xludf.DUMMYFUNCTION("""COMPUTED_VALUE"""),"ERROR DE ID")</f>
        <v>ERROR DE ID</v>
      </c>
      <c r="E4858" s="36"/>
      <c r="F4858" s="36"/>
      <c r="G4858" s="36"/>
      <c r="H4858" s="36"/>
    </row>
    <row r="4859">
      <c r="A4859" s="36"/>
      <c r="B4859" s="36" t="str">
        <f>IFERROR(__xludf.DUMMYFUNCTION("""COMPUTED_VALUE"""),"LATITUD")</f>
        <v>LATITUD</v>
      </c>
      <c r="C4859" s="36" t="str">
        <f>IFERROR(__xludf.DUMMYFUNCTION("""COMPUTED_VALUE"""),"LONGITUD")</f>
        <v>LONGITUD</v>
      </c>
      <c r="D4859" s="36" t="str">
        <f>IFERROR(__xludf.DUMMYFUNCTION("""COMPUTED_VALUE"""),"ERROR DE ID")</f>
        <v>ERROR DE ID</v>
      </c>
      <c r="E4859" s="36"/>
      <c r="F4859" s="36"/>
      <c r="G4859" s="36"/>
      <c r="H4859" s="36"/>
    </row>
    <row r="4860">
      <c r="A4860" s="36"/>
      <c r="B4860" s="36" t="str">
        <f>IFERROR(__xludf.DUMMYFUNCTION("""COMPUTED_VALUE"""),"LATITUD")</f>
        <v>LATITUD</v>
      </c>
      <c r="C4860" s="36" t="str">
        <f>IFERROR(__xludf.DUMMYFUNCTION("""COMPUTED_VALUE"""),"LONGITUD")</f>
        <v>LONGITUD</v>
      </c>
      <c r="D4860" s="36" t="str">
        <f>IFERROR(__xludf.DUMMYFUNCTION("""COMPUTED_VALUE"""),"ERROR DE ID")</f>
        <v>ERROR DE ID</v>
      </c>
      <c r="E4860" s="36"/>
      <c r="F4860" s="36"/>
      <c r="G4860" s="36"/>
      <c r="H4860" s="36"/>
    </row>
    <row r="4861">
      <c r="A4861" s="36"/>
      <c r="B4861" s="36" t="str">
        <f>IFERROR(__xludf.DUMMYFUNCTION("""COMPUTED_VALUE"""),"LATITUD")</f>
        <v>LATITUD</v>
      </c>
      <c r="C4861" s="36" t="str">
        <f>IFERROR(__xludf.DUMMYFUNCTION("""COMPUTED_VALUE"""),"LONGITUD")</f>
        <v>LONGITUD</v>
      </c>
      <c r="D4861" s="36" t="str">
        <f>IFERROR(__xludf.DUMMYFUNCTION("""COMPUTED_VALUE"""),"ERROR DE ID")</f>
        <v>ERROR DE ID</v>
      </c>
      <c r="E4861" s="36"/>
      <c r="F4861" s="36"/>
      <c r="G4861" s="36"/>
      <c r="H4861" s="36"/>
    </row>
    <row r="4862">
      <c r="A4862" s="36"/>
      <c r="B4862" s="36" t="str">
        <f>IFERROR(__xludf.DUMMYFUNCTION("""COMPUTED_VALUE"""),"LATITUD")</f>
        <v>LATITUD</v>
      </c>
      <c r="C4862" s="36" t="str">
        <f>IFERROR(__xludf.DUMMYFUNCTION("""COMPUTED_VALUE"""),"LONGITUD")</f>
        <v>LONGITUD</v>
      </c>
      <c r="D4862" s="36" t="str">
        <f>IFERROR(__xludf.DUMMYFUNCTION("""COMPUTED_VALUE"""),"ERROR DE ID")</f>
        <v>ERROR DE ID</v>
      </c>
      <c r="E4862" s="36"/>
      <c r="F4862" s="36"/>
      <c r="G4862" s="36"/>
      <c r="H4862" s="36"/>
    </row>
    <row r="4863">
      <c r="A4863" s="36"/>
      <c r="B4863" s="36" t="str">
        <f>IFERROR(__xludf.DUMMYFUNCTION("""COMPUTED_VALUE"""),"LATITUD")</f>
        <v>LATITUD</v>
      </c>
      <c r="C4863" s="36" t="str">
        <f>IFERROR(__xludf.DUMMYFUNCTION("""COMPUTED_VALUE"""),"LONGITUD")</f>
        <v>LONGITUD</v>
      </c>
      <c r="D4863" s="36" t="str">
        <f>IFERROR(__xludf.DUMMYFUNCTION("""COMPUTED_VALUE"""),"ERROR DE ID")</f>
        <v>ERROR DE ID</v>
      </c>
      <c r="E4863" s="36"/>
      <c r="F4863" s="36"/>
      <c r="G4863" s="36"/>
      <c r="H4863" s="36"/>
    </row>
    <row r="4864">
      <c r="A4864" s="36"/>
      <c r="B4864" s="36" t="str">
        <f>IFERROR(__xludf.DUMMYFUNCTION("""COMPUTED_VALUE"""),"LATITUD")</f>
        <v>LATITUD</v>
      </c>
      <c r="C4864" s="36" t="str">
        <f>IFERROR(__xludf.DUMMYFUNCTION("""COMPUTED_VALUE"""),"LONGITUD")</f>
        <v>LONGITUD</v>
      </c>
      <c r="D4864" s="36" t="str">
        <f>IFERROR(__xludf.DUMMYFUNCTION("""COMPUTED_VALUE"""),"ERROR DE ID")</f>
        <v>ERROR DE ID</v>
      </c>
      <c r="E4864" s="36"/>
      <c r="F4864" s="36"/>
      <c r="G4864" s="36"/>
      <c r="H4864" s="36"/>
    </row>
    <row r="4865">
      <c r="A4865" s="36"/>
      <c r="B4865" s="36" t="str">
        <f>IFERROR(__xludf.DUMMYFUNCTION("""COMPUTED_VALUE"""),"LATITUD")</f>
        <v>LATITUD</v>
      </c>
      <c r="C4865" s="36" t="str">
        <f>IFERROR(__xludf.DUMMYFUNCTION("""COMPUTED_VALUE"""),"LONGITUD")</f>
        <v>LONGITUD</v>
      </c>
      <c r="D4865" s="36" t="str">
        <f>IFERROR(__xludf.DUMMYFUNCTION("""COMPUTED_VALUE"""),"ERROR DE ID")</f>
        <v>ERROR DE ID</v>
      </c>
      <c r="E4865" s="36"/>
      <c r="F4865" s="36"/>
      <c r="G4865" s="36"/>
      <c r="H4865" s="36"/>
    </row>
    <row r="4866">
      <c r="A4866" s="36"/>
      <c r="B4866" s="36" t="str">
        <f>IFERROR(__xludf.DUMMYFUNCTION("""COMPUTED_VALUE"""),"LATITUD")</f>
        <v>LATITUD</v>
      </c>
      <c r="C4866" s="36" t="str">
        <f>IFERROR(__xludf.DUMMYFUNCTION("""COMPUTED_VALUE"""),"LONGITUD")</f>
        <v>LONGITUD</v>
      </c>
      <c r="D4866" s="36" t="str">
        <f>IFERROR(__xludf.DUMMYFUNCTION("""COMPUTED_VALUE"""),"ERROR DE ID")</f>
        <v>ERROR DE ID</v>
      </c>
      <c r="E4866" s="36"/>
      <c r="F4866" s="36"/>
      <c r="G4866" s="36"/>
      <c r="H4866" s="36"/>
    </row>
    <row r="4867">
      <c r="A4867" s="36"/>
      <c r="B4867" s="36" t="str">
        <f>IFERROR(__xludf.DUMMYFUNCTION("""COMPUTED_VALUE"""),"LATITUD")</f>
        <v>LATITUD</v>
      </c>
      <c r="C4867" s="36" t="str">
        <f>IFERROR(__xludf.DUMMYFUNCTION("""COMPUTED_VALUE"""),"LONGITUD")</f>
        <v>LONGITUD</v>
      </c>
      <c r="D4867" s="36" t="str">
        <f>IFERROR(__xludf.DUMMYFUNCTION("""COMPUTED_VALUE"""),"ERROR DE ID")</f>
        <v>ERROR DE ID</v>
      </c>
      <c r="E4867" s="36"/>
      <c r="F4867" s="36"/>
      <c r="G4867" s="36"/>
      <c r="H4867" s="36"/>
    </row>
    <row r="4868">
      <c r="A4868" s="36"/>
      <c r="B4868" s="36" t="str">
        <f>IFERROR(__xludf.DUMMYFUNCTION("""COMPUTED_VALUE"""),"LATITUD")</f>
        <v>LATITUD</v>
      </c>
      <c r="C4868" s="36" t="str">
        <f>IFERROR(__xludf.DUMMYFUNCTION("""COMPUTED_VALUE"""),"LONGITUD")</f>
        <v>LONGITUD</v>
      </c>
      <c r="D4868" s="36" t="str">
        <f>IFERROR(__xludf.DUMMYFUNCTION("""COMPUTED_VALUE"""),"ERROR DE ID")</f>
        <v>ERROR DE ID</v>
      </c>
      <c r="E4868" s="36"/>
      <c r="F4868" s="36"/>
      <c r="G4868" s="36"/>
      <c r="H4868" s="36"/>
    </row>
    <row r="4869">
      <c r="A4869" s="36"/>
      <c r="B4869" s="36" t="str">
        <f>IFERROR(__xludf.DUMMYFUNCTION("""COMPUTED_VALUE"""),"LATITUD")</f>
        <v>LATITUD</v>
      </c>
      <c r="C4869" s="36" t="str">
        <f>IFERROR(__xludf.DUMMYFUNCTION("""COMPUTED_VALUE"""),"LONGITUD")</f>
        <v>LONGITUD</v>
      </c>
      <c r="D4869" s="36" t="str">
        <f>IFERROR(__xludf.DUMMYFUNCTION("""COMPUTED_VALUE"""),"ERROR DE ID")</f>
        <v>ERROR DE ID</v>
      </c>
      <c r="E4869" s="36"/>
      <c r="F4869" s="36"/>
      <c r="G4869" s="36"/>
      <c r="H4869" s="36"/>
    </row>
    <row r="4870">
      <c r="A4870" s="36"/>
      <c r="B4870" s="36" t="str">
        <f>IFERROR(__xludf.DUMMYFUNCTION("""COMPUTED_VALUE"""),"LATITUD")</f>
        <v>LATITUD</v>
      </c>
      <c r="C4870" s="36" t="str">
        <f>IFERROR(__xludf.DUMMYFUNCTION("""COMPUTED_VALUE"""),"LONGITUD")</f>
        <v>LONGITUD</v>
      </c>
      <c r="D4870" s="36" t="str">
        <f>IFERROR(__xludf.DUMMYFUNCTION("""COMPUTED_VALUE"""),"ERROR DE ID")</f>
        <v>ERROR DE ID</v>
      </c>
      <c r="E4870" s="36"/>
      <c r="F4870" s="36"/>
      <c r="G4870" s="36"/>
      <c r="H4870" s="36"/>
    </row>
    <row r="4871">
      <c r="A4871" s="36"/>
      <c r="B4871" s="36" t="str">
        <f>IFERROR(__xludf.DUMMYFUNCTION("""COMPUTED_VALUE"""),"LATITUD")</f>
        <v>LATITUD</v>
      </c>
      <c r="C4871" s="36" t="str">
        <f>IFERROR(__xludf.DUMMYFUNCTION("""COMPUTED_VALUE"""),"LONGITUD")</f>
        <v>LONGITUD</v>
      </c>
      <c r="D4871" s="36" t="str">
        <f>IFERROR(__xludf.DUMMYFUNCTION("""COMPUTED_VALUE"""),"ERROR DE ID")</f>
        <v>ERROR DE ID</v>
      </c>
      <c r="E4871" s="36"/>
      <c r="F4871" s="36"/>
      <c r="G4871" s="36"/>
      <c r="H4871" s="36"/>
    </row>
    <row r="4872">
      <c r="A4872" s="36"/>
      <c r="B4872" s="36" t="str">
        <f>IFERROR(__xludf.DUMMYFUNCTION("""COMPUTED_VALUE"""),"LATITUD")</f>
        <v>LATITUD</v>
      </c>
      <c r="C4872" s="36" t="str">
        <f>IFERROR(__xludf.DUMMYFUNCTION("""COMPUTED_VALUE"""),"LONGITUD")</f>
        <v>LONGITUD</v>
      </c>
      <c r="D4872" s="36" t="str">
        <f>IFERROR(__xludf.DUMMYFUNCTION("""COMPUTED_VALUE"""),"ERROR DE ID")</f>
        <v>ERROR DE ID</v>
      </c>
      <c r="E4872" s="36"/>
      <c r="F4872" s="36"/>
      <c r="G4872" s="36"/>
      <c r="H4872" s="36"/>
    </row>
    <row r="4873">
      <c r="A4873" s="36"/>
      <c r="B4873" s="36" t="str">
        <f>IFERROR(__xludf.DUMMYFUNCTION("""COMPUTED_VALUE"""),"LATITUD")</f>
        <v>LATITUD</v>
      </c>
      <c r="C4873" s="36" t="str">
        <f>IFERROR(__xludf.DUMMYFUNCTION("""COMPUTED_VALUE"""),"LONGITUD")</f>
        <v>LONGITUD</v>
      </c>
      <c r="D4873" s="36" t="str">
        <f>IFERROR(__xludf.DUMMYFUNCTION("""COMPUTED_VALUE"""),"ERROR DE ID")</f>
        <v>ERROR DE ID</v>
      </c>
      <c r="E4873" s="36"/>
      <c r="F4873" s="36"/>
      <c r="G4873" s="36"/>
      <c r="H4873" s="36"/>
    </row>
    <row r="4874">
      <c r="A4874" s="36"/>
      <c r="B4874" s="36" t="str">
        <f>IFERROR(__xludf.DUMMYFUNCTION("""COMPUTED_VALUE"""),"LATITUD")</f>
        <v>LATITUD</v>
      </c>
      <c r="C4874" s="36" t="str">
        <f>IFERROR(__xludf.DUMMYFUNCTION("""COMPUTED_VALUE"""),"LONGITUD")</f>
        <v>LONGITUD</v>
      </c>
      <c r="D4874" s="36" t="str">
        <f>IFERROR(__xludf.DUMMYFUNCTION("""COMPUTED_VALUE"""),"ERROR DE ID")</f>
        <v>ERROR DE ID</v>
      </c>
      <c r="E4874" s="36"/>
      <c r="F4874" s="36"/>
      <c r="G4874" s="36"/>
      <c r="H4874" s="36"/>
    </row>
    <row r="4875">
      <c r="A4875" s="36"/>
      <c r="B4875" s="36" t="str">
        <f>IFERROR(__xludf.DUMMYFUNCTION("""COMPUTED_VALUE"""),"LATITUD")</f>
        <v>LATITUD</v>
      </c>
      <c r="C4875" s="36" t="str">
        <f>IFERROR(__xludf.DUMMYFUNCTION("""COMPUTED_VALUE"""),"LONGITUD")</f>
        <v>LONGITUD</v>
      </c>
      <c r="D4875" s="36" t="str">
        <f>IFERROR(__xludf.DUMMYFUNCTION("""COMPUTED_VALUE"""),"ERROR DE ID")</f>
        <v>ERROR DE ID</v>
      </c>
      <c r="E4875" s="36"/>
      <c r="F4875" s="36"/>
      <c r="G4875" s="36"/>
      <c r="H4875" s="36"/>
    </row>
    <row r="4876">
      <c r="A4876" s="36"/>
      <c r="B4876" s="36" t="str">
        <f>IFERROR(__xludf.DUMMYFUNCTION("""COMPUTED_VALUE"""),"LATITUD")</f>
        <v>LATITUD</v>
      </c>
      <c r="C4876" s="36" t="str">
        <f>IFERROR(__xludf.DUMMYFUNCTION("""COMPUTED_VALUE"""),"LONGITUD")</f>
        <v>LONGITUD</v>
      </c>
      <c r="D4876" s="36" t="str">
        <f>IFERROR(__xludf.DUMMYFUNCTION("""COMPUTED_VALUE"""),"ERROR DE ID")</f>
        <v>ERROR DE ID</v>
      </c>
      <c r="E4876" s="36"/>
      <c r="F4876" s="36"/>
      <c r="G4876" s="36"/>
      <c r="H4876" s="36"/>
    </row>
    <row r="4877">
      <c r="A4877" s="36"/>
      <c r="B4877" s="36" t="str">
        <f>IFERROR(__xludf.DUMMYFUNCTION("""COMPUTED_VALUE"""),"LATITUD")</f>
        <v>LATITUD</v>
      </c>
      <c r="C4877" s="36" t="str">
        <f>IFERROR(__xludf.DUMMYFUNCTION("""COMPUTED_VALUE"""),"LONGITUD")</f>
        <v>LONGITUD</v>
      </c>
      <c r="D4877" s="36" t="str">
        <f>IFERROR(__xludf.DUMMYFUNCTION("""COMPUTED_VALUE"""),"ERROR DE ID")</f>
        <v>ERROR DE ID</v>
      </c>
      <c r="E4877" s="36"/>
      <c r="F4877" s="36"/>
      <c r="G4877" s="36"/>
      <c r="H4877" s="36"/>
    </row>
    <row r="4878">
      <c r="A4878" s="36"/>
      <c r="B4878" s="36" t="str">
        <f>IFERROR(__xludf.DUMMYFUNCTION("""COMPUTED_VALUE"""),"LATITUD")</f>
        <v>LATITUD</v>
      </c>
      <c r="C4878" s="36" t="str">
        <f>IFERROR(__xludf.DUMMYFUNCTION("""COMPUTED_VALUE"""),"LONGITUD")</f>
        <v>LONGITUD</v>
      </c>
      <c r="D4878" s="36" t="str">
        <f>IFERROR(__xludf.DUMMYFUNCTION("""COMPUTED_VALUE"""),"ERROR DE ID")</f>
        <v>ERROR DE ID</v>
      </c>
      <c r="E4878" s="36"/>
      <c r="F4878" s="36"/>
      <c r="G4878" s="36"/>
      <c r="H4878" s="36"/>
    </row>
    <row r="4879">
      <c r="A4879" s="36"/>
      <c r="B4879" s="36" t="str">
        <f>IFERROR(__xludf.DUMMYFUNCTION("""COMPUTED_VALUE"""),"LATITUD")</f>
        <v>LATITUD</v>
      </c>
      <c r="C4879" s="36" t="str">
        <f>IFERROR(__xludf.DUMMYFUNCTION("""COMPUTED_VALUE"""),"LONGITUD")</f>
        <v>LONGITUD</v>
      </c>
      <c r="D4879" s="36" t="str">
        <f>IFERROR(__xludf.DUMMYFUNCTION("""COMPUTED_VALUE"""),"ERROR DE ID")</f>
        <v>ERROR DE ID</v>
      </c>
      <c r="E4879" s="36"/>
      <c r="F4879" s="36"/>
      <c r="G4879" s="36"/>
      <c r="H4879" s="36"/>
    </row>
    <row r="4880">
      <c r="A4880" s="36"/>
      <c r="B4880" s="36" t="str">
        <f>IFERROR(__xludf.DUMMYFUNCTION("""COMPUTED_VALUE"""),"LATITUD")</f>
        <v>LATITUD</v>
      </c>
      <c r="C4880" s="36" t="str">
        <f>IFERROR(__xludf.DUMMYFUNCTION("""COMPUTED_VALUE"""),"LONGITUD")</f>
        <v>LONGITUD</v>
      </c>
      <c r="D4880" s="36" t="str">
        <f>IFERROR(__xludf.DUMMYFUNCTION("""COMPUTED_VALUE"""),"ERROR DE ID")</f>
        <v>ERROR DE ID</v>
      </c>
      <c r="E4880" s="36"/>
      <c r="F4880" s="36"/>
      <c r="G4880" s="36"/>
      <c r="H4880" s="36"/>
    </row>
    <row r="4881">
      <c r="A4881" s="36"/>
      <c r="B4881" s="36" t="str">
        <f>IFERROR(__xludf.DUMMYFUNCTION("""COMPUTED_VALUE"""),"LATITUD")</f>
        <v>LATITUD</v>
      </c>
      <c r="C4881" s="36" t="str">
        <f>IFERROR(__xludf.DUMMYFUNCTION("""COMPUTED_VALUE"""),"LONGITUD")</f>
        <v>LONGITUD</v>
      </c>
      <c r="D4881" s="36" t="str">
        <f>IFERROR(__xludf.DUMMYFUNCTION("""COMPUTED_VALUE"""),"ERROR DE ID")</f>
        <v>ERROR DE ID</v>
      </c>
      <c r="E4881" s="36"/>
      <c r="F4881" s="36"/>
      <c r="G4881" s="36"/>
      <c r="H4881" s="36"/>
    </row>
    <row r="4882">
      <c r="A4882" s="36"/>
      <c r="B4882" s="36" t="str">
        <f>IFERROR(__xludf.DUMMYFUNCTION("""COMPUTED_VALUE"""),"LATITUD")</f>
        <v>LATITUD</v>
      </c>
      <c r="C4882" s="36" t="str">
        <f>IFERROR(__xludf.DUMMYFUNCTION("""COMPUTED_VALUE"""),"LONGITUD")</f>
        <v>LONGITUD</v>
      </c>
      <c r="D4882" s="36" t="str">
        <f>IFERROR(__xludf.DUMMYFUNCTION("""COMPUTED_VALUE"""),"ERROR DE ID")</f>
        <v>ERROR DE ID</v>
      </c>
      <c r="E4882" s="36"/>
      <c r="F4882" s="36"/>
      <c r="G4882" s="36"/>
      <c r="H4882" s="36"/>
    </row>
    <row r="4883">
      <c r="A4883" s="36"/>
      <c r="B4883" s="36" t="str">
        <f>IFERROR(__xludf.DUMMYFUNCTION("""COMPUTED_VALUE"""),"LATITUD")</f>
        <v>LATITUD</v>
      </c>
      <c r="C4883" s="36" t="str">
        <f>IFERROR(__xludf.DUMMYFUNCTION("""COMPUTED_VALUE"""),"LONGITUD")</f>
        <v>LONGITUD</v>
      </c>
      <c r="D4883" s="36" t="str">
        <f>IFERROR(__xludf.DUMMYFUNCTION("""COMPUTED_VALUE"""),"ERROR DE ID")</f>
        <v>ERROR DE ID</v>
      </c>
      <c r="E4883" s="36"/>
      <c r="F4883" s="36"/>
      <c r="G4883" s="36"/>
      <c r="H4883" s="36"/>
    </row>
    <row r="4884">
      <c r="A4884" s="36"/>
      <c r="B4884" s="36" t="str">
        <f>IFERROR(__xludf.DUMMYFUNCTION("""COMPUTED_VALUE"""),"LATITUD")</f>
        <v>LATITUD</v>
      </c>
      <c r="C4884" s="36" t="str">
        <f>IFERROR(__xludf.DUMMYFUNCTION("""COMPUTED_VALUE"""),"LONGITUD")</f>
        <v>LONGITUD</v>
      </c>
      <c r="D4884" s="36" t="str">
        <f>IFERROR(__xludf.DUMMYFUNCTION("""COMPUTED_VALUE"""),"ERROR DE ID")</f>
        <v>ERROR DE ID</v>
      </c>
      <c r="E4884" s="36"/>
      <c r="F4884" s="36"/>
      <c r="G4884" s="36"/>
      <c r="H4884" s="36"/>
    </row>
    <row r="4885">
      <c r="A4885" s="36"/>
      <c r="B4885" s="36" t="str">
        <f>IFERROR(__xludf.DUMMYFUNCTION("""COMPUTED_VALUE"""),"LATITUD")</f>
        <v>LATITUD</v>
      </c>
      <c r="C4885" s="36" t="str">
        <f>IFERROR(__xludf.DUMMYFUNCTION("""COMPUTED_VALUE"""),"LONGITUD")</f>
        <v>LONGITUD</v>
      </c>
      <c r="D4885" s="36" t="str">
        <f>IFERROR(__xludf.DUMMYFUNCTION("""COMPUTED_VALUE"""),"ERROR DE ID")</f>
        <v>ERROR DE ID</v>
      </c>
      <c r="E4885" s="36"/>
      <c r="F4885" s="36"/>
      <c r="G4885" s="36"/>
      <c r="H4885" s="36"/>
    </row>
    <row r="4886">
      <c r="A4886" s="36"/>
      <c r="B4886" s="36" t="str">
        <f>IFERROR(__xludf.DUMMYFUNCTION("""COMPUTED_VALUE"""),"LATITUD")</f>
        <v>LATITUD</v>
      </c>
      <c r="C4886" s="36" t="str">
        <f>IFERROR(__xludf.DUMMYFUNCTION("""COMPUTED_VALUE"""),"LONGITUD")</f>
        <v>LONGITUD</v>
      </c>
      <c r="D4886" s="36" t="str">
        <f>IFERROR(__xludf.DUMMYFUNCTION("""COMPUTED_VALUE"""),"ERROR DE ID")</f>
        <v>ERROR DE ID</v>
      </c>
      <c r="E4886" s="36"/>
      <c r="F4886" s="36"/>
      <c r="G4886" s="36"/>
      <c r="H4886" s="36"/>
    </row>
    <row r="4887">
      <c r="A4887" s="36"/>
      <c r="B4887" s="36" t="str">
        <f>IFERROR(__xludf.DUMMYFUNCTION("""COMPUTED_VALUE"""),"LATITUD")</f>
        <v>LATITUD</v>
      </c>
      <c r="C4887" s="36" t="str">
        <f>IFERROR(__xludf.DUMMYFUNCTION("""COMPUTED_VALUE"""),"LONGITUD")</f>
        <v>LONGITUD</v>
      </c>
      <c r="D4887" s="36" t="str">
        <f>IFERROR(__xludf.DUMMYFUNCTION("""COMPUTED_VALUE"""),"ERROR DE ID")</f>
        <v>ERROR DE ID</v>
      </c>
      <c r="E4887" s="36"/>
      <c r="F4887" s="36"/>
      <c r="G4887" s="36"/>
      <c r="H4887" s="36"/>
    </row>
    <row r="4888">
      <c r="A4888" s="36"/>
      <c r="B4888" s="36" t="str">
        <f>IFERROR(__xludf.DUMMYFUNCTION("""COMPUTED_VALUE"""),"LATITUD")</f>
        <v>LATITUD</v>
      </c>
      <c r="C4888" s="36" t="str">
        <f>IFERROR(__xludf.DUMMYFUNCTION("""COMPUTED_VALUE"""),"LONGITUD")</f>
        <v>LONGITUD</v>
      </c>
      <c r="D4888" s="36" t="str">
        <f>IFERROR(__xludf.DUMMYFUNCTION("""COMPUTED_VALUE"""),"ERROR DE ID")</f>
        <v>ERROR DE ID</v>
      </c>
      <c r="E4888" s="36"/>
      <c r="F4888" s="36"/>
      <c r="G4888" s="36"/>
      <c r="H4888" s="36"/>
    </row>
    <row r="4889">
      <c r="A4889" s="36"/>
      <c r="B4889" s="36" t="str">
        <f>IFERROR(__xludf.DUMMYFUNCTION("""COMPUTED_VALUE"""),"LATITUD")</f>
        <v>LATITUD</v>
      </c>
      <c r="C4889" s="36" t="str">
        <f>IFERROR(__xludf.DUMMYFUNCTION("""COMPUTED_VALUE"""),"LONGITUD")</f>
        <v>LONGITUD</v>
      </c>
      <c r="D4889" s="36" t="str">
        <f>IFERROR(__xludf.DUMMYFUNCTION("""COMPUTED_VALUE"""),"ERROR DE ID")</f>
        <v>ERROR DE ID</v>
      </c>
      <c r="E4889" s="36"/>
      <c r="F4889" s="36"/>
      <c r="G4889" s="36"/>
      <c r="H4889" s="36"/>
    </row>
    <row r="4890">
      <c r="A4890" s="36"/>
      <c r="B4890" s="36" t="str">
        <f>IFERROR(__xludf.DUMMYFUNCTION("""COMPUTED_VALUE"""),"LATITUD")</f>
        <v>LATITUD</v>
      </c>
      <c r="C4890" s="36" t="str">
        <f>IFERROR(__xludf.DUMMYFUNCTION("""COMPUTED_VALUE"""),"LONGITUD")</f>
        <v>LONGITUD</v>
      </c>
      <c r="D4890" s="36" t="str">
        <f>IFERROR(__xludf.DUMMYFUNCTION("""COMPUTED_VALUE"""),"ERROR DE ID")</f>
        <v>ERROR DE ID</v>
      </c>
      <c r="E4890" s="36"/>
      <c r="F4890" s="36"/>
      <c r="G4890" s="36"/>
      <c r="H4890" s="36"/>
    </row>
    <row r="4891">
      <c r="A4891" s="36"/>
      <c r="B4891" s="36" t="str">
        <f>IFERROR(__xludf.DUMMYFUNCTION("""COMPUTED_VALUE"""),"LATITUD")</f>
        <v>LATITUD</v>
      </c>
      <c r="C4891" s="36" t="str">
        <f>IFERROR(__xludf.DUMMYFUNCTION("""COMPUTED_VALUE"""),"LONGITUD")</f>
        <v>LONGITUD</v>
      </c>
      <c r="D4891" s="36" t="str">
        <f>IFERROR(__xludf.DUMMYFUNCTION("""COMPUTED_VALUE"""),"ERROR DE ID")</f>
        <v>ERROR DE ID</v>
      </c>
      <c r="E4891" s="36"/>
      <c r="F4891" s="36"/>
      <c r="G4891" s="36"/>
      <c r="H4891" s="36"/>
    </row>
    <row r="4892">
      <c r="A4892" s="36"/>
      <c r="B4892" s="36" t="str">
        <f>IFERROR(__xludf.DUMMYFUNCTION("""COMPUTED_VALUE"""),"LATITUD")</f>
        <v>LATITUD</v>
      </c>
      <c r="C4892" s="36" t="str">
        <f>IFERROR(__xludf.DUMMYFUNCTION("""COMPUTED_VALUE"""),"LONGITUD")</f>
        <v>LONGITUD</v>
      </c>
      <c r="D4892" s="36" t="str">
        <f>IFERROR(__xludf.DUMMYFUNCTION("""COMPUTED_VALUE"""),"ERROR DE ID")</f>
        <v>ERROR DE ID</v>
      </c>
      <c r="E4892" s="36"/>
      <c r="F4892" s="36"/>
      <c r="G4892" s="36"/>
      <c r="H4892" s="36"/>
    </row>
    <row r="4893">
      <c r="A4893" s="36"/>
      <c r="B4893" s="36" t="str">
        <f>IFERROR(__xludf.DUMMYFUNCTION("""COMPUTED_VALUE"""),"LATITUD")</f>
        <v>LATITUD</v>
      </c>
      <c r="C4893" s="36" t="str">
        <f>IFERROR(__xludf.DUMMYFUNCTION("""COMPUTED_VALUE"""),"LONGITUD")</f>
        <v>LONGITUD</v>
      </c>
      <c r="D4893" s="36" t="str">
        <f>IFERROR(__xludf.DUMMYFUNCTION("""COMPUTED_VALUE"""),"ERROR DE ID")</f>
        <v>ERROR DE ID</v>
      </c>
      <c r="E4893" s="36"/>
      <c r="F4893" s="36"/>
      <c r="G4893" s="36"/>
      <c r="H4893" s="36"/>
    </row>
    <row r="4894">
      <c r="A4894" s="36"/>
      <c r="B4894" s="36" t="str">
        <f>IFERROR(__xludf.DUMMYFUNCTION("""COMPUTED_VALUE"""),"LATITUD")</f>
        <v>LATITUD</v>
      </c>
      <c r="C4894" s="36" t="str">
        <f>IFERROR(__xludf.DUMMYFUNCTION("""COMPUTED_VALUE"""),"LONGITUD")</f>
        <v>LONGITUD</v>
      </c>
      <c r="D4894" s="36" t="str">
        <f>IFERROR(__xludf.DUMMYFUNCTION("""COMPUTED_VALUE"""),"ERROR DE ID")</f>
        <v>ERROR DE ID</v>
      </c>
      <c r="E4894" s="36"/>
      <c r="F4894" s="36"/>
      <c r="G4894" s="36"/>
      <c r="H4894" s="36"/>
    </row>
    <row r="4895">
      <c r="A4895" s="36"/>
      <c r="B4895" s="36" t="str">
        <f>IFERROR(__xludf.DUMMYFUNCTION("""COMPUTED_VALUE"""),"LATITUD")</f>
        <v>LATITUD</v>
      </c>
      <c r="C4895" s="36" t="str">
        <f>IFERROR(__xludf.DUMMYFUNCTION("""COMPUTED_VALUE"""),"LONGITUD")</f>
        <v>LONGITUD</v>
      </c>
      <c r="D4895" s="36" t="str">
        <f>IFERROR(__xludf.DUMMYFUNCTION("""COMPUTED_VALUE"""),"ERROR DE ID")</f>
        <v>ERROR DE ID</v>
      </c>
      <c r="E4895" s="36"/>
      <c r="F4895" s="36"/>
      <c r="G4895" s="36"/>
      <c r="H4895" s="36"/>
    </row>
    <row r="4896">
      <c r="A4896" s="36"/>
      <c r="B4896" s="36" t="str">
        <f>IFERROR(__xludf.DUMMYFUNCTION("""COMPUTED_VALUE"""),"LATITUD")</f>
        <v>LATITUD</v>
      </c>
      <c r="C4896" s="36" t="str">
        <f>IFERROR(__xludf.DUMMYFUNCTION("""COMPUTED_VALUE"""),"LONGITUD")</f>
        <v>LONGITUD</v>
      </c>
      <c r="D4896" s="36" t="str">
        <f>IFERROR(__xludf.DUMMYFUNCTION("""COMPUTED_VALUE"""),"ERROR DE ID")</f>
        <v>ERROR DE ID</v>
      </c>
      <c r="E4896" s="36"/>
      <c r="F4896" s="36"/>
      <c r="G4896" s="36"/>
      <c r="H4896" s="36"/>
    </row>
    <row r="4897">
      <c r="A4897" s="36"/>
      <c r="B4897" s="36" t="str">
        <f>IFERROR(__xludf.DUMMYFUNCTION("""COMPUTED_VALUE"""),"LATITUD")</f>
        <v>LATITUD</v>
      </c>
      <c r="C4897" s="36" t="str">
        <f>IFERROR(__xludf.DUMMYFUNCTION("""COMPUTED_VALUE"""),"LONGITUD")</f>
        <v>LONGITUD</v>
      </c>
      <c r="D4897" s="36" t="str">
        <f>IFERROR(__xludf.DUMMYFUNCTION("""COMPUTED_VALUE"""),"ERROR DE ID")</f>
        <v>ERROR DE ID</v>
      </c>
      <c r="E4897" s="36"/>
      <c r="F4897" s="36"/>
      <c r="G4897" s="36"/>
      <c r="H4897" s="36"/>
    </row>
    <row r="4898">
      <c r="A4898" s="36"/>
      <c r="B4898" s="36" t="str">
        <f>IFERROR(__xludf.DUMMYFUNCTION("""COMPUTED_VALUE"""),"LATITUD")</f>
        <v>LATITUD</v>
      </c>
      <c r="C4898" s="36" t="str">
        <f>IFERROR(__xludf.DUMMYFUNCTION("""COMPUTED_VALUE"""),"LONGITUD")</f>
        <v>LONGITUD</v>
      </c>
      <c r="D4898" s="36" t="str">
        <f>IFERROR(__xludf.DUMMYFUNCTION("""COMPUTED_VALUE"""),"ERROR DE ID")</f>
        <v>ERROR DE ID</v>
      </c>
      <c r="E4898" s="36"/>
      <c r="F4898" s="36"/>
      <c r="G4898" s="36"/>
      <c r="H4898" s="36"/>
    </row>
    <row r="4899">
      <c r="A4899" s="36"/>
      <c r="B4899" s="36" t="str">
        <f>IFERROR(__xludf.DUMMYFUNCTION("""COMPUTED_VALUE"""),"LATITUD")</f>
        <v>LATITUD</v>
      </c>
      <c r="C4899" s="36" t="str">
        <f>IFERROR(__xludf.DUMMYFUNCTION("""COMPUTED_VALUE"""),"LONGITUD")</f>
        <v>LONGITUD</v>
      </c>
      <c r="D4899" s="36" t="str">
        <f>IFERROR(__xludf.DUMMYFUNCTION("""COMPUTED_VALUE"""),"ERROR DE ID")</f>
        <v>ERROR DE ID</v>
      </c>
      <c r="E4899" s="36"/>
      <c r="F4899" s="36"/>
      <c r="G4899" s="36"/>
      <c r="H4899" s="36"/>
    </row>
    <row r="4900">
      <c r="A4900" s="36"/>
      <c r="B4900" s="36" t="str">
        <f>IFERROR(__xludf.DUMMYFUNCTION("""COMPUTED_VALUE"""),"LATITUD")</f>
        <v>LATITUD</v>
      </c>
      <c r="C4900" s="36" t="str">
        <f>IFERROR(__xludf.DUMMYFUNCTION("""COMPUTED_VALUE"""),"LONGITUD")</f>
        <v>LONGITUD</v>
      </c>
      <c r="D4900" s="36" t="str">
        <f>IFERROR(__xludf.DUMMYFUNCTION("""COMPUTED_VALUE"""),"ERROR DE ID")</f>
        <v>ERROR DE ID</v>
      </c>
      <c r="E4900" s="36"/>
      <c r="F4900" s="36"/>
      <c r="G4900" s="36"/>
      <c r="H4900" s="36"/>
    </row>
    <row r="4901">
      <c r="A4901" s="36"/>
      <c r="B4901" s="36" t="str">
        <f>IFERROR(__xludf.DUMMYFUNCTION("""COMPUTED_VALUE"""),"LATITUD")</f>
        <v>LATITUD</v>
      </c>
      <c r="C4901" s="36" t="str">
        <f>IFERROR(__xludf.DUMMYFUNCTION("""COMPUTED_VALUE"""),"LONGITUD")</f>
        <v>LONGITUD</v>
      </c>
      <c r="D4901" s="36" t="str">
        <f>IFERROR(__xludf.DUMMYFUNCTION("""COMPUTED_VALUE"""),"ERROR DE ID")</f>
        <v>ERROR DE ID</v>
      </c>
      <c r="E4901" s="36"/>
      <c r="F4901" s="36"/>
      <c r="G4901" s="36"/>
      <c r="H4901" s="36"/>
    </row>
    <row r="4902">
      <c r="A4902" s="36"/>
      <c r="B4902" s="36" t="str">
        <f>IFERROR(__xludf.DUMMYFUNCTION("""COMPUTED_VALUE"""),"LATITUD")</f>
        <v>LATITUD</v>
      </c>
      <c r="C4902" s="36" t="str">
        <f>IFERROR(__xludf.DUMMYFUNCTION("""COMPUTED_VALUE"""),"LONGITUD")</f>
        <v>LONGITUD</v>
      </c>
      <c r="D4902" s="36" t="str">
        <f>IFERROR(__xludf.DUMMYFUNCTION("""COMPUTED_VALUE"""),"ERROR DE ID")</f>
        <v>ERROR DE ID</v>
      </c>
      <c r="E4902" s="36"/>
      <c r="F4902" s="36"/>
      <c r="G4902" s="36"/>
      <c r="H4902" s="36"/>
    </row>
    <row r="4903">
      <c r="A4903" s="36"/>
      <c r="B4903" s="36" t="str">
        <f>IFERROR(__xludf.DUMMYFUNCTION("""COMPUTED_VALUE"""),"LATITUD")</f>
        <v>LATITUD</v>
      </c>
      <c r="C4903" s="36" t="str">
        <f>IFERROR(__xludf.DUMMYFUNCTION("""COMPUTED_VALUE"""),"LONGITUD")</f>
        <v>LONGITUD</v>
      </c>
      <c r="D4903" s="36" t="str">
        <f>IFERROR(__xludf.DUMMYFUNCTION("""COMPUTED_VALUE"""),"ERROR DE ID")</f>
        <v>ERROR DE ID</v>
      </c>
      <c r="E4903" s="36"/>
      <c r="F4903" s="36"/>
      <c r="G4903" s="36"/>
      <c r="H4903" s="36"/>
    </row>
    <row r="4904">
      <c r="A4904" s="36"/>
      <c r="B4904" s="36" t="str">
        <f>IFERROR(__xludf.DUMMYFUNCTION("""COMPUTED_VALUE"""),"LATITUD")</f>
        <v>LATITUD</v>
      </c>
      <c r="C4904" s="36" t="str">
        <f>IFERROR(__xludf.DUMMYFUNCTION("""COMPUTED_VALUE"""),"LONGITUD")</f>
        <v>LONGITUD</v>
      </c>
      <c r="D4904" s="36" t="str">
        <f>IFERROR(__xludf.DUMMYFUNCTION("""COMPUTED_VALUE"""),"ERROR DE ID")</f>
        <v>ERROR DE ID</v>
      </c>
      <c r="E4904" s="36"/>
      <c r="F4904" s="36"/>
      <c r="G4904" s="36"/>
      <c r="H4904" s="36"/>
    </row>
    <row r="4905">
      <c r="A4905" s="36"/>
      <c r="B4905" s="36" t="str">
        <f>IFERROR(__xludf.DUMMYFUNCTION("""COMPUTED_VALUE"""),"LATITUD")</f>
        <v>LATITUD</v>
      </c>
      <c r="C4905" s="36" t="str">
        <f>IFERROR(__xludf.DUMMYFUNCTION("""COMPUTED_VALUE"""),"LONGITUD")</f>
        <v>LONGITUD</v>
      </c>
      <c r="D4905" s="36" t="str">
        <f>IFERROR(__xludf.DUMMYFUNCTION("""COMPUTED_VALUE"""),"ERROR DE ID")</f>
        <v>ERROR DE ID</v>
      </c>
      <c r="E4905" s="36"/>
      <c r="F4905" s="36"/>
      <c r="G4905" s="36"/>
      <c r="H4905" s="36"/>
    </row>
    <row r="4906">
      <c r="A4906" s="36"/>
      <c r="B4906" s="36" t="str">
        <f>IFERROR(__xludf.DUMMYFUNCTION("""COMPUTED_VALUE"""),"LATITUD")</f>
        <v>LATITUD</v>
      </c>
      <c r="C4906" s="36" t="str">
        <f>IFERROR(__xludf.DUMMYFUNCTION("""COMPUTED_VALUE"""),"LONGITUD")</f>
        <v>LONGITUD</v>
      </c>
      <c r="D4906" s="36" t="str">
        <f>IFERROR(__xludf.DUMMYFUNCTION("""COMPUTED_VALUE"""),"ERROR DE ID")</f>
        <v>ERROR DE ID</v>
      </c>
      <c r="E4906" s="36"/>
      <c r="F4906" s="36"/>
      <c r="G4906" s="36"/>
      <c r="H4906" s="36"/>
    </row>
    <row r="4907">
      <c r="A4907" s="36"/>
      <c r="B4907" s="36" t="str">
        <f>IFERROR(__xludf.DUMMYFUNCTION("""COMPUTED_VALUE"""),"LATITUD")</f>
        <v>LATITUD</v>
      </c>
      <c r="C4907" s="36" t="str">
        <f>IFERROR(__xludf.DUMMYFUNCTION("""COMPUTED_VALUE"""),"LONGITUD")</f>
        <v>LONGITUD</v>
      </c>
      <c r="D4907" s="36" t="str">
        <f>IFERROR(__xludf.DUMMYFUNCTION("""COMPUTED_VALUE"""),"ERROR DE ID")</f>
        <v>ERROR DE ID</v>
      </c>
      <c r="E4907" s="36"/>
      <c r="F4907" s="36"/>
      <c r="G4907" s="36"/>
      <c r="H4907" s="36"/>
    </row>
    <row r="4908">
      <c r="A4908" s="36"/>
      <c r="B4908" s="36" t="str">
        <f>IFERROR(__xludf.DUMMYFUNCTION("""COMPUTED_VALUE"""),"LATITUD")</f>
        <v>LATITUD</v>
      </c>
      <c r="C4908" s="36" t="str">
        <f>IFERROR(__xludf.DUMMYFUNCTION("""COMPUTED_VALUE"""),"LONGITUD")</f>
        <v>LONGITUD</v>
      </c>
      <c r="D4908" s="36" t="str">
        <f>IFERROR(__xludf.DUMMYFUNCTION("""COMPUTED_VALUE"""),"ERROR DE ID")</f>
        <v>ERROR DE ID</v>
      </c>
      <c r="E4908" s="36"/>
      <c r="F4908" s="36"/>
      <c r="G4908" s="36"/>
      <c r="H4908" s="36"/>
    </row>
    <row r="4909">
      <c r="A4909" s="36"/>
      <c r="B4909" s="36" t="str">
        <f>IFERROR(__xludf.DUMMYFUNCTION("""COMPUTED_VALUE"""),"LATITUD")</f>
        <v>LATITUD</v>
      </c>
      <c r="C4909" s="36" t="str">
        <f>IFERROR(__xludf.DUMMYFUNCTION("""COMPUTED_VALUE"""),"LONGITUD")</f>
        <v>LONGITUD</v>
      </c>
      <c r="D4909" s="36" t="str">
        <f>IFERROR(__xludf.DUMMYFUNCTION("""COMPUTED_VALUE"""),"ERROR DE ID")</f>
        <v>ERROR DE ID</v>
      </c>
      <c r="E4909" s="36"/>
      <c r="F4909" s="36"/>
      <c r="G4909" s="36"/>
      <c r="H4909" s="36"/>
    </row>
    <row r="4910">
      <c r="A4910" s="36"/>
      <c r="B4910" s="36" t="str">
        <f>IFERROR(__xludf.DUMMYFUNCTION("""COMPUTED_VALUE"""),"LATITUD")</f>
        <v>LATITUD</v>
      </c>
      <c r="C4910" s="36" t="str">
        <f>IFERROR(__xludf.DUMMYFUNCTION("""COMPUTED_VALUE"""),"LONGITUD")</f>
        <v>LONGITUD</v>
      </c>
      <c r="D4910" s="36" t="str">
        <f>IFERROR(__xludf.DUMMYFUNCTION("""COMPUTED_VALUE"""),"ERROR DE ID")</f>
        <v>ERROR DE ID</v>
      </c>
      <c r="E4910" s="36"/>
      <c r="F4910" s="36"/>
      <c r="G4910" s="36"/>
      <c r="H4910" s="36"/>
    </row>
    <row r="4911">
      <c r="A4911" s="36"/>
      <c r="B4911" s="36" t="str">
        <f>IFERROR(__xludf.DUMMYFUNCTION("""COMPUTED_VALUE"""),"LATITUD")</f>
        <v>LATITUD</v>
      </c>
      <c r="C4911" s="36" t="str">
        <f>IFERROR(__xludf.DUMMYFUNCTION("""COMPUTED_VALUE"""),"LONGITUD")</f>
        <v>LONGITUD</v>
      </c>
      <c r="D4911" s="36" t="str">
        <f>IFERROR(__xludf.DUMMYFUNCTION("""COMPUTED_VALUE"""),"ERROR DE ID")</f>
        <v>ERROR DE ID</v>
      </c>
      <c r="E4911" s="36"/>
      <c r="F4911" s="36"/>
      <c r="G4911" s="36"/>
      <c r="H4911" s="36"/>
    </row>
    <row r="4912">
      <c r="A4912" s="36"/>
      <c r="B4912" s="36" t="str">
        <f>IFERROR(__xludf.DUMMYFUNCTION("""COMPUTED_VALUE"""),"LATITUD")</f>
        <v>LATITUD</v>
      </c>
      <c r="C4912" s="36" t="str">
        <f>IFERROR(__xludf.DUMMYFUNCTION("""COMPUTED_VALUE"""),"LONGITUD")</f>
        <v>LONGITUD</v>
      </c>
      <c r="D4912" s="36" t="str">
        <f>IFERROR(__xludf.DUMMYFUNCTION("""COMPUTED_VALUE"""),"ERROR DE ID")</f>
        <v>ERROR DE ID</v>
      </c>
      <c r="E4912" s="36"/>
      <c r="F4912" s="36"/>
      <c r="G4912" s="36"/>
      <c r="H4912" s="36"/>
    </row>
    <row r="4913">
      <c r="A4913" s="36"/>
      <c r="B4913" s="36" t="str">
        <f>IFERROR(__xludf.DUMMYFUNCTION("""COMPUTED_VALUE"""),"LATITUD")</f>
        <v>LATITUD</v>
      </c>
      <c r="C4913" s="36" t="str">
        <f>IFERROR(__xludf.DUMMYFUNCTION("""COMPUTED_VALUE"""),"LONGITUD")</f>
        <v>LONGITUD</v>
      </c>
      <c r="D4913" s="36" t="str">
        <f>IFERROR(__xludf.DUMMYFUNCTION("""COMPUTED_VALUE"""),"ERROR DE ID")</f>
        <v>ERROR DE ID</v>
      </c>
      <c r="E4913" s="36"/>
      <c r="F4913" s="36"/>
      <c r="G4913" s="36"/>
      <c r="H4913" s="36"/>
    </row>
    <row r="4914">
      <c r="A4914" s="36"/>
      <c r="B4914" s="36" t="str">
        <f>IFERROR(__xludf.DUMMYFUNCTION("""COMPUTED_VALUE"""),"LATITUD")</f>
        <v>LATITUD</v>
      </c>
      <c r="C4914" s="36" t="str">
        <f>IFERROR(__xludf.DUMMYFUNCTION("""COMPUTED_VALUE"""),"LONGITUD")</f>
        <v>LONGITUD</v>
      </c>
      <c r="D4914" s="36" t="str">
        <f>IFERROR(__xludf.DUMMYFUNCTION("""COMPUTED_VALUE"""),"ERROR DE ID")</f>
        <v>ERROR DE ID</v>
      </c>
      <c r="E4914" s="36"/>
      <c r="F4914" s="36"/>
      <c r="G4914" s="36"/>
      <c r="H4914" s="36"/>
    </row>
    <row r="4915">
      <c r="A4915" s="36"/>
      <c r="B4915" s="36" t="str">
        <f>IFERROR(__xludf.DUMMYFUNCTION("""COMPUTED_VALUE"""),"LATITUD")</f>
        <v>LATITUD</v>
      </c>
      <c r="C4915" s="36" t="str">
        <f>IFERROR(__xludf.DUMMYFUNCTION("""COMPUTED_VALUE"""),"LONGITUD")</f>
        <v>LONGITUD</v>
      </c>
      <c r="D4915" s="36" t="str">
        <f>IFERROR(__xludf.DUMMYFUNCTION("""COMPUTED_VALUE"""),"ERROR DE ID")</f>
        <v>ERROR DE ID</v>
      </c>
      <c r="E4915" s="36"/>
      <c r="F4915" s="36"/>
      <c r="G4915" s="36"/>
      <c r="H4915" s="36"/>
    </row>
    <row r="4916">
      <c r="A4916" s="36"/>
      <c r="B4916" s="36" t="str">
        <f>IFERROR(__xludf.DUMMYFUNCTION("""COMPUTED_VALUE"""),"LATITUD")</f>
        <v>LATITUD</v>
      </c>
      <c r="C4916" s="36" t="str">
        <f>IFERROR(__xludf.DUMMYFUNCTION("""COMPUTED_VALUE"""),"LONGITUD")</f>
        <v>LONGITUD</v>
      </c>
      <c r="D4916" s="36" t="str">
        <f>IFERROR(__xludf.DUMMYFUNCTION("""COMPUTED_VALUE"""),"ERROR DE ID")</f>
        <v>ERROR DE ID</v>
      </c>
      <c r="E4916" s="36"/>
      <c r="F4916" s="36"/>
      <c r="G4916" s="36"/>
      <c r="H4916" s="36"/>
    </row>
    <row r="4917">
      <c r="A4917" s="36"/>
      <c r="B4917" s="36" t="str">
        <f>IFERROR(__xludf.DUMMYFUNCTION("""COMPUTED_VALUE"""),"LATITUD")</f>
        <v>LATITUD</v>
      </c>
      <c r="C4917" s="36" t="str">
        <f>IFERROR(__xludf.DUMMYFUNCTION("""COMPUTED_VALUE"""),"LONGITUD")</f>
        <v>LONGITUD</v>
      </c>
      <c r="D4917" s="36" t="str">
        <f>IFERROR(__xludf.DUMMYFUNCTION("""COMPUTED_VALUE"""),"ERROR DE ID")</f>
        <v>ERROR DE ID</v>
      </c>
      <c r="E4917" s="36"/>
      <c r="F4917" s="36"/>
      <c r="G4917" s="36"/>
      <c r="H4917" s="36"/>
    </row>
    <row r="4918">
      <c r="A4918" s="36"/>
      <c r="B4918" s="36" t="str">
        <f>IFERROR(__xludf.DUMMYFUNCTION("""COMPUTED_VALUE"""),"LATITUD")</f>
        <v>LATITUD</v>
      </c>
      <c r="C4918" s="36" t="str">
        <f>IFERROR(__xludf.DUMMYFUNCTION("""COMPUTED_VALUE"""),"LONGITUD")</f>
        <v>LONGITUD</v>
      </c>
      <c r="D4918" s="36" t="str">
        <f>IFERROR(__xludf.DUMMYFUNCTION("""COMPUTED_VALUE"""),"ERROR DE ID")</f>
        <v>ERROR DE ID</v>
      </c>
      <c r="E4918" s="36"/>
      <c r="F4918" s="36"/>
      <c r="G4918" s="36"/>
      <c r="H4918" s="36"/>
    </row>
    <row r="4919">
      <c r="A4919" s="36"/>
      <c r="B4919" s="36" t="str">
        <f>IFERROR(__xludf.DUMMYFUNCTION("""COMPUTED_VALUE"""),"LATITUD")</f>
        <v>LATITUD</v>
      </c>
      <c r="C4919" s="36" t="str">
        <f>IFERROR(__xludf.DUMMYFUNCTION("""COMPUTED_VALUE"""),"LONGITUD")</f>
        <v>LONGITUD</v>
      </c>
      <c r="D4919" s="36" t="str">
        <f>IFERROR(__xludf.DUMMYFUNCTION("""COMPUTED_VALUE"""),"ERROR DE ID")</f>
        <v>ERROR DE ID</v>
      </c>
      <c r="E4919" s="36"/>
      <c r="F4919" s="36"/>
      <c r="G4919" s="36"/>
      <c r="H4919" s="36"/>
    </row>
    <row r="4920">
      <c r="A4920" s="36"/>
      <c r="B4920" s="36" t="str">
        <f>IFERROR(__xludf.DUMMYFUNCTION("""COMPUTED_VALUE"""),"LATITUD")</f>
        <v>LATITUD</v>
      </c>
      <c r="C4920" s="36" t="str">
        <f>IFERROR(__xludf.DUMMYFUNCTION("""COMPUTED_VALUE"""),"LONGITUD")</f>
        <v>LONGITUD</v>
      </c>
      <c r="D4920" s="36" t="str">
        <f>IFERROR(__xludf.DUMMYFUNCTION("""COMPUTED_VALUE"""),"ERROR DE ID")</f>
        <v>ERROR DE ID</v>
      </c>
      <c r="E4920" s="36"/>
      <c r="F4920" s="36"/>
      <c r="G4920" s="36"/>
      <c r="H4920" s="36"/>
    </row>
    <row r="4921">
      <c r="A4921" s="36"/>
      <c r="B4921" s="36" t="str">
        <f>IFERROR(__xludf.DUMMYFUNCTION("""COMPUTED_VALUE"""),"LATITUD")</f>
        <v>LATITUD</v>
      </c>
      <c r="C4921" s="36" t="str">
        <f>IFERROR(__xludf.DUMMYFUNCTION("""COMPUTED_VALUE"""),"LONGITUD")</f>
        <v>LONGITUD</v>
      </c>
      <c r="D4921" s="36" t="str">
        <f>IFERROR(__xludf.DUMMYFUNCTION("""COMPUTED_VALUE"""),"ERROR DE ID")</f>
        <v>ERROR DE ID</v>
      </c>
      <c r="E4921" s="36"/>
      <c r="F4921" s="36"/>
      <c r="G4921" s="36"/>
      <c r="H4921" s="36"/>
    </row>
    <row r="4922">
      <c r="A4922" s="36"/>
      <c r="B4922" s="36" t="str">
        <f>IFERROR(__xludf.DUMMYFUNCTION("""COMPUTED_VALUE"""),"LATITUD")</f>
        <v>LATITUD</v>
      </c>
      <c r="C4922" s="36" t="str">
        <f>IFERROR(__xludf.DUMMYFUNCTION("""COMPUTED_VALUE"""),"LONGITUD")</f>
        <v>LONGITUD</v>
      </c>
      <c r="D4922" s="36" t="str">
        <f>IFERROR(__xludf.DUMMYFUNCTION("""COMPUTED_VALUE"""),"ERROR DE ID")</f>
        <v>ERROR DE ID</v>
      </c>
      <c r="E4922" s="36"/>
      <c r="F4922" s="36"/>
      <c r="G4922" s="36"/>
      <c r="H4922" s="36"/>
    </row>
    <row r="4923">
      <c r="A4923" s="36"/>
      <c r="B4923" s="36" t="str">
        <f>IFERROR(__xludf.DUMMYFUNCTION("""COMPUTED_VALUE"""),"LATITUD")</f>
        <v>LATITUD</v>
      </c>
      <c r="C4923" s="36" t="str">
        <f>IFERROR(__xludf.DUMMYFUNCTION("""COMPUTED_VALUE"""),"LONGITUD")</f>
        <v>LONGITUD</v>
      </c>
      <c r="D4923" s="36" t="str">
        <f>IFERROR(__xludf.DUMMYFUNCTION("""COMPUTED_VALUE"""),"ERROR DE ID")</f>
        <v>ERROR DE ID</v>
      </c>
      <c r="E4923" s="36"/>
      <c r="F4923" s="36"/>
      <c r="G4923" s="36"/>
      <c r="H4923" s="36"/>
    </row>
    <row r="4924">
      <c r="A4924" s="36"/>
      <c r="B4924" s="36" t="str">
        <f>IFERROR(__xludf.DUMMYFUNCTION("""COMPUTED_VALUE"""),"LATITUD")</f>
        <v>LATITUD</v>
      </c>
      <c r="C4924" s="36" t="str">
        <f>IFERROR(__xludf.DUMMYFUNCTION("""COMPUTED_VALUE"""),"LONGITUD")</f>
        <v>LONGITUD</v>
      </c>
      <c r="D4924" s="36" t="str">
        <f>IFERROR(__xludf.DUMMYFUNCTION("""COMPUTED_VALUE"""),"ERROR DE ID")</f>
        <v>ERROR DE ID</v>
      </c>
      <c r="E4924" s="36"/>
      <c r="F4924" s="36"/>
      <c r="G4924" s="36"/>
      <c r="H4924" s="36"/>
    </row>
    <row r="4925">
      <c r="A4925" s="36"/>
      <c r="B4925" s="36" t="str">
        <f>IFERROR(__xludf.DUMMYFUNCTION("""COMPUTED_VALUE"""),"LATITUD")</f>
        <v>LATITUD</v>
      </c>
      <c r="C4925" s="36" t="str">
        <f>IFERROR(__xludf.DUMMYFUNCTION("""COMPUTED_VALUE"""),"LONGITUD")</f>
        <v>LONGITUD</v>
      </c>
      <c r="D4925" s="36" t="str">
        <f>IFERROR(__xludf.DUMMYFUNCTION("""COMPUTED_VALUE"""),"ERROR DE ID")</f>
        <v>ERROR DE ID</v>
      </c>
      <c r="E4925" s="36"/>
      <c r="F4925" s="36"/>
      <c r="G4925" s="36"/>
      <c r="H4925" s="36"/>
    </row>
    <row r="4926">
      <c r="A4926" s="36"/>
      <c r="B4926" s="36" t="str">
        <f>IFERROR(__xludf.DUMMYFUNCTION("""COMPUTED_VALUE"""),"LATITUD")</f>
        <v>LATITUD</v>
      </c>
      <c r="C4926" s="36" t="str">
        <f>IFERROR(__xludf.DUMMYFUNCTION("""COMPUTED_VALUE"""),"LONGITUD")</f>
        <v>LONGITUD</v>
      </c>
      <c r="D4926" s="36" t="str">
        <f>IFERROR(__xludf.DUMMYFUNCTION("""COMPUTED_VALUE"""),"ERROR DE ID")</f>
        <v>ERROR DE ID</v>
      </c>
      <c r="E4926" s="36"/>
      <c r="F4926" s="36"/>
      <c r="G4926" s="36"/>
      <c r="H4926" s="36"/>
    </row>
    <row r="4927">
      <c r="A4927" s="36"/>
      <c r="B4927" s="36" t="str">
        <f>IFERROR(__xludf.DUMMYFUNCTION("""COMPUTED_VALUE"""),"LATITUD")</f>
        <v>LATITUD</v>
      </c>
      <c r="C4927" s="36" t="str">
        <f>IFERROR(__xludf.DUMMYFUNCTION("""COMPUTED_VALUE"""),"LONGITUD")</f>
        <v>LONGITUD</v>
      </c>
      <c r="D4927" s="36" t="str">
        <f>IFERROR(__xludf.DUMMYFUNCTION("""COMPUTED_VALUE"""),"ERROR DE ID")</f>
        <v>ERROR DE ID</v>
      </c>
      <c r="E4927" s="36"/>
      <c r="F4927" s="36"/>
      <c r="G4927" s="36"/>
      <c r="H4927" s="36"/>
    </row>
    <row r="4928">
      <c r="A4928" s="36"/>
      <c r="B4928" s="36" t="str">
        <f>IFERROR(__xludf.DUMMYFUNCTION("""COMPUTED_VALUE"""),"LATITUD")</f>
        <v>LATITUD</v>
      </c>
      <c r="C4928" s="36" t="str">
        <f>IFERROR(__xludf.DUMMYFUNCTION("""COMPUTED_VALUE"""),"LONGITUD")</f>
        <v>LONGITUD</v>
      </c>
      <c r="D4928" s="36" t="str">
        <f>IFERROR(__xludf.DUMMYFUNCTION("""COMPUTED_VALUE"""),"ERROR DE ID")</f>
        <v>ERROR DE ID</v>
      </c>
      <c r="E4928" s="36"/>
      <c r="F4928" s="36"/>
      <c r="G4928" s="36"/>
      <c r="H4928" s="36"/>
    </row>
    <row r="4929">
      <c r="A4929" s="36"/>
      <c r="B4929" s="36" t="str">
        <f>IFERROR(__xludf.DUMMYFUNCTION("""COMPUTED_VALUE"""),"LATITUD")</f>
        <v>LATITUD</v>
      </c>
      <c r="C4929" s="36" t="str">
        <f>IFERROR(__xludf.DUMMYFUNCTION("""COMPUTED_VALUE"""),"LONGITUD")</f>
        <v>LONGITUD</v>
      </c>
      <c r="D4929" s="36" t="str">
        <f>IFERROR(__xludf.DUMMYFUNCTION("""COMPUTED_VALUE"""),"ERROR DE ID")</f>
        <v>ERROR DE ID</v>
      </c>
      <c r="E4929" s="36"/>
      <c r="F4929" s="36"/>
      <c r="G4929" s="36"/>
      <c r="H4929" s="36"/>
    </row>
    <row r="4930">
      <c r="A4930" s="36"/>
      <c r="B4930" s="36" t="str">
        <f>IFERROR(__xludf.DUMMYFUNCTION("""COMPUTED_VALUE"""),"LATITUD")</f>
        <v>LATITUD</v>
      </c>
      <c r="C4930" s="36" t="str">
        <f>IFERROR(__xludf.DUMMYFUNCTION("""COMPUTED_VALUE"""),"LONGITUD")</f>
        <v>LONGITUD</v>
      </c>
      <c r="D4930" s="36" t="str">
        <f>IFERROR(__xludf.DUMMYFUNCTION("""COMPUTED_VALUE"""),"ERROR DE ID")</f>
        <v>ERROR DE ID</v>
      </c>
      <c r="E4930" s="36"/>
      <c r="F4930" s="36"/>
      <c r="G4930" s="36"/>
      <c r="H4930" s="36"/>
    </row>
    <row r="4931">
      <c r="A4931" s="36"/>
      <c r="B4931" s="36" t="str">
        <f>IFERROR(__xludf.DUMMYFUNCTION("""COMPUTED_VALUE"""),"LATITUD")</f>
        <v>LATITUD</v>
      </c>
      <c r="C4931" s="36" t="str">
        <f>IFERROR(__xludf.DUMMYFUNCTION("""COMPUTED_VALUE"""),"LONGITUD")</f>
        <v>LONGITUD</v>
      </c>
      <c r="D4931" s="36" t="str">
        <f>IFERROR(__xludf.DUMMYFUNCTION("""COMPUTED_VALUE"""),"ERROR DE ID")</f>
        <v>ERROR DE ID</v>
      </c>
      <c r="E4931" s="36"/>
      <c r="F4931" s="36"/>
      <c r="G4931" s="36"/>
      <c r="H4931" s="36"/>
    </row>
    <row r="4932">
      <c r="A4932" s="36"/>
      <c r="B4932" s="36" t="str">
        <f>IFERROR(__xludf.DUMMYFUNCTION("""COMPUTED_VALUE"""),"LATITUD")</f>
        <v>LATITUD</v>
      </c>
      <c r="C4932" s="36" t="str">
        <f>IFERROR(__xludf.DUMMYFUNCTION("""COMPUTED_VALUE"""),"LONGITUD")</f>
        <v>LONGITUD</v>
      </c>
      <c r="D4932" s="36" t="str">
        <f>IFERROR(__xludf.DUMMYFUNCTION("""COMPUTED_VALUE"""),"ERROR DE ID")</f>
        <v>ERROR DE ID</v>
      </c>
      <c r="E4932" s="36"/>
      <c r="F4932" s="36"/>
      <c r="G4932" s="36"/>
      <c r="H4932" s="36"/>
    </row>
    <row r="4933">
      <c r="A4933" s="36"/>
      <c r="B4933" s="36" t="str">
        <f>IFERROR(__xludf.DUMMYFUNCTION("""COMPUTED_VALUE"""),"LATITUD")</f>
        <v>LATITUD</v>
      </c>
      <c r="C4933" s="36" t="str">
        <f>IFERROR(__xludf.DUMMYFUNCTION("""COMPUTED_VALUE"""),"LONGITUD")</f>
        <v>LONGITUD</v>
      </c>
      <c r="D4933" s="36" t="str">
        <f>IFERROR(__xludf.DUMMYFUNCTION("""COMPUTED_VALUE"""),"ERROR DE ID")</f>
        <v>ERROR DE ID</v>
      </c>
      <c r="E4933" s="36"/>
      <c r="F4933" s="36"/>
      <c r="G4933" s="36"/>
      <c r="H4933" s="36"/>
    </row>
    <row r="4934">
      <c r="A4934" s="36"/>
      <c r="B4934" s="36" t="str">
        <f>IFERROR(__xludf.DUMMYFUNCTION("""COMPUTED_VALUE"""),"LATITUD")</f>
        <v>LATITUD</v>
      </c>
      <c r="C4934" s="36" t="str">
        <f>IFERROR(__xludf.DUMMYFUNCTION("""COMPUTED_VALUE"""),"LONGITUD")</f>
        <v>LONGITUD</v>
      </c>
      <c r="D4934" s="36" t="str">
        <f>IFERROR(__xludf.DUMMYFUNCTION("""COMPUTED_VALUE"""),"ERROR DE ID")</f>
        <v>ERROR DE ID</v>
      </c>
      <c r="E4934" s="36"/>
      <c r="F4934" s="36"/>
      <c r="G4934" s="36"/>
      <c r="H4934" s="36"/>
    </row>
    <row r="4935">
      <c r="A4935" s="36"/>
      <c r="B4935" s="36" t="str">
        <f>IFERROR(__xludf.DUMMYFUNCTION("""COMPUTED_VALUE"""),"LATITUD")</f>
        <v>LATITUD</v>
      </c>
      <c r="C4935" s="36" t="str">
        <f>IFERROR(__xludf.DUMMYFUNCTION("""COMPUTED_VALUE"""),"LONGITUD")</f>
        <v>LONGITUD</v>
      </c>
      <c r="D4935" s="36" t="str">
        <f>IFERROR(__xludf.DUMMYFUNCTION("""COMPUTED_VALUE"""),"ERROR DE ID")</f>
        <v>ERROR DE ID</v>
      </c>
      <c r="E4935" s="36"/>
      <c r="F4935" s="36"/>
      <c r="G4935" s="36"/>
      <c r="H4935" s="36"/>
    </row>
    <row r="4936">
      <c r="A4936" s="36"/>
      <c r="B4936" s="36" t="str">
        <f>IFERROR(__xludf.DUMMYFUNCTION("""COMPUTED_VALUE"""),"LATITUD")</f>
        <v>LATITUD</v>
      </c>
      <c r="C4936" s="36" t="str">
        <f>IFERROR(__xludf.DUMMYFUNCTION("""COMPUTED_VALUE"""),"LONGITUD")</f>
        <v>LONGITUD</v>
      </c>
      <c r="D4936" s="36" t="str">
        <f>IFERROR(__xludf.DUMMYFUNCTION("""COMPUTED_VALUE"""),"ERROR DE ID")</f>
        <v>ERROR DE ID</v>
      </c>
      <c r="E4936" s="36"/>
      <c r="F4936" s="36"/>
      <c r="G4936" s="36"/>
      <c r="H4936" s="36"/>
    </row>
    <row r="4937">
      <c r="A4937" s="36"/>
      <c r="B4937" s="36" t="str">
        <f>IFERROR(__xludf.DUMMYFUNCTION("""COMPUTED_VALUE"""),"LATITUD")</f>
        <v>LATITUD</v>
      </c>
      <c r="C4937" s="36" t="str">
        <f>IFERROR(__xludf.DUMMYFUNCTION("""COMPUTED_VALUE"""),"LONGITUD")</f>
        <v>LONGITUD</v>
      </c>
      <c r="D4937" s="36" t="str">
        <f>IFERROR(__xludf.DUMMYFUNCTION("""COMPUTED_VALUE"""),"ERROR DE ID")</f>
        <v>ERROR DE ID</v>
      </c>
      <c r="E4937" s="36"/>
      <c r="F4937" s="36"/>
      <c r="G4937" s="36"/>
      <c r="H4937" s="36"/>
    </row>
    <row r="4938">
      <c r="A4938" s="36"/>
      <c r="B4938" s="36" t="str">
        <f>IFERROR(__xludf.DUMMYFUNCTION("""COMPUTED_VALUE"""),"LATITUD")</f>
        <v>LATITUD</v>
      </c>
      <c r="C4938" s="36" t="str">
        <f>IFERROR(__xludf.DUMMYFUNCTION("""COMPUTED_VALUE"""),"LONGITUD")</f>
        <v>LONGITUD</v>
      </c>
      <c r="D4938" s="36" t="str">
        <f>IFERROR(__xludf.DUMMYFUNCTION("""COMPUTED_VALUE"""),"ERROR DE ID")</f>
        <v>ERROR DE ID</v>
      </c>
      <c r="E4938" s="36"/>
      <c r="F4938" s="36"/>
      <c r="G4938" s="36"/>
      <c r="H4938" s="36"/>
    </row>
    <row r="4939">
      <c r="A4939" s="36"/>
      <c r="B4939" s="36" t="str">
        <f>IFERROR(__xludf.DUMMYFUNCTION("""COMPUTED_VALUE"""),"LATITUD")</f>
        <v>LATITUD</v>
      </c>
      <c r="C4939" s="36" t="str">
        <f>IFERROR(__xludf.DUMMYFUNCTION("""COMPUTED_VALUE"""),"LONGITUD")</f>
        <v>LONGITUD</v>
      </c>
      <c r="D4939" s="36" t="str">
        <f>IFERROR(__xludf.DUMMYFUNCTION("""COMPUTED_VALUE"""),"ERROR DE ID")</f>
        <v>ERROR DE ID</v>
      </c>
      <c r="E4939" s="36"/>
      <c r="F4939" s="36"/>
      <c r="G4939" s="36"/>
      <c r="H4939" s="36"/>
    </row>
    <row r="4940">
      <c r="A4940" s="36"/>
      <c r="B4940" s="36" t="str">
        <f>IFERROR(__xludf.DUMMYFUNCTION("""COMPUTED_VALUE"""),"LATITUD")</f>
        <v>LATITUD</v>
      </c>
      <c r="C4940" s="36" t="str">
        <f>IFERROR(__xludf.DUMMYFUNCTION("""COMPUTED_VALUE"""),"LONGITUD")</f>
        <v>LONGITUD</v>
      </c>
      <c r="D4940" s="36" t="str">
        <f>IFERROR(__xludf.DUMMYFUNCTION("""COMPUTED_VALUE"""),"ERROR DE ID")</f>
        <v>ERROR DE ID</v>
      </c>
      <c r="E4940" s="36"/>
      <c r="F4940" s="36"/>
      <c r="G4940" s="36"/>
      <c r="H4940" s="36"/>
    </row>
    <row r="4941">
      <c r="A4941" s="36"/>
      <c r="B4941" s="36" t="str">
        <f>IFERROR(__xludf.DUMMYFUNCTION("""COMPUTED_VALUE"""),"LATITUD")</f>
        <v>LATITUD</v>
      </c>
      <c r="C4941" s="36" t="str">
        <f>IFERROR(__xludf.DUMMYFUNCTION("""COMPUTED_VALUE"""),"LONGITUD")</f>
        <v>LONGITUD</v>
      </c>
      <c r="D4941" s="36" t="str">
        <f>IFERROR(__xludf.DUMMYFUNCTION("""COMPUTED_VALUE"""),"ERROR DE ID")</f>
        <v>ERROR DE ID</v>
      </c>
      <c r="E4941" s="36"/>
      <c r="F4941" s="36"/>
      <c r="G4941" s="36"/>
      <c r="H4941" s="36"/>
    </row>
    <row r="4942">
      <c r="A4942" s="36"/>
      <c r="B4942" s="36" t="str">
        <f>IFERROR(__xludf.DUMMYFUNCTION("""COMPUTED_VALUE"""),"LATITUD")</f>
        <v>LATITUD</v>
      </c>
      <c r="C4942" s="36" t="str">
        <f>IFERROR(__xludf.DUMMYFUNCTION("""COMPUTED_VALUE"""),"LONGITUD")</f>
        <v>LONGITUD</v>
      </c>
      <c r="D4942" s="36" t="str">
        <f>IFERROR(__xludf.DUMMYFUNCTION("""COMPUTED_VALUE"""),"ERROR DE ID")</f>
        <v>ERROR DE ID</v>
      </c>
      <c r="E4942" s="36"/>
      <c r="F4942" s="36"/>
      <c r="G4942" s="36"/>
      <c r="H4942" s="36"/>
    </row>
    <row r="4943">
      <c r="A4943" s="36"/>
      <c r="B4943" s="36" t="str">
        <f>IFERROR(__xludf.DUMMYFUNCTION("""COMPUTED_VALUE"""),"LATITUD")</f>
        <v>LATITUD</v>
      </c>
      <c r="C4943" s="36" t="str">
        <f>IFERROR(__xludf.DUMMYFUNCTION("""COMPUTED_VALUE"""),"LONGITUD")</f>
        <v>LONGITUD</v>
      </c>
      <c r="D4943" s="36" t="str">
        <f>IFERROR(__xludf.DUMMYFUNCTION("""COMPUTED_VALUE"""),"ERROR DE ID")</f>
        <v>ERROR DE ID</v>
      </c>
      <c r="E4943" s="36"/>
      <c r="F4943" s="36"/>
      <c r="G4943" s="36"/>
      <c r="H4943" s="36"/>
    </row>
    <row r="4944">
      <c r="A4944" s="36"/>
      <c r="B4944" s="36" t="str">
        <f>IFERROR(__xludf.DUMMYFUNCTION("""COMPUTED_VALUE"""),"LATITUD")</f>
        <v>LATITUD</v>
      </c>
      <c r="C4944" s="36" t="str">
        <f>IFERROR(__xludf.DUMMYFUNCTION("""COMPUTED_VALUE"""),"LONGITUD")</f>
        <v>LONGITUD</v>
      </c>
      <c r="D4944" s="36" t="str">
        <f>IFERROR(__xludf.DUMMYFUNCTION("""COMPUTED_VALUE"""),"ERROR DE ID")</f>
        <v>ERROR DE ID</v>
      </c>
      <c r="E4944" s="36"/>
      <c r="F4944" s="36"/>
      <c r="G4944" s="36"/>
      <c r="H4944" s="36"/>
    </row>
    <row r="4945">
      <c r="A4945" s="36"/>
      <c r="B4945" s="36" t="str">
        <f>IFERROR(__xludf.DUMMYFUNCTION("""COMPUTED_VALUE"""),"LATITUD")</f>
        <v>LATITUD</v>
      </c>
      <c r="C4945" s="36" t="str">
        <f>IFERROR(__xludf.DUMMYFUNCTION("""COMPUTED_VALUE"""),"LONGITUD")</f>
        <v>LONGITUD</v>
      </c>
      <c r="D4945" s="36" t="str">
        <f>IFERROR(__xludf.DUMMYFUNCTION("""COMPUTED_VALUE"""),"ERROR DE ID")</f>
        <v>ERROR DE ID</v>
      </c>
      <c r="E4945" s="36"/>
      <c r="F4945" s="36"/>
      <c r="G4945" s="36"/>
      <c r="H4945" s="36"/>
    </row>
    <row r="4946">
      <c r="A4946" s="36"/>
      <c r="B4946" s="36" t="str">
        <f>IFERROR(__xludf.DUMMYFUNCTION("""COMPUTED_VALUE"""),"LATITUD")</f>
        <v>LATITUD</v>
      </c>
      <c r="C4946" s="36" t="str">
        <f>IFERROR(__xludf.DUMMYFUNCTION("""COMPUTED_VALUE"""),"LONGITUD")</f>
        <v>LONGITUD</v>
      </c>
      <c r="D4946" s="36" t="str">
        <f>IFERROR(__xludf.DUMMYFUNCTION("""COMPUTED_VALUE"""),"ERROR DE ID")</f>
        <v>ERROR DE ID</v>
      </c>
      <c r="E4946" s="36"/>
      <c r="F4946" s="36"/>
      <c r="G4946" s="36"/>
      <c r="H4946" s="36"/>
    </row>
    <row r="4947">
      <c r="A4947" s="36"/>
      <c r="B4947" s="36" t="str">
        <f>IFERROR(__xludf.DUMMYFUNCTION("""COMPUTED_VALUE"""),"LATITUD")</f>
        <v>LATITUD</v>
      </c>
      <c r="C4947" s="36" t="str">
        <f>IFERROR(__xludf.DUMMYFUNCTION("""COMPUTED_VALUE"""),"LONGITUD")</f>
        <v>LONGITUD</v>
      </c>
      <c r="D4947" s="36" t="str">
        <f>IFERROR(__xludf.DUMMYFUNCTION("""COMPUTED_VALUE"""),"ERROR DE ID")</f>
        <v>ERROR DE ID</v>
      </c>
      <c r="E4947" s="36"/>
      <c r="F4947" s="36"/>
      <c r="G4947" s="36"/>
      <c r="H4947" s="36"/>
    </row>
    <row r="4948">
      <c r="A4948" s="36"/>
      <c r="B4948" s="36" t="str">
        <f>IFERROR(__xludf.DUMMYFUNCTION("""COMPUTED_VALUE"""),"LATITUD")</f>
        <v>LATITUD</v>
      </c>
      <c r="C4948" s="36" t="str">
        <f>IFERROR(__xludf.DUMMYFUNCTION("""COMPUTED_VALUE"""),"LONGITUD")</f>
        <v>LONGITUD</v>
      </c>
      <c r="D4948" s="36" t="str">
        <f>IFERROR(__xludf.DUMMYFUNCTION("""COMPUTED_VALUE"""),"ERROR DE ID")</f>
        <v>ERROR DE ID</v>
      </c>
      <c r="E4948" s="36"/>
      <c r="F4948" s="36"/>
      <c r="G4948" s="36"/>
      <c r="H4948" s="36"/>
    </row>
    <row r="4949">
      <c r="A4949" s="36"/>
      <c r="B4949" s="36" t="str">
        <f>IFERROR(__xludf.DUMMYFUNCTION("""COMPUTED_VALUE"""),"LATITUD")</f>
        <v>LATITUD</v>
      </c>
      <c r="C4949" s="36" t="str">
        <f>IFERROR(__xludf.DUMMYFUNCTION("""COMPUTED_VALUE"""),"LONGITUD")</f>
        <v>LONGITUD</v>
      </c>
      <c r="D4949" s="36" t="str">
        <f>IFERROR(__xludf.DUMMYFUNCTION("""COMPUTED_VALUE"""),"ERROR DE ID")</f>
        <v>ERROR DE ID</v>
      </c>
      <c r="E4949" s="36"/>
      <c r="F4949" s="36"/>
      <c r="G4949" s="36"/>
      <c r="H4949" s="36"/>
    </row>
    <row r="4950">
      <c r="A4950" s="36"/>
      <c r="B4950" s="36" t="str">
        <f>IFERROR(__xludf.DUMMYFUNCTION("""COMPUTED_VALUE"""),"LATITUD")</f>
        <v>LATITUD</v>
      </c>
      <c r="C4950" s="36" t="str">
        <f>IFERROR(__xludf.DUMMYFUNCTION("""COMPUTED_VALUE"""),"LONGITUD")</f>
        <v>LONGITUD</v>
      </c>
      <c r="D4950" s="36" t="str">
        <f>IFERROR(__xludf.DUMMYFUNCTION("""COMPUTED_VALUE"""),"ERROR DE ID")</f>
        <v>ERROR DE ID</v>
      </c>
      <c r="E4950" s="36"/>
      <c r="F4950" s="36"/>
      <c r="G4950" s="36"/>
      <c r="H4950" s="36"/>
    </row>
    <row r="4951">
      <c r="A4951" s="36"/>
      <c r="B4951" s="36" t="str">
        <f>IFERROR(__xludf.DUMMYFUNCTION("""COMPUTED_VALUE"""),"LATITUD")</f>
        <v>LATITUD</v>
      </c>
      <c r="C4951" s="36" t="str">
        <f>IFERROR(__xludf.DUMMYFUNCTION("""COMPUTED_VALUE"""),"LONGITUD")</f>
        <v>LONGITUD</v>
      </c>
      <c r="D4951" s="36" t="str">
        <f>IFERROR(__xludf.DUMMYFUNCTION("""COMPUTED_VALUE"""),"ERROR DE ID")</f>
        <v>ERROR DE ID</v>
      </c>
      <c r="E4951" s="36"/>
      <c r="F4951" s="36"/>
      <c r="G4951" s="36"/>
      <c r="H4951" s="36"/>
    </row>
    <row r="4952">
      <c r="A4952" s="36"/>
      <c r="B4952" s="36" t="str">
        <f>IFERROR(__xludf.DUMMYFUNCTION("""COMPUTED_VALUE"""),"LATITUD")</f>
        <v>LATITUD</v>
      </c>
      <c r="C4952" s="36" t="str">
        <f>IFERROR(__xludf.DUMMYFUNCTION("""COMPUTED_VALUE"""),"LONGITUD")</f>
        <v>LONGITUD</v>
      </c>
      <c r="D4952" s="36" t="str">
        <f>IFERROR(__xludf.DUMMYFUNCTION("""COMPUTED_VALUE"""),"ERROR DE ID")</f>
        <v>ERROR DE ID</v>
      </c>
      <c r="E4952" s="36"/>
      <c r="F4952" s="36"/>
      <c r="G4952" s="36"/>
      <c r="H4952" s="36"/>
    </row>
    <row r="4953">
      <c r="A4953" s="36"/>
      <c r="B4953" s="36" t="str">
        <f>IFERROR(__xludf.DUMMYFUNCTION("""COMPUTED_VALUE"""),"LATITUD")</f>
        <v>LATITUD</v>
      </c>
      <c r="C4953" s="36" t="str">
        <f>IFERROR(__xludf.DUMMYFUNCTION("""COMPUTED_VALUE"""),"LONGITUD")</f>
        <v>LONGITUD</v>
      </c>
      <c r="D4953" s="36" t="str">
        <f>IFERROR(__xludf.DUMMYFUNCTION("""COMPUTED_VALUE"""),"ERROR DE ID")</f>
        <v>ERROR DE ID</v>
      </c>
      <c r="E4953" s="36"/>
      <c r="F4953" s="36"/>
      <c r="G4953" s="36"/>
      <c r="H4953" s="36"/>
    </row>
    <row r="4954">
      <c r="A4954" s="36"/>
      <c r="B4954" s="36" t="str">
        <f>IFERROR(__xludf.DUMMYFUNCTION("""COMPUTED_VALUE"""),"LATITUD")</f>
        <v>LATITUD</v>
      </c>
      <c r="C4954" s="36" t="str">
        <f>IFERROR(__xludf.DUMMYFUNCTION("""COMPUTED_VALUE"""),"LONGITUD")</f>
        <v>LONGITUD</v>
      </c>
      <c r="D4954" s="36" t="str">
        <f>IFERROR(__xludf.DUMMYFUNCTION("""COMPUTED_VALUE"""),"ERROR DE ID")</f>
        <v>ERROR DE ID</v>
      </c>
      <c r="E4954" s="36"/>
      <c r="F4954" s="36"/>
      <c r="G4954" s="36"/>
      <c r="H4954" s="36"/>
    </row>
    <row r="4955">
      <c r="A4955" s="36"/>
      <c r="B4955" s="36" t="str">
        <f>IFERROR(__xludf.DUMMYFUNCTION("""COMPUTED_VALUE"""),"LATITUD")</f>
        <v>LATITUD</v>
      </c>
      <c r="C4955" s="36" t="str">
        <f>IFERROR(__xludf.DUMMYFUNCTION("""COMPUTED_VALUE"""),"LONGITUD")</f>
        <v>LONGITUD</v>
      </c>
      <c r="D4955" s="36" t="str">
        <f>IFERROR(__xludf.DUMMYFUNCTION("""COMPUTED_VALUE"""),"ERROR DE ID")</f>
        <v>ERROR DE ID</v>
      </c>
      <c r="E4955" s="36"/>
      <c r="F4955" s="36"/>
      <c r="G4955" s="36"/>
      <c r="H4955" s="36"/>
    </row>
    <row r="4956">
      <c r="A4956" s="36"/>
      <c r="B4956" s="36" t="str">
        <f>IFERROR(__xludf.DUMMYFUNCTION("""COMPUTED_VALUE"""),"LATITUD")</f>
        <v>LATITUD</v>
      </c>
      <c r="C4956" s="36" t="str">
        <f>IFERROR(__xludf.DUMMYFUNCTION("""COMPUTED_VALUE"""),"LONGITUD")</f>
        <v>LONGITUD</v>
      </c>
      <c r="D4956" s="36" t="str">
        <f>IFERROR(__xludf.DUMMYFUNCTION("""COMPUTED_VALUE"""),"ERROR DE ID")</f>
        <v>ERROR DE ID</v>
      </c>
      <c r="E4956" s="36"/>
      <c r="F4956" s="36"/>
      <c r="G4956" s="36"/>
      <c r="H4956" s="36"/>
    </row>
    <row r="4957">
      <c r="A4957" s="36"/>
      <c r="B4957" s="36" t="str">
        <f>IFERROR(__xludf.DUMMYFUNCTION("""COMPUTED_VALUE"""),"LATITUD")</f>
        <v>LATITUD</v>
      </c>
      <c r="C4957" s="36" t="str">
        <f>IFERROR(__xludf.DUMMYFUNCTION("""COMPUTED_VALUE"""),"LONGITUD")</f>
        <v>LONGITUD</v>
      </c>
      <c r="D4957" s="36" t="str">
        <f>IFERROR(__xludf.DUMMYFUNCTION("""COMPUTED_VALUE"""),"ERROR DE ID")</f>
        <v>ERROR DE ID</v>
      </c>
      <c r="E4957" s="36"/>
      <c r="F4957" s="36"/>
      <c r="G4957" s="36"/>
      <c r="H4957" s="36"/>
    </row>
    <row r="4958">
      <c r="A4958" s="36"/>
      <c r="B4958" s="36" t="str">
        <f>IFERROR(__xludf.DUMMYFUNCTION("""COMPUTED_VALUE"""),"LATITUD")</f>
        <v>LATITUD</v>
      </c>
      <c r="C4958" s="36" t="str">
        <f>IFERROR(__xludf.DUMMYFUNCTION("""COMPUTED_VALUE"""),"LONGITUD")</f>
        <v>LONGITUD</v>
      </c>
      <c r="D4958" s="36" t="str">
        <f>IFERROR(__xludf.DUMMYFUNCTION("""COMPUTED_VALUE"""),"ERROR DE ID")</f>
        <v>ERROR DE ID</v>
      </c>
      <c r="E4958" s="36"/>
      <c r="F4958" s="36"/>
      <c r="G4958" s="36"/>
      <c r="H4958" s="36"/>
    </row>
    <row r="4959">
      <c r="A4959" s="36"/>
      <c r="B4959" s="36" t="str">
        <f>IFERROR(__xludf.DUMMYFUNCTION("""COMPUTED_VALUE"""),"LATITUD")</f>
        <v>LATITUD</v>
      </c>
      <c r="C4959" s="36" t="str">
        <f>IFERROR(__xludf.DUMMYFUNCTION("""COMPUTED_VALUE"""),"LONGITUD")</f>
        <v>LONGITUD</v>
      </c>
      <c r="D4959" s="36" t="str">
        <f>IFERROR(__xludf.DUMMYFUNCTION("""COMPUTED_VALUE"""),"ERROR DE ID")</f>
        <v>ERROR DE ID</v>
      </c>
      <c r="E4959" s="36"/>
      <c r="F4959" s="36"/>
      <c r="G4959" s="36"/>
      <c r="H4959" s="36"/>
    </row>
    <row r="4960">
      <c r="A4960" s="36"/>
      <c r="B4960" s="36" t="str">
        <f>IFERROR(__xludf.DUMMYFUNCTION("""COMPUTED_VALUE"""),"LATITUD")</f>
        <v>LATITUD</v>
      </c>
      <c r="C4960" s="36" t="str">
        <f>IFERROR(__xludf.DUMMYFUNCTION("""COMPUTED_VALUE"""),"LONGITUD")</f>
        <v>LONGITUD</v>
      </c>
      <c r="D4960" s="36" t="str">
        <f>IFERROR(__xludf.DUMMYFUNCTION("""COMPUTED_VALUE"""),"ERROR DE ID")</f>
        <v>ERROR DE ID</v>
      </c>
      <c r="E4960" s="36"/>
      <c r="F4960" s="36"/>
      <c r="G4960" s="36"/>
      <c r="H4960" s="36"/>
    </row>
    <row r="4961">
      <c r="A4961" s="36"/>
      <c r="B4961" s="36" t="str">
        <f>IFERROR(__xludf.DUMMYFUNCTION("""COMPUTED_VALUE"""),"LATITUD")</f>
        <v>LATITUD</v>
      </c>
      <c r="C4961" s="36" t="str">
        <f>IFERROR(__xludf.DUMMYFUNCTION("""COMPUTED_VALUE"""),"LONGITUD")</f>
        <v>LONGITUD</v>
      </c>
      <c r="D4961" s="36" t="str">
        <f>IFERROR(__xludf.DUMMYFUNCTION("""COMPUTED_VALUE"""),"ERROR DE ID")</f>
        <v>ERROR DE ID</v>
      </c>
      <c r="E4961" s="36"/>
      <c r="F4961" s="36"/>
      <c r="G4961" s="36"/>
      <c r="H4961" s="36"/>
    </row>
    <row r="4962">
      <c r="A4962" s="36"/>
      <c r="B4962" s="36" t="str">
        <f>IFERROR(__xludf.DUMMYFUNCTION("""COMPUTED_VALUE"""),"LATITUD")</f>
        <v>LATITUD</v>
      </c>
      <c r="C4962" s="36" t="str">
        <f>IFERROR(__xludf.DUMMYFUNCTION("""COMPUTED_VALUE"""),"LONGITUD")</f>
        <v>LONGITUD</v>
      </c>
      <c r="D4962" s="36" t="str">
        <f>IFERROR(__xludf.DUMMYFUNCTION("""COMPUTED_VALUE"""),"ERROR DE ID")</f>
        <v>ERROR DE ID</v>
      </c>
      <c r="E4962" s="36"/>
      <c r="F4962" s="36"/>
      <c r="G4962" s="36"/>
      <c r="H4962" s="36"/>
    </row>
    <row r="4963">
      <c r="A4963" s="36"/>
      <c r="B4963" s="36" t="str">
        <f>IFERROR(__xludf.DUMMYFUNCTION("""COMPUTED_VALUE"""),"LATITUD")</f>
        <v>LATITUD</v>
      </c>
      <c r="C4963" s="36" t="str">
        <f>IFERROR(__xludf.DUMMYFUNCTION("""COMPUTED_VALUE"""),"LONGITUD")</f>
        <v>LONGITUD</v>
      </c>
      <c r="D4963" s="36" t="str">
        <f>IFERROR(__xludf.DUMMYFUNCTION("""COMPUTED_VALUE"""),"ERROR DE ID")</f>
        <v>ERROR DE ID</v>
      </c>
      <c r="E4963" s="36"/>
      <c r="F4963" s="36"/>
      <c r="G4963" s="36"/>
      <c r="H4963" s="36"/>
    </row>
    <row r="4964">
      <c r="A4964" s="36"/>
      <c r="B4964" s="36" t="str">
        <f>IFERROR(__xludf.DUMMYFUNCTION("""COMPUTED_VALUE"""),"LATITUD")</f>
        <v>LATITUD</v>
      </c>
      <c r="C4964" s="36" t="str">
        <f>IFERROR(__xludf.DUMMYFUNCTION("""COMPUTED_VALUE"""),"LONGITUD")</f>
        <v>LONGITUD</v>
      </c>
      <c r="D4964" s="36" t="str">
        <f>IFERROR(__xludf.DUMMYFUNCTION("""COMPUTED_VALUE"""),"ERROR DE ID")</f>
        <v>ERROR DE ID</v>
      </c>
      <c r="E4964" s="36"/>
      <c r="F4964" s="36"/>
      <c r="G4964" s="36"/>
      <c r="H4964" s="36"/>
    </row>
    <row r="4965">
      <c r="A4965" s="36"/>
      <c r="B4965" s="36" t="str">
        <f>IFERROR(__xludf.DUMMYFUNCTION("""COMPUTED_VALUE"""),"LATITUD")</f>
        <v>LATITUD</v>
      </c>
      <c r="C4965" s="36" t="str">
        <f>IFERROR(__xludf.DUMMYFUNCTION("""COMPUTED_VALUE"""),"LONGITUD")</f>
        <v>LONGITUD</v>
      </c>
      <c r="D4965" s="36" t="str">
        <f>IFERROR(__xludf.DUMMYFUNCTION("""COMPUTED_VALUE"""),"ERROR DE ID")</f>
        <v>ERROR DE ID</v>
      </c>
      <c r="E4965" s="36"/>
      <c r="F4965" s="36"/>
      <c r="G4965" s="36"/>
      <c r="H4965" s="36"/>
    </row>
    <row r="4966">
      <c r="A4966" s="36"/>
      <c r="B4966" s="36" t="str">
        <f>IFERROR(__xludf.DUMMYFUNCTION("""COMPUTED_VALUE"""),"LATITUD")</f>
        <v>LATITUD</v>
      </c>
      <c r="C4966" s="36" t="str">
        <f>IFERROR(__xludf.DUMMYFUNCTION("""COMPUTED_VALUE"""),"LONGITUD")</f>
        <v>LONGITUD</v>
      </c>
      <c r="D4966" s="36" t="str">
        <f>IFERROR(__xludf.DUMMYFUNCTION("""COMPUTED_VALUE"""),"ERROR DE ID")</f>
        <v>ERROR DE ID</v>
      </c>
      <c r="E4966" s="36"/>
      <c r="F4966" s="36"/>
      <c r="G4966" s="36"/>
      <c r="H4966" s="36"/>
    </row>
    <row r="4967">
      <c r="A4967" s="36"/>
      <c r="B4967" s="36" t="str">
        <f>IFERROR(__xludf.DUMMYFUNCTION("""COMPUTED_VALUE"""),"LATITUD")</f>
        <v>LATITUD</v>
      </c>
      <c r="C4967" s="36" t="str">
        <f>IFERROR(__xludf.DUMMYFUNCTION("""COMPUTED_VALUE"""),"LONGITUD")</f>
        <v>LONGITUD</v>
      </c>
      <c r="D4967" s="36" t="str">
        <f>IFERROR(__xludf.DUMMYFUNCTION("""COMPUTED_VALUE"""),"ERROR DE ID")</f>
        <v>ERROR DE ID</v>
      </c>
      <c r="E4967" s="36"/>
      <c r="F4967" s="36"/>
      <c r="G4967" s="36"/>
      <c r="H4967" s="36"/>
    </row>
    <row r="4968">
      <c r="A4968" s="36"/>
      <c r="B4968" s="36" t="str">
        <f>IFERROR(__xludf.DUMMYFUNCTION("""COMPUTED_VALUE"""),"LATITUD")</f>
        <v>LATITUD</v>
      </c>
      <c r="C4968" s="36" t="str">
        <f>IFERROR(__xludf.DUMMYFUNCTION("""COMPUTED_VALUE"""),"LONGITUD")</f>
        <v>LONGITUD</v>
      </c>
      <c r="D4968" s="36" t="str">
        <f>IFERROR(__xludf.DUMMYFUNCTION("""COMPUTED_VALUE"""),"ERROR DE ID")</f>
        <v>ERROR DE ID</v>
      </c>
      <c r="E4968" s="36"/>
      <c r="F4968" s="36"/>
      <c r="G4968" s="36"/>
      <c r="H4968" s="36"/>
    </row>
    <row r="4969">
      <c r="A4969" s="36"/>
      <c r="B4969" s="36" t="str">
        <f>IFERROR(__xludf.DUMMYFUNCTION("""COMPUTED_VALUE"""),"LATITUD")</f>
        <v>LATITUD</v>
      </c>
      <c r="C4969" s="36" t="str">
        <f>IFERROR(__xludf.DUMMYFUNCTION("""COMPUTED_VALUE"""),"LONGITUD")</f>
        <v>LONGITUD</v>
      </c>
      <c r="D4969" s="36" t="str">
        <f>IFERROR(__xludf.DUMMYFUNCTION("""COMPUTED_VALUE"""),"ERROR DE ID")</f>
        <v>ERROR DE ID</v>
      </c>
      <c r="E4969" s="36"/>
      <c r="F4969" s="36"/>
      <c r="G4969" s="36"/>
      <c r="H4969" s="36"/>
    </row>
    <row r="4970">
      <c r="A4970" s="36"/>
      <c r="B4970" s="36" t="str">
        <f>IFERROR(__xludf.DUMMYFUNCTION("""COMPUTED_VALUE"""),"LATITUD")</f>
        <v>LATITUD</v>
      </c>
      <c r="C4970" s="36" t="str">
        <f>IFERROR(__xludf.DUMMYFUNCTION("""COMPUTED_VALUE"""),"LONGITUD")</f>
        <v>LONGITUD</v>
      </c>
      <c r="D4970" s="36" t="str">
        <f>IFERROR(__xludf.DUMMYFUNCTION("""COMPUTED_VALUE"""),"ERROR DE ID")</f>
        <v>ERROR DE ID</v>
      </c>
      <c r="E4970" s="36"/>
      <c r="F4970" s="36"/>
      <c r="G4970" s="36"/>
      <c r="H4970" s="36"/>
    </row>
    <row r="4971">
      <c r="A4971" s="36"/>
      <c r="B4971" s="36" t="str">
        <f>IFERROR(__xludf.DUMMYFUNCTION("""COMPUTED_VALUE"""),"LATITUD")</f>
        <v>LATITUD</v>
      </c>
      <c r="C4971" s="36" t="str">
        <f>IFERROR(__xludf.DUMMYFUNCTION("""COMPUTED_VALUE"""),"LONGITUD")</f>
        <v>LONGITUD</v>
      </c>
      <c r="D4971" s="36" t="str">
        <f>IFERROR(__xludf.DUMMYFUNCTION("""COMPUTED_VALUE"""),"ERROR DE ID")</f>
        <v>ERROR DE ID</v>
      </c>
      <c r="E4971" s="36"/>
      <c r="F4971" s="36"/>
      <c r="G4971" s="36"/>
      <c r="H4971" s="36"/>
    </row>
    <row r="4972">
      <c r="A4972" s="36"/>
      <c r="B4972" s="36" t="str">
        <f>IFERROR(__xludf.DUMMYFUNCTION("""COMPUTED_VALUE"""),"LATITUD")</f>
        <v>LATITUD</v>
      </c>
      <c r="C4972" s="36" t="str">
        <f>IFERROR(__xludf.DUMMYFUNCTION("""COMPUTED_VALUE"""),"LONGITUD")</f>
        <v>LONGITUD</v>
      </c>
      <c r="D4972" s="36" t="str">
        <f>IFERROR(__xludf.DUMMYFUNCTION("""COMPUTED_VALUE"""),"ERROR DE ID")</f>
        <v>ERROR DE ID</v>
      </c>
      <c r="E4972" s="36"/>
      <c r="F4972" s="36"/>
      <c r="G4972" s="36"/>
      <c r="H4972" s="36"/>
    </row>
    <row r="4973">
      <c r="A4973" s="36"/>
      <c r="B4973" s="36" t="str">
        <f>IFERROR(__xludf.DUMMYFUNCTION("""COMPUTED_VALUE"""),"LATITUD")</f>
        <v>LATITUD</v>
      </c>
      <c r="C4973" s="36" t="str">
        <f>IFERROR(__xludf.DUMMYFUNCTION("""COMPUTED_VALUE"""),"LONGITUD")</f>
        <v>LONGITUD</v>
      </c>
      <c r="D4973" s="36" t="str">
        <f>IFERROR(__xludf.DUMMYFUNCTION("""COMPUTED_VALUE"""),"ERROR DE ID")</f>
        <v>ERROR DE ID</v>
      </c>
      <c r="E4973" s="36"/>
      <c r="F4973" s="36"/>
      <c r="G4973" s="36"/>
      <c r="H4973" s="36"/>
    </row>
    <row r="4974">
      <c r="A4974" s="36"/>
      <c r="B4974" s="36" t="str">
        <f>IFERROR(__xludf.DUMMYFUNCTION("""COMPUTED_VALUE"""),"LATITUD")</f>
        <v>LATITUD</v>
      </c>
      <c r="C4974" s="36" t="str">
        <f>IFERROR(__xludf.DUMMYFUNCTION("""COMPUTED_VALUE"""),"LONGITUD")</f>
        <v>LONGITUD</v>
      </c>
      <c r="D4974" s="36" t="str">
        <f>IFERROR(__xludf.DUMMYFUNCTION("""COMPUTED_VALUE"""),"ERROR DE ID")</f>
        <v>ERROR DE ID</v>
      </c>
      <c r="E4974" s="36"/>
      <c r="F4974" s="36"/>
      <c r="G4974" s="36"/>
      <c r="H4974" s="36"/>
    </row>
    <row r="4975">
      <c r="A4975" s="36"/>
      <c r="B4975" s="36" t="str">
        <f>IFERROR(__xludf.DUMMYFUNCTION("""COMPUTED_VALUE"""),"LATITUD")</f>
        <v>LATITUD</v>
      </c>
      <c r="C4975" s="36" t="str">
        <f>IFERROR(__xludf.DUMMYFUNCTION("""COMPUTED_VALUE"""),"LONGITUD")</f>
        <v>LONGITUD</v>
      </c>
      <c r="D4975" s="36" t="str">
        <f>IFERROR(__xludf.DUMMYFUNCTION("""COMPUTED_VALUE"""),"ERROR DE ID")</f>
        <v>ERROR DE ID</v>
      </c>
      <c r="E4975" s="36"/>
      <c r="F4975" s="36"/>
      <c r="G4975" s="36"/>
      <c r="H4975" s="36"/>
    </row>
    <row r="4976">
      <c r="A4976" s="36"/>
      <c r="B4976" s="36" t="str">
        <f>IFERROR(__xludf.DUMMYFUNCTION("""COMPUTED_VALUE"""),"LATITUD")</f>
        <v>LATITUD</v>
      </c>
      <c r="C4976" s="36" t="str">
        <f>IFERROR(__xludf.DUMMYFUNCTION("""COMPUTED_VALUE"""),"LONGITUD")</f>
        <v>LONGITUD</v>
      </c>
      <c r="D4976" s="36" t="str">
        <f>IFERROR(__xludf.DUMMYFUNCTION("""COMPUTED_VALUE"""),"ERROR DE ID")</f>
        <v>ERROR DE ID</v>
      </c>
      <c r="E4976" s="36"/>
      <c r="F4976" s="36"/>
      <c r="G4976" s="36"/>
      <c r="H4976" s="36"/>
    </row>
    <row r="4977">
      <c r="A4977" s="36"/>
      <c r="B4977" s="36" t="str">
        <f>IFERROR(__xludf.DUMMYFUNCTION("""COMPUTED_VALUE"""),"LATITUD")</f>
        <v>LATITUD</v>
      </c>
      <c r="C4977" s="36" t="str">
        <f>IFERROR(__xludf.DUMMYFUNCTION("""COMPUTED_VALUE"""),"LONGITUD")</f>
        <v>LONGITUD</v>
      </c>
      <c r="D4977" s="36" t="str">
        <f>IFERROR(__xludf.DUMMYFUNCTION("""COMPUTED_VALUE"""),"ERROR DE ID")</f>
        <v>ERROR DE ID</v>
      </c>
      <c r="E4977" s="36"/>
      <c r="F4977" s="36"/>
      <c r="G4977" s="36"/>
      <c r="H4977" s="36"/>
    </row>
    <row r="4978">
      <c r="A4978" s="36"/>
      <c r="B4978" s="36" t="str">
        <f>IFERROR(__xludf.DUMMYFUNCTION("""COMPUTED_VALUE"""),"LATITUD")</f>
        <v>LATITUD</v>
      </c>
      <c r="C4978" s="36" t="str">
        <f>IFERROR(__xludf.DUMMYFUNCTION("""COMPUTED_VALUE"""),"LONGITUD")</f>
        <v>LONGITUD</v>
      </c>
      <c r="D4978" s="36" t="str">
        <f>IFERROR(__xludf.DUMMYFUNCTION("""COMPUTED_VALUE"""),"ERROR DE ID")</f>
        <v>ERROR DE ID</v>
      </c>
      <c r="E4978" s="36"/>
      <c r="F4978" s="36"/>
      <c r="G4978" s="36"/>
      <c r="H4978" s="36"/>
    </row>
    <row r="4979">
      <c r="A4979" s="36"/>
      <c r="B4979" s="36" t="str">
        <f>IFERROR(__xludf.DUMMYFUNCTION("""COMPUTED_VALUE"""),"LATITUD")</f>
        <v>LATITUD</v>
      </c>
      <c r="C4979" s="36" t="str">
        <f>IFERROR(__xludf.DUMMYFUNCTION("""COMPUTED_VALUE"""),"LONGITUD")</f>
        <v>LONGITUD</v>
      </c>
      <c r="D4979" s="36" t="str">
        <f>IFERROR(__xludf.DUMMYFUNCTION("""COMPUTED_VALUE"""),"ERROR DE ID")</f>
        <v>ERROR DE ID</v>
      </c>
      <c r="E4979" s="36"/>
      <c r="F4979" s="36"/>
      <c r="G4979" s="36"/>
      <c r="H4979" s="36"/>
    </row>
    <row r="4980">
      <c r="A4980" s="36"/>
      <c r="B4980" s="36" t="str">
        <f>IFERROR(__xludf.DUMMYFUNCTION("""COMPUTED_VALUE"""),"LATITUD")</f>
        <v>LATITUD</v>
      </c>
      <c r="C4980" s="36" t="str">
        <f>IFERROR(__xludf.DUMMYFUNCTION("""COMPUTED_VALUE"""),"LONGITUD")</f>
        <v>LONGITUD</v>
      </c>
      <c r="D4980" s="36" t="str">
        <f>IFERROR(__xludf.DUMMYFUNCTION("""COMPUTED_VALUE"""),"ERROR DE ID")</f>
        <v>ERROR DE ID</v>
      </c>
      <c r="E4980" s="36"/>
      <c r="F4980" s="36"/>
      <c r="G4980" s="36"/>
      <c r="H4980" s="36"/>
    </row>
    <row r="4981">
      <c r="A4981" s="36"/>
      <c r="B4981" s="36" t="str">
        <f>IFERROR(__xludf.DUMMYFUNCTION("""COMPUTED_VALUE"""),"LATITUD")</f>
        <v>LATITUD</v>
      </c>
      <c r="C4981" s="36" t="str">
        <f>IFERROR(__xludf.DUMMYFUNCTION("""COMPUTED_VALUE"""),"LONGITUD")</f>
        <v>LONGITUD</v>
      </c>
      <c r="D4981" s="36" t="str">
        <f>IFERROR(__xludf.DUMMYFUNCTION("""COMPUTED_VALUE"""),"ERROR DE ID")</f>
        <v>ERROR DE ID</v>
      </c>
      <c r="E4981" s="36"/>
      <c r="F4981" s="36"/>
      <c r="G4981" s="36"/>
      <c r="H4981" s="36"/>
    </row>
    <row r="4982">
      <c r="A4982" s="36"/>
      <c r="B4982" s="36" t="str">
        <f>IFERROR(__xludf.DUMMYFUNCTION("""COMPUTED_VALUE"""),"LATITUD")</f>
        <v>LATITUD</v>
      </c>
      <c r="C4982" s="36" t="str">
        <f>IFERROR(__xludf.DUMMYFUNCTION("""COMPUTED_VALUE"""),"LONGITUD")</f>
        <v>LONGITUD</v>
      </c>
      <c r="D4982" s="36" t="str">
        <f>IFERROR(__xludf.DUMMYFUNCTION("""COMPUTED_VALUE"""),"ERROR DE ID")</f>
        <v>ERROR DE ID</v>
      </c>
      <c r="E4982" s="36"/>
      <c r="F4982" s="36"/>
      <c r="G4982" s="36"/>
      <c r="H4982" s="36"/>
    </row>
    <row r="4983">
      <c r="A4983" s="36"/>
      <c r="B4983" s="36" t="str">
        <f>IFERROR(__xludf.DUMMYFUNCTION("""COMPUTED_VALUE"""),"LATITUD")</f>
        <v>LATITUD</v>
      </c>
      <c r="C4983" s="36" t="str">
        <f>IFERROR(__xludf.DUMMYFUNCTION("""COMPUTED_VALUE"""),"LONGITUD")</f>
        <v>LONGITUD</v>
      </c>
      <c r="D4983" s="36" t="str">
        <f>IFERROR(__xludf.DUMMYFUNCTION("""COMPUTED_VALUE"""),"ERROR DE ID")</f>
        <v>ERROR DE ID</v>
      </c>
      <c r="E4983" s="36"/>
      <c r="F4983" s="36"/>
      <c r="G4983" s="36"/>
      <c r="H4983" s="36"/>
    </row>
    <row r="4984">
      <c r="A4984" s="36"/>
      <c r="B4984" s="36" t="str">
        <f>IFERROR(__xludf.DUMMYFUNCTION("""COMPUTED_VALUE"""),"LATITUD")</f>
        <v>LATITUD</v>
      </c>
      <c r="C4984" s="36" t="str">
        <f>IFERROR(__xludf.DUMMYFUNCTION("""COMPUTED_VALUE"""),"LONGITUD")</f>
        <v>LONGITUD</v>
      </c>
      <c r="D4984" s="36" t="str">
        <f>IFERROR(__xludf.DUMMYFUNCTION("""COMPUTED_VALUE"""),"ERROR DE ID")</f>
        <v>ERROR DE ID</v>
      </c>
      <c r="E4984" s="36"/>
      <c r="F4984" s="36"/>
      <c r="G4984" s="36"/>
      <c r="H4984" s="36"/>
    </row>
    <row r="4985">
      <c r="A4985" s="36"/>
      <c r="B4985" s="36" t="str">
        <f>IFERROR(__xludf.DUMMYFUNCTION("""COMPUTED_VALUE"""),"LATITUD")</f>
        <v>LATITUD</v>
      </c>
      <c r="C4985" s="36" t="str">
        <f>IFERROR(__xludf.DUMMYFUNCTION("""COMPUTED_VALUE"""),"LONGITUD")</f>
        <v>LONGITUD</v>
      </c>
      <c r="D4985" s="36" t="str">
        <f>IFERROR(__xludf.DUMMYFUNCTION("""COMPUTED_VALUE"""),"ERROR DE ID")</f>
        <v>ERROR DE ID</v>
      </c>
      <c r="E4985" s="36"/>
      <c r="F4985" s="36"/>
      <c r="G4985" s="36"/>
      <c r="H4985" s="36"/>
    </row>
    <row r="4986">
      <c r="A4986" s="36"/>
      <c r="B4986" s="36" t="str">
        <f>IFERROR(__xludf.DUMMYFUNCTION("""COMPUTED_VALUE"""),"LATITUD")</f>
        <v>LATITUD</v>
      </c>
      <c r="C4986" s="36" t="str">
        <f>IFERROR(__xludf.DUMMYFUNCTION("""COMPUTED_VALUE"""),"LONGITUD")</f>
        <v>LONGITUD</v>
      </c>
      <c r="D4986" s="36" t="str">
        <f>IFERROR(__xludf.DUMMYFUNCTION("""COMPUTED_VALUE"""),"ERROR DE ID")</f>
        <v>ERROR DE ID</v>
      </c>
      <c r="E4986" s="36"/>
      <c r="F4986" s="36"/>
      <c r="G4986" s="36"/>
      <c r="H4986" s="36"/>
    </row>
    <row r="4987">
      <c r="A4987" s="36"/>
      <c r="B4987" s="36" t="str">
        <f>IFERROR(__xludf.DUMMYFUNCTION("""COMPUTED_VALUE"""),"LATITUD")</f>
        <v>LATITUD</v>
      </c>
      <c r="C4987" s="36" t="str">
        <f>IFERROR(__xludf.DUMMYFUNCTION("""COMPUTED_VALUE"""),"LONGITUD")</f>
        <v>LONGITUD</v>
      </c>
      <c r="D4987" s="36" t="str">
        <f>IFERROR(__xludf.DUMMYFUNCTION("""COMPUTED_VALUE"""),"ERROR DE ID")</f>
        <v>ERROR DE ID</v>
      </c>
      <c r="E4987" s="36"/>
      <c r="F4987" s="36"/>
      <c r="G4987" s="36"/>
      <c r="H4987" s="36"/>
    </row>
    <row r="4988">
      <c r="A4988" s="36"/>
      <c r="B4988" s="36" t="str">
        <f>IFERROR(__xludf.DUMMYFUNCTION("""COMPUTED_VALUE"""),"LATITUD")</f>
        <v>LATITUD</v>
      </c>
      <c r="C4988" s="36" t="str">
        <f>IFERROR(__xludf.DUMMYFUNCTION("""COMPUTED_VALUE"""),"LONGITUD")</f>
        <v>LONGITUD</v>
      </c>
      <c r="D4988" s="36" t="str">
        <f>IFERROR(__xludf.DUMMYFUNCTION("""COMPUTED_VALUE"""),"ERROR DE ID")</f>
        <v>ERROR DE ID</v>
      </c>
      <c r="E4988" s="36"/>
      <c r="F4988" s="36"/>
      <c r="G4988" s="36"/>
      <c r="H4988" s="36"/>
    </row>
    <row r="4989">
      <c r="A4989" s="36"/>
      <c r="B4989" s="36" t="str">
        <f>IFERROR(__xludf.DUMMYFUNCTION("""COMPUTED_VALUE"""),"LATITUD")</f>
        <v>LATITUD</v>
      </c>
      <c r="C4989" s="36" t="str">
        <f>IFERROR(__xludf.DUMMYFUNCTION("""COMPUTED_VALUE"""),"LONGITUD")</f>
        <v>LONGITUD</v>
      </c>
      <c r="D4989" s="36" t="str">
        <f>IFERROR(__xludf.DUMMYFUNCTION("""COMPUTED_VALUE"""),"ERROR DE ID")</f>
        <v>ERROR DE ID</v>
      </c>
      <c r="E4989" s="36"/>
      <c r="F4989" s="36"/>
      <c r="G4989" s="36"/>
      <c r="H4989" s="36"/>
    </row>
    <row r="4990">
      <c r="A4990" s="36"/>
      <c r="B4990" s="36" t="str">
        <f>IFERROR(__xludf.DUMMYFUNCTION("""COMPUTED_VALUE"""),"LATITUD")</f>
        <v>LATITUD</v>
      </c>
      <c r="C4990" s="36" t="str">
        <f>IFERROR(__xludf.DUMMYFUNCTION("""COMPUTED_VALUE"""),"LONGITUD")</f>
        <v>LONGITUD</v>
      </c>
      <c r="D4990" s="36" t="str">
        <f>IFERROR(__xludf.DUMMYFUNCTION("""COMPUTED_VALUE"""),"ERROR DE ID")</f>
        <v>ERROR DE ID</v>
      </c>
      <c r="E4990" s="36"/>
      <c r="F4990" s="36"/>
      <c r="G4990" s="36"/>
      <c r="H4990" s="36"/>
    </row>
    <row r="4991">
      <c r="A4991" s="36"/>
      <c r="B4991" s="36" t="str">
        <f>IFERROR(__xludf.DUMMYFUNCTION("""COMPUTED_VALUE"""),"LATITUD")</f>
        <v>LATITUD</v>
      </c>
      <c r="C4991" s="36" t="str">
        <f>IFERROR(__xludf.DUMMYFUNCTION("""COMPUTED_VALUE"""),"LONGITUD")</f>
        <v>LONGITUD</v>
      </c>
      <c r="D4991" s="36" t="str">
        <f>IFERROR(__xludf.DUMMYFUNCTION("""COMPUTED_VALUE"""),"ERROR DE ID")</f>
        <v>ERROR DE ID</v>
      </c>
      <c r="E4991" s="36"/>
      <c r="F4991" s="36"/>
      <c r="G4991" s="36"/>
      <c r="H4991" s="36"/>
    </row>
    <row r="4992">
      <c r="A4992" s="36"/>
      <c r="B4992" s="36" t="str">
        <f>IFERROR(__xludf.DUMMYFUNCTION("""COMPUTED_VALUE"""),"LATITUD")</f>
        <v>LATITUD</v>
      </c>
      <c r="C4992" s="36" t="str">
        <f>IFERROR(__xludf.DUMMYFUNCTION("""COMPUTED_VALUE"""),"LONGITUD")</f>
        <v>LONGITUD</v>
      </c>
      <c r="D4992" s="36" t="str">
        <f>IFERROR(__xludf.DUMMYFUNCTION("""COMPUTED_VALUE"""),"ERROR DE ID")</f>
        <v>ERROR DE ID</v>
      </c>
      <c r="E4992" s="36"/>
      <c r="F4992" s="36"/>
      <c r="G4992" s="36"/>
      <c r="H4992" s="36"/>
    </row>
    <row r="4993">
      <c r="A4993" s="36"/>
      <c r="B4993" s="36" t="str">
        <f>IFERROR(__xludf.DUMMYFUNCTION("""COMPUTED_VALUE"""),"LATITUD")</f>
        <v>LATITUD</v>
      </c>
      <c r="C4993" s="36" t="str">
        <f>IFERROR(__xludf.DUMMYFUNCTION("""COMPUTED_VALUE"""),"LONGITUD")</f>
        <v>LONGITUD</v>
      </c>
      <c r="D4993" s="36" t="str">
        <f>IFERROR(__xludf.DUMMYFUNCTION("""COMPUTED_VALUE"""),"ERROR DE ID")</f>
        <v>ERROR DE ID</v>
      </c>
      <c r="E4993" s="36"/>
      <c r="F4993" s="36"/>
      <c r="G4993" s="36"/>
      <c r="H4993" s="36"/>
    </row>
    <row r="4994">
      <c r="A4994" s="36"/>
      <c r="B4994" s="36" t="str">
        <f>IFERROR(__xludf.DUMMYFUNCTION("""COMPUTED_VALUE"""),"LATITUD")</f>
        <v>LATITUD</v>
      </c>
      <c r="C4994" s="36" t="str">
        <f>IFERROR(__xludf.DUMMYFUNCTION("""COMPUTED_VALUE"""),"LONGITUD")</f>
        <v>LONGITUD</v>
      </c>
      <c r="D4994" s="36" t="str">
        <f>IFERROR(__xludf.DUMMYFUNCTION("""COMPUTED_VALUE"""),"ERROR DE ID")</f>
        <v>ERROR DE ID</v>
      </c>
      <c r="E4994" s="36"/>
      <c r="F4994" s="36"/>
      <c r="G4994" s="36"/>
      <c r="H4994" s="36"/>
    </row>
    <row r="4995">
      <c r="A4995" s="36"/>
      <c r="B4995" s="36" t="str">
        <f>IFERROR(__xludf.DUMMYFUNCTION("""COMPUTED_VALUE"""),"LATITUD")</f>
        <v>LATITUD</v>
      </c>
      <c r="C4995" s="36" t="str">
        <f>IFERROR(__xludf.DUMMYFUNCTION("""COMPUTED_VALUE"""),"LONGITUD")</f>
        <v>LONGITUD</v>
      </c>
      <c r="D4995" s="36" t="str">
        <f>IFERROR(__xludf.DUMMYFUNCTION("""COMPUTED_VALUE"""),"ERROR DE ID")</f>
        <v>ERROR DE ID</v>
      </c>
      <c r="E4995" s="36"/>
      <c r="F4995" s="36"/>
      <c r="G4995" s="36"/>
      <c r="H4995" s="36"/>
    </row>
    <row r="4996">
      <c r="A4996" s="36"/>
      <c r="B4996" s="36" t="str">
        <f>IFERROR(__xludf.DUMMYFUNCTION("""COMPUTED_VALUE"""),"LATITUD")</f>
        <v>LATITUD</v>
      </c>
      <c r="C4996" s="36" t="str">
        <f>IFERROR(__xludf.DUMMYFUNCTION("""COMPUTED_VALUE"""),"LONGITUD")</f>
        <v>LONGITUD</v>
      </c>
      <c r="D4996" s="36" t="str">
        <f>IFERROR(__xludf.DUMMYFUNCTION("""COMPUTED_VALUE"""),"ERROR DE ID")</f>
        <v>ERROR DE ID</v>
      </c>
      <c r="E4996" s="36"/>
      <c r="F4996" s="36"/>
      <c r="G4996" s="36"/>
      <c r="H4996" s="36"/>
    </row>
    <row r="4997">
      <c r="A4997" s="36"/>
      <c r="B4997" s="36" t="str">
        <f>IFERROR(__xludf.DUMMYFUNCTION("""COMPUTED_VALUE"""),"LATITUD")</f>
        <v>LATITUD</v>
      </c>
      <c r="C4997" s="36" t="str">
        <f>IFERROR(__xludf.DUMMYFUNCTION("""COMPUTED_VALUE"""),"LONGITUD")</f>
        <v>LONGITUD</v>
      </c>
      <c r="D4997" s="36" t="str">
        <f>IFERROR(__xludf.DUMMYFUNCTION("""COMPUTED_VALUE"""),"ERROR DE ID")</f>
        <v>ERROR DE ID</v>
      </c>
      <c r="E4997" s="36"/>
      <c r="F4997" s="36"/>
      <c r="G4997" s="36"/>
      <c r="H4997" s="36"/>
    </row>
    <row r="4998">
      <c r="A4998" s="36"/>
      <c r="B4998" s="36" t="str">
        <f>IFERROR(__xludf.DUMMYFUNCTION("""COMPUTED_VALUE"""),"LATITUD")</f>
        <v>LATITUD</v>
      </c>
      <c r="C4998" s="36" t="str">
        <f>IFERROR(__xludf.DUMMYFUNCTION("""COMPUTED_VALUE"""),"LONGITUD")</f>
        <v>LONGITUD</v>
      </c>
      <c r="D4998" s="36" t="str">
        <f>IFERROR(__xludf.DUMMYFUNCTION("""COMPUTED_VALUE"""),"ERROR DE ID")</f>
        <v>ERROR DE ID</v>
      </c>
      <c r="E4998" s="36"/>
      <c r="F4998" s="36"/>
      <c r="G4998" s="36"/>
      <c r="H4998" s="36"/>
    </row>
    <row r="4999">
      <c r="A4999" s="36"/>
      <c r="B4999" s="36" t="str">
        <f>IFERROR(__xludf.DUMMYFUNCTION("""COMPUTED_VALUE"""),"LATITUD")</f>
        <v>LATITUD</v>
      </c>
      <c r="C4999" s="36" t="str">
        <f>IFERROR(__xludf.DUMMYFUNCTION("""COMPUTED_VALUE"""),"LONGITUD")</f>
        <v>LONGITUD</v>
      </c>
      <c r="D4999" s="36" t="str">
        <f>IFERROR(__xludf.DUMMYFUNCTION("""COMPUTED_VALUE"""),"ERROR DE ID")</f>
        <v>ERROR DE ID</v>
      </c>
      <c r="E4999" s="36"/>
      <c r="F4999" s="36"/>
      <c r="G4999" s="36"/>
      <c r="H4999" s="36"/>
    </row>
    <row r="5000">
      <c r="A5000" s="36"/>
      <c r="B5000" s="36" t="str">
        <f>IFERROR(__xludf.DUMMYFUNCTION("""COMPUTED_VALUE"""),"LATITUD")</f>
        <v>LATITUD</v>
      </c>
      <c r="C5000" s="36" t="str">
        <f>IFERROR(__xludf.DUMMYFUNCTION("""COMPUTED_VALUE"""),"LONGITUD")</f>
        <v>LONGITUD</v>
      </c>
      <c r="D5000" s="36" t="str">
        <f>IFERROR(__xludf.DUMMYFUNCTION("""COMPUTED_VALUE"""),"ERROR DE ID")</f>
        <v>ERROR DE ID</v>
      </c>
      <c r="E5000" s="36"/>
      <c r="F5000" s="36"/>
      <c r="G5000" s="36"/>
      <c r="H5000" s="3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B1" s="17"/>
      <c r="C1" s="37"/>
      <c r="D1" s="17"/>
      <c r="E1" s="17"/>
      <c r="F1" s="37"/>
      <c r="G1" s="37"/>
      <c r="H1" s="17"/>
      <c r="I1" s="37"/>
      <c r="J1" s="17"/>
      <c r="K1" s="37"/>
    </row>
    <row r="2">
      <c r="B2" s="17"/>
      <c r="C2" s="37"/>
      <c r="D2" s="38"/>
      <c r="E2" s="17"/>
      <c r="F2" s="37"/>
      <c r="G2" s="37"/>
      <c r="H2" s="17"/>
      <c r="I2" s="37"/>
      <c r="J2" s="17"/>
      <c r="K2" s="37"/>
    </row>
    <row r="3">
      <c r="B3" s="17"/>
      <c r="C3" s="37"/>
      <c r="D3" s="38"/>
      <c r="E3" s="17"/>
      <c r="F3" s="37"/>
      <c r="G3" s="17"/>
      <c r="H3" s="17"/>
      <c r="I3" s="37"/>
      <c r="J3" s="17"/>
      <c r="K3" s="37"/>
    </row>
    <row r="4">
      <c r="B4" s="17"/>
      <c r="C4" s="37"/>
      <c r="D4" s="17"/>
      <c r="E4" s="17"/>
      <c r="F4" s="37"/>
      <c r="G4" s="37"/>
      <c r="H4" s="17"/>
      <c r="I4" s="37"/>
      <c r="J4" s="17"/>
      <c r="K4" s="37"/>
    </row>
    <row r="5">
      <c r="B5" s="17"/>
      <c r="C5" s="37"/>
      <c r="D5" s="17"/>
      <c r="E5" s="17"/>
      <c r="F5" s="37"/>
      <c r="G5" s="37"/>
      <c r="H5" s="17"/>
      <c r="I5" s="37"/>
      <c r="J5" s="17"/>
      <c r="K5" s="37"/>
    </row>
    <row r="6">
      <c r="B6" s="17"/>
      <c r="C6" s="37"/>
      <c r="D6" s="17"/>
      <c r="E6" s="17"/>
      <c r="F6" s="37"/>
      <c r="G6" s="37"/>
      <c r="H6" s="17"/>
      <c r="I6" s="37"/>
      <c r="J6" s="17"/>
      <c r="K6" s="37"/>
    </row>
    <row r="7">
      <c r="B7" s="36" t="str">
        <f t="array" ref="B7:L621">SORT(Sheet1!B4:L618,2,TRUE,5,TRUE,7,TRUE)</f>
        <v>Capital</v>
      </c>
      <c r="C7" s="37">
        <v>125.0</v>
      </c>
      <c r="D7" s="17" t="s">
        <v>16</v>
      </c>
      <c r="E7" s="17" t="s">
        <v>17</v>
      </c>
      <c r="F7" s="37">
        <v>3.0</v>
      </c>
      <c r="G7" s="37">
        <v>27.0</v>
      </c>
      <c r="H7" s="17" t="s">
        <v>18</v>
      </c>
      <c r="I7" s="37">
        <v>20.0</v>
      </c>
      <c r="J7" s="17" t="s">
        <v>19</v>
      </c>
      <c r="K7" s="37">
        <v>-31.509631</v>
      </c>
      <c r="L7" s="36">
        <v>-68.517176</v>
      </c>
    </row>
    <row r="8">
      <c r="B8" s="17" t="s">
        <v>20</v>
      </c>
      <c r="C8" s="37">
        <v>822.0</v>
      </c>
      <c r="D8" s="38" t="s">
        <v>21</v>
      </c>
      <c r="E8" s="17" t="s">
        <v>22</v>
      </c>
      <c r="F8" s="37">
        <v>3.0</v>
      </c>
      <c r="G8" s="37">
        <v>23.0</v>
      </c>
      <c r="H8" s="17" t="s">
        <v>23</v>
      </c>
      <c r="I8" s="37">
        <v>17.0</v>
      </c>
      <c r="J8" s="17" t="s">
        <v>24</v>
      </c>
      <c r="K8" s="37">
        <v>-31.47406</v>
      </c>
      <c r="L8" s="36">
        <v>-68.5209</v>
      </c>
    </row>
    <row r="9">
      <c r="B9" s="17" t="s">
        <v>20</v>
      </c>
      <c r="C9" s="37">
        <v>822.0</v>
      </c>
      <c r="D9" s="17" t="s">
        <v>25</v>
      </c>
      <c r="E9" s="17" t="s">
        <v>26</v>
      </c>
      <c r="F9" s="37">
        <v>3.0</v>
      </c>
      <c r="G9" s="37">
        <v>28.0</v>
      </c>
      <c r="H9" s="17" t="s">
        <v>27</v>
      </c>
      <c r="I9" s="37">
        <v>17.0</v>
      </c>
      <c r="J9" s="17" t="s">
        <v>28</v>
      </c>
      <c r="K9" s="37">
        <v>-31.48785</v>
      </c>
      <c r="L9" s="36">
        <v>-68.54786</v>
      </c>
    </row>
    <row r="10">
      <c r="B10" s="17" t="s">
        <v>20</v>
      </c>
      <c r="C10" s="37">
        <v>822.0</v>
      </c>
      <c r="D10" s="17" t="s">
        <v>25</v>
      </c>
      <c r="E10" s="17" t="s">
        <v>29</v>
      </c>
      <c r="F10" s="37">
        <v>3.0</v>
      </c>
      <c r="G10" s="37">
        <v>29.0</v>
      </c>
      <c r="H10" s="17" t="s">
        <v>30</v>
      </c>
      <c r="I10" s="37">
        <v>17.0</v>
      </c>
      <c r="J10" s="17" t="s">
        <v>31</v>
      </c>
      <c r="K10" s="37">
        <v>-31.48683</v>
      </c>
      <c r="L10" s="36">
        <v>-68.54502</v>
      </c>
    </row>
    <row r="11">
      <c r="B11" s="17" t="s">
        <v>20</v>
      </c>
      <c r="C11" s="37">
        <v>822.0</v>
      </c>
      <c r="D11" s="17" t="s">
        <v>25</v>
      </c>
      <c r="E11" s="17" t="s">
        <v>32</v>
      </c>
      <c r="F11" s="37">
        <v>3.0</v>
      </c>
      <c r="G11" s="17">
        <v>30.0</v>
      </c>
      <c r="H11" s="17" t="s">
        <v>33</v>
      </c>
      <c r="I11" s="37">
        <v>17.0</v>
      </c>
      <c r="J11" s="17" t="s">
        <v>34</v>
      </c>
      <c r="K11" s="37">
        <v>-31.48563</v>
      </c>
      <c r="L11" s="36">
        <v>-68.54154</v>
      </c>
    </row>
    <row r="12">
      <c r="B12" s="17" t="s">
        <v>20</v>
      </c>
      <c r="C12" s="37">
        <v>822.0</v>
      </c>
      <c r="D12" s="17" t="s">
        <v>35</v>
      </c>
      <c r="E12" s="17" t="s">
        <v>36</v>
      </c>
      <c r="F12" s="37">
        <v>3.0</v>
      </c>
      <c r="G12" s="17">
        <v>31.0</v>
      </c>
      <c r="H12" s="17" t="s">
        <v>37</v>
      </c>
      <c r="I12" s="37">
        <v>27.0</v>
      </c>
      <c r="J12" s="17" t="s">
        <v>38</v>
      </c>
      <c r="K12" s="37">
        <v>-31.48504</v>
      </c>
      <c r="L12" s="36">
        <v>-68.53979</v>
      </c>
    </row>
    <row r="13">
      <c r="B13" s="17" t="s">
        <v>20</v>
      </c>
      <c r="C13" s="37">
        <v>822.0</v>
      </c>
      <c r="D13" s="17" t="s">
        <v>35</v>
      </c>
      <c r="E13" s="17" t="s">
        <v>39</v>
      </c>
      <c r="F13" s="37">
        <v>3.0</v>
      </c>
      <c r="G13" s="17" t="s">
        <v>40</v>
      </c>
      <c r="H13" s="17" t="s">
        <v>41</v>
      </c>
      <c r="I13" s="37">
        <v>17.0</v>
      </c>
      <c r="J13" s="17" t="s">
        <v>42</v>
      </c>
      <c r="K13" s="37">
        <v>-31.48342</v>
      </c>
      <c r="L13" s="36">
        <v>-68.54042</v>
      </c>
    </row>
    <row r="14">
      <c r="B14" s="17" t="s">
        <v>20</v>
      </c>
      <c r="C14" s="37">
        <v>822.0</v>
      </c>
      <c r="D14" s="17" t="s">
        <v>43</v>
      </c>
      <c r="E14" s="17" t="s">
        <v>44</v>
      </c>
      <c r="F14" s="37">
        <v>3.0</v>
      </c>
      <c r="G14" s="37">
        <v>32.0</v>
      </c>
      <c r="H14" s="17" t="s">
        <v>45</v>
      </c>
      <c r="I14" s="37">
        <v>24.0</v>
      </c>
      <c r="J14" s="17" t="s">
        <v>46</v>
      </c>
      <c r="K14" s="37">
        <v>-31.508439</v>
      </c>
      <c r="L14" s="36">
        <v>-68.521966</v>
      </c>
    </row>
    <row r="15">
      <c r="B15" s="17" t="s">
        <v>20</v>
      </c>
      <c r="C15" s="37">
        <v>822.0</v>
      </c>
      <c r="D15" s="17" t="s">
        <v>35</v>
      </c>
      <c r="E15" s="17" t="s">
        <v>47</v>
      </c>
      <c r="F15" s="37">
        <v>3.0</v>
      </c>
      <c r="G15" s="37">
        <v>33.0</v>
      </c>
      <c r="H15" s="17" t="s">
        <v>48</v>
      </c>
      <c r="I15" s="37">
        <v>23.0</v>
      </c>
      <c r="J15" s="17" t="s">
        <v>49</v>
      </c>
      <c r="K15" s="37">
        <v>-31.507971</v>
      </c>
      <c r="L15" s="36">
        <v>-68.521942</v>
      </c>
    </row>
    <row r="16">
      <c r="B16" s="17" t="s">
        <v>20</v>
      </c>
      <c r="C16" s="37">
        <v>822.0</v>
      </c>
      <c r="D16" s="17" t="s">
        <v>50</v>
      </c>
      <c r="E16" s="17" t="s">
        <v>51</v>
      </c>
      <c r="F16" s="37">
        <v>3.0</v>
      </c>
      <c r="G16" s="37">
        <v>34.0</v>
      </c>
      <c r="H16" s="17" t="s">
        <v>52</v>
      </c>
      <c r="I16" s="37">
        <v>14.0</v>
      </c>
      <c r="J16" s="17" t="s">
        <v>53</v>
      </c>
      <c r="K16" s="37">
        <v>-31.506207</v>
      </c>
      <c r="L16" s="36">
        <v>-68.522438</v>
      </c>
    </row>
    <row r="17">
      <c r="B17" s="17" t="s">
        <v>20</v>
      </c>
      <c r="C17" s="37">
        <v>822.0</v>
      </c>
      <c r="D17" s="17" t="s">
        <v>50</v>
      </c>
      <c r="E17" s="17" t="s">
        <v>54</v>
      </c>
      <c r="F17" s="37">
        <v>3.0</v>
      </c>
      <c r="G17" s="37">
        <v>35.0</v>
      </c>
      <c r="H17" s="17" t="s">
        <v>55</v>
      </c>
      <c r="I17" s="37">
        <v>15.0</v>
      </c>
      <c r="J17" s="17" t="s">
        <v>56</v>
      </c>
      <c r="K17" s="37">
        <v>-31.505989</v>
      </c>
      <c r="L17" s="36">
        <v>-68.522346</v>
      </c>
    </row>
    <row r="18">
      <c r="B18" s="17" t="s">
        <v>20</v>
      </c>
      <c r="C18" s="37">
        <v>822.0</v>
      </c>
      <c r="D18" s="17" t="s">
        <v>57</v>
      </c>
      <c r="E18" s="17" t="s">
        <v>58</v>
      </c>
      <c r="F18" s="37">
        <v>3.0</v>
      </c>
      <c r="G18" s="37">
        <v>36.0</v>
      </c>
      <c r="H18" s="17" t="s">
        <v>59</v>
      </c>
      <c r="I18" s="37">
        <v>25.0</v>
      </c>
      <c r="J18" s="17" t="s">
        <v>60</v>
      </c>
      <c r="K18" s="37">
        <v>-31.505651</v>
      </c>
      <c r="L18" s="36">
        <v>-68.520742</v>
      </c>
    </row>
    <row r="19">
      <c r="B19" s="17" t="s">
        <v>20</v>
      </c>
      <c r="C19" s="37">
        <v>822.0</v>
      </c>
      <c r="D19" s="17" t="s">
        <v>25</v>
      </c>
      <c r="E19" s="17" t="s">
        <v>61</v>
      </c>
      <c r="F19" s="37">
        <v>3.0</v>
      </c>
      <c r="G19" s="37">
        <v>81.0</v>
      </c>
      <c r="H19" s="17" t="s">
        <v>62</v>
      </c>
      <c r="I19" s="37">
        <v>22.0</v>
      </c>
      <c r="J19" s="17" t="s">
        <v>63</v>
      </c>
      <c r="K19" s="37">
        <v>-31.481771</v>
      </c>
      <c r="L19" s="36">
        <v>-68.529848</v>
      </c>
    </row>
    <row r="20">
      <c r="B20" s="17" t="s">
        <v>20</v>
      </c>
      <c r="C20" s="37">
        <v>822.0</v>
      </c>
      <c r="D20" s="17" t="s">
        <v>64</v>
      </c>
      <c r="E20" s="17" t="s">
        <v>65</v>
      </c>
      <c r="F20" s="37">
        <v>3.0</v>
      </c>
      <c r="G20" s="37" t="s">
        <v>66</v>
      </c>
      <c r="H20" s="17" t="s">
        <v>67</v>
      </c>
      <c r="I20" s="37">
        <v>22.0</v>
      </c>
      <c r="J20" s="17" t="s">
        <v>68</v>
      </c>
      <c r="K20" s="37">
        <v>-31.48026</v>
      </c>
      <c r="L20" s="36">
        <v>-68.52915</v>
      </c>
    </row>
    <row r="21">
      <c r="B21" s="17" t="s">
        <v>20</v>
      </c>
      <c r="C21" s="37">
        <v>822.0</v>
      </c>
      <c r="D21" s="17" t="s">
        <v>21</v>
      </c>
      <c r="E21" s="17" t="s">
        <v>69</v>
      </c>
      <c r="F21" s="37">
        <v>3.0</v>
      </c>
      <c r="G21" s="37" t="s">
        <v>70</v>
      </c>
      <c r="H21" s="17" t="s">
        <v>71</v>
      </c>
      <c r="I21" s="37">
        <v>13.0</v>
      </c>
      <c r="J21" s="17" t="s">
        <v>72</v>
      </c>
      <c r="K21" s="37">
        <v>-31.47814</v>
      </c>
      <c r="L21" s="36">
        <v>-68.52737</v>
      </c>
    </row>
    <row r="22">
      <c r="B22" s="17" t="s">
        <v>20</v>
      </c>
      <c r="C22" s="37">
        <v>822.0</v>
      </c>
      <c r="D22" s="17" t="s">
        <v>21</v>
      </c>
      <c r="E22" s="17" t="s">
        <v>73</v>
      </c>
      <c r="F22" s="37">
        <v>3.0</v>
      </c>
      <c r="G22" s="37" t="s">
        <v>74</v>
      </c>
      <c r="H22" s="17" t="s">
        <v>75</v>
      </c>
      <c r="I22" s="37">
        <v>21.0</v>
      </c>
      <c r="J22" s="17" t="s">
        <v>76</v>
      </c>
      <c r="K22" s="37">
        <v>-31.47727</v>
      </c>
      <c r="L22" s="36">
        <v>-68.52751</v>
      </c>
    </row>
    <row r="23">
      <c r="B23" s="17" t="s">
        <v>20</v>
      </c>
      <c r="C23" s="37">
        <v>822.0</v>
      </c>
      <c r="D23" s="17" t="s">
        <v>21</v>
      </c>
      <c r="E23" s="17" t="s">
        <v>77</v>
      </c>
      <c r="F23" s="37">
        <v>3.0</v>
      </c>
      <c r="G23" s="17" t="s">
        <v>78</v>
      </c>
      <c r="H23" s="17" t="s">
        <v>79</v>
      </c>
      <c r="I23" s="37">
        <v>19.0</v>
      </c>
      <c r="J23" s="17" t="s">
        <v>80</v>
      </c>
      <c r="K23" s="37">
        <v>-31.47632</v>
      </c>
      <c r="L23" s="36">
        <v>-68.52738</v>
      </c>
    </row>
    <row r="24">
      <c r="B24" s="17" t="s">
        <v>20</v>
      </c>
      <c r="C24" s="37">
        <v>822.0</v>
      </c>
      <c r="D24" s="17" t="s">
        <v>81</v>
      </c>
      <c r="E24" s="17" t="s">
        <v>82</v>
      </c>
      <c r="F24" s="37">
        <v>3.0</v>
      </c>
      <c r="G24" s="37" t="s">
        <v>83</v>
      </c>
      <c r="H24" s="17" t="s">
        <v>84</v>
      </c>
      <c r="I24" s="37">
        <v>20.0</v>
      </c>
      <c r="J24" s="17" t="s">
        <v>85</v>
      </c>
      <c r="K24" s="37">
        <v>-31.47561</v>
      </c>
      <c r="L24" s="36">
        <v>-68.52534</v>
      </c>
    </row>
    <row r="25">
      <c r="B25" s="17" t="s">
        <v>20</v>
      </c>
      <c r="C25" s="37">
        <v>822.0</v>
      </c>
      <c r="D25" s="17" t="s">
        <v>21</v>
      </c>
      <c r="E25" s="17" t="s">
        <v>86</v>
      </c>
      <c r="F25" s="37">
        <v>3.0</v>
      </c>
      <c r="G25" s="37" t="s">
        <v>87</v>
      </c>
      <c r="H25" s="17" t="s">
        <v>88</v>
      </c>
      <c r="I25" s="37">
        <v>23.0</v>
      </c>
      <c r="J25" s="17" t="s">
        <v>89</v>
      </c>
      <c r="K25" s="37">
        <v>-31.47458</v>
      </c>
      <c r="L25" s="36">
        <v>-68.5224</v>
      </c>
    </row>
    <row r="26">
      <c r="B26" s="17" t="s">
        <v>20</v>
      </c>
      <c r="C26" s="37">
        <v>822.0</v>
      </c>
      <c r="D26" s="17" t="s">
        <v>25</v>
      </c>
      <c r="E26" s="17" t="s">
        <v>90</v>
      </c>
      <c r="F26" s="37">
        <v>3.0</v>
      </c>
      <c r="G26" s="37" t="s">
        <v>91</v>
      </c>
      <c r="H26" s="17" t="s">
        <v>92</v>
      </c>
      <c r="I26" s="37">
        <v>17.0</v>
      </c>
      <c r="J26" s="17" t="s">
        <v>93</v>
      </c>
      <c r="K26" s="37">
        <v>-31.47877</v>
      </c>
      <c r="L26" s="36">
        <v>-68.52166</v>
      </c>
    </row>
    <row r="27">
      <c r="B27" s="17" t="s">
        <v>20</v>
      </c>
      <c r="C27" s="37">
        <v>822.0</v>
      </c>
      <c r="D27" s="17" t="s">
        <v>25</v>
      </c>
      <c r="E27" s="17" t="s">
        <v>94</v>
      </c>
      <c r="F27" s="37">
        <v>3.0</v>
      </c>
      <c r="G27" s="17" t="s">
        <v>95</v>
      </c>
      <c r="H27" s="17" t="s">
        <v>96</v>
      </c>
      <c r="I27" s="37">
        <v>22.0</v>
      </c>
      <c r="J27" s="17" t="s">
        <v>97</v>
      </c>
      <c r="K27" s="37">
        <v>-31.47984</v>
      </c>
      <c r="L27" s="36">
        <v>-68.52478</v>
      </c>
    </row>
    <row r="28">
      <c r="B28" s="17" t="s">
        <v>20</v>
      </c>
      <c r="C28" s="37">
        <v>822.0</v>
      </c>
      <c r="D28" s="17" t="s">
        <v>25</v>
      </c>
      <c r="E28" s="17" t="s">
        <v>98</v>
      </c>
      <c r="F28" s="37">
        <v>3.0</v>
      </c>
      <c r="G28" s="17" t="s">
        <v>99</v>
      </c>
      <c r="H28" s="17" t="s">
        <v>100</v>
      </c>
      <c r="I28" s="37">
        <v>13.0</v>
      </c>
      <c r="J28" s="17" t="s">
        <v>101</v>
      </c>
      <c r="K28" s="37">
        <v>-31.48062</v>
      </c>
      <c r="L28" s="36">
        <v>-68.52704</v>
      </c>
    </row>
    <row r="29">
      <c r="B29" s="17" t="s">
        <v>20</v>
      </c>
      <c r="C29" s="37">
        <v>826.0</v>
      </c>
      <c r="D29" s="17" t="s">
        <v>102</v>
      </c>
      <c r="E29" s="17" t="s">
        <v>103</v>
      </c>
      <c r="F29" s="37">
        <v>3.0</v>
      </c>
      <c r="G29" s="17">
        <v>100.0</v>
      </c>
      <c r="H29" s="17" t="s">
        <v>104</v>
      </c>
      <c r="I29" s="37">
        <v>29.0</v>
      </c>
      <c r="J29" s="17" t="s">
        <v>105</v>
      </c>
      <c r="K29" s="37">
        <v>-31.493626</v>
      </c>
      <c r="L29" s="36">
        <v>-68.532042</v>
      </c>
    </row>
    <row r="30">
      <c r="B30" s="17" t="s">
        <v>20</v>
      </c>
      <c r="C30" s="37">
        <v>826.0</v>
      </c>
      <c r="D30" s="17" t="s">
        <v>106</v>
      </c>
      <c r="E30" s="17" t="s">
        <v>107</v>
      </c>
      <c r="F30" s="37">
        <v>3.0</v>
      </c>
      <c r="G30" s="37">
        <v>50.0</v>
      </c>
      <c r="H30" s="17" t="s">
        <v>108</v>
      </c>
      <c r="I30" s="37">
        <v>19.0</v>
      </c>
      <c r="J30" s="17" t="s">
        <v>109</v>
      </c>
      <c r="K30" s="37">
        <v>-31.497292</v>
      </c>
      <c r="L30" s="36">
        <v>-68.523124</v>
      </c>
    </row>
    <row r="31">
      <c r="B31" s="17" t="s">
        <v>20</v>
      </c>
      <c r="C31" s="37">
        <v>826.0</v>
      </c>
      <c r="D31" s="17" t="s">
        <v>106</v>
      </c>
      <c r="E31" s="17" t="s">
        <v>110</v>
      </c>
      <c r="F31" s="37">
        <v>3.0</v>
      </c>
      <c r="G31" s="37">
        <v>52.0</v>
      </c>
      <c r="H31" s="17" t="s">
        <v>111</v>
      </c>
      <c r="I31" s="37">
        <v>19.0</v>
      </c>
      <c r="J31" s="17" t="s">
        <v>112</v>
      </c>
      <c r="K31" s="37">
        <v>-31.497377</v>
      </c>
      <c r="L31" s="36">
        <v>-68.520551</v>
      </c>
    </row>
    <row r="32">
      <c r="B32" s="17" t="s">
        <v>20</v>
      </c>
      <c r="C32" s="37">
        <v>826.0</v>
      </c>
      <c r="D32" s="17" t="s">
        <v>106</v>
      </c>
      <c r="E32" s="17" t="s">
        <v>113</v>
      </c>
      <c r="F32" s="37">
        <v>3.0</v>
      </c>
      <c r="G32" s="37" t="s">
        <v>114</v>
      </c>
      <c r="H32" s="17" t="s">
        <v>115</v>
      </c>
      <c r="I32" s="37">
        <v>16.0</v>
      </c>
      <c r="J32" s="17" t="s">
        <v>116</v>
      </c>
      <c r="K32" s="37">
        <v>-31.49749</v>
      </c>
      <c r="L32" s="36">
        <v>-68.51864</v>
      </c>
    </row>
    <row r="33">
      <c r="B33" s="17" t="s">
        <v>20</v>
      </c>
      <c r="C33" s="37">
        <v>826.0</v>
      </c>
      <c r="D33" s="17" t="s">
        <v>106</v>
      </c>
      <c r="E33" s="17" t="s">
        <v>117</v>
      </c>
      <c r="F33" s="37">
        <v>3.0</v>
      </c>
      <c r="G33" s="37" t="s">
        <v>118</v>
      </c>
      <c r="H33" s="17" t="s">
        <v>119</v>
      </c>
      <c r="I33" s="37">
        <v>16.0</v>
      </c>
      <c r="J33" s="17" t="s">
        <v>120</v>
      </c>
      <c r="K33" s="37">
        <v>-31.49747</v>
      </c>
      <c r="L33" s="36">
        <v>-68.51779</v>
      </c>
    </row>
    <row r="34">
      <c r="B34" s="17" t="s">
        <v>20</v>
      </c>
      <c r="C34" s="37">
        <v>826.0</v>
      </c>
      <c r="D34" s="17" t="s">
        <v>121</v>
      </c>
      <c r="E34" s="17" t="s">
        <v>122</v>
      </c>
      <c r="F34" s="37">
        <v>3.0</v>
      </c>
      <c r="G34" s="37">
        <v>53.0</v>
      </c>
      <c r="H34" s="17" t="s">
        <v>123</v>
      </c>
      <c r="I34" s="37">
        <v>13.0</v>
      </c>
      <c r="J34" s="17" t="s">
        <v>124</v>
      </c>
      <c r="K34" s="37">
        <v>-31.497058</v>
      </c>
      <c r="L34" s="36">
        <v>-68.527809</v>
      </c>
    </row>
    <row r="35">
      <c r="B35" s="17" t="s">
        <v>20</v>
      </c>
      <c r="C35" s="37">
        <v>826.0</v>
      </c>
      <c r="D35" s="17" t="s">
        <v>106</v>
      </c>
      <c r="E35" s="17" t="s">
        <v>125</v>
      </c>
      <c r="F35" s="37">
        <v>3.0</v>
      </c>
      <c r="G35" s="37">
        <v>54.0</v>
      </c>
      <c r="H35" s="17" t="s">
        <v>126</v>
      </c>
      <c r="I35" s="37">
        <v>16.0</v>
      </c>
      <c r="J35" s="17" t="s">
        <v>127</v>
      </c>
      <c r="K35" s="37">
        <v>-31.49709</v>
      </c>
      <c r="L35" s="36">
        <v>-68.52748</v>
      </c>
    </row>
    <row r="36">
      <c r="B36" s="17" t="s">
        <v>20</v>
      </c>
      <c r="C36" s="37">
        <v>826.0</v>
      </c>
      <c r="D36" s="17" t="s">
        <v>121</v>
      </c>
      <c r="E36" s="17" t="s">
        <v>128</v>
      </c>
      <c r="F36" s="37">
        <v>3.0</v>
      </c>
      <c r="G36" s="37">
        <v>55.0</v>
      </c>
      <c r="H36" s="17" t="s">
        <v>129</v>
      </c>
      <c r="I36" s="37">
        <v>32.0</v>
      </c>
      <c r="J36" s="17" t="s">
        <v>130</v>
      </c>
      <c r="K36" s="37">
        <v>-31.4953</v>
      </c>
      <c r="L36" s="36">
        <v>-68.527406</v>
      </c>
    </row>
    <row r="37">
      <c r="B37" s="17" t="s">
        <v>20</v>
      </c>
      <c r="C37" s="37">
        <v>826.0</v>
      </c>
      <c r="D37" s="17" t="s">
        <v>121</v>
      </c>
      <c r="E37" s="17" t="s">
        <v>131</v>
      </c>
      <c r="F37" s="37">
        <v>3.0</v>
      </c>
      <c r="G37" s="37">
        <v>56.0</v>
      </c>
      <c r="H37" s="17" t="s">
        <v>132</v>
      </c>
      <c r="I37" s="37">
        <v>22.0</v>
      </c>
      <c r="J37" s="17" t="s">
        <v>133</v>
      </c>
      <c r="K37" s="37">
        <v>-31.495101</v>
      </c>
      <c r="L37" s="36">
        <v>-68.527538</v>
      </c>
    </row>
    <row r="38">
      <c r="B38" s="17" t="s">
        <v>20</v>
      </c>
      <c r="C38" s="37">
        <v>826.0</v>
      </c>
      <c r="D38" s="17" t="s">
        <v>121</v>
      </c>
      <c r="E38" s="17" t="s">
        <v>134</v>
      </c>
      <c r="F38" s="37">
        <v>3.0</v>
      </c>
      <c r="G38" s="37">
        <v>57.0</v>
      </c>
      <c r="H38" s="17" t="s">
        <v>135</v>
      </c>
      <c r="I38" s="37">
        <v>20.0</v>
      </c>
      <c r="J38" s="17" t="s">
        <v>136</v>
      </c>
      <c r="K38" s="37">
        <v>-31.493813</v>
      </c>
      <c r="L38" s="36">
        <v>-68.527281</v>
      </c>
    </row>
    <row r="39">
      <c r="B39" s="17" t="s">
        <v>20</v>
      </c>
      <c r="C39" s="37">
        <v>826.0</v>
      </c>
      <c r="D39" s="17" t="s">
        <v>121</v>
      </c>
      <c r="E39" s="17" t="s">
        <v>137</v>
      </c>
      <c r="F39" s="37">
        <v>3.0</v>
      </c>
      <c r="G39" s="37">
        <v>58.0</v>
      </c>
      <c r="H39" s="17" t="s">
        <v>138</v>
      </c>
      <c r="I39" s="37">
        <v>29.0</v>
      </c>
      <c r="J39" s="17" t="s">
        <v>139</v>
      </c>
      <c r="K39" s="37">
        <v>-31.493389</v>
      </c>
      <c r="L39" s="36">
        <v>-68.527056</v>
      </c>
    </row>
    <row r="40">
      <c r="B40" s="17" t="s">
        <v>20</v>
      </c>
      <c r="C40" s="37">
        <v>826.0</v>
      </c>
      <c r="D40" s="17" t="s">
        <v>140</v>
      </c>
      <c r="E40" s="17" t="s">
        <v>141</v>
      </c>
      <c r="F40" s="37">
        <v>3.0</v>
      </c>
      <c r="G40" s="37">
        <v>59.0</v>
      </c>
      <c r="H40" s="17" t="s">
        <v>142</v>
      </c>
      <c r="I40" s="37">
        <v>23.0</v>
      </c>
      <c r="J40" s="17" t="s">
        <v>143</v>
      </c>
      <c r="K40" s="37">
        <v>-31.492432</v>
      </c>
      <c r="L40" s="36">
        <v>-68.527126</v>
      </c>
    </row>
    <row r="41">
      <c r="B41" s="17" t="s">
        <v>20</v>
      </c>
      <c r="C41" s="37">
        <v>826.0</v>
      </c>
      <c r="D41" s="17" t="s">
        <v>121</v>
      </c>
      <c r="E41" s="17" t="s">
        <v>144</v>
      </c>
      <c r="F41" s="37">
        <v>3.0</v>
      </c>
      <c r="G41" s="17">
        <v>60.0</v>
      </c>
      <c r="H41" s="17" t="s">
        <v>145</v>
      </c>
      <c r="I41" s="37">
        <v>19.0</v>
      </c>
      <c r="J41" s="17" t="s">
        <v>146</v>
      </c>
      <c r="K41" s="37">
        <v>-31.492406</v>
      </c>
      <c r="L41" s="36">
        <v>-68.52697</v>
      </c>
    </row>
    <row r="42">
      <c r="B42" s="17" t="s">
        <v>20</v>
      </c>
      <c r="C42" s="37">
        <v>826.0</v>
      </c>
      <c r="D42" s="17" t="s">
        <v>140</v>
      </c>
      <c r="E42" s="17" t="s">
        <v>147</v>
      </c>
      <c r="F42" s="37">
        <v>3.0</v>
      </c>
      <c r="G42" s="17">
        <v>61.0</v>
      </c>
      <c r="H42" s="17" t="s">
        <v>148</v>
      </c>
      <c r="I42" s="37">
        <v>25.0</v>
      </c>
      <c r="J42" s="17" t="s">
        <v>149</v>
      </c>
      <c r="K42" s="37">
        <v>-31.492285</v>
      </c>
      <c r="L42" s="36">
        <v>-68.526863</v>
      </c>
    </row>
    <row r="43">
      <c r="B43" s="17" t="s">
        <v>20</v>
      </c>
      <c r="C43" s="37">
        <v>826.0</v>
      </c>
      <c r="D43" s="17" t="s">
        <v>140</v>
      </c>
      <c r="E43" s="17" t="s">
        <v>150</v>
      </c>
      <c r="F43" s="37">
        <v>3.0</v>
      </c>
      <c r="G43" s="37">
        <v>62.0</v>
      </c>
      <c r="H43" s="17" t="s">
        <v>151</v>
      </c>
      <c r="I43" s="37">
        <v>21.0</v>
      </c>
      <c r="J43" s="17" t="s">
        <v>152</v>
      </c>
      <c r="K43" s="37">
        <v>-31.491829</v>
      </c>
      <c r="L43" s="36">
        <v>-68.523653</v>
      </c>
    </row>
    <row r="44">
      <c r="B44" s="17" t="s">
        <v>20</v>
      </c>
      <c r="C44" s="37">
        <v>826.0</v>
      </c>
      <c r="D44" s="17" t="s">
        <v>153</v>
      </c>
      <c r="E44" s="17" t="s">
        <v>154</v>
      </c>
      <c r="F44" s="37">
        <v>3.0</v>
      </c>
      <c r="G44" s="37">
        <v>63.0</v>
      </c>
      <c r="H44" s="17" t="s">
        <v>155</v>
      </c>
      <c r="I44" s="37">
        <v>20.0</v>
      </c>
      <c r="J44" s="17" t="s">
        <v>156</v>
      </c>
      <c r="K44" s="37">
        <v>-31.491858</v>
      </c>
      <c r="L44" s="36">
        <v>-68.523485</v>
      </c>
    </row>
    <row r="45">
      <c r="B45" s="17" t="s">
        <v>20</v>
      </c>
      <c r="C45" s="37">
        <v>826.0</v>
      </c>
      <c r="D45" s="17" t="s">
        <v>153</v>
      </c>
      <c r="E45" s="17" t="s">
        <v>157</v>
      </c>
      <c r="F45" s="37">
        <v>3.0</v>
      </c>
      <c r="G45" s="37">
        <v>64.0</v>
      </c>
      <c r="H45" s="17" t="s">
        <v>158</v>
      </c>
      <c r="I45" s="37">
        <v>25.0</v>
      </c>
      <c r="J45" s="17" t="s">
        <v>159</v>
      </c>
      <c r="K45" s="37">
        <v>-31.495888</v>
      </c>
      <c r="L45" s="36">
        <v>-68.523263</v>
      </c>
    </row>
    <row r="46">
      <c r="B46" s="17" t="s">
        <v>20</v>
      </c>
      <c r="C46" s="37">
        <v>826.0</v>
      </c>
      <c r="D46" s="39" t="s">
        <v>153</v>
      </c>
      <c r="E46" s="17" t="s">
        <v>160</v>
      </c>
      <c r="F46" s="37">
        <v>3.0</v>
      </c>
      <c r="G46" s="37">
        <v>65.0</v>
      </c>
      <c r="H46" s="17" t="s">
        <v>161</v>
      </c>
      <c r="I46" s="37">
        <v>25.0</v>
      </c>
      <c r="J46" s="17" t="s">
        <v>162</v>
      </c>
      <c r="K46" s="37">
        <v>-31.495561</v>
      </c>
      <c r="L46" s="36">
        <v>-68.523156</v>
      </c>
    </row>
    <row r="47">
      <c r="B47" s="17" t="s">
        <v>20</v>
      </c>
      <c r="C47" s="37">
        <v>826.0</v>
      </c>
      <c r="D47" s="17" t="s">
        <v>140</v>
      </c>
      <c r="E47" s="17" t="s">
        <v>163</v>
      </c>
      <c r="F47" s="37">
        <v>3.0</v>
      </c>
      <c r="G47" s="37">
        <v>66.0</v>
      </c>
      <c r="H47" s="17" t="s">
        <v>164</v>
      </c>
      <c r="I47" s="37">
        <v>23.0</v>
      </c>
      <c r="J47" s="17" t="s">
        <v>165</v>
      </c>
      <c r="K47" s="37">
        <v>-31.492425</v>
      </c>
      <c r="L47" s="36">
        <v>-68.529264</v>
      </c>
    </row>
    <row r="48">
      <c r="B48" s="17" t="s">
        <v>20</v>
      </c>
      <c r="C48" s="37">
        <v>826.0</v>
      </c>
      <c r="D48" s="17" t="s">
        <v>140</v>
      </c>
      <c r="E48" s="17" t="s">
        <v>166</v>
      </c>
      <c r="F48" s="37">
        <v>3.0</v>
      </c>
      <c r="G48" s="37">
        <v>67.0</v>
      </c>
      <c r="H48" s="17" t="s">
        <v>167</v>
      </c>
      <c r="I48" s="37">
        <v>25.0</v>
      </c>
      <c r="J48" s="17" t="s">
        <v>168</v>
      </c>
      <c r="K48" s="37">
        <v>-31.492536</v>
      </c>
      <c r="L48" s="36">
        <v>-68.529342</v>
      </c>
    </row>
    <row r="49">
      <c r="B49" s="17" t="s">
        <v>20</v>
      </c>
      <c r="C49" s="37">
        <v>826.0</v>
      </c>
      <c r="D49" s="17" t="s">
        <v>140</v>
      </c>
      <c r="E49" s="17" t="s">
        <v>169</v>
      </c>
      <c r="F49" s="37">
        <v>3.0</v>
      </c>
      <c r="G49" s="37">
        <v>68.0</v>
      </c>
      <c r="H49" s="17" t="s">
        <v>170</v>
      </c>
      <c r="I49" s="37">
        <v>25.0</v>
      </c>
      <c r="J49" s="17" t="s">
        <v>171</v>
      </c>
      <c r="K49" s="37">
        <v>-31.489007</v>
      </c>
      <c r="L49" s="36">
        <v>-68.532004</v>
      </c>
    </row>
    <row r="50">
      <c r="B50" s="17" t="s">
        <v>20</v>
      </c>
      <c r="C50" s="37">
        <v>826.0</v>
      </c>
      <c r="D50" s="17" t="s">
        <v>140</v>
      </c>
      <c r="E50" s="17" t="s">
        <v>172</v>
      </c>
      <c r="F50" s="37">
        <v>3.0</v>
      </c>
      <c r="G50" s="37" t="s">
        <v>173</v>
      </c>
      <c r="H50" s="17" t="s">
        <v>174</v>
      </c>
      <c r="I50" s="37">
        <v>23.0</v>
      </c>
      <c r="J50" s="17" t="s">
        <v>175</v>
      </c>
      <c r="K50" s="37">
        <v>-31.49283</v>
      </c>
      <c r="L50" s="36">
        <v>-68.53199</v>
      </c>
    </row>
    <row r="51">
      <c r="B51" s="17" t="s">
        <v>20</v>
      </c>
      <c r="C51" s="37">
        <v>826.0</v>
      </c>
      <c r="D51" s="17" t="s">
        <v>176</v>
      </c>
      <c r="E51" s="17" t="s">
        <v>177</v>
      </c>
      <c r="F51" s="37">
        <v>3.0</v>
      </c>
      <c r="G51" s="37">
        <v>71.0</v>
      </c>
      <c r="H51" s="17" t="s">
        <v>178</v>
      </c>
      <c r="I51" s="37">
        <v>27.0</v>
      </c>
      <c r="J51" s="17" t="s">
        <v>179</v>
      </c>
      <c r="K51" s="37">
        <v>-31.48851</v>
      </c>
      <c r="L51" s="36">
        <v>-68.53131</v>
      </c>
    </row>
    <row r="52">
      <c r="B52" s="17" t="s">
        <v>20</v>
      </c>
      <c r="C52" s="37">
        <v>826.0</v>
      </c>
      <c r="D52" s="17" t="s">
        <v>176</v>
      </c>
      <c r="E52" s="17" t="s">
        <v>180</v>
      </c>
      <c r="F52" s="37">
        <v>3.0</v>
      </c>
      <c r="G52" s="37">
        <v>72.0</v>
      </c>
      <c r="H52" s="17" t="s">
        <v>181</v>
      </c>
      <c r="I52" s="37">
        <v>25.0</v>
      </c>
      <c r="J52" s="17" t="s">
        <v>182</v>
      </c>
      <c r="K52" s="37">
        <v>-31.488457</v>
      </c>
      <c r="L52" s="36">
        <v>-68.530821</v>
      </c>
    </row>
    <row r="53">
      <c r="B53" s="17" t="s">
        <v>20</v>
      </c>
      <c r="C53" s="37">
        <v>826.0</v>
      </c>
      <c r="D53" s="17" t="s">
        <v>176</v>
      </c>
      <c r="E53" s="17" t="s">
        <v>183</v>
      </c>
      <c r="F53" s="37">
        <v>3.0</v>
      </c>
      <c r="G53" s="17">
        <v>73.0</v>
      </c>
      <c r="H53" s="17" t="s">
        <v>184</v>
      </c>
      <c r="I53" s="37">
        <v>31.0</v>
      </c>
      <c r="J53" s="17" t="s">
        <v>185</v>
      </c>
      <c r="K53" s="37">
        <v>-31.487741</v>
      </c>
      <c r="L53" s="36">
        <v>-68.52862</v>
      </c>
    </row>
    <row r="54">
      <c r="B54" s="17" t="s">
        <v>20</v>
      </c>
      <c r="C54" s="37">
        <v>826.0</v>
      </c>
      <c r="D54" s="17" t="s">
        <v>176</v>
      </c>
      <c r="E54" s="17" t="s">
        <v>186</v>
      </c>
      <c r="F54" s="37">
        <v>3.0</v>
      </c>
      <c r="G54" s="37">
        <v>74.0</v>
      </c>
      <c r="H54" s="17" t="s">
        <v>187</v>
      </c>
      <c r="I54" s="37">
        <v>26.0</v>
      </c>
      <c r="J54" s="17" t="s">
        <v>188</v>
      </c>
      <c r="K54" s="37">
        <v>-31.487819</v>
      </c>
      <c r="L54" s="36">
        <v>-68.527433</v>
      </c>
    </row>
    <row r="55">
      <c r="B55" s="17" t="s">
        <v>20</v>
      </c>
      <c r="C55" s="37">
        <v>826.0</v>
      </c>
      <c r="D55" s="17" t="s">
        <v>189</v>
      </c>
      <c r="E55" s="17" t="s">
        <v>190</v>
      </c>
      <c r="F55" s="37">
        <v>3.0</v>
      </c>
      <c r="G55" s="37">
        <v>75.0</v>
      </c>
      <c r="H55" s="17" t="s">
        <v>191</v>
      </c>
      <c r="I55" s="37">
        <v>23.0</v>
      </c>
      <c r="J55" s="17" t="s">
        <v>192</v>
      </c>
      <c r="K55" s="37">
        <v>-31.487395</v>
      </c>
      <c r="L55" s="36">
        <v>-68.526743</v>
      </c>
    </row>
    <row r="56">
      <c r="B56" s="17" t="s">
        <v>20</v>
      </c>
      <c r="C56" s="37">
        <v>826.0</v>
      </c>
      <c r="D56" s="17" t="s">
        <v>189</v>
      </c>
      <c r="E56" s="17" t="s">
        <v>193</v>
      </c>
      <c r="F56" s="37">
        <v>3.0</v>
      </c>
      <c r="G56" s="37">
        <v>76.0</v>
      </c>
      <c r="H56" s="17" t="s">
        <v>194</v>
      </c>
      <c r="I56" s="37">
        <v>20.0</v>
      </c>
      <c r="J56" s="17" t="s">
        <v>195</v>
      </c>
      <c r="K56" s="37">
        <v>-31.486623</v>
      </c>
      <c r="L56" s="36">
        <v>-68.526675</v>
      </c>
    </row>
    <row r="57">
      <c r="B57" s="17" t="s">
        <v>20</v>
      </c>
      <c r="C57" s="37">
        <v>826.0</v>
      </c>
      <c r="D57" s="17" t="s">
        <v>189</v>
      </c>
      <c r="E57" s="17" t="s">
        <v>196</v>
      </c>
      <c r="F57" s="37">
        <v>3.0</v>
      </c>
      <c r="G57" s="37">
        <v>77.0</v>
      </c>
      <c r="H57" s="17" t="s">
        <v>197</v>
      </c>
      <c r="I57" s="37">
        <v>20.0</v>
      </c>
      <c r="J57" s="17" t="s">
        <v>198</v>
      </c>
      <c r="K57" s="37">
        <v>-31.485378</v>
      </c>
      <c r="L57" s="36">
        <v>-68.526832</v>
      </c>
    </row>
    <row r="58">
      <c r="B58" s="17" t="s">
        <v>20</v>
      </c>
      <c r="C58" s="37">
        <v>826.0</v>
      </c>
      <c r="D58" s="17" t="s">
        <v>189</v>
      </c>
      <c r="E58" s="17" t="s">
        <v>199</v>
      </c>
      <c r="F58" s="37">
        <v>3.0</v>
      </c>
      <c r="G58" s="37">
        <v>78.0</v>
      </c>
      <c r="H58" s="17" t="s">
        <v>200</v>
      </c>
      <c r="I58" s="37">
        <v>20.0</v>
      </c>
      <c r="J58" s="17" t="s">
        <v>201</v>
      </c>
      <c r="K58" s="37">
        <v>-31.484793</v>
      </c>
      <c r="L58" s="36">
        <v>-68.526898</v>
      </c>
    </row>
    <row r="59">
      <c r="B59" s="17" t="s">
        <v>20</v>
      </c>
      <c r="C59" s="37">
        <v>826.0</v>
      </c>
      <c r="D59" s="17" t="s">
        <v>189</v>
      </c>
      <c r="E59" s="17" t="s">
        <v>202</v>
      </c>
      <c r="F59" s="37">
        <v>3.0</v>
      </c>
      <c r="G59" s="37">
        <v>79.0</v>
      </c>
      <c r="H59" s="17" t="s">
        <v>203</v>
      </c>
      <c r="I59" s="37">
        <v>28.0</v>
      </c>
      <c r="J59" s="17" t="s">
        <v>204</v>
      </c>
      <c r="K59" s="37">
        <v>-31.48154</v>
      </c>
      <c r="L59" s="36">
        <v>-68.52723</v>
      </c>
    </row>
    <row r="60">
      <c r="B60" s="17" t="s">
        <v>20</v>
      </c>
      <c r="C60" s="37">
        <v>826.0</v>
      </c>
      <c r="D60" s="17">
        <v>44474.0</v>
      </c>
      <c r="E60" s="17" t="s">
        <v>205</v>
      </c>
      <c r="F60" s="37">
        <v>3.0</v>
      </c>
      <c r="G60" s="37">
        <v>80.0</v>
      </c>
      <c r="H60" s="17" t="s">
        <v>206</v>
      </c>
      <c r="I60" s="37">
        <v>22.0</v>
      </c>
      <c r="J60" s="17" t="s">
        <v>207</v>
      </c>
      <c r="K60" s="37">
        <v>-31.481484</v>
      </c>
      <c r="L60" s="36">
        <v>-68.527415</v>
      </c>
    </row>
    <row r="61">
      <c r="B61" s="17" t="s">
        <v>20</v>
      </c>
      <c r="C61" s="37">
        <v>826.0</v>
      </c>
      <c r="D61" s="17">
        <v>44474.0</v>
      </c>
      <c r="E61" s="17" t="s">
        <v>208</v>
      </c>
      <c r="F61" s="37">
        <v>3.0</v>
      </c>
      <c r="G61" s="37" t="s">
        <v>209</v>
      </c>
      <c r="H61" s="17" t="s">
        <v>210</v>
      </c>
      <c r="I61" s="37">
        <v>25.0</v>
      </c>
      <c r="J61" s="17" t="s">
        <v>211</v>
      </c>
      <c r="K61" s="37">
        <v>-31.48125</v>
      </c>
      <c r="L61" s="36">
        <v>-68.52827</v>
      </c>
    </row>
    <row r="62">
      <c r="B62" s="17" t="s">
        <v>20</v>
      </c>
      <c r="C62" s="37">
        <v>826.0</v>
      </c>
      <c r="D62" s="17" t="s">
        <v>102</v>
      </c>
      <c r="E62" s="17" t="s">
        <v>212</v>
      </c>
      <c r="F62" s="37">
        <v>3.0</v>
      </c>
      <c r="G62" s="37">
        <v>99.0</v>
      </c>
      <c r="H62" s="17" t="s">
        <v>213</v>
      </c>
      <c r="I62" s="37">
        <v>26.0</v>
      </c>
      <c r="J62" s="17" t="s">
        <v>214</v>
      </c>
      <c r="K62" s="37">
        <v>-31.50267</v>
      </c>
      <c r="L62" s="36">
        <v>-68.49861</v>
      </c>
    </row>
    <row r="63">
      <c r="B63" s="17" t="s">
        <v>20</v>
      </c>
      <c r="C63" s="37">
        <v>828.0</v>
      </c>
      <c r="D63" s="17" t="s">
        <v>215</v>
      </c>
      <c r="E63" s="17" t="s">
        <v>216</v>
      </c>
      <c r="F63" s="37">
        <v>3.0</v>
      </c>
      <c r="G63" s="37">
        <v>10.0</v>
      </c>
      <c r="H63" s="17" t="s">
        <v>217</v>
      </c>
      <c r="I63" s="37">
        <v>22.0</v>
      </c>
      <c r="J63" s="17" t="s">
        <v>218</v>
      </c>
      <c r="K63" s="37">
        <v>-31.481233</v>
      </c>
      <c r="L63" s="36">
        <v>-68.528329</v>
      </c>
    </row>
    <row r="64">
      <c r="B64" s="17" t="s">
        <v>20</v>
      </c>
      <c r="C64" s="37">
        <v>828.0</v>
      </c>
      <c r="D64" s="17" t="s">
        <v>102</v>
      </c>
      <c r="E64" s="17" t="s">
        <v>219</v>
      </c>
      <c r="F64" s="37">
        <v>3.0</v>
      </c>
      <c r="G64" s="37">
        <v>101.0</v>
      </c>
      <c r="H64" s="17" t="s">
        <v>220</v>
      </c>
      <c r="I64" s="37">
        <v>31.0</v>
      </c>
      <c r="J64" s="17" t="s">
        <v>221</v>
      </c>
      <c r="K64" s="37">
        <v>-31.493427</v>
      </c>
      <c r="L64" s="36">
        <v>-68.532166</v>
      </c>
    </row>
    <row r="65">
      <c r="B65" s="17" t="s">
        <v>20</v>
      </c>
      <c r="C65" s="37">
        <v>828.0</v>
      </c>
      <c r="D65" s="17" t="s">
        <v>102</v>
      </c>
      <c r="E65" s="17" t="s">
        <v>222</v>
      </c>
      <c r="F65" s="37">
        <v>3.0</v>
      </c>
      <c r="G65" s="37" t="s">
        <v>223</v>
      </c>
      <c r="H65" s="17" t="s">
        <v>224</v>
      </c>
      <c r="I65" s="37">
        <v>19.0</v>
      </c>
      <c r="J65" s="17" t="s">
        <v>225</v>
      </c>
      <c r="K65" s="37">
        <v>-31.49249</v>
      </c>
      <c r="L65" s="36">
        <v>-68.53221</v>
      </c>
    </row>
    <row r="66">
      <c r="B66" s="17" t="s">
        <v>20</v>
      </c>
      <c r="C66" s="37">
        <v>828.0</v>
      </c>
      <c r="D66" s="17" t="s">
        <v>140</v>
      </c>
      <c r="E66" s="17" t="s">
        <v>226</v>
      </c>
      <c r="F66" s="37">
        <v>3.0</v>
      </c>
      <c r="G66" s="37" t="s">
        <v>227</v>
      </c>
      <c r="H66" s="17" t="s">
        <v>228</v>
      </c>
      <c r="I66" s="37">
        <v>19.0</v>
      </c>
      <c r="J66" s="17" t="s">
        <v>229</v>
      </c>
      <c r="K66" s="37">
        <v>-31.49259</v>
      </c>
      <c r="L66" s="36">
        <v>-68.53253</v>
      </c>
    </row>
    <row r="67">
      <c r="B67" s="17" t="s">
        <v>20</v>
      </c>
      <c r="C67" s="37">
        <v>828.0</v>
      </c>
      <c r="D67" s="17" t="s">
        <v>140</v>
      </c>
      <c r="E67" s="17" t="s">
        <v>230</v>
      </c>
      <c r="F67" s="37">
        <v>3.0</v>
      </c>
      <c r="G67" s="17">
        <v>102.0</v>
      </c>
      <c r="H67" s="17" t="s">
        <v>231</v>
      </c>
      <c r="I67" s="37">
        <v>20.0</v>
      </c>
      <c r="J67" s="17" t="s">
        <v>232</v>
      </c>
      <c r="K67" s="37">
        <v>-31.492637</v>
      </c>
      <c r="L67" s="36">
        <v>-68.535041</v>
      </c>
    </row>
    <row r="68">
      <c r="B68" s="17" t="s">
        <v>20</v>
      </c>
      <c r="C68" s="37">
        <v>828.0</v>
      </c>
      <c r="D68" s="17" t="s">
        <v>140</v>
      </c>
      <c r="E68" s="17" t="s">
        <v>233</v>
      </c>
      <c r="F68" s="37">
        <v>3.0</v>
      </c>
      <c r="G68" s="37">
        <v>103.0</v>
      </c>
      <c r="H68" s="17" t="s">
        <v>234</v>
      </c>
      <c r="I68" s="37">
        <v>17.0</v>
      </c>
      <c r="J68" s="17" t="s">
        <v>235</v>
      </c>
      <c r="K68" s="37">
        <v>-31.49264</v>
      </c>
      <c r="L68" s="36">
        <v>-68.53811</v>
      </c>
    </row>
    <row r="69">
      <c r="B69" s="17" t="s">
        <v>20</v>
      </c>
      <c r="C69" s="37">
        <v>828.0</v>
      </c>
      <c r="D69" s="17" t="s">
        <v>140</v>
      </c>
      <c r="E69" s="17" t="s">
        <v>236</v>
      </c>
      <c r="F69" s="37">
        <v>3.0</v>
      </c>
      <c r="G69" s="37">
        <v>104.0</v>
      </c>
      <c r="H69" s="17" t="s">
        <v>237</v>
      </c>
      <c r="I69" s="37">
        <v>28.0</v>
      </c>
      <c r="J69" s="17" t="s">
        <v>238</v>
      </c>
      <c r="K69" s="37">
        <v>-31.49274</v>
      </c>
      <c r="L69" s="36">
        <v>-68.54013</v>
      </c>
    </row>
    <row r="70">
      <c r="B70" s="17" t="s">
        <v>20</v>
      </c>
      <c r="C70" s="37">
        <v>828.0</v>
      </c>
      <c r="D70" s="17" t="s">
        <v>215</v>
      </c>
      <c r="E70" s="17" t="s">
        <v>239</v>
      </c>
      <c r="F70" s="37">
        <v>3.0</v>
      </c>
      <c r="G70" s="37">
        <v>11.0</v>
      </c>
      <c r="H70" s="17" t="s">
        <v>240</v>
      </c>
      <c r="I70" s="37">
        <v>18.0</v>
      </c>
      <c r="J70" s="17" t="s">
        <v>241</v>
      </c>
      <c r="K70" s="37">
        <v>-31.49074</v>
      </c>
      <c r="L70" s="36">
        <v>-68.53816</v>
      </c>
    </row>
    <row r="71">
      <c r="B71" s="17" t="s">
        <v>20</v>
      </c>
      <c r="C71" s="37">
        <v>828.0</v>
      </c>
      <c r="D71" s="17" t="s">
        <v>215</v>
      </c>
      <c r="E71" s="17" t="s">
        <v>242</v>
      </c>
      <c r="F71" s="37">
        <v>3.0</v>
      </c>
      <c r="G71" s="37">
        <v>12.0</v>
      </c>
      <c r="H71" s="17" t="s">
        <v>243</v>
      </c>
      <c r="I71" s="37">
        <v>19.0</v>
      </c>
      <c r="J71" s="17" t="s">
        <v>244</v>
      </c>
      <c r="K71" s="37">
        <v>-31.481561</v>
      </c>
      <c r="L71" s="36">
        <v>-68.527324</v>
      </c>
    </row>
    <row r="72">
      <c r="B72" s="17" t="s">
        <v>20</v>
      </c>
      <c r="C72" s="37">
        <v>828.0</v>
      </c>
      <c r="D72" s="17" t="s">
        <v>176</v>
      </c>
      <c r="E72" s="17" t="s">
        <v>245</v>
      </c>
      <c r="F72" s="37">
        <v>3.0</v>
      </c>
      <c r="G72" s="37">
        <v>13.0</v>
      </c>
      <c r="H72" s="17" t="s">
        <v>246</v>
      </c>
      <c r="I72" s="37">
        <v>22.0</v>
      </c>
      <c r="J72" s="17" t="s">
        <v>247</v>
      </c>
      <c r="K72" s="37">
        <v>-31.480254</v>
      </c>
      <c r="L72" s="36">
        <v>-68.52925</v>
      </c>
    </row>
    <row r="73">
      <c r="B73" s="17" t="s">
        <v>20</v>
      </c>
      <c r="C73" s="37">
        <v>828.0</v>
      </c>
      <c r="D73" s="17" t="s">
        <v>176</v>
      </c>
      <c r="E73" s="17" t="s">
        <v>248</v>
      </c>
      <c r="F73" s="37">
        <v>3.0</v>
      </c>
      <c r="G73" s="17">
        <v>14.0</v>
      </c>
      <c r="H73" s="17" t="s">
        <v>249</v>
      </c>
      <c r="I73" s="37">
        <v>24.0</v>
      </c>
      <c r="J73" s="17" t="s">
        <v>250</v>
      </c>
      <c r="K73" s="37">
        <v>-31.478135</v>
      </c>
      <c r="L73" s="36">
        <v>-68.527414</v>
      </c>
    </row>
    <row r="74">
      <c r="B74" s="17" t="s">
        <v>20</v>
      </c>
      <c r="C74" s="37">
        <v>828.0</v>
      </c>
      <c r="D74" s="17" t="s">
        <v>176</v>
      </c>
      <c r="E74" s="17" t="s">
        <v>251</v>
      </c>
      <c r="F74" s="37">
        <v>3.0</v>
      </c>
      <c r="G74" s="17">
        <v>15.0</v>
      </c>
      <c r="H74" s="17" t="s">
        <v>252</v>
      </c>
      <c r="I74" s="37">
        <v>26.0</v>
      </c>
      <c r="J74" s="17" t="s">
        <v>253</v>
      </c>
      <c r="K74" s="37">
        <v>-31.477293</v>
      </c>
      <c r="L74" s="36">
        <v>-68.527555</v>
      </c>
    </row>
    <row r="75">
      <c r="B75" s="17" t="s">
        <v>20</v>
      </c>
      <c r="C75" s="37">
        <v>828.0</v>
      </c>
      <c r="D75" s="17" t="s">
        <v>254</v>
      </c>
      <c r="E75" s="17" t="s">
        <v>255</v>
      </c>
      <c r="F75" s="37">
        <v>3.0</v>
      </c>
      <c r="G75" s="17">
        <v>16.0</v>
      </c>
      <c r="H75" s="17" t="s">
        <v>256</v>
      </c>
      <c r="I75" s="37">
        <v>30.0</v>
      </c>
      <c r="J75" s="17" t="s">
        <v>257</v>
      </c>
      <c r="K75" s="37">
        <v>-31.49033</v>
      </c>
      <c r="L75" s="36">
        <v>-68.5405</v>
      </c>
    </row>
    <row r="76">
      <c r="B76" s="17" t="s">
        <v>20</v>
      </c>
      <c r="C76" s="37">
        <v>828.0</v>
      </c>
      <c r="D76" s="17" t="s">
        <v>254</v>
      </c>
      <c r="E76" s="17" t="s">
        <v>258</v>
      </c>
      <c r="F76" s="37">
        <v>3.0</v>
      </c>
      <c r="G76" s="37">
        <v>17.0</v>
      </c>
      <c r="H76" s="17" t="s">
        <v>259</v>
      </c>
      <c r="I76" s="37">
        <v>28.0</v>
      </c>
      <c r="J76" s="17" t="s">
        <v>260</v>
      </c>
      <c r="K76" s="37">
        <v>-31.47447</v>
      </c>
      <c r="L76" s="36">
        <v>-68.52243</v>
      </c>
    </row>
    <row r="77">
      <c r="B77" s="17" t="s">
        <v>20</v>
      </c>
      <c r="C77" s="37">
        <v>828.0</v>
      </c>
      <c r="D77" s="17" t="s">
        <v>254</v>
      </c>
      <c r="E77" s="17" t="s">
        <v>261</v>
      </c>
      <c r="F77" s="37">
        <v>3.0</v>
      </c>
      <c r="G77" s="37">
        <v>18.0</v>
      </c>
      <c r="H77" s="17" t="s">
        <v>262</v>
      </c>
      <c r="I77" s="37">
        <v>25.0</v>
      </c>
      <c r="J77" s="17" t="s">
        <v>263</v>
      </c>
      <c r="K77" s="37">
        <v>-31.474214</v>
      </c>
      <c r="L77" s="36">
        <v>-68.521531</v>
      </c>
    </row>
    <row r="78">
      <c r="B78" s="17" t="s">
        <v>20</v>
      </c>
      <c r="C78" s="37">
        <v>828.0</v>
      </c>
      <c r="D78" s="17" t="s">
        <v>254</v>
      </c>
      <c r="E78" s="17" t="s">
        <v>264</v>
      </c>
      <c r="F78" s="37">
        <v>3.0</v>
      </c>
      <c r="G78" s="37">
        <v>19.0</v>
      </c>
      <c r="H78" s="17" t="s">
        <v>265</v>
      </c>
      <c r="I78" s="37">
        <v>23.0</v>
      </c>
      <c r="J78" s="17" t="s">
        <v>266</v>
      </c>
      <c r="K78" s="37">
        <v>-31.4857</v>
      </c>
      <c r="L78" s="36">
        <v>-68.54118</v>
      </c>
    </row>
    <row r="79">
      <c r="B79" s="17" t="s">
        <v>20</v>
      </c>
      <c r="C79" s="37">
        <v>828.0</v>
      </c>
      <c r="D79" s="17" t="s">
        <v>267</v>
      </c>
      <c r="E79" s="17" t="s">
        <v>268</v>
      </c>
      <c r="F79" s="37">
        <v>3.0</v>
      </c>
      <c r="G79" s="37">
        <v>20.0</v>
      </c>
      <c r="H79" s="17" t="s">
        <v>269</v>
      </c>
      <c r="I79" s="37">
        <v>22.0</v>
      </c>
      <c r="J79" s="17" t="s">
        <v>270</v>
      </c>
      <c r="K79" s="37">
        <v>-31.48706</v>
      </c>
      <c r="L79" s="36">
        <v>-68.53617</v>
      </c>
    </row>
    <row r="80">
      <c r="B80" s="17" t="s">
        <v>20</v>
      </c>
      <c r="C80" s="37">
        <v>828.0</v>
      </c>
      <c r="D80" s="17" t="s">
        <v>267</v>
      </c>
      <c r="E80" s="17" t="s">
        <v>271</v>
      </c>
      <c r="F80" s="37">
        <v>3.0</v>
      </c>
      <c r="G80" s="37">
        <v>21.0</v>
      </c>
      <c r="H80" s="17" t="s">
        <v>272</v>
      </c>
      <c r="I80" s="37">
        <v>20.0</v>
      </c>
      <c r="J80" s="17" t="s">
        <v>273</v>
      </c>
      <c r="K80" s="37">
        <v>-31.48592</v>
      </c>
      <c r="L80" s="36">
        <v>-68.53632</v>
      </c>
    </row>
    <row r="81">
      <c r="B81" s="17" t="s">
        <v>20</v>
      </c>
      <c r="C81" s="37">
        <v>828.0</v>
      </c>
      <c r="D81" s="17" t="s">
        <v>267</v>
      </c>
      <c r="E81" s="17" t="s">
        <v>274</v>
      </c>
      <c r="F81" s="37">
        <v>3.0</v>
      </c>
      <c r="G81" s="37">
        <v>22.0</v>
      </c>
      <c r="H81" s="17" t="s">
        <v>275</v>
      </c>
      <c r="I81" s="37">
        <v>21.0</v>
      </c>
      <c r="J81" s="17" t="s">
        <v>276</v>
      </c>
      <c r="K81" s="37">
        <v>-31.48411</v>
      </c>
      <c r="L81" s="36">
        <v>-68.53663</v>
      </c>
    </row>
    <row r="82">
      <c r="B82" s="17" t="s">
        <v>20</v>
      </c>
      <c r="C82" s="37">
        <v>828.0</v>
      </c>
      <c r="D82" s="17" t="s">
        <v>102</v>
      </c>
      <c r="E82" s="17" t="s">
        <v>277</v>
      </c>
      <c r="F82" s="37">
        <v>3.0</v>
      </c>
      <c r="G82" s="17">
        <v>23.0</v>
      </c>
      <c r="H82" s="17" t="s">
        <v>278</v>
      </c>
      <c r="I82" s="37">
        <v>16.0</v>
      </c>
      <c r="J82" s="17" t="s">
        <v>279</v>
      </c>
      <c r="K82" s="37">
        <v>-31.48676</v>
      </c>
      <c r="L82" s="36">
        <v>-68.5321</v>
      </c>
    </row>
    <row r="83">
      <c r="B83" s="17" t="s">
        <v>20</v>
      </c>
      <c r="C83" s="37">
        <v>828.0</v>
      </c>
      <c r="D83" s="17" t="s">
        <v>102</v>
      </c>
      <c r="E83" s="17" t="s">
        <v>280</v>
      </c>
      <c r="F83" s="37">
        <v>3.0</v>
      </c>
      <c r="G83" s="37">
        <v>24.0</v>
      </c>
      <c r="H83" s="17" t="s">
        <v>281</v>
      </c>
      <c r="I83" s="37">
        <v>21.0</v>
      </c>
      <c r="J83" s="17" t="s">
        <v>282</v>
      </c>
      <c r="K83" s="37">
        <v>-31.511863</v>
      </c>
      <c r="L83" s="36">
        <v>-68.517952</v>
      </c>
    </row>
    <row r="84">
      <c r="B84" s="17" t="s">
        <v>20</v>
      </c>
      <c r="C84" s="37">
        <v>828.0</v>
      </c>
      <c r="D84" s="17" t="s">
        <v>102</v>
      </c>
      <c r="E84" s="17" t="s">
        <v>283</v>
      </c>
      <c r="F84" s="37">
        <v>3.0</v>
      </c>
      <c r="G84" s="37">
        <v>25.0</v>
      </c>
      <c r="H84" s="17" t="s">
        <v>284</v>
      </c>
      <c r="I84" s="37">
        <v>22.0</v>
      </c>
      <c r="J84" s="17" t="s">
        <v>285</v>
      </c>
      <c r="K84" s="37">
        <v>-31.511583</v>
      </c>
      <c r="L84" s="36">
        <v>-68.517287</v>
      </c>
    </row>
    <row r="85">
      <c r="B85" s="17" t="s">
        <v>20</v>
      </c>
      <c r="C85" s="37">
        <v>828.0</v>
      </c>
      <c r="D85" s="17" t="s">
        <v>25</v>
      </c>
      <c r="E85" s="17" t="s">
        <v>286</v>
      </c>
      <c r="F85" s="37">
        <v>3.0</v>
      </c>
      <c r="G85" s="37">
        <v>26.0</v>
      </c>
      <c r="H85" s="17" t="s">
        <v>287</v>
      </c>
      <c r="I85" s="37">
        <v>15.0</v>
      </c>
      <c r="J85" s="17" t="s">
        <v>288</v>
      </c>
      <c r="K85" s="37">
        <v>-31.50963</v>
      </c>
      <c r="L85" s="36">
        <v>-68.517869</v>
      </c>
    </row>
    <row r="86">
      <c r="B86" s="17" t="s">
        <v>20</v>
      </c>
      <c r="C86" s="37">
        <v>828.0</v>
      </c>
      <c r="D86" s="17" t="s">
        <v>25</v>
      </c>
      <c r="E86" s="17" t="s">
        <v>289</v>
      </c>
      <c r="F86" s="37">
        <v>3.0</v>
      </c>
      <c r="G86" s="37">
        <v>27.0</v>
      </c>
      <c r="H86" s="17" t="s">
        <v>290</v>
      </c>
      <c r="I86" s="37">
        <v>20.0</v>
      </c>
      <c r="J86" s="17" t="s">
        <v>19</v>
      </c>
      <c r="K86" s="37">
        <v>-31.509631</v>
      </c>
      <c r="L86" s="36">
        <v>-68.517176</v>
      </c>
    </row>
    <row r="87">
      <c r="B87" s="17" t="s">
        <v>20</v>
      </c>
      <c r="C87" s="37">
        <v>828.0</v>
      </c>
      <c r="D87" s="17" t="s">
        <v>140</v>
      </c>
      <c r="E87" s="17" t="s">
        <v>291</v>
      </c>
      <c r="F87" s="37">
        <v>3.0</v>
      </c>
      <c r="G87" s="17">
        <v>5.0</v>
      </c>
      <c r="H87" s="17" t="s">
        <v>292</v>
      </c>
      <c r="I87" s="37">
        <v>26.0</v>
      </c>
      <c r="J87" s="17" t="s">
        <v>293</v>
      </c>
      <c r="K87" s="37">
        <v>-31.479213</v>
      </c>
      <c r="L87" s="36">
        <v>-68.520891</v>
      </c>
    </row>
    <row r="88">
      <c r="B88" s="17" t="s">
        <v>20</v>
      </c>
      <c r="C88" s="37">
        <v>828.0</v>
      </c>
      <c r="D88" s="17" t="s">
        <v>140</v>
      </c>
      <c r="E88" s="17" t="s">
        <v>294</v>
      </c>
      <c r="F88" s="37">
        <v>3.0</v>
      </c>
      <c r="G88" s="37">
        <v>6.0</v>
      </c>
      <c r="H88" s="17" t="s">
        <v>295</v>
      </c>
      <c r="I88" s="37">
        <v>21.0</v>
      </c>
      <c r="J88" s="17" t="s">
        <v>296</v>
      </c>
      <c r="K88" s="37">
        <v>-31.478522</v>
      </c>
      <c r="L88" s="36">
        <v>-68.520788</v>
      </c>
    </row>
    <row r="89">
      <c r="B89" s="17" t="s">
        <v>20</v>
      </c>
      <c r="C89" s="37">
        <v>828.0</v>
      </c>
      <c r="D89" s="17" t="s">
        <v>102</v>
      </c>
      <c r="E89" s="17" t="s">
        <v>297</v>
      </c>
      <c r="F89" s="37">
        <v>3.0</v>
      </c>
      <c r="G89" s="37">
        <v>69.0</v>
      </c>
      <c r="H89" s="17" t="s">
        <v>298</v>
      </c>
      <c r="I89" s="37">
        <v>28.0</v>
      </c>
      <c r="J89" s="17" t="s">
        <v>171</v>
      </c>
      <c r="K89" s="37">
        <v>-31.489007</v>
      </c>
      <c r="L89" s="36">
        <v>-68.532004</v>
      </c>
    </row>
    <row r="90">
      <c r="B90" s="17" t="s">
        <v>20</v>
      </c>
      <c r="C90" s="37">
        <v>828.0</v>
      </c>
      <c r="D90" s="17" t="s">
        <v>102</v>
      </c>
      <c r="E90" s="17" t="s">
        <v>299</v>
      </c>
      <c r="F90" s="37">
        <v>3.0</v>
      </c>
      <c r="G90" s="37" t="s">
        <v>300</v>
      </c>
      <c r="H90" s="17" t="s">
        <v>301</v>
      </c>
      <c r="I90" s="37">
        <v>28.0</v>
      </c>
      <c r="J90" s="17" t="s">
        <v>302</v>
      </c>
      <c r="K90" s="37">
        <v>-31.48967</v>
      </c>
      <c r="L90" s="36">
        <v>-68.53217</v>
      </c>
    </row>
    <row r="91">
      <c r="B91" s="17" t="s">
        <v>20</v>
      </c>
      <c r="C91" s="37">
        <v>828.0</v>
      </c>
      <c r="D91" s="17" t="s">
        <v>140</v>
      </c>
      <c r="E91" s="17" t="s">
        <v>303</v>
      </c>
      <c r="F91" s="37">
        <v>3.0</v>
      </c>
      <c r="G91" s="17">
        <v>7.0</v>
      </c>
      <c r="H91" s="17" t="s">
        <v>304</v>
      </c>
      <c r="I91" s="37">
        <v>21.0</v>
      </c>
      <c r="J91" s="17" t="s">
        <v>305</v>
      </c>
      <c r="K91" s="37">
        <v>-31.478637</v>
      </c>
      <c r="L91" s="36">
        <v>-68.521578</v>
      </c>
    </row>
    <row r="92">
      <c r="B92" s="17" t="s">
        <v>20</v>
      </c>
      <c r="C92" s="37">
        <v>828.0</v>
      </c>
      <c r="D92" s="17" t="s">
        <v>102</v>
      </c>
      <c r="E92" s="17" t="s">
        <v>306</v>
      </c>
      <c r="F92" s="37">
        <v>3.0</v>
      </c>
      <c r="G92" s="17">
        <v>70.0</v>
      </c>
      <c r="H92" s="17" t="s">
        <v>307</v>
      </c>
      <c r="I92" s="37">
        <v>23.0</v>
      </c>
      <c r="J92" s="17" t="s">
        <v>308</v>
      </c>
      <c r="K92" s="37">
        <v>-31.488874</v>
      </c>
      <c r="L92" s="36">
        <v>-68.532128</v>
      </c>
    </row>
    <row r="93">
      <c r="B93" s="17" t="s">
        <v>20</v>
      </c>
      <c r="C93" s="37">
        <v>828.0</v>
      </c>
      <c r="D93" s="17" t="s">
        <v>140</v>
      </c>
      <c r="E93" s="17" t="s">
        <v>309</v>
      </c>
      <c r="F93" s="37">
        <v>3.0</v>
      </c>
      <c r="G93" s="37">
        <v>8.0</v>
      </c>
      <c r="H93" s="17" t="s">
        <v>310</v>
      </c>
      <c r="I93" s="37">
        <v>16.0</v>
      </c>
      <c r="J93" s="17" t="s">
        <v>311</v>
      </c>
      <c r="K93" s="37">
        <v>-31.479998</v>
      </c>
      <c r="L93" s="36">
        <v>-68.525016</v>
      </c>
    </row>
    <row r="94">
      <c r="B94" s="17" t="s">
        <v>20</v>
      </c>
      <c r="C94" s="37">
        <v>828.0</v>
      </c>
      <c r="D94" s="17">
        <v>44386.0</v>
      </c>
      <c r="E94" s="17" t="s">
        <v>312</v>
      </c>
      <c r="F94" s="37">
        <v>3.0</v>
      </c>
      <c r="G94" s="17">
        <v>9.0</v>
      </c>
      <c r="H94" s="17" t="s">
        <v>313</v>
      </c>
      <c r="I94" s="37">
        <v>23.0</v>
      </c>
      <c r="J94" s="17" t="s">
        <v>314</v>
      </c>
      <c r="K94" s="37">
        <v>-31.49092</v>
      </c>
      <c r="L94" s="36">
        <v>-68.53997</v>
      </c>
    </row>
    <row r="95">
      <c r="B95" s="17" t="s">
        <v>20</v>
      </c>
      <c r="C95" s="37">
        <v>828.0</v>
      </c>
      <c r="D95" s="17" t="s">
        <v>315</v>
      </c>
      <c r="E95" s="17" t="s">
        <v>316</v>
      </c>
      <c r="F95" s="37">
        <v>3.0</v>
      </c>
      <c r="G95" s="37" t="s">
        <v>317</v>
      </c>
      <c r="H95" s="17" t="s">
        <v>318</v>
      </c>
      <c r="I95" s="37">
        <v>24.0</v>
      </c>
      <c r="J95" s="17" t="s">
        <v>319</v>
      </c>
      <c r="K95" s="37">
        <v>-31.49061</v>
      </c>
      <c r="L95" s="36">
        <v>-68.54107</v>
      </c>
    </row>
    <row r="96">
      <c r="B96" s="17" t="s">
        <v>20</v>
      </c>
      <c r="C96" s="37">
        <v>828.0</v>
      </c>
      <c r="D96" s="17" t="s">
        <v>315</v>
      </c>
      <c r="E96" s="17" t="s">
        <v>320</v>
      </c>
      <c r="F96" s="37">
        <v>3.0</v>
      </c>
      <c r="G96" s="37" t="s">
        <v>321</v>
      </c>
      <c r="H96" s="17" t="s">
        <v>322</v>
      </c>
      <c r="I96" s="37">
        <v>28.0</v>
      </c>
      <c r="J96" s="17" t="s">
        <v>323</v>
      </c>
      <c r="K96" s="37">
        <v>-31.49132</v>
      </c>
      <c r="L96" s="36">
        <v>-68.54395</v>
      </c>
    </row>
    <row r="97">
      <c r="B97" s="17" t="s">
        <v>20</v>
      </c>
      <c r="C97" s="37">
        <v>842.0</v>
      </c>
      <c r="D97" s="17" t="s">
        <v>324</v>
      </c>
      <c r="E97" s="17" t="s">
        <v>325</v>
      </c>
      <c r="F97" s="37">
        <v>3.0</v>
      </c>
      <c r="G97" s="37">
        <v>34.0</v>
      </c>
      <c r="H97" s="17" t="s">
        <v>326</v>
      </c>
      <c r="I97" s="37">
        <v>22.0</v>
      </c>
      <c r="J97" s="17" t="s">
        <v>53</v>
      </c>
      <c r="K97" s="37">
        <v>-31.506207</v>
      </c>
      <c r="L97" s="36">
        <v>-68.522438</v>
      </c>
    </row>
    <row r="98">
      <c r="B98" s="17" t="s">
        <v>20</v>
      </c>
      <c r="C98" s="37">
        <v>842.0</v>
      </c>
      <c r="D98" s="17" t="s">
        <v>324</v>
      </c>
      <c r="E98" s="17" t="s">
        <v>327</v>
      </c>
      <c r="F98" s="37">
        <v>3.0</v>
      </c>
      <c r="G98" s="37">
        <v>35.0</v>
      </c>
      <c r="H98" s="17" t="s">
        <v>328</v>
      </c>
      <c r="I98" s="37">
        <v>24.0</v>
      </c>
      <c r="J98" s="17" t="s">
        <v>56</v>
      </c>
      <c r="K98" s="37">
        <v>-31.505989</v>
      </c>
      <c r="L98" s="36">
        <v>-68.522346</v>
      </c>
    </row>
    <row r="99">
      <c r="B99" s="17" t="s">
        <v>20</v>
      </c>
      <c r="C99" s="37">
        <v>842.0</v>
      </c>
      <c r="D99" s="17" t="s">
        <v>324</v>
      </c>
      <c r="E99" s="17" t="s">
        <v>329</v>
      </c>
      <c r="F99" s="37">
        <v>3.0</v>
      </c>
      <c r="G99" s="37">
        <v>39.0</v>
      </c>
      <c r="H99" s="17" t="s">
        <v>330</v>
      </c>
      <c r="I99" s="37">
        <v>30.0</v>
      </c>
      <c r="J99" s="17" t="s">
        <v>331</v>
      </c>
      <c r="K99" s="37">
        <v>-31.504138</v>
      </c>
      <c r="L99" s="36">
        <v>-68.51815</v>
      </c>
    </row>
    <row r="100">
      <c r="B100" s="17" t="s">
        <v>20</v>
      </c>
      <c r="C100" s="37">
        <v>842.0</v>
      </c>
      <c r="D100" s="17" t="s">
        <v>324</v>
      </c>
      <c r="E100" s="17" t="s">
        <v>332</v>
      </c>
      <c r="F100" s="37">
        <v>3.0</v>
      </c>
      <c r="G100" s="37">
        <v>40.0</v>
      </c>
      <c r="H100" s="17" t="s">
        <v>333</v>
      </c>
      <c r="I100" s="37">
        <v>32.0</v>
      </c>
      <c r="J100" s="17" t="s">
        <v>334</v>
      </c>
      <c r="K100" s="37">
        <v>-31.504033</v>
      </c>
      <c r="L100" s="36">
        <v>-68.520838</v>
      </c>
    </row>
    <row r="101">
      <c r="B101" s="17" t="s">
        <v>20</v>
      </c>
      <c r="C101" s="37">
        <v>842.0</v>
      </c>
      <c r="D101" s="17" t="s">
        <v>102</v>
      </c>
      <c r="E101" s="17" t="s">
        <v>335</v>
      </c>
      <c r="F101" s="37">
        <v>3.0</v>
      </c>
      <c r="G101" s="37">
        <v>85.0</v>
      </c>
      <c r="H101" s="17" t="s">
        <v>336</v>
      </c>
      <c r="I101" s="37">
        <v>23.0</v>
      </c>
      <c r="J101" s="17" t="s">
        <v>337</v>
      </c>
      <c r="K101" s="37">
        <v>-31.509763</v>
      </c>
      <c r="L101" s="36">
        <v>-68.531191</v>
      </c>
    </row>
    <row r="102">
      <c r="B102" s="17" t="s">
        <v>20</v>
      </c>
      <c r="C102" s="37">
        <v>842.0</v>
      </c>
      <c r="D102" s="17" t="s">
        <v>102</v>
      </c>
      <c r="E102" s="17" t="s">
        <v>338</v>
      </c>
      <c r="F102" s="37">
        <v>3.0</v>
      </c>
      <c r="G102" s="37">
        <v>87.0</v>
      </c>
      <c r="H102" s="17" t="s">
        <v>339</v>
      </c>
      <c r="I102" s="37">
        <v>19.0</v>
      </c>
      <c r="J102" s="17" t="s">
        <v>340</v>
      </c>
      <c r="K102" s="37">
        <v>-31.508527</v>
      </c>
      <c r="L102" s="36">
        <v>-68.531541</v>
      </c>
    </row>
    <row r="103">
      <c r="B103" s="17" t="s">
        <v>20</v>
      </c>
      <c r="C103" s="37">
        <v>842.0</v>
      </c>
      <c r="D103" s="17" t="s">
        <v>102</v>
      </c>
      <c r="E103" s="17" t="s">
        <v>341</v>
      </c>
      <c r="F103" s="37">
        <v>3.0</v>
      </c>
      <c r="G103" s="37">
        <v>89.0</v>
      </c>
      <c r="H103" s="17" t="s">
        <v>342</v>
      </c>
      <c r="I103" s="37">
        <v>25.0</v>
      </c>
      <c r="J103" s="17" t="s">
        <v>343</v>
      </c>
      <c r="K103" s="37">
        <v>-31.506842</v>
      </c>
      <c r="L103" s="36">
        <v>-68.531989</v>
      </c>
    </row>
    <row r="104">
      <c r="B104" s="17" t="s">
        <v>20</v>
      </c>
      <c r="C104" s="37">
        <v>842.0</v>
      </c>
      <c r="D104" s="17" t="s">
        <v>102</v>
      </c>
      <c r="E104" s="17" t="s">
        <v>344</v>
      </c>
      <c r="F104" s="37">
        <v>3.0</v>
      </c>
      <c r="G104" s="37">
        <v>91.0</v>
      </c>
      <c r="H104" s="17" t="s">
        <v>345</v>
      </c>
      <c r="I104" s="37">
        <v>26.0</v>
      </c>
      <c r="J104" s="17" t="s">
        <v>346</v>
      </c>
      <c r="K104" s="37">
        <v>-31.504664</v>
      </c>
      <c r="L104" s="36">
        <v>-68.532223</v>
      </c>
    </row>
    <row r="105">
      <c r="B105" s="17" t="s">
        <v>20</v>
      </c>
      <c r="C105" s="37">
        <v>842.0</v>
      </c>
      <c r="D105" s="17" t="s">
        <v>102</v>
      </c>
      <c r="E105" s="17" t="s">
        <v>347</v>
      </c>
      <c r="F105" s="37">
        <v>3.0</v>
      </c>
      <c r="G105" s="37">
        <v>93.0</v>
      </c>
      <c r="H105" s="17" t="s">
        <v>348</v>
      </c>
      <c r="I105" s="37">
        <v>33.0</v>
      </c>
      <c r="J105" s="17" t="s">
        <v>349</v>
      </c>
      <c r="K105" s="37">
        <v>-31.502202</v>
      </c>
      <c r="L105" s="36">
        <v>-68.53213</v>
      </c>
    </row>
    <row r="106">
      <c r="B106" s="17" t="s">
        <v>20</v>
      </c>
      <c r="C106" s="37">
        <v>842.0</v>
      </c>
      <c r="D106" s="17" t="s">
        <v>102</v>
      </c>
      <c r="E106" s="17" t="s">
        <v>350</v>
      </c>
      <c r="F106" s="37">
        <v>3.0</v>
      </c>
      <c r="G106" s="17">
        <v>95.0</v>
      </c>
      <c r="H106" s="17" t="s">
        <v>351</v>
      </c>
      <c r="I106" s="37">
        <v>27.0</v>
      </c>
      <c r="J106" s="17" t="s">
        <v>352</v>
      </c>
      <c r="K106" s="37">
        <v>-31.499359</v>
      </c>
      <c r="L106" s="36">
        <v>-68.532027</v>
      </c>
    </row>
    <row r="107">
      <c r="B107" s="17" t="s">
        <v>20</v>
      </c>
      <c r="C107" s="37">
        <v>842.0</v>
      </c>
      <c r="D107" s="17" t="s">
        <v>102</v>
      </c>
      <c r="E107" s="17" t="s">
        <v>353</v>
      </c>
      <c r="F107" s="37">
        <v>3.0</v>
      </c>
      <c r="G107" s="37">
        <v>97.0</v>
      </c>
      <c r="H107" s="17" t="s">
        <v>354</v>
      </c>
      <c r="I107" s="37">
        <v>19.0</v>
      </c>
      <c r="J107" s="17" t="s">
        <v>355</v>
      </c>
      <c r="K107" s="37">
        <v>-31.496887</v>
      </c>
      <c r="L107" s="36">
        <v>-68.532124</v>
      </c>
    </row>
    <row r="108">
      <c r="B108" s="17" t="s">
        <v>20</v>
      </c>
      <c r="C108" s="37">
        <v>842.0</v>
      </c>
      <c r="D108" s="17" t="s">
        <v>102</v>
      </c>
      <c r="E108" s="17" t="s">
        <v>356</v>
      </c>
      <c r="F108" s="37">
        <v>3.0</v>
      </c>
      <c r="G108" s="37">
        <v>98.0</v>
      </c>
      <c r="H108" s="17" t="s">
        <v>357</v>
      </c>
      <c r="I108" s="37">
        <v>22.0</v>
      </c>
      <c r="J108" s="17" t="s">
        <v>358</v>
      </c>
      <c r="K108" s="37">
        <v>-31.496909</v>
      </c>
      <c r="L108" s="36">
        <v>-68.531999</v>
      </c>
    </row>
    <row r="109">
      <c r="B109" s="17" t="s">
        <v>20</v>
      </c>
      <c r="C109" s="37">
        <v>844.0</v>
      </c>
      <c r="D109" s="17" t="s">
        <v>153</v>
      </c>
      <c r="E109" s="17" t="s">
        <v>359</v>
      </c>
      <c r="F109" s="37">
        <v>3.0</v>
      </c>
      <c r="G109" s="37">
        <v>32.0</v>
      </c>
      <c r="H109" s="17" t="s">
        <v>360</v>
      </c>
      <c r="I109" s="37">
        <v>24.0</v>
      </c>
      <c r="J109" s="17" t="s">
        <v>46</v>
      </c>
      <c r="K109" s="37">
        <v>-31.508439</v>
      </c>
      <c r="L109" s="36">
        <v>-68.521966</v>
      </c>
    </row>
    <row r="110">
      <c r="B110" s="17" t="s">
        <v>20</v>
      </c>
      <c r="C110" s="37">
        <v>844.0</v>
      </c>
      <c r="D110" s="17" t="s">
        <v>153</v>
      </c>
      <c r="E110" s="17" t="s">
        <v>361</v>
      </c>
      <c r="F110" s="37">
        <v>3.0</v>
      </c>
      <c r="G110" s="37">
        <v>33.0</v>
      </c>
      <c r="H110" s="17" t="s">
        <v>362</v>
      </c>
      <c r="I110" s="37">
        <v>17.0</v>
      </c>
      <c r="J110" s="17" t="s">
        <v>49</v>
      </c>
      <c r="K110" s="37">
        <v>-31.507971</v>
      </c>
      <c r="L110" s="36">
        <v>-68.521942</v>
      </c>
    </row>
    <row r="111">
      <c r="B111" s="17" t="s">
        <v>20</v>
      </c>
      <c r="C111" s="37">
        <v>844.0</v>
      </c>
      <c r="D111" s="17" t="s">
        <v>153</v>
      </c>
      <c r="E111" s="17" t="s">
        <v>363</v>
      </c>
      <c r="F111" s="37">
        <v>3.0</v>
      </c>
      <c r="G111" s="37">
        <v>34.0</v>
      </c>
      <c r="H111" s="17" t="s">
        <v>364</v>
      </c>
      <c r="I111" s="37">
        <v>19.0</v>
      </c>
      <c r="J111" s="17" t="s">
        <v>53</v>
      </c>
      <c r="K111" s="37">
        <v>-31.506207</v>
      </c>
      <c r="L111" s="36">
        <v>-68.522438</v>
      </c>
    </row>
    <row r="112">
      <c r="B112" s="17" t="s">
        <v>20</v>
      </c>
      <c r="C112" s="37">
        <v>844.0</v>
      </c>
      <c r="D112" s="17" t="s">
        <v>365</v>
      </c>
      <c r="E112" s="17" t="s">
        <v>366</v>
      </c>
      <c r="F112" s="37">
        <v>3.0</v>
      </c>
      <c r="G112" s="37">
        <v>35.0</v>
      </c>
      <c r="H112" s="17" t="s">
        <v>367</v>
      </c>
      <c r="I112" s="37">
        <v>27.0</v>
      </c>
      <c r="J112" s="17" t="s">
        <v>56</v>
      </c>
      <c r="K112" s="37">
        <v>-31.505989</v>
      </c>
      <c r="L112" s="36">
        <v>-68.522346</v>
      </c>
    </row>
    <row r="113">
      <c r="B113" s="17" t="s">
        <v>20</v>
      </c>
      <c r="C113" s="37">
        <v>844.0</v>
      </c>
      <c r="D113" s="17" t="s">
        <v>365</v>
      </c>
      <c r="E113" s="17" t="s">
        <v>368</v>
      </c>
      <c r="F113" s="37">
        <v>3.0</v>
      </c>
      <c r="G113" s="37">
        <v>36.0</v>
      </c>
      <c r="H113" s="17" t="s">
        <v>369</v>
      </c>
      <c r="I113" s="37">
        <v>16.0</v>
      </c>
      <c r="J113" s="17" t="s">
        <v>60</v>
      </c>
      <c r="K113" s="37">
        <v>-31.505651</v>
      </c>
      <c r="L113" s="36">
        <v>-68.520742</v>
      </c>
    </row>
    <row r="114">
      <c r="B114" s="17" t="s">
        <v>20</v>
      </c>
      <c r="C114" s="37">
        <v>844.0</v>
      </c>
      <c r="D114" s="17" t="s">
        <v>370</v>
      </c>
      <c r="E114" s="17" t="s">
        <v>371</v>
      </c>
      <c r="F114" s="37">
        <v>3.0</v>
      </c>
      <c r="G114" s="37">
        <v>37.0</v>
      </c>
      <c r="H114" s="17" t="s">
        <v>372</v>
      </c>
      <c r="I114" s="37">
        <v>18.0</v>
      </c>
      <c r="J114" s="17" t="s">
        <v>373</v>
      </c>
      <c r="K114" s="37">
        <v>-31.505501</v>
      </c>
      <c r="L114" s="36">
        <v>-68.52071</v>
      </c>
    </row>
    <row r="115">
      <c r="B115" s="17" t="s">
        <v>20</v>
      </c>
      <c r="C115" s="37">
        <v>844.0</v>
      </c>
      <c r="D115" s="17" t="s">
        <v>370</v>
      </c>
      <c r="E115" s="17" t="s">
        <v>374</v>
      </c>
      <c r="F115" s="37">
        <v>3.0</v>
      </c>
      <c r="G115" s="37">
        <v>39.0</v>
      </c>
      <c r="H115" s="17" t="s">
        <v>375</v>
      </c>
      <c r="I115" s="37">
        <v>19.0</v>
      </c>
      <c r="J115" s="17" t="s">
        <v>331</v>
      </c>
      <c r="K115" s="37">
        <v>-31.504138</v>
      </c>
      <c r="L115" s="36">
        <v>-68.51815</v>
      </c>
    </row>
    <row r="116">
      <c r="B116" s="17" t="s">
        <v>20</v>
      </c>
      <c r="C116" s="37">
        <v>844.0</v>
      </c>
      <c r="D116" s="17" t="s">
        <v>370</v>
      </c>
      <c r="E116" s="17" t="s">
        <v>376</v>
      </c>
      <c r="F116" s="37">
        <v>3.0</v>
      </c>
      <c r="G116" s="37">
        <v>40.0</v>
      </c>
      <c r="H116" s="17" t="s">
        <v>377</v>
      </c>
      <c r="I116" s="37">
        <v>17.0</v>
      </c>
      <c r="J116" s="17" t="s">
        <v>334</v>
      </c>
      <c r="K116" s="37">
        <v>-31.504033</v>
      </c>
      <c r="L116" s="36">
        <v>-68.520838</v>
      </c>
    </row>
    <row r="117">
      <c r="B117" s="17" t="s">
        <v>20</v>
      </c>
      <c r="C117" s="37">
        <v>844.0</v>
      </c>
      <c r="D117" s="17" t="s">
        <v>370</v>
      </c>
      <c r="E117" s="17" t="s">
        <v>378</v>
      </c>
      <c r="F117" s="37">
        <v>3.0</v>
      </c>
      <c r="G117" s="37">
        <v>41.0</v>
      </c>
      <c r="H117" s="17" t="s">
        <v>379</v>
      </c>
      <c r="I117" s="37">
        <v>16.0</v>
      </c>
      <c r="J117" s="17" t="s">
        <v>380</v>
      </c>
      <c r="K117" s="37">
        <v>-31.502842</v>
      </c>
      <c r="L117" s="36">
        <v>-68.520941</v>
      </c>
    </row>
    <row r="118">
      <c r="B118" s="17" t="s">
        <v>20</v>
      </c>
      <c r="C118" s="37">
        <v>844.0</v>
      </c>
      <c r="D118" s="39" t="s">
        <v>381</v>
      </c>
      <c r="E118" s="17" t="s">
        <v>382</v>
      </c>
      <c r="F118" s="37">
        <v>3.0</v>
      </c>
      <c r="G118" s="37">
        <v>42.0</v>
      </c>
      <c r="H118" s="17" t="s">
        <v>383</v>
      </c>
      <c r="I118" s="37">
        <v>16.0</v>
      </c>
      <c r="J118" s="17" t="s">
        <v>384</v>
      </c>
      <c r="K118" s="37">
        <v>-31.502825</v>
      </c>
      <c r="L118" s="36">
        <v>-68.521167</v>
      </c>
    </row>
    <row r="119">
      <c r="B119" s="17" t="s">
        <v>20</v>
      </c>
      <c r="C119" s="37">
        <v>844.0</v>
      </c>
      <c r="D119" s="39" t="s">
        <v>381</v>
      </c>
      <c r="E119" s="17" t="s">
        <v>385</v>
      </c>
      <c r="F119" s="37">
        <v>3.0</v>
      </c>
      <c r="G119" s="37">
        <v>43.0</v>
      </c>
      <c r="H119" s="17" t="s">
        <v>386</v>
      </c>
      <c r="I119" s="37">
        <v>17.0</v>
      </c>
      <c r="J119" s="17" t="s">
        <v>387</v>
      </c>
      <c r="K119" s="37">
        <v>-31.503057</v>
      </c>
      <c r="L119" s="36">
        <v>-68.522807</v>
      </c>
    </row>
    <row r="120">
      <c r="B120" s="17" t="s">
        <v>20</v>
      </c>
      <c r="C120" s="37">
        <v>844.0</v>
      </c>
      <c r="D120" s="17" t="s">
        <v>388</v>
      </c>
      <c r="E120" s="17" t="s">
        <v>389</v>
      </c>
      <c r="F120" s="37">
        <v>3.0</v>
      </c>
      <c r="G120" s="37">
        <v>44.0</v>
      </c>
      <c r="H120" s="17" t="s">
        <v>390</v>
      </c>
      <c r="I120" s="37">
        <v>30.0</v>
      </c>
      <c r="J120" s="17" t="s">
        <v>391</v>
      </c>
      <c r="K120" s="37">
        <v>-31.5034</v>
      </c>
      <c r="L120" s="36">
        <v>-68.524541</v>
      </c>
    </row>
    <row r="121">
      <c r="B121" s="17" t="s">
        <v>20</v>
      </c>
      <c r="C121" s="37">
        <v>844.0</v>
      </c>
      <c r="D121" s="17" t="s">
        <v>392</v>
      </c>
      <c r="E121" s="17" t="s">
        <v>393</v>
      </c>
      <c r="F121" s="37">
        <v>3.0</v>
      </c>
      <c r="G121" s="37">
        <v>45.0</v>
      </c>
      <c r="H121" s="17" t="s">
        <v>394</v>
      </c>
      <c r="I121" s="37">
        <v>19.0</v>
      </c>
      <c r="J121" s="17" t="s">
        <v>395</v>
      </c>
      <c r="K121" s="37">
        <v>-31.501205</v>
      </c>
      <c r="L121" s="36">
        <v>-68.52268</v>
      </c>
    </row>
    <row r="122">
      <c r="B122" s="17" t="s">
        <v>20</v>
      </c>
      <c r="C122" s="37">
        <v>844.0</v>
      </c>
      <c r="D122" s="17" t="s">
        <v>388</v>
      </c>
      <c r="E122" s="17" t="s">
        <v>396</v>
      </c>
      <c r="F122" s="37">
        <v>3.0</v>
      </c>
      <c r="G122" s="37">
        <v>46.0</v>
      </c>
      <c r="H122" s="17" t="s">
        <v>397</v>
      </c>
      <c r="I122" s="37">
        <v>18.0</v>
      </c>
      <c r="J122" s="17" t="s">
        <v>398</v>
      </c>
      <c r="K122" s="37">
        <v>-31.500944</v>
      </c>
      <c r="L122" s="36">
        <v>-68.524484</v>
      </c>
    </row>
    <row r="123">
      <c r="B123" s="17" t="s">
        <v>20</v>
      </c>
      <c r="C123" s="37">
        <v>844.0</v>
      </c>
      <c r="D123" s="17" t="s">
        <v>388</v>
      </c>
      <c r="E123" s="17" t="s">
        <v>399</v>
      </c>
      <c r="F123" s="37">
        <v>3.0</v>
      </c>
      <c r="G123" s="37" t="s">
        <v>400</v>
      </c>
      <c r="H123" s="17" t="s">
        <v>401</v>
      </c>
      <c r="I123" s="37">
        <v>27.0</v>
      </c>
      <c r="J123" s="17" t="s">
        <v>402</v>
      </c>
      <c r="K123" s="37">
        <v>-31.50241</v>
      </c>
      <c r="L123" s="36">
        <v>-68.52473</v>
      </c>
    </row>
    <row r="124">
      <c r="B124" s="17" t="s">
        <v>20</v>
      </c>
      <c r="C124" s="37">
        <v>844.0</v>
      </c>
      <c r="D124" s="17" t="s">
        <v>403</v>
      </c>
      <c r="E124" s="17" t="s">
        <v>404</v>
      </c>
      <c r="F124" s="37">
        <v>3.0</v>
      </c>
      <c r="G124" s="37">
        <v>47.0</v>
      </c>
      <c r="H124" s="17" t="s">
        <v>405</v>
      </c>
      <c r="I124" s="37">
        <v>22.0</v>
      </c>
      <c r="J124" s="17" t="s">
        <v>406</v>
      </c>
      <c r="K124" s="37">
        <v>-31.499671</v>
      </c>
      <c r="L124" s="36">
        <v>-68.523054</v>
      </c>
    </row>
    <row r="125">
      <c r="B125" s="17" t="s">
        <v>20</v>
      </c>
      <c r="C125" s="37">
        <v>844.0</v>
      </c>
      <c r="D125" s="17" t="s">
        <v>153</v>
      </c>
      <c r="E125" s="17" t="s">
        <v>407</v>
      </c>
      <c r="F125" s="37">
        <v>3.0</v>
      </c>
      <c r="G125" s="37">
        <v>48.0</v>
      </c>
      <c r="H125" s="17" t="s">
        <v>408</v>
      </c>
      <c r="I125" s="37">
        <v>22.0</v>
      </c>
      <c r="J125" s="17" t="s">
        <v>409</v>
      </c>
      <c r="K125" s="37">
        <v>-31.499625</v>
      </c>
      <c r="L125" s="36">
        <v>-68.523299</v>
      </c>
    </row>
    <row r="126">
      <c r="B126" s="17" t="s">
        <v>20</v>
      </c>
      <c r="C126" s="37">
        <v>844.0</v>
      </c>
      <c r="D126" s="17" t="s">
        <v>153</v>
      </c>
      <c r="E126" s="17" t="s">
        <v>410</v>
      </c>
      <c r="F126" s="37">
        <v>3.0</v>
      </c>
      <c r="G126" s="37">
        <v>49.0</v>
      </c>
      <c r="H126" s="17" t="s">
        <v>411</v>
      </c>
      <c r="I126" s="37">
        <v>14.0</v>
      </c>
      <c r="J126" s="17" t="s">
        <v>412</v>
      </c>
      <c r="K126" s="37">
        <v>-31.497521</v>
      </c>
      <c r="L126" s="36">
        <v>-68.520874</v>
      </c>
    </row>
    <row r="127">
      <c r="B127" s="17" t="s">
        <v>20</v>
      </c>
      <c r="C127" s="37">
        <v>844.0</v>
      </c>
      <c r="D127" s="17" t="s">
        <v>106</v>
      </c>
      <c r="E127" s="17" t="s">
        <v>413</v>
      </c>
      <c r="F127" s="37">
        <v>3.0</v>
      </c>
      <c r="G127" s="37">
        <v>51.0</v>
      </c>
      <c r="H127" s="17" t="s">
        <v>414</v>
      </c>
      <c r="I127" s="37">
        <v>17.0</v>
      </c>
      <c r="J127" s="17" t="s">
        <v>415</v>
      </c>
      <c r="K127" s="37">
        <v>-31.49752</v>
      </c>
      <c r="L127" s="36">
        <v>-68.520677</v>
      </c>
    </row>
    <row r="128">
      <c r="B128" s="17" t="s">
        <v>20</v>
      </c>
      <c r="C128" s="37">
        <v>844.0</v>
      </c>
      <c r="D128" s="17" t="s">
        <v>106</v>
      </c>
      <c r="E128" s="17" t="s">
        <v>416</v>
      </c>
      <c r="F128" s="37">
        <v>3.0</v>
      </c>
      <c r="G128" s="37" t="s">
        <v>417</v>
      </c>
      <c r="H128" s="17" t="s">
        <v>418</v>
      </c>
      <c r="I128" s="37">
        <v>14.0</v>
      </c>
      <c r="J128" s="17" t="s">
        <v>419</v>
      </c>
      <c r="K128" s="37">
        <v>-31.49765</v>
      </c>
      <c r="L128" s="36">
        <v>-68.5178</v>
      </c>
    </row>
    <row r="129">
      <c r="B129" s="36" t="s">
        <v>20</v>
      </c>
      <c r="C129" s="36">
        <v>844.0</v>
      </c>
      <c r="D129" s="36" t="s">
        <v>102</v>
      </c>
      <c r="E129" s="36" t="s">
        <v>420</v>
      </c>
      <c r="F129" s="36">
        <v>3.0</v>
      </c>
      <c r="G129" s="36">
        <v>86.0</v>
      </c>
      <c r="H129" s="36" t="s">
        <v>421</v>
      </c>
      <c r="I129" s="36">
        <v>16.0</v>
      </c>
      <c r="J129" s="36" t="s">
        <v>422</v>
      </c>
      <c r="K129" s="36">
        <v>-31.508511</v>
      </c>
      <c r="L129" s="36">
        <v>-68.531411</v>
      </c>
    </row>
    <row r="130">
      <c r="B130" s="36" t="s">
        <v>20</v>
      </c>
      <c r="C130" s="36">
        <v>844.0</v>
      </c>
      <c r="D130" s="36" t="s">
        <v>102</v>
      </c>
      <c r="E130" s="36" t="s">
        <v>423</v>
      </c>
      <c r="F130" s="36">
        <v>3.0</v>
      </c>
      <c r="G130" s="36">
        <v>88.0</v>
      </c>
      <c r="H130" s="36" t="s">
        <v>424</v>
      </c>
      <c r="I130" s="36">
        <v>24.0</v>
      </c>
      <c r="J130" s="36" t="s">
        <v>425</v>
      </c>
      <c r="K130" s="36">
        <v>-31.506967</v>
      </c>
      <c r="L130" s="36">
        <v>-68.531856</v>
      </c>
    </row>
    <row r="131">
      <c r="B131" s="36" t="s">
        <v>20</v>
      </c>
      <c r="C131" s="36">
        <v>844.0</v>
      </c>
      <c r="D131" s="36" t="s">
        <v>102</v>
      </c>
      <c r="E131" s="36" t="s">
        <v>426</v>
      </c>
      <c r="F131" s="36">
        <v>3.0</v>
      </c>
      <c r="G131" s="36">
        <v>90.0</v>
      </c>
      <c r="H131" s="36" t="s">
        <v>427</v>
      </c>
      <c r="I131" s="36">
        <v>25.0</v>
      </c>
      <c r="J131" s="36" t="s">
        <v>428</v>
      </c>
      <c r="K131" s="36">
        <v>-31.50476</v>
      </c>
      <c r="L131" s="36">
        <v>-68.532114</v>
      </c>
    </row>
    <row r="132">
      <c r="B132" s="36" t="s">
        <v>20</v>
      </c>
      <c r="C132" s="36">
        <v>844.0</v>
      </c>
      <c r="D132" s="36" t="s">
        <v>102</v>
      </c>
      <c r="E132" s="36" t="s">
        <v>429</v>
      </c>
      <c r="F132" s="36">
        <v>3.0</v>
      </c>
      <c r="G132" s="36">
        <v>92.0</v>
      </c>
      <c r="H132" s="36" t="s">
        <v>430</v>
      </c>
      <c r="I132" s="36">
        <v>32.0</v>
      </c>
      <c r="J132" s="36" t="s">
        <v>431</v>
      </c>
      <c r="K132" s="36">
        <v>-31.502341</v>
      </c>
      <c r="L132" s="36">
        <v>-68.532037</v>
      </c>
    </row>
    <row r="133">
      <c r="B133" s="36" t="s">
        <v>20</v>
      </c>
      <c r="C133" s="36">
        <v>844.0</v>
      </c>
      <c r="D133" s="36" t="s">
        <v>102</v>
      </c>
      <c r="E133" s="36" t="s">
        <v>432</v>
      </c>
      <c r="F133" s="36">
        <v>3.0</v>
      </c>
      <c r="G133" s="36">
        <v>94.0</v>
      </c>
      <c r="H133" s="36" t="s">
        <v>433</v>
      </c>
      <c r="I133" s="36">
        <v>26.0</v>
      </c>
      <c r="J133" s="36" t="s">
        <v>434</v>
      </c>
      <c r="K133" s="36">
        <v>-31.499348</v>
      </c>
      <c r="L133" s="36">
        <v>-68.531923</v>
      </c>
    </row>
    <row r="134">
      <c r="B134" s="36" t="s">
        <v>20</v>
      </c>
      <c r="C134" s="36">
        <v>844.0</v>
      </c>
      <c r="D134" s="36" t="s">
        <v>102</v>
      </c>
      <c r="E134" s="36" t="s">
        <v>435</v>
      </c>
      <c r="F134" s="36">
        <v>3.0</v>
      </c>
      <c r="G134" s="36">
        <v>96.0</v>
      </c>
      <c r="H134" s="36" t="s">
        <v>436</v>
      </c>
      <c r="I134" s="36">
        <v>19.0</v>
      </c>
      <c r="J134" s="36" t="s">
        <v>437</v>
      </c>
      <c r="K134" s="36">
        <v>-31.497082</v>
      </c>
      <c r="L134" s="36">
        <v>-68.532009</v>
      </c>
    </row>
    <row r="135">
      <c r="B135" s="36" t="s">
        <v>1</v>
      </c>
      <c r="C135" s="36" t="s">
        <v>2</v>
      </c>
      <c r="D135" s="36" t="s">
        <v>3</v>
      </c>
      <c r="E135" s="36" t="s">
        <v>4</v>
      </c>
      <c r="F135" s="36"/>
      <c r="G135" s="36"/>
      <c r="H135" s="36"/>
      <c r="I135" s="36"/>
      <c r="J135" s="36"/>
      <c r="K135" s="36"/>
      <c r="L135" s="36"/>
    </row>
    <row r="136">
      <c r="B136" s="36"/>
      <c r="C136" s="36"/>
      <c r="D136" s="36"/>
      <c r="E136" s="36" t="s">
        <v>5</v>
      </c>
      <c r="F136" s="36" t="s">
        <v>6</v>
      </c>
      <c r="G136" s="36" t="s">
        <v>7</v>
      </c>
      <c r="H136" s="36" t="s">
        <v>8</v>
      </c>
      <c r="I136" s="36" t="s">
        <v>9</v>
      </c>
      <c r="J136" s="36" t="s">
        <v>10</v>
      </c>
      <c r="K136" s="36" t="s">
        <v>11</v>
      </c>
      <c r="L136" s="36" t="s">
        <v>12</v>
      </c>
    </row>
    <row r="137"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</row>
    <row r="138"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</row>
    <row r="139"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</row>
    <row r="140"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</row>
    <row r="141"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</row>
    <row r="142"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</row>
    <row r="143"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</row>
    <row r="144"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</row>
    <row r="145"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</row>
    <row r="146"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</row>
    <row r="147"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</row>
    <row r="148"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</row>
    <row r="149"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</row>
    <row r="150"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</row>
    <row r="151"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</row>
    <row r="152"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</row>
    <row r="153"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</row>
    <row r="154"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</row>
    <row r="155"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</row>
    <row r="156"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</row>
    <row r="157"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</row>
    <row r="158"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</row>
    <row r="159"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</row>
    <row r="160"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</row>
    <row r="161"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</row>
    <row r="162"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</row>
    <row r="163"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</row>
    <row r="164"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</row>
    <row r="165"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</row>
    <row r="166"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</row>
    <row r="167"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</row>
    <row r="168"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</row>
    <row r="169"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</row>
    <row r="170"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</row>
    <row r="171"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</row>
    <row r="172"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</row>
    <row r="173"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</row>
    <row r="174"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</row>
    <row r="175"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</row>
    <row r="176"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</row>
    <row r="177"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</row>
    <row r="178"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</row>
    <row r="179"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</row>
    <row r="180"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</row>
    <row r="181"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</row>
    <row r="182"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</row>
    <row r="183"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</row>
    <row r="184"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</row>
    <row r="185"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</row>
    <row r="186"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</row>
    <row r="187"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</row>
    <row r="188"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</row>
    <row r="189"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</row>
    <row r="190"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</row>
    <row r="191"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</row>
    <row r="192"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</row>
    <row r="193"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</row>
    <row r="194"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</row>
    <row r="195"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</row>
    <row r="196"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</row>
    <row r="197"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</row>
    <row r="198"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</row>
    <row r="199"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</row>
    <row r="200"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</row>
    <row r="201"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</row>
    <row r="202"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</row>
    <row r="203"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</row>
    <row r="204"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</row>
    <row r="205"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</row>
    <row r="206"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</row>
    <row r="207"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</row>
    <row r="208"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</row>
    <row r="209"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</row>
    <row r="210"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</row>
    <row r="211"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</row>
    <row r="212"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</row>
    <row r="213"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</row>
    <row r="214"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</row>
    <row r="215"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</row>
    <row r="216"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</row>
    <row r="217"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</row>
    <row r="218"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</row>
    <row r="219"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</row>
    <row r="220"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</row>
    <row r="221"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</row>
    <row r="222"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</row>
    <row r="223"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</row>
    <row r="224"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</row>
    <row r="225"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</row>
    <row r="226"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</row>
    <row r="227"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</row>
    <row r="228"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</row>
    <row r="229"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</row>
    <row r="230"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</row>
    <row r="231"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</row>
    <row r="232"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</row>
    <row r="233"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</row>
    <row r="234"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</row>
    <row r="235"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</row>
    <row r="236"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</row>
    <row r="237"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</row>
    <row r="238"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</row>
    <row r="239"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</row>
    <row r="240"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</row>
    <row r="241"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</row>
    <row r="242"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</row>
    <row r="243"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</row>
    <row r="244"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</row>
    <row r="245"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</row>
    <row r="246"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</row>
    <row r="247"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</row>
    <row r="248"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</row>
    <row r="249"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</row>
    <row r="250"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</row>
    <row r="251"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</row>
    <row r="252"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</row>
    <row r="253"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</row>
    <row r="254"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</row>
    <row r="255"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</row>
    <row r="256"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</row>
    <row r="257"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</row>
    <row r="258"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</row>
    <row r="259"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</row>
    <row r="260"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</row>
    <row r="261"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</row>
    <row r="262"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</row>
    <row r="263"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</row>
    <row r="264"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</row>
    <row r="265"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</row>
    <row r="266"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</row>
    <row r="267"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</row>
    <row r="268"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</row>
    <row r="269"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</row>
    <row r="270"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</row>
    <row r="271"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</row>
    <row r="272"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</row>
    <row r="273"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</row>
    <row r="274"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</row>
    <row r="275"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</row>
    <row r="276"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</row>
    <row r="277"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</row>
    <row r="278"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</row>
    <row r="279"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</row>
    <row r="280"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</row>
    <row r="281"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</row>
    <row r="282"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</row>
    <row r="283"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</row>
    <row r="284"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</row>
    <row r="285"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</row>
    <row r="286"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</row>
    <row r="287"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</row>
    <row r="288"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</row>
    <row r="289"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</row>
    <row r="290"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</row>
    <row r="291"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</row>
    <row r="292"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</row>
    <row r="293"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</row>
    <row r="294"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</row>
    <row r="295"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</row>
    <row r="296"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</row>
    <row r="297"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</row>
    <row r="298"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</row>
    <row r="299"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</row>
    <row r="300"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</row>
    <row r="301"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</row>
    <row r="302"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</row>
    <row r="303"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</row>
    <row r="304"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</row>
    <row r="305"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</row>
    <row r="306"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</row>
    <row r="307"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</row>
    <row r="308"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</row>
    <row r="309"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</row>
    <row r="310"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</row>
    <row r="311"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</row>
    <row r="312"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</row>
    <row r="313"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</row>
    <row r="314"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</row>
    <row r="315"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</row>
    <row r="316"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</row>
    <row r="317"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</row>
    <row r="318"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</row>
    <row r="319"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</row>
    <row r="320"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</row>
    <row r="321"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</row>
    <row r="322"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</row>
    <row r="323"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</row>
    <row r="324"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</row>
    <row r="325"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</row>
    <row r="326"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</row>
    <row r="327"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</row>
    <row r="328"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</row>
    <row r="329"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</row>
    <row r="330"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</row>
    <row r="331"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</row>
    <row r="332"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</row>
    <row r="333"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</row>
    <row r="334"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</row>
    <row r="335"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</row>
    <row r="336"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</row>
    <row r="337"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</row>
    <row r="338"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</row>
    <row r="339"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</row>
    <row r="340"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</row>
    <row r="341"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</row>
    <row r="342"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</row>
    <row r="343"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</row>
    <row r="344"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</row>
    <row r="345"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</row>
    <row r="346"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</row>
    <row r="347"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</row>
    <row r="348"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</row>
    <row r="349"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</row>
    <row r="350"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</row>
    <row r="351"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</row>
    <row r="352"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</row>
    <row r="353"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</row>
    <row r="354"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</row>
    <row r="355"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</row>
    <row r="356"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</row>
    <row r="357"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</row>
    <row r="358"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</row>
    <row r="359"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</row>
    <row r="360"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</row>
    <row r="361"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</row>
    <row r="362"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</row>
    <row r="363"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</row>
    <row r="364"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</row>
    <row r="365"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</row>
    <row r="366"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</row>
    <row r="367"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</row>
    <row r="368"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</row>
    <row r="369"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</row>
    <row r="370"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</row>
    <row r="371"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</row>
    <row r="372"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</row>
    <row r="373"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</row>
    <row r="374"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</row>
    <row r="375"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</row>
    <row r="376"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</row>
    <row r="377"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</row>
    <row r="378"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</row>
    <row r="379"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</row>
    <row r="380"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</row>
    <row r="381"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</row>
    <row r="382"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</row>
    <row r="383"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</row>
    <row r="384"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</row>
    <row r="385"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</row>
    <row r="386"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</row>
    <row r="387"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</row>
    <row r="388"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</row>
    <row r="389"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</row>
    <row r="390"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</row>
    <row r="391"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</row>
    <row r="392"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</row>
    <row r="393"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</row>
    <row r="394"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</row>
    <row r="395"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</row>
    <row r="396"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</row>
    <row r="397"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</row>
    <row r="398"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</row>
    <row r="399"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</row>
    <row r="400"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</row>
    <row r="401"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</row>
    <row r="402"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</row>
    <row r="403"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</row>
    <row r="404"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</row>
    <row r="405"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</row>
    <row r="406"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</row>
    <row r="407"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</row>
    <row r="408"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</row>
    <row r="409"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</row>
    <row r="410"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</row>
    <row r="411"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</row>
    <row r="412"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</row>
    <row r="413"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</row>
    <row r="414"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</row>
    <row r="415"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</row>
    <row r="416"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</row>
    <row r="417"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</row>
    <row r="418"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</row>
    <row r="419"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</row>
    <row r="420"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</row>
    <row r="421"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</row>
    <row r="422"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</row>
    <row r="423"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</row>
    <row r="424"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</row>
    <row r="425"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</row>
    <row r="426"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</row>
    <row r="427"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</row>
    <row r="428"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</row>
    <row r="429"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</row>
    <row r="430"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</row>
    <row r="431"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</row>
    <row r="432"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</row>
    <row r="433"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</row>
    <row r="434"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</row>
    <row r="435"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</row>
    <row r="436"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</row>
    <row r="437"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</row>
    <row r="438"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</row>
    <row r="439"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</row>
    <row r="440"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</row>
    <row r="441"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</row>
    <row r="442"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</row>
    <row r="443"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</row>
    <row r="444"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</row>
    <row r="445"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</row>
    <row r="446"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</row>
    <row r="447"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</row>
    <row r="448"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</row>
    <row r="449"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</row>
    <row r="450"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</row>
    <row r="451"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</row>
    <row r="452"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</row>
    <row r="453"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</row>
    <row r="454"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</row>
    <row r="455"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</row>
    <row r="456"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</row>
    <row r="457"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</row>
    <row r="458"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</row>
    <row r="459"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</row>
    <row r="460"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</row>
    <row r="461"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</row>
    <row r="462"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</row>
    <row r="463"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</row>
    <row r="464"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</row>
    <row r="465"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</row>
    <row r="466"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</row>
    <row r="467"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</row>
    <row r="468"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</row>
    <row r="469"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</row>
    <row r="470"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</row>
    <row r="471"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</row>
    <row r="472"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</row>
    <row r="473"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</row>
    <row r="474"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</row>
    <row r="475"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</row>
    <row r="476"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</row>
    <row r="477"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</row>
    <row r="478"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</row>
    <row r="479"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</row>
    <row r="480"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</row>
    <row r="481"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</row>
    <row r="482"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</row>
    <row r="483"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</row>
    <row r="484"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</row>
    <row r="485"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</row>
    <row r="486"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</row>
    <row r="487"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</row>
    <row r="488"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</row>
    <row r="489"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</row>
    <row r="490"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</row>
    <row r="491"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</row>
    <row r="492"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</row>
    <row r="493"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</row>
    <row r="494"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</row>
    <row r="495"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</row>
    <row r="496"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</row>
    <row r="497"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</row>
    <row r="498"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</row>
    <row r="499"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</row>
    <row r="500"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</row>
    <row r="501"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</row>
    <row r="502"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</row>
    <row r="503"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</row>
    <row r="504"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</row>
    <row r="505"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</row>
    <row r="506"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</row>
    <row r="507"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</row>
    <row r="508"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</row>
    <row r="509"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</row>
    <row r="510"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</row>
    <row r="511"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</row>
    <row r="512"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</row>
    <row r="513"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</row>
    <row r="514"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</row>
    <row r="515"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</row>
    <row r="516"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</row>
    <row r="517"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</row>
    <row r="518"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</row>
    <row r="519"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</row>
    <row r="520"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</row>
    <row r="521"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</row>
    <row r="522"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</row>
    <row r="523"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</row>
    <row r="524"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</row>
    <row r="525"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</row>
    <row r="526"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</row>
    <row r="527"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</row>
    <row r="528"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</row>
    <row r="529"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</row>
    <row r="530"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</row>
    <row r="531"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</row>
    <row r="532"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</row>
    <row r="533"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</row>
    <row r="534"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</row>
    <row r="535"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</row>
    <row r="536"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</row>
    <row r="537"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</row>
    <row r="538"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</row>
    <row r="539"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</row>
    <row r="540"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</row>
    <row r="541"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</row>
    <row r="542"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</row>
    <row r="543"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</row>
    <row r="544"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</row>
    <row r="545"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</row>
    <row r="546"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</row>
    <row r="547"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</row>
    <row r="548"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</row>
    <row r="549"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</row>
    <row r="550"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</row>
    <row r="551"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</row>
    <row r="552"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</row>
    <row r="553"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</row>
    <row r="554"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</row>
    <row r="555"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</row>
    <row r="556"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</row>
    <row r="557"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</row>
    <row r="558"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</row>
    <row r="559"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</row>
    <row r="560"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</row>
    <row r="561"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</row>
    <row r="562"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</row>
    <row r="563"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</row>
    <row r="564"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</row>
    <row r="565"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</row>
    <row r="566"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</row>
    <row r="567"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</row>
    <row r="568"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</row>
    <row r="569"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</row>
    <row r="570"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</row>
    <row r="571"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</row>
    <row r="572"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</row>
    <row r="573"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</row>
    <row r="574"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</row>
    <row r="575"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</row>
    <row r="576"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</row>
    <row r="577"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</row>
    <row r="578"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</row>
    <row r="579"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</row>
    <row r="580"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</row>
    <row r="581"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</row>
    <row r="582"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</row>
    <row r="583"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</row>
    <row r="584"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</row>
    <row r="585"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</row>
    <row r="586"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</row>
    <row r="587"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</row>
    <row r="588"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</row>
    <row r="589"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</row>
    <row r="590"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</row>
    <row r="591"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</row>
    <row r="592"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</row>
    <row r="593"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</row>
    <row r="594"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</row>
    <row r="595"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</row>
    <row r="596"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</row>
    <row r="597"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</row>
    <row r="598"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</row>
    <row r="599"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</row>
    <row r="600"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</row>
    <row r="601"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</row>
    <row r="602"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</row>
    <row r="603"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</row>
    <row r="604"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</row>
    <row r="605"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</row>
    <row r="606"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</row>
    <row r="607"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</row>
    <row r="608"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</row>
    <row r="609"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</row>
    <row r="610"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</row>
    <row r="611"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</row>
    <row r="612"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</row>
    <row r="613"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</row>
    <row r="614"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</row>
    <row r="615"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</row>
    <row r="616"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</row>
    <row r="617"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</row>
    <row r="618"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</row>
    <row r="619"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</row>
    <row r="620"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</row>
    <row r="621"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</row>
  </sheetData>
  <drawing r:id="rId1"/>
</worksheet>
</file>